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3"/>
    <sheet state="visible" name="data_kaggle 2" sheetId="2" r:id="rId4"/>
    <sheet state="visible" name="raw dataset for jan 23" sheetId="3" r:id="rId5"/>
  </sheets>
  <definedNames>
    <definedName hidden="1" localSheetId="1" name="_xlnm._FilterDatabase">'data_kaggle 2'!$B$1:$B$6001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NULL filled with median (2)
</t>
      </text>
    </comment>
  </commentList>
</comments>
</file>

<file path=xl/sharedStrings.xml><?xml version="1.0" encoding="utf-8"?>
<sst xmlns="http://schemas.openxmlformats.org/spreadsheetml/2006/main" count="61575" uniqueCount="4642">
  <si>
    <t>Data Dictionary Intermediate Assignment</t>
  </si>
  <si>
    <t>Location</t>
  </si>
  <si>
    <t>The neighborhood in which the property is situated.</t>
  </si>
  <si>
    <t>Price</t>
  </si>
  <si>
    <t>The listed sales price in Malaysian Ringgit (RM).</t>
  </si>
  <si>
    <t>Rooms</t>
  </si>
  <si>
    <t>The number of listed rooms. The format N+M indicates N full bedrooms and M additional rooms that cannot count as such for one reason or another.</t>
  </si>
  <si>
    <t>Bathrooms</t>
  </si>
  <si>
    <t>The number of bathrooms in the property.</t>
  </si>
  <si>
    <t>Car Parks</t>
  </si>
  <si>
    <t>The number of car parks on the property.</t>
  </si>
  <si>
    <t>Property Type</t>
  </si>
  <si>
    <t>Malaysian properties may fall in one of several property types depending on their characteristics.</t>
  </si>
  <si>
    <t>Size</t>
  </si>
  <si>
    <t>The total size of the property. Note that some properties are listed by their land area and others by the built-up size, i.e. the total living space of the property.</t>
  </si>
  <si>
    <t>Furnishing</t>
  </si>
  <si>
    <t>Whether or not the property comes pre-furnished.</t>
  </si>
  <si>
    <t>KLCC, Kuala Lumpur</t>
  </si>
  <si>
    <t>RM 1,250,000</t>
  </si>
  <si>
    <t>2+1</t>
  </si>
  <si>
    <t>Serviced Residence</t>
  </si>
  <si>
    <t>Built-up : 1,335 sq. ft.</t>
  </si>
  <si>
    <t>Fully Furnished</t>
  </si>
  <si>
    <t>Damansara Heights, Kuala Lumpur</t>
  </si>
  <si>
    <t>RM 6,800,000</t>
  </si>
  <si>
    <t>Bungalow</t>
  </si>
  <si>
    <t>Land area : 6900 sq. ft.</t>
  </si>
  <si>
    <t>Partly Furnished</t>
  </si>
  <si>
    <t>Dutamas, Kuala Lumpur</t>
  </si>
  <si>
    <t>RM 1,030,000</t>
  </si>
  <si>
    <t>Condominium (Corner)</t>
  </si>
  <si>
    <t>Built-up : 1,875 sq. ft.</t>
  </si>
  <si>
    <t>Cheras, Kuala Lumpur</t>
  </si>
  <si>
    <t>Bukit Jalil, Kuala Lumpur</t>
  </si>
  <si>
    <t>RM 900,000</t>
  </si>
  <si>
    <t>4+1</t>
  </si>
  <si>
    <t>Built-up : 1,513 sq. ft.</t>
  </si>
  <si>
    <t>Taman Tun Dr Ismail, Kuala Lumpur</t>
  </si>
  <si>
    <t>RM 5,350,000</t>
  </si>
  <si>
    <t>4+2</t>
  </si>
  <si>
    <t>Land area : 7200 sq. ft.</t>
  </si>
  <si>
    <t>Seputeh, Kuala Lumpur</t>
  </si>
  <si>
    <t>RM 2,600,000</t>
  </si>
  <si>
    <t>Semi-detached House</t>
  </si>
  <si>
    <t>Land area : 3600 sq. ft.</t>
  </si>
  <si>
    <t>RM 1,950,000</t>
  </si>
  <si>
    <t>2-sty Terrace/Link House (EndLot)</t>
  </si>
  <si>
    <t>Land area : 25x75 sq. ft.</t>
  </si>
  <si>
    <t>Sri Petaling, Kuala Lumpur</t>
  </si>
  <si>
    <t>RM 385,000</t>
  </si>
  <si>
    <t>Apartment (Intermediate)</t>
  </si>
  <si>
    <t>Built-up : 904 sq. ft.</t>
  </si>
  <si>
    <t>Ampang Hilir, Kuala Lumpur</t>
  </si>
  <si>
    <t>RM 1,680,000</t>
  </si>
  <si>
    <t>2-sty Terrace/Link House (Intermediate)</t>
  </si>
  <si>
    <t>Land area : 22 x 80 sq. ft.</t>
  </si>
  <si>
    <t>RM 1,700,000</t>
  </si>
  <si>
    <t>3+1</t>
  </si>
  <si>
    <t>Land area : 1900 sq. ft.</t>
  </si>
  <si>
    <t>RM 4,580,000</t>
  </si>
  <si>
    <t>6+1</t>
  </si>
  <si>
    <t>Bungalow (Intermediate)</t>
  </si>
  <si>
    <t>Land area : 6000 sq. ft.</t>
  </si>
  <si>
    <t>RM 3,100,000</t>
  </si>
  <si>
    <t>Semi-detached House (Intermediate)</t>
  </si>
  <si>
    <t>Bukit Tunku (Kenny Hills), Kuala Lumpur</t>
  </si>
  <si>
    <t>RM 9,000,000</t>
  </si>
  <si>
    <t>Bungalow (Corner)</t>
  </si>
  <si>
    <t>Land area : 8500 sq. ft.</t>
  </si>
  <si>
    <t>RM 4,500,000</t>
  </si>
  <si>
    <t>5+1</t>
  </si>
  <si>
    <t>Built-up : 4,842 sq. ft.</t>
  </si>
  <si>
    <t>Mont Kiara, Kuala Lumpur</t>
  </si>
  <si>
    <t>RM 1,780,000</t>
  </si>
  <si>
    <t>Built-up : 1,830 sq. ft.</t>
  </si>
  <si>
    <t>RM 3,450,000</t>
  </si>
  <si>
    <t>Built-up : 3,720 sq. ft.</t>
  </si>
  <si>
    <t>Desa ParkCity, Kuala Lumpur</t>
  </si>
  <si>
    <t>RM 1,500,000</t>
  </si>
  <si>
    <t>3+2</t>
  </si>
  <si>
    <t>Built-up : 1,798 sq. ft.</t>
  </si>
  <si>
    <t>RM 1,550,000</t>
  </si>
  <si>
    <t>Serviced Residence (Intermediate)</t>
  </si>
  <si>
    <t>Condominium</t>
  </si>
  <si>
    <t>Built-up : 2,163 sq. ft.</t>
  </si>
  <si>
    <t>RM 1,450,000</t>
  </si>
  <si>
    <t>Bangsar South, Kuala Lumpur</t>
  </si>
  <si>
    <t>RM 490,000</t>
  </si>
  <si>
    <t>Built-up : 520 sq. ft.</t>
  </si>
  <si>
    <t>Sungai Besi, Kuala Lumpur</t>
  </si>
  <si>
    <t>3-sty Terrace/Link House (Intermediate)</t>
  </si>
  <si>
    <t>Land area : 20x75 sq. ft.</t>
  </si>
  <si>
    <t>RM 610,000</t>
  </si>
  <si>
    <t>Condominium (Intermediate)</t>
  </si>
  <si>
    <t>Built-up : 1,236 sq. ft.</t>
  </si>
  <si>
    <t>RM 1,035,880</t>
  </si>
  <si>
    <t>Condominium (EndLot)</t>
  </si>
  <si>
    <t>Built-up : 1,876 sq. ft.</t>
  </si>
  <si>
    <t>RM 1,830,000</t>
  </si>
  <si>
    <t>Built-up : 1,668 sq. ft.</t>
  </si>
  <si>
    <t>Jalan Klang Lama (Old Klang Road), Kuala Lumpur</t>
  </si>
  <si>
    <t>RM 3,300,000</t>
  </si>
  <si>
    <t>Built-up : 3,536 sq. ft.</t>
  </si>
  <si>
    <t>Unfurnished</t>
  </si>
  <si>
    <t>Kepong, Kuala Lumpur</t>
  </si>
  <si>
    <t>RM 560,000</t>
  </si>
  <si>
    <t>Land area : 16x55 sq. ft.</t>
  </si>
  <si>
    <t>RM 460,000</t>
  </si>
  <si>
    <t>Built-up : 613 sq. ft.</t>
  </si>
  <si>
    <t>Jalan Kuching, Kuala Lumpur</t>
  </si>
  <si>
    <t>RM 2,400,000</t>
  </si>
  <si>
    <t>Built-up : 1,006 sq. ft.</t>
  </si>
  <si>
    <t>RM 2,290,710</t>
  </si>
  <si>
    <t>Built-up : 2,767 sq. ft.</t>
  </si>
  <si>
    <t>RM 2,284,620</t>
  </si>
  <si>
    <t>Built-up : 2,702 sq. ft.</t>
  </si>
  <si>
    <t>RM 1,438,000</t>
  </si>
  <si>
    <t>Built-up : 2,378 sq. ft.</t>
  </si>
  <si>
    <t>RM 1,720,000</t>
  </si>
  <si>
    <t>Built-up : 2,020 sq. ft.</t>
  </si>
  <si>
    <t>RM 3,600,000</t>
  </si>
  <si>
    <t>Serviced Residence (Corner)</t>
  </si>
  <si>
    <t>Built-up : 3,897 sq. ft.</t>
  </si>
  <si>
    <t>RM 4,280,000</t>
  </si>
  <si>
    <t>Built-up : 2,195 sq. ft.</t>
  </si>
  <si>
    <t>RM 2,300,000</t>
  </si>
  <si>
    <t>Built-up : 1,023 sq. ft.</t>
  </si>
  <si>
    <t>RM 4,200,000</t>
  </si>
  <si>
    <t>Land area : 5274 sq. ft.</t>
  </si>
  <si>
    <t>Land area : 20 X 80 sq. ft.</t>
  </si>
  <si>
    <t>RM 2,700,000</t>
  </si>
  <si>
    <t>Built-up : 3,095 sq. ft.</t>
  </si>
  <si>
    <t>RM 1,080,000</t>
  </si>
  <si>
    <t>Built-up : 896 sq. ft.</t>
  </si>
  <si>
    <t>RM 1,150,000</t>
  </si>
  <si>
    <t>Built-up : 1,200 sq. ft.</t>
  </si>
  <si>
    <t>RM 1,070,000</t>
  </si>
  <si>
    <t>Built-up : 1,772 sq. ft.</t>
  </si>
  <si>
    <t>RM 930,000</t>
  </si>
  <si>
    <t>RM 780,000</t>
  </si>
  <si>
    <t>Built-up : 880 sq. ft.</t>
  </si>
  <si>
    <t>RM 4,098,000</t>
  </si>
  <si>
    <t>Built-up : 2,066 sq. ft.</t>
  </si>
  <si>
    <t>KL City, Kuala Lumpur</t>
  </si>
  <si>
    <t>RM 1,800,000</t>
  </si>
  <si>
    <t>Serviced Residence (Duplex)</t>
  </si>
  <si>
    <t>Built-up : 1,244 sq. ft.</t>
  </si>
  <si>
    <t>Built-up : 4,090 sq. ft.</t>
  </si>
  <si>
    <t>Taman Melawati, Kuala Lumpur</t>
  </si>
  <si>
    <t>RM 4,000,000</t>
  </si>
  <si>
    <t>Built-up : 2,250 sq. ft.</t>
  </si>
  <si>
    <t>RM 4,800,000</t>
  </si>
  <si>
    <t>Built-up : 4,300 sq. ft.</t>
  </si>
  <si>
    <t>RM 3,780,000</t>
  </si>
  <si>
    <t>Built-up : 3,628 sq. ft.</t>
  </si>
  <si>
    <t>Sentul, Kuala Lumpur</t>
  </si>
  <si>
    <t>RM 850,000</t>
  </si>
  <si>
    <t>Built-up : 1,050 sq. ft.</t>
  </si>
  <si>
    <t>RM 1,850,000</t>
  </si>
  <si>
    <t>Built-up : 2,347 sq. ft.</t>
  </si>
  <si>
    <t>RM 1,698,800</t>
  </si>
  <si>
    <t>Built-up : 1,227 sq. ft.</t>
  </si>
  <si>
    <t>RM 999,000</t>
  </si>
  <si>
    <t>Built-up : 2,512 sq. ft.</t>
  </si>
  <si>
    <t>KL Sentral, Kuala Lumpur</t>
  </si>
  <si>
    <t>RM 3,500,000</t>
  </si>
  <si>
    <t>Built-up : 1,648 sq. ft.</t>
  </si>
  <si>
    <t>Built-up : 1,022 sq. ft.</t>
  </si>
  <si>
    <t>RM 750,000</t>
  </si>
  <si>
    <t>2-sty Terrace/Link House</t>
  </si>
  <si>
    <t>Land area : 24 X 75 sq. ft.</t>
  </si>
  <si>
    <t>Setapak, Kuala Lumpur</t>
  </si>
  <si>
    <t>RM 580,000</t>
  </si>
  <si>
    <t>Built-up : 1,550 sq. ft.</t>
  </si>
  <si>
    <t>RM 3,000,000</t>
  </si>
  <si>
    <t>RM 2,180,000</t>
  </si>
  <si>
    <t>Built-up : 3,000 sq. ft.</t>
  </si>
  <si>
    <t>Bangsar, Kuala Lumpur</t>
  </si>
  <si>
    <t>RM 2,030,000</t>
  </si>
  <si>
    <t>Built-up : 2,356 sq. ft.</t>
  </si>
  <si>
    <t>City Centre, Kuala Lumpur</t>
  </si>
  <si>
    <t>RM 4,080,000</t>
  </si>
  <si>
    <t>Built-up : 3,713 sq. ft.</t>
  </si>
  <si>
    <t>RM 2,880,000</t>
  </si>
  <si>
    <t>2-sty Terrace/Link House (Corner)</t>
  </si>
  <si>
    <t>Land area : 4244 sq. ft.</t>
  </si>
  <si>
    <t>RM 1,799,000</t>
  </si>
  <si>
    <t>Built-up : 720 sq. ft.</t>
  </si>
  <si>
    <t>Bukit Bintang, Kuala Lumpur</t>
  </si>
  <si>
    <t>RM 1,820,000</t>
  </si>
  <si>
    <t>Built-up : 1,159 sq. ft.</t>
  </si>
  <si>
    <t>RM 1,000,000</t>
  </si>
  <si>
    <t>Built-up : 1,313 sq. ft.</t>
  </si>
  <si>
    <t>RM 1,650,000</t>
  </si>
  <si>
    <t>Built-up : 1,905 sq. ft.</t>
  </si>
  <si>
    <t>Land area : 2702 sq. ft.</t>
  </si>
  <si>
    <t>RM 2,055,000</t>
  </si>
  <si>
    <t>1+1</t>
  </si>
  <si>
    <t>Built-up : 797 sq. ft.</t>
  </si>
  <si>
    <t>RM 1,714,000</t>
  </si>
  <si>
    <t>Built-up : 700 sq. ft.</t>
  </si>
  <si>
    <t>RM 620,000</t>
  </si>
  <si>
    <t>Built-up : 1,232 sq. ft.</t>
  </si>
  <si>
    <t>2.5-sty Terrace/Link House (Intermediate)</t>
  </si>
  <si>
    <t>Land area : 3033 sq. ft.</t>
  </si>
  <si>
    <t>Built-up : 3,282 sq. ft.</t>
  </si>
  <si>
    <t>RM 920,000</t>
  </si>
  <si>
    <t>Built-up : 1,046 sq. ft.</t>
  </si>
  <si>
    <t>RM 4,995,000</t>
  </si>
  <si>
    <t>Land area : 8113 sq. ft.</t>
  </si>
  <si>
    <t>RM 1,630,000</t>
  </si>
  <si>
    <t>Land area : 22x80 sq. ft.</t>
  </si>
  <si>
    <t>RM 1,783,000</t>
  </si>
  <si>
    <t>Built-up : 976 sq. ft.</t>
  </si>
  <si>
    <t>RM 1,180,000</t>
  </si>
  <si>
    <t>Built-up : 1,942 sq. ft.</t>
  </si>
  <si>
    <t>Built-up : 1,442 sq. ft.</t>
  </si>
  <si>
    <t>Built-up : 761 sq. ft.</t>
  </si>
  <si>
    <t>5+2</t>
  </si>
  <si>
    <t>Land area : 7000 sq. ft.</t>
  </si>
  <si>
    <t>Built-up : 3,400 sq. ft.</t>
  </si>
  <si>
    <t>RM 630,000</t>
  </si>
  <si>
    <t>Built-up : 791 sq. ft.</t>
  </si>
  <si>
    <t>Jalan Sultan Ismail, Kuala Lumpur</t>
  </si>
  <si>
    <t>RM 2,040,000</t>
  </si>
  <si>
    <t>Land area : 32 x 75 sq. ft.</t>
  </si>
  <si>
    <t>Built-up : 728 sq. ft.</t>
  </si>
  <si>
    <t>RM 2,850,000</t>
  </si>
  <si>
    <t>Built-up : 3,211 sq. ft.</t>
  </si>
  <si>
    <t>RM 1,050,000</t>
  </si>
  <si>
    <t>Built-up : 1,389 sq. ft.</t>
  </si>
  <si>
    <t>Built-up : 3,041 sq. ft.</t>
  </si>
  <si>
    <t>Built-up : 663 sq. ft.</t>
  </si>
  <si>
    <t>RM 3,364,000</t>
  </si>
  <si>
    <t>Built-up : 1,399 sq. ft.</t>
  </si>
  <si>
    <t>RM 978,000</t>
  </si>
  <si>
    <t>RM 2,000,000</t>
  </si>
  <si>
    <t>Built-up : 1,087 sq. ft.</t>
  </si>
  <si>
    <t>Built-up : 2,065 sq. ft.</t>
  </si>
  <si>
    <t>RM 1,280,000</t>
  </si>
  <si>
    <t>Built-up : 736 sq. ft.</t>
  </si>
  <si>
    <t>Kuchai Lama, Kuala Lumpur</t>
  </si>
  <si>
    <t>Built-up : 650 sq. ft.</t>
  </si>
  <si>
    <t>RM 1,350,000</t>
  </si>
  <si>
    <t>Built-up : 500 sq. ft.</t>
  </si>
  <si>
    <t>RM 800,000</t>
  </si>
  <si>
    <t>Built-up : 825 sq. ft.</t>
  </si>
  <si>
    <t>RM 1,980,000</t>
  </si>
  <si>
    <t>Built-up : 2,200 sq. ft.</t>
  </si>
  <si>
    <t>RM 1,035,000</t>
  </si>
  <si>
    <t>Built-up : 1,853 sq. ft.</t>
  </si>
  <si>
    <t>Unknown</t>
  </si>
  <si>
    <t>Built-up : 657 sq. ft.</t>
  </si>
  <si>
    <t>RM 448,800</t>
  </si>
  <si>
    <t>Built-up : 1,045 sq. ft.</t>
  </si>
  <si>
    <t>RM 4,900,000</t>
  </si>
  <si>
    <t>Land area : 3700 sq. ft.</t>
  </si>
  <si>
    <t>RM 2,480,000</t>
  </si>
  <si>
    <t>RM 2,716,000</t>
  </si>
  <si>
    <t>Built-up : 2,227 sq. ft.</t>
  </si>
  <si>
    <t>RM 1,480,000</t>
  </si>
  <si>
    <t>Built-up : 1,544 sq. ft.</t>
  </si>
  <si>
    <t>Country Heights Damansara, Kuala Lumpur</t>
  </si>
  <si>
    <t>RM 9,500,000</t>
  </si>
  <si>
    <t>Land area : 10000 sq. ft.</t>
  </si>
  <si>
    <t>RM 8,343,600</t>
  </si>
  <si>
    <t>Built-up : 2,454 sq. ft.</t>
  </si>
  <si>
    <t>Taman Desa, Kuala Lumpur</t>
  </si>
  <si>
    <t>RM 500,000</t>
  </si>
  <si>
    <t>Built-up : 715 sq. ft.</t>
  </si>
  <si>
    <t>RM 13,800,000</t>
  </si>
  <si>
    <t>Land area : 7500 sq. ft.</t>
  </si>
  <si>
    <t>RM 3,490,000</t>
  </si>
  <si>
    <t>3-sty Terrace/Link House (Corner)</t>
  </si>
  <si>
    <t>Land area : 38x75 sq. ft.</t>
  </si>
  <si>
    <t>Land area : 22x83 sq. ft.</t>
  </si>
  <si>
    <t>Built-up : 1,560 sq. ft.</t>
  </si>
  <si>
    <t>RM 2,200,000</t>
  </si>
  <si>
    <t>Built-up : 2,243 sq. ft.</t>
  </si>
  <si>
    <t>RM 1,380,000</t>
  </si>
  <si>
    <t>Land area : 24x75 sq. ft.</t>
  </si>
  <si>
    <t>RM 2,500,000</t>
  </si>
  <si>
    <t>3-sty Terrace/Link House (EndLot)</t>
  </si>
  <si>
    <t>Land area : 22x75 sq. ft.</t>
  </si>
  <si>
    <t>RM 1,060,000</t>
  </si>
  <si>
    <t>Built-up : 2,174 sq. ft.</t>
  </si>
  <si>
    <t>RM 668,000</t>
  </si>
  <si>
    <t>Built-up : 1,345 sq. ft.</t>
  </si>
  <si>
    <t>2+2</t>
  </si>
  <si>
    <t>RM 509,000</t>
  </si>
  <si>
    <t>RM 3,170,000</t>
  </si>
  <si>
    <t>Built-up : 4,306 sq. ft.</t>
  </si>
  <si>
    <t>RM 3,400,000</t>
  </si>
  <si>
    <t>Built-up : 5,448 sq. ft.</t>
  </si>
  <si>
    <t>RM 2,998,000</t>
  </si>
  <si>
    <t>Built-up : 3,218 sq. ft.</t>
  </si>
  <si>
    <t>RM 2,580,000</t>
  </si>
  <si>
    <t>Built-up : 2,809 sq. ft.</t>
  </si>
  <si>
    <t>RM 5,600,000</t>
  </si>
  <si>
    <t>7+1</t>
  </si>
  <si>
    <t>3.5-sty Terrace/Link House (Intermediate)</t>
  </si>
  <si>
    <t>Built-up : 7,000 sq. ft.</t>
  </si>
  <si>
    <t>RM 1,260,000</t>
  </si>
  <si>
    <t>Built-up : 1,485 sq. ft.</t>
  </si>
  <si>
    <t>RM 4,950,000</t>
  </si>
  <si>
    <t>Land area : 33x85 sq. ft.</t>
  </si>
  <si>
    <t>RM 1,990,000</t>
  </si>
  <si>
    <t>Built-up : 2,500 sq. ft.</t>
  </si>
  <si>
    <t>Land area : 20 x 80 sq. ft.</t>
  </si>
  <si>
    <t>RM 2,100,000</t>
  </si>
  <si>
    <t>Built-up : 2,441 sq. ft.</t>
  </si>
  <si>
    <t>RM 1,100,000</t>
  </si>
  <si>
    <t>Serviced Residence (Penthouse)</t>
  </si>
  <si>
    <t>RM 2,900,000</t>
  </si>
  <si>
    <t>RM 670,000</t>
  </si>
  <si>
    <t>Built-up : 1,085 sq. ft.</t>
  </si>
  <si>
    <t>RM 820,000</t>
  </si>
  <si>
    <t>RM 1,370,000</t>
  </si>
  <si>
    <t>Built-up : 1,572 sq. ft.</t>
  </si>
  <si>
    <t>RM 3,480,000</t>
  </si>
  <si>
    <t>Land area : 3450 sq. ft.</t>
  </si>
  <si>
    <t>Built-up : 1,292 sq. ft.</t>
  </si>
  <si>
    <t>RM 1,900,000</t>
  </si>
  <si>
    <t>Built-up : 915 sq. ft.</t>
  </si>
  <si>
    <t>Built-up : 1,090 sq. ft.</t>
  </si>
  <si>
    <t>Studio</t>
  </si>
  <si>
    <t>Condominium (Studio)</t>
  </si>
  <si>
    <t>RM 1,300,000</t>
  </si>
  <si>
    <t>Built-up : 925 sq. ft.</t>
  </si>
  <si>
    <t>RM 1,200,000</t>
  </si>
  <si>
    <t>Built-up : 1,930 sq. ft.</t>
  </si>
  <si>
    <t>RM 2,251,800</t>
  </si>
  <si>
    <t>RM 998,000</t>
  </si>
  <si>
    <t>Land area : 1650 sq. ft.</t>
  </si>
  <si>
    <t>Built-up : 1,496 sq. ft.</t>
  </si>
  <si>
    <t>Built-up : 1,368 sq. ft.</t>
  </si>
  <si>
    <t>RM 1,798,000</t>
  </si>
  <si>
    <t>RM 1,268,000</t>
  </si>
  <si>
    <t>Built-up : 1,619 sq. ft.</t>
  </si>
  <si>
    <t>RM 3,330,000</t>
  </si>
  <si>
    <t>Built-up : 2,789 sq. ft.</t>
  </si>
  <si>
    <t>Built-up : 1,184 sq. ft.</t>
  </si>
  <si>
    <t>Built-up : 1,076 sq. ft.</t>
  </si>
  <si>
    <t>1-sty Terrace/Link House (Intermediate)</t>
  </si>
  <si>
    <t>Land area : 24x80 sq. ft.</t>
  </si>
  <si>
    <t>Built-up : 1,381 sq. ft.</t>
  </si>
  <si>
    <t>RM 638,000</t>
  </si>
  <si>
    <t>1.5-sty Terrace/Link House (EndLot)</t>
  </si>
  <si>
    <t>Land area : 27x70 sq. ft.</t>
  </si>
  <si>
    <t>RM 1,400,000</t>
  </si>
  <si>
    <t>RM 6,500,000</t>
  </si>
  <si>
    <t>RM 3,800,000</t>
  </si>
  <si>
    <t>Built-up : 4,067 sq. ft.</t>
  </si>
  <si>
    <t>RM 350,000</t>
  </si>
  <si>
    <t>Apartment</t>
  </si>
  <si>
    <t>Built-up : 495 sq. ft.</t>
  </si>
  <si>
    <t>RM 1,790,000</t>
  </si>
  <si>
    <t>Land area : 22 x 95 sq. ft.</t>
  </si>
  <si>
    <t>Segambut, Kuala Lumpur</t>
  </si>
  <si>
    <t>RM 635,000</t>
  </si>
  <si>
    <t>Built-up : 1,643 sq. ft.</t>
  </si>
  <si>
    <t>RM 530,000</t>
  </si>
  <si>
    <t>RM 5,070,000</t>
  </si>
  <si>
    <t>Built-up : 2,142 sq. ft.</t>
  </si>
  <si>
    <t>RM 1,207,000</t>
  </si>
  <si>
    <t>Built-up : 685 sq. ft.</t>
  </si>
  <si>
    <t>RM 1,177,000</t>
  </si>
  <si>
    <t>Built-up : 717 sq. ft.</t>
  </si>
  <si>
    <t>Batu Caves, Kuala Lumpur</t>
  </si>
  <si>
    <t>RM 468,000</t>
  </si>
  <si>
    <t>Land area : 5700 sf sq. ft.</t>
  </si>
  <si>
    <t>Wangsa Maju, Kuala Lumpur</t>
  </si>
  <si>
    <t>RM 700,000</t>
  </si>
  <si>
    <t>Built-up : 1,152 sq. ft.</t>
  </si>
  <si>
    <t>RM 3,710,000</t>
  </si>
  <si>
    <t>Built-up : 3,369 sq. ft.</t>
  </si>
  <si>
    <t>Built-up : 2,411 sq. ft.</t>
  </si>
  <si>
    <t>RM 3,785,400</t>
  </si>
  <si>
    <t>Condominium (Duplex)</t>
  </si>
  <si>
    <t>Built-up : 3,907 sq. ft.</t>
  </si>
  <si>
    <t>Built-up : 871 sq. ft.</t>
  </si>
  <si>
    <t>RM 960,000</t>
  </si>
  <si>
    <t>Built-up : 1,488 sq. ft.</t>
  </si>
  <si>
    <t>Built-up : 1,065 sq. ft.</t>
  </si>
  <si>
    <t>Built-up : 3,709 sq. ft.</t>
  </si>
  <si>
    <t>Serviced Residence (EndLot)</t>
  </si>
  <si>
    <t>RM 2,380,000</t>
  </si>
  <si>
    <t>Built-up : 2,315 sq. ft.</t>
  </si>
  <si>
    <t>RM 1,210,000</t>
  </si>
  <si>
    <t>Built-up : 1,195 sq. ft.</t>
  </si>
  <si>
    <t>RM 6,300,000</t>
  </si>
  <si>
    <t>RM 240,000</t>
  </si>
  <si>
    <t>Built-up : 850 sq. ft.</t>
  </si>
  <si>
    <t>Built-up : 751 sq. ft.</t>
  </si>
  <si>
    <t>Built-up : 1,350 sq. ft.</t>
  </si>
  <si>
    <t>RM 6,380,000</t>
  </si>
  <si>
    <t>RM 676,775</t>
  </si>
  <si>
    <t>Built-up : 1,265 sq. ft.</t>
  </si>
  <si>
    <t>RM 2,280,000</t>
  </si>
  <si>
    <t>RM 1,750,000</t>
  </si>
  <si>
    <t>Built-up : 2,400 sq. ft.</t>
  </si>
  <si>
    <t>RM 3,380,000</t>
  </si>
  <si>
    <t>Land area : 4050 sq. ft.</t>
  </si>
  <si>
    <t>RM 1,600,000</t>
  </si>
  <si>
    <t>Built-up : 1,878 sq. ft.</t>
  </si>
  <si>
    <t>RM 1,291,000</t>
  </si>
  <si>
    <t>Built-up : 2,069 sq. ft.</t>
  </si>
  <si>
    <t>RM 880,000</t>
  </si>
  <si>
    <t>Built-up : 710 sq. ft.</t>
  </si>
  <si>
    <t>RM 655,000</t>
  </si>
  <si>
    <t>Built-up : 1,094 sq. ft.</t>
  </si>
  <si>
    <t>RM 2,150,000</t>
  </si>
  <si>
    <t>Built-up : 2,700 sq. ft.</t>
  </si>
  <si>
    <t>RM 7,975,250</t>
  </si>
  <si>
    <t>Built-up : 2,975 sq. ft.</t>
  </si>
  <si>
    <t>RM 1,238,000</t>
  </si>
  <si>
    <t>Built-up : 823 sq. ft.</t>
  </si>
  <si>
    <t>Built-up : 2,153 sq. ft.</t>
  </si>
  <si>
    <t>Built-up : 777 sq. ft.</t>
  </si>
  <si>
    <t>RM 990,000</t>
  </si>
  <si>
    <t>RM 3,960,000</t>
  </si>
  <si>
    <t>RM 5,460,000</t>
  </si>
  <si>
    <t>RM 2,050,000</t>
  </si>
  <si>
    <t>RM 1,121,800</t>
  </si>
  <si>
    <t>RM 1,506,300</t>
  </si>
  <si>
    <t>Built-up : 1,020 sq. ft.</t>
  </si>
  <si>
    <t>RM 1,530,000</t>
  </si>
  <si>
    <t>Built-up : 2,095 sq. ft.</t>
  </si>
  <si>
    <t>Ampang, Kuala Lumpur</t>
  </si>
  <si>
    <t>RM 3,680,000</t>
  </si>
  <si>
    <t>Land area : 6300 sq. ft.</t>
  </si>
  <si>
    <t>Built-up : 2,906 sq. ft.</t>
  </si>
  <si>
    <t>Sri Hartamas, Kuala Lumpur</t>
  </si>
  <si>
    <t>RM 14,800,000</t>
  </si>
  <si>
    <t>Land area : 8611 sq. ft.</t>
  </si>
  <si>
    <t>Built-up : 1,917 sq. ft.</t>
  </si>
  <si>
    <t>RM 1,158,200</t>
  </si>
  <si>
    <t>Klcc, Kuala Lumpur</t>
  </si>
  <si>
    <t>RM 1,200,019</t>
  </si>
  <si>
    <t>Built-up : 577 sq. ft.</t>
  </si>
  <si>
    <t>Land area : 5320 sq. ft.</t>
  </si>
  <si>
    <t>Bukit Kiara, Kuala Lumpur</t>
  </si>
  <si>
    <t>RM 4,988,888</t>
  </si>
  <si>
    <t>4-sty Terrace/Link House</t>
  </si>
  <si>
    <t>Land area : 24x85 sq. ft.</t>
  </si>
  <si>
    <t>RM 1,999,000</t>
  </si>
  <si>
    <t>Built-up : 1,271 sq. ft.</t>
  </si>
  <si>
    <t>RM 3,700,000</t>
  </si>
  <si>
    <t>RM 1,420,000</t>
  </si>
  <si>
    <t>Built-up : 1,499 sq. ft.</t>
  </si>
  <si>
    <t>Built-up : 1,832 sq. ft.</t>
  </si>
  <si>
    <t>4-sty Terrace/Link House (Intermediate)</t>
  </si>
  <si>
    <t>RM 2,210,000</t>
  </si>
  <si>
    <t>Built-up : 1,502 sq. ft.</t>
  </si>
  <si>
    <t>Land area : 3897 sq. ft.</t>
  </si>
  <si>
    <t>RM 2,230,000</t>
  </si>
  <si>
    <t>Built-up : 2,973 sq. ft.</t>
  </si>
  <si>
    <t>RM 1,139,000</t>
  </si>
  <si>
    <t>RM 2,930,000</t>
  </si>
  <si>
    <t>Built-up : 1,114 sq. ft.</t>
  </si>
  <si>
    <t>RM 1,580,000</t>
  </si>
  <si>
    <t>Built-up : 1,900 sq. ft.</t>
  </si>
  <si>
    <t>RM 1,620,000</t>
  </si>
  <si>
    <t>Built-up : 1,194 sq. ft.</t>
  </si>
  <si>
    <t>Built-up : 1,367 sq. ft.</t>
  </si>
  <si>
    <t>RM 8,000,000</t>
  </si>
  <si>
    <t>Land area : 10600 sq. ft.</t>
  </si>
  <si>
    <t>Land area : 7880 sq. ft.</t>
  </si>
  <si>
    <t>RM 2,750,000</t>
  </si>
  <si>
    <t>Land area : 22x89 sq. ft.</t>
  </si>
  <si>
    <t>Townhouse</t>
  </si>
  <si>
    <t>Built-up : 1,400 sq. ft.</t>
  </si>
  <si>
    <t>RM 1,730,000</t>
  </si>
  <si>
    <t>Built-up : 1,690 sq. ft.</t>
  </si>
  <si>
    <t>Built-up : 1,346 sq. ft.</t>
  </si>
  <si>
    <t>RM 2,800,000</t>
  </si>
  <si>
    <t>Land area : 1302 sq. ft.</t>
  </si>
  <si>
    <t>RM 3,280,000</t>
  </si>
  <si>
    <t>Land area : 3200 sq. ft.</t>
  </si>
  <si>
    <t>RM 5,500,000</t>
  </si>
  <si>
    <t>Land area : 2805 sq. ft.</t>
  </si>
  <si>
    <t>Built-up : 1,507 sq. ft.</t>
  </si>
  <si>
    <t>Land area : 1826 sq. ft.</t>
  </si>
  <si>
    <t>Built-up : 2,300 sq. ft.</t>
  </si>
  <si>
    <t>RM 2,950,000</t>
  </si>
  <si>
    <t>Built-up : 2,674 sq. ft.</t>
  </si>
  <si>
    <t>RM 3,090,000</t>
  </si>
  <si>
    <t>Semi-detached House (Corner)</t>
  </si>
  <si>
    <t>Land area : 65 x 90 sq. ft.</t>
  </si>
  <si>
    <t>RM 1,230,000</t>
  </si>
  <si>
    <t>Built-up : 1,378 sq. ft.</t>
  </si>
  <si>
    <t>Built-up : 950 sq. ft.</t>
  </si>
  <si>
    <t>Built-up : 1,303 sq. ft.</t>
  </si>
  <si>
    <t>Land area : 22x62 sq. ft.</t>
  </si>
  <si>
    <t>Townhouse (Intermediate)</t>
  </si>
  <si>
    <t>Land area : 24x55 sq. ft.</t>
  </si>
  <si>
    <t>Land area : 5628 sq. ft.</t>
  </si>
  <si>
    <t>RM 5,900,000</t>
  </si>
  <si>
    <t>Built-up : 4,000 sq. ft.</t>
  </si>
  <si>
    <t>RM 3,900,000</t>
  </si>
  <si>
    <t>Built-up : 1,636 sq. ft.</t>
  </si>
  <si>
    <t>RM 1,240,000</t>
  </si>
  <si>
    <t>RM 438,000</t>
  </si>
  <si>
    <t>Apartment (Corner)</t>
  </si>
  <si>
    <t>Built-up : 1,018 sq. ft.</t>
  </si>
  <si>
    <t>Built-up : 900 sq. ft.</t>
  </si>
  <si>
    <t>Setiawangsa, Kuala Lumpur</t>
  </si>
  <si>
    <t>RM 590,000</t>
  </si>
  <si>
    <t>Built-up : 1,196 sq. ft.</t>
  </si>
  <si>
    <t>RM 11,394,000</t>
  </si>
  <si>
    <t>RM 380,000</t>
  </si>
  <si>
    <t>RM 1,198,000</t>
  </si>
  <si>
    <t>Built-up : 764 sq. ft.</t>
  </si>
  <si>
    <t>RM 12,000,000</t>
  </si>
  <si>
    <t>Land area : 11500 sq. ft.</t>
  </si>
  <si>
    <t>OUG, Kuala Lumpur</t>
  </si>
  <si>
    <t>Land area : 12722 sq. ft.</t>
  </si>
  <si>
    <t>RM 1,340,000</t>
  </si>
  <si>
    <t>Land area : 10+24 x 80 sq. ft.</t>
  </si>
  <si>
    <t>Built-up : 1,055 sq. ft.</t>
  </si>
  <si>
    <t>RM 320,000</t>
  </si>
  <si>
    <t>Land area : 646sf~1001sf sq. ft.</t>
  </si>
  <si>
    <t>Built-up : 3,216 sq. ft.</t>
  </si>
  <si>
    <t>RM 6,000,000</t>
  </si>
  <si>
    <t>Built-up : 4,157 sq. ft.</t>
  </si>
  <si>
    <t>RM 1,090,000</t>
  </si>
  <si>
    <t>RM 1,330,000</t>
  </si>
  <si>
    <t>RM 1,613,300</t>
  </si>
  <si>
    <t>Built-up : 2,336 sq. ft.</t>
  </si>
  <si>
    <t>RM 2,440,000</t>
  </si>
  <si>
    <t>RM 5,000,000</t>
  </si>
  <si>
    <t>Land area : 7700 sq. ft.</t>
  </si>
  <si>
    <t>RM 7,300,000</t>
  </si>
  <si>
    <t>Land area : 7300 sq. ft.</t>
  </si>
  <si>
    <t>RM 3,200,000</t>
  </si>
  <si>
    <t>RM 783,990</t>
  </si>
  <si>
    <t>RM 495,000</t>
  </si>
  <si>
    <t>Built-up : 560 sq. ft.</t>
  </si>
  <si>
    <t>Chan Sow Lin, Kuala Lumpur</t>
  </si>
  <si>
    <t>RM 569,200</t>
  </si>
  <si>
    <t>Built-up : 888 sq. ft.</t>
  </si>
  <si>
    <t>RM 439,600</t>
  </si>
  <si>
    <t>Land area : 850sf~1000sf sq. ft.</t>
  </si>
  <si>
    <t>RM 425,000</t>
  </si>
  <si>
    <t>Land area : 1087 sq. ft.</t>
  </si>
  <si>
    <t>RM 10,000,000</t>
  </si>
  <si>
    <t>Built-up : 6,913 sq. ft.</t>
  </si>
  <si>
    <t>Land area : 22&amp;#8217;x100&amp;#8217; sq. ft.</t>
  </si>
  <si>
    <t>Land area : 850-1000 sq. ft.</t>
  </si>
  <si>
    <t>RM 6,670,000</t>
  </si>
  <si>
    <t>Built-up : 4,771 sq. ft.</t>
  </si>
  <si>
    <t>Built-up : 1,590 sq. ft.</t>
  </si>
  <si>
    <t>RM 618,000</t>
  </si>
  <si>
    <t>Land area : 650 sq. ft.</t>
  </si>
  <si>
    <t>RM 1,518,000</t>
  </si>
  <si>
    <t>Built-up : 2,648 sq. ft.</t>
  </si>
  <si>
    <t>RM 2,220,000</t>
  </si>
  <si>
    <t>Land area : 2850, 38x75 sq. ft.</t>
  </si>
  <si>
    <t>Land area : 23x75 sq. ft.</t>
  </si>
  <si>
    <t>Land area : 24x80, 1920 sq. ft.</t>
  </si>
  <si>
    <t>Land area : 11676 sq. ft.</t>
  </si>
  <si>
    <t>Built-up : 2,535 sq. ft.</t>
  </si>
  <si>
    <t>3-sty Terrace/Link House</t>
  </si>
  <si>
    <t>RM 600,000</t>
  </si>
  <si>
    <t>Land area : 1025 sq. ft.</t>
  </si>
  <si>
    <t>RM 4,130,000</t>
  </si>
  <si>
    <t>Built-up : 1,873 sq. ft.</t>
  </si>
  <si>
    <t>RM 5,149,700</t>
  </si>
  <si>
    <t>Built-up : 2,982 sq. ft.</t>
  </si>
  <si>
    <t>RM 5,129,000</t>
  </si>
  <si>
    <t>Built-up : 3,143 sq. ft.</t>
  </si>
  <si>
    <t>RM 597,000</t>
  </si>
  <si>
    <t>Built-up : 4,025 sq. ft.</t>
  </si>
  <si>
    <t>RM 6,900,000</t>
  </si>
  <si>
    <t>Built-up : 4,945 sq. ft.</t>
  </si>
  <si>
    <t>RM 660,000</t>
  </si>
  <si>
    <t>Land area : 992 sq. ft.</t>
  </si>
  <si>
    <t>RM 3,125,000</t>
  </si>
  <si>
    <t>Built-up : 1,421 sq. ft.</t>
  </si>
  <si>
    <t>RM 1,833,000</t>
  </si>
  <si>
    <t>Bandar Menjalara, Kuala Lumpur</t>
  </si>
  <si>
    <t>RM 888,000</t>
  </si>
  <si>
    <t>RM 2,999,000</t>
  </si>
  <si>
    <t>Built-up : 721 sq. ft.</t>
  </si>
  <si>
    <t>RM 6,842,500</t>
  </si>
  <si>
    <t>RM 8,476,050</t>
  </si>
  <si>
    <t>Built-up : 5,137 sq. ft.</t>
  </si>
  <si>
    <t>RM 14,000,000</t>
  </si>
  <si>
    <t>Land area : 9124 sq. ft.</t>
  </si>
  <si>
    <t>RM 1,415,000</t>
  </si>
  <si>
    <t>RM 12,800,000</t>
  </si>
  <si>
    <t>6+</t>
  </si>
  <si>
    <t>Land area : 14380 sq. ft.</t>
  </si>
  <si>
    <t>Land area : 12000 sq. ft.</t>
  </si>
  <si>
    <t>Built-up : 1,701 sq. ft.</t>
  </si>
  <si>
    <t>Built-up : 1,103 sq. ft.</t>
  </si>
  <si>
    <t>RM 8,280,000</t>
  </si>
  <si>
    <t>RM 3,690,000</t>
  </si>
  <si>
    <t>Land area : 3658 sq. ft.</t>
  </si>
  <si>
    <t>RM 950,000</t>
  </si>
  <si>
    <t>Land area : 5337 sq. ft.</t>
  </si>
  <si>
    <t>RM 9,960,000</t>
  </si>
  <si>
    <t>RM 6,660,000</t>
  </si>
  <si>
    <t>RM 628,000</t>
  </si>
  <si>
    <t>Built-up : 1,150 sq. ft.</t>
  </si>
  <si>
    <t>RM 1,590,000</t>
  </si>
  <si>
    <t>RM 428,000</t>
  </si>
  <si>
    <t>Built-up : 918 sq. ft.</t>
  </si>
  <si>
    <t>KL Eco City, Kuala Lumpur</t>
  </si>
  <si>
    <t>Built-up : 969 sq. ft.</t>
  </si>
  <si>
    <t>RM 2,250,000</t>
  </si>
  <si>
    <t>Land area : 40+30 X 80 sq. ft.</t>
  </si>
  <si>
    <t>Land area : 8300 sq. ft.</t>
  </si>
  <si>
    <t>RM 1,890,000</t>
  </si>
  <si>
    <t>Land area : 20x95 sq. ft.</t>
  </si>
  <si>
    <t>RM 815,000</t>
  </si>
  <si>
    <t>RM 7,500,000</t>
  </si>
  <si>
    <t>Built-up : 867 sq. ft.</t>
  </si>
  <si>
    <t>Built-up : 3,082 sq. ft.</t>
  </si>
  <si>
    <t>RM 640,000</t>
  </si>
  <si>
    <t>RM 840,000</t>
  </si>
  <si>
    <t>Built-up : 1,119 sq. ft.</t>
  </si>
  <si>
    <t>Built-up : 3,478 sq. ft.</t>
  </si>
  <si>
    <t>Built-up : 1,444 sq. ft.</t>
  </si>
  <si>
    <t>Built-up : 2,426 sq. ft.</t>
  </si>
  <si>
    <t>Land area : 5446 sq. ft.</t>
  </si>
  <si>
    <t>RM 28,000,000</t>
  </si>
  <si>
    <t>Land area : 26000 sq. ft.</t>
  </si>
  <si>
    <t>Land area : 22x95 sq. ft.</t>
  </si>
  <si>
    <t>RM 770,000</t>
  </si>
  <si>
    <t>Built-up : 1,186 sq. ft.</t>
  </si>
  <si>
    <t>Land area : 5000 sq. ft.</t>
  </si>
  <si>
    <t>RM 870,000</t>
  </si>
  <si>
    <t>RM 7,600,000</t>
  </si>
  <si>
    <t>Land area : 7750 sq. ft.</t>
  </si>
  <si>
    <t>RM 720,000</t>
  </si>
  <si>
    <t>Built-up : 1,577 sq. ft.</t>
  </si>
  <si>
    <t>RM 928,000</t>
  </si>
  <si>
    <t>Land area : 48x85 sq. ft.</t>
  </si>
  <si>
    <t>RM 360,000</t>
  </si>
  <si>
    <t>Built-up : 1,088 sq. ft.</t>
  </si>
  <si>
    <t>RM 830,000</t>
  </si>
  <si>
    <t>Built-up : 473 sq. ft.</t>
  </si>
  <si>
    <t>RM 868,000</t>
  </si>
  <si>
    <t>RM 1,865,000</t>
  </si>
  <si>
    <t>RM 1,308,000</t>
  </si>
  <si>
    <t>Built-up : 753 sq. ft.</t>
  </si>
  <si>
    <t>RM 1,760,000</t>
  </si>
  <si>
    <t>RM 568,000</t>
  </si>
  <si>
    <t>RM 1,020,000</t>
  </si>
  <si>
    <t>Built-up : 813 sq. ft.</t>
  </si>
  <si>
    <t>RM 1,099,000</t>
  </si>
  <si>
    <t>Built-up : 833 sq. ft.</t>
  </si>
  <si>
    <t>Land area : 910 sq. ft.</t>
  </si>
  <si>
    <t>Built-up : 2,707 sq. ft.</t>
  </si>
  <si>
    <t>RM 2,550,000</t>
  </si>
  <si>
    <t>Built-up : 1,573 sq. ft.</t>
  </si>
  <si>
    <t>RM 980,000</t>
  </si>
  <si>
    <t>RM 2,650,000</t>
  </si>
  <si>
    <t>Built-up : 2,077 sq. ft.</t>
  </si>
  <si>
    <t>RM 2,889,000</t>
  </si>
  <si>
    <t>Built-up : 1,163 sq. ft.</t>
  </si>
  <si>
    <t>RM 6,220,000</t>
  </si>
  <si>
    <t>Built-up : 4,327 sq. ft.</t>
  </si>
  <si>
    <t>Built-up : 1,411 sq. ft.</t>
  </si>
  <si>
    <t>RM 916,000</t>
  </si>
  <si>
    <t>Built-up : 3,833 sq. ft.</t>
  </si>
  <si>
    <t>Residential Land</t>
  </si>
  <si>
    <t>Land area : 100000 sq. ft.</t>
  </si>
  <si>
    <t>Land area : 3282 sq. ft.</t>
  </si>
  <si>
    <t>Land area : 9670 sq. ft.</t>
  </si>
  <si>
    <t>RM 2,780,000</t>
  </si>
  <si>
    <t>Land area : 45x80 sq. ft.</t>
  </si>
  <si>
    <t>Built-up : 638 sq. ft.</t>
  </si>
  <si>
    <t>Land area : 20x80 sq. ft.</t>
  </si>
  <si>
    <t>RM 2,434,900</t>
  </si>
  <si>
    <t>Land area : 1873 sq. ft.</t>
  </si>
  <si>
    <t>RM 535,000</t>
  </si>
  <si>
    <t>Built-up : 762 sq. ft.</t>
  </si>
  <si>
    <t>RM 6,400,000</t>
  </si>
  <si>
    <t>Built-up : 2,013 sq. ft.</t>
  </si>
  <si>
    <t>2.5-sty Terrace/Link House</t>
  </si>
  <si>
    <t>RM 2,590,000</t>
  </si>
  <si>
    <t>Land area : 58x80 sq. ft.</t>
  </si>
  <si>
    <t>RM 1,348,000</t>
  </si>
  <si>
    <t>Built-up : 462 sq. ft.</t>
  </si>
  <si>
    <t>Built-up : 2,201 sq. ft.</t>
  </si>
  <si>
    <t>Built-up : 811 sq. ft.</t>
  </si>
  <si>
    <t>Built-up : 618 sq. ft.</t>
  </si>
  <si>
    <t>RM 3,166,000</t>
  </si>
  <si>
    <t>Built-up : 1,423 sq. ft.</t>
  </si>
  <si>
    <t>RM 370,000</t>
  </si>
  <si>
    <t>Sunway SPK, Kuala Lumpur</t>
  </si>
  <si>
    <t>RM 6,700,000</t>
  </si>
  <si>
    <t>RM 6,600,000</t>
  </si>
  <si>
    <t>RM 7,400,000</t>
  </si>
  <si>
    <t>Land area : 8000 sq. ft.</t>
  </si>
  <si>
    <t>Land area : 2970 sq. ft.</t>
  </si>
  <si>
    <t>Land area : 7416 sq. ft.</t>
  </si>
  <si>
    <t>RM 1,288,972</t>
  </si>
  <si>
    <t>Built-up : 1,738 sq. ft.</t>
  </si>
  <si>
    <t>RM 8,400,000</t>
  </si>
  <si>
    <t>RM 410,000</t>
  </si>
  <si>
    <t>Built-up : 885 sq. ft.</t>
  </si>
  <si>
    <t>RM 3,360,000</t>
  </si>
  <si>
    <t>RM 1,770,000</t>
  </si>
  <si>
    <t>RM 1,849,000</t>
  </si>
  <si>
    <t>RM 1,860,000</t>
  </si>
  <si>
    <t>Built-up : 2,070 sq. ft.</t>
  </si>
  <si>
    <t>Pantai, Kuala Lumpur</t>
  </si>
  <si>
    <t>RM 570,000</t>
  </si>
  <si>
    <t>Land area : 1200 sq. ft.</t>
  </si>
  <si>
    <t>RM 1,880,000</t>
  </si>
  <si>
    <t>RM 1,685,000</t>
  </si>
  <si>
    <t>Built-up : 2,038 sq. ft.</t>
  </si>
  <si>
    <t>RM 550,000</t>
  </si>
  <si>
    <t>Built-up : 1,073 sq. ft.</t>
  </si>
  <si>
    <t>1.5-sty Terrace/Link House (Intermediate)</t>
  </si>
  <si>
    <t>Land area : 20x65 sq. ft.</t>
  </si>
  <si>
    <t>Land area : 22x85 sq. ft.</t>
  </si>
  <si>
    <t>RM 2,790,000</t>
  </si>
  <si>
    <t>Land area : 2200 sq. ft.</t>
  </si>
  <si>
    <t>Built-up : 497 sq. ft.</t>
  </si>
  <si>
    <t>Built-up : 4,186 sq. ft.</t>
  </si>
  <si>
    <t>RM 2,044,800</t>
  </si>
  <si>
    <t>Built-up : 912 sq. ft.</t>
  </si>
  <si>
    <t>Built-up : 1,700 sq. ft.</t>
  </si>
  <si>
    <t>Built-up : 3,300 sq. ft.</t>
  </si>
  <si>
    <t>RM 2,340,000</t>
  </si>
  <si>
    <t>Land area : 0 sq. ft.</t>
  </si>
  <si>
    <t>RM 1,698,000</t>
  </si>
  <si>
    <t>ADIVA Desa ParkCity, Kuala Lumpur</t>
  </si>
  <si>
    <t>Built-up : 1,523 sq. ft.</t>
  </si>
  <si>
    <t>RM 565,000</t>
  </si>
  <si>
    <t>Built-up : 1,100 sq. ft.</t>
  </si>
  <si>
    <t>Built-up : 2,638 sq. ft.</t>
  </si>
  <si>
    <t>Semi-detached House (EndLot)</t>
  </si>
  <si>
    <t>Land area : 3670 sq. ft.</t>
  </si>
  <si>
    <t>Built-up : 907 sq. ft.</t>
  </si>
  <si>
    <t>RM 5,999,000</t>
  </si>
  <si>
    <t>Built-up : 3,289 sq. ft.</t>
  </si>
  <si>
    <t>Built-up : 2,128 sq. ft.</t>
  </si>
  <si>
    <t>Built-up : 1,072 sq. ft.</t>
  </si>
  <si>
    <t>Built-up : 2,111 sq. ft.</t>
  </si>
  <si>
    <t>RM 8,300,000</t>
  </si>
  <si>
    <t>Land area : 6103 sq. ft.</t>
  </si>
  <si>
    <t>Land area : 5200 sq. ft.</t>
  </si>
  <si>
    <t>Built-up : 1,000 sq. ft.</t>
  </si>
  <si>
    <t>RM 4,756,000</t>
  </si>
  <si>
    <t>RM 3,580,000</t>
  </si>
  <si>
    <t>Land area : 1300 sq. ft.</t>
  </si>
  <si>
    <t>RM 2,270,000</t>
  </si>
  <si>
    <t>RM 375,000</t>
  </si>
  <si>
    <t>Built-up : 743 sq. ft.</t>
  </si>
  <si>
    <t>Built-up : 452 sq. ft.</t>
  </si>
  <si>
    <t>RM 970,000</t>
  </si>
  <si>
    <t>Built-up : 603 sq. ft.</t>
  </si>
  <si>
    <t>RM 4,250,000</t>
  </si>
  <si>
    <t>Built-up : 1,888 sq. ft.</t>
  </si>
  <si>
    <t>RM 520,000</t>
  </si>
  <si>
    <t>Built-up : 1,450 sq. ft.</t>
  </si>
  <si>
    <t>RM 480,000</t>
  </si>
  <si>
    <t>Built-up : 1,582 sq. ft.</t>
  </si>
  <si>
    <t>RM 1,065,140</t>
  </si>
  <si>
    <t>Built-up : 1,025 sq. ft.</t>
  </si>
  <si>
    <t>RM 1,299,000</t>
  </si>
  <si>
    <t>RM 2,390,000</t>
  </si>
  <si>
    <t>Built-up : 3,043 sq. ft.</t>
  </si>
  <si>
    <t>RM 14,500,000</t>
  </si>
  <si>
    <t>Land area : 8600 sq. ft.</t>
  </si>
  <si>
    <t>RM 4,718,680</t>
  </si>
  <si>
    <t>Built-up : 3,004 sq. ft.</t>
  </si>
  <si>
    <t>Land area : 6507 sq. ft.</t>
  </si>
  <si>
    <t>RM 9,900,000</t>
  </si>
  <si>
    <t>Land area : 8700 sq. ft.</t>
  </si>
  <si>
    <t>Land area : 4800 sq. ft.</t>
  </si>
  <si>
    <t>Built-up : 1,012 sq. ft.</t>
  </si>
  <si>
    <t>Land area : 3040 sq. ft.</t>
  </si>
  <si>
    <t>Land area : 1615 sq. ft.</t>
  </si>
  <si>
    <t>RM 18,000,000</t>
  </si>
  <si>
    <t>Land area : 15000 sq. ft.</t>
  </si>
  <si>
    <t>RM 2,688,888</t>
  </si>
  <si>
    <t>Built-up : 4,069 sq. ft.</t>
  </si>
  <si>
    <t>RM 8,200,000</t>
  </si>
  <si>
    <t>Built-up : 8,000 sq. ft.</t>
  </si>
  <si>
    <t>Land area : 7100 sq. ft.</t>
  </si>
  <si>
    <t>Built-up : 775 sq. ft.</t>
  </si>
  <si>
    <t>RM 3,688,000</t>
  </si>
  <si>
    <t>4.5-sty Terrace/Link House (Intermediate)</t>
  </si>
  <si>
    <t>Land area : 1367 sq. ft.</t>
  </si>
  <si>
    <t>RM 2,680,000</t>
  </si>
  <si>
    <t>Land area : 26x80 sq. ft.</t>
  </si>
  <si>
    <t>Built-up : 849 sq. ft.</t>
  </si>
  <si>
    <t>Condominium (Penthouse)</t>
  </si>
  <si>
    <t>Built-up : 6,900 sq. ft.</t>
  </si>
  <si>
    <t>Built-up : 1,170 sq. ft.</t>
  </si>
  <si>
    <t>Built-up : 1,430 sq. ft.</t>
  </si>
  <si>
    <t>RM 9,600,000</t>
  </si>
  <si>
    <t>Land area : 7600 sq. ft.</t>
  </si>
  <si>
    <t>RM 978,458</t>
  </si>
  <si>
    <t>Built-up : 562 sq. ft.</t>
  </si>
  <si>
    <t>Land area : 16 X55 sq. ft.</t>
  </si>
  <si>
    <t>RM 2,285,000</t>
  </si>
  <si>
    <t>Built-up : 2,874 sq. ft.</t>
  </si>
  <si>
    <t>2.5-sty Terrace/Link House (EndLot)</t>
  </si>
  <si>
    <t>Land area : 31x70 sq. ft.</t>
  </si>
  <si>
    <t>RM 363,000</t>
  </si>
  <si>
    <t>RM 1,430,000</t>
  </si>
  <si>
    <t>RM 1,147,000</t>
  </si>
  <si>
    <t>RM 645,000</t>
  </si>
  <si>
    <t>Land area : 462 sq. ft.</t>
  </si>
  <si>
    <t>RM 3,560,000</t>
  </si>
  <si>
    <t>Land area : 45x82 sq. ft.</t>
  </si>
  <si>
    <t>RM 2,290,000</t>
  </si>
  <si>
    <t>RM 1,930,000</t>
  </si>
  <si>
    <t>Land area : 16000 sq. ft.</t>
  </si>
  <si>
    <t>Land area : 38x75, 2850 sq. ft.</t>
  </si>
  <si>
    <t>Built-up : 1,580 sq. ft.</t>
  </si>
  <si>
    <t>RM 3,354,000</t>
  </si>
  <si>
    <t>Built-up : 1,063 sq. ft.</t>
  </si>
  <si>
    <t>RM 938,000</t>
  </si>
  <si>
    <t>Built-up : 815 sq. ft.</t>
  </si>
  <si>
    <t>RM 2,981,550</t>
  </si>
  <si>
    <t>Built-up : 1,509 sq. ft.</t>
  </si>
  <si>
    <t>RM 1,377,000</t>
  </si>
  <si>
    <t>RM 1,621,000</t>
  </si>
  <si>
    <t>Built-up : 1,031 sq. ft.</t>
  </si>
  <si>
    <t>RM 1,245,000</t>
  </si>
  <si>
    <t>RM 4,958,000</t>
  </si>
  <si>
    <t>Built-up : 2,615 sq. ft.</t>
  </si>
  <si>
    <t>Built-up : 1,426 sq. ft.</t>
  </si>
  <si>
    <t>RM 2,688,800</t>
  </si>
  <si>
    <t>Built-up : 2,593 sq. ft.</t>
  </si>
  <si>
    <t>RM 3,291,600</t>
  </si>
  <si>
    <t>Built-up : 1,688 sq. ft.</t>
  </si>
  <si>
    <t>RM 1,198,800</t>
  </si>
  <si>
    <t>Built-up : 636 sq. ft.</t>
  </si>
  <si>
    <t>RM 1,840,000</t>
  </si>
  <si>
    <t>Built-up : 2,694 sq. ft.</t>
  </si>
  <si>
    <t>RM 2,449,440</t>
  </si>
  <si>
    <t>Built-up : 2,916 sq. ft.</t>
  </si>
  <si>
    <t>RM 2,398,000</t>
  </si>
  <si>
    <t>RM 5,800,000</t>
  </si>
  <si>
    <t>Land area : 6600 sq. ft.</t>
  </si>
  <si>
    <t>RM 1,690,000</t>
  </si>
  <si>
    <t>Built-up : 1,500 sq. ft.</t>
  </si>
  <si>
    <t>RM 2,126,000</t>
  </si>
  <si>
    <t>Built-up : 5,632 sq. ft.</t>
  </si>
  <si>
    <t>Land area : 3254 sq. ft.</t>
  </si>
  <si>
    <t>RM 2,890,000</t>
  </si>
  <si>
    <t>Built-up : 633 sq. ft.</t>
  </si>
  <si>
    <t>RM 418,000</t>
  </si>
  <si>
    <t>RM 318,000</t>
  </si>
  <si>
    <t>Built-up : 970 sq. ft.</t>
  </si>
  <si>
    <t>RM 690,000</t>
  </si>
  <si>
    <t>Land area : 20 x 60 sq. ft.</t>
  </si>
  <si>
    <t>Land area : 8100 sq. ft.</t>
  </si>
  <si>
    <t>Land area : 9700 sq. ft.</t>
  </si>
  <si>
    <t>RM 10,500,000</t>
  </si>
  <si>
    <t>Land area : 9400 sq. ft.</t>
  </si>
  <si>
    <t>Land area : 4000 sq. ft.</t>
  </si>
  <si>
    <t>RM 1,068,000</t>
  </si>
  <si>
    <t>RM 3,790,000</t>
  </si>
  <si>
    <t>Land area : 3500 sq. ft.</t>
  </si>
  <si>
    <t>RM 2,370,000</t>
  </si>
  <si>
    <t>Land area : 22'x 75' sq. ft.</t>
  </si>
  <si>
    <t>RM 2,330,000</t>
  </si>
  <si>
    <t>Built-up : 2,073 sq. ft.</t>
  </si>
  <si>
    <t>Built-up : 1,404 sq. ft.</t>
  </si>
  <si>
    <t>Built-up : 1,394 sq. ft.</t>
  </si>
  <si>
    <t>RM 1,637,500</t>
  </si>
  <si>
    <t>RM 669,000</t>
  </si>
  <si>
    <t>RM 2,895,000</t>
  </si>
  <si>
    <t>Land area : 40x100 sq. ft.</t>
  </si>
  <si>
    <t>RM 945,000</t>
  </si>
  <si>
    <t>Built-up : 711 sq. ft.</t>
  </si>
  <si>
    <t>Land area : 3400 sq. ft.</t>
  </si>
  <si>
    <t>RM 2,670,000</t>
  </si>
  <si>
    <t>RM 908,000</t>
  </si>
  <si>
    <t>Built-up : 873 sq. ft.</t>
  </si>
  <si>
    <t>Built-up : 910 sq. ft.</t>
  </si>
  <si>
    <t>RM 5,400,000</t>
  </si>
  <si>
    <t>Land area : 7318 sq. ft.</t>
  </si>
  <si>
    <t>RM 664,000</t>
  </si>
  <si>
    <t>Built-up : 1,260 sq. ft.</t>
  </si>
  <si>
    <t>RM 609,000</t>
  </si>
  <si>
    <t>RM 768,000</t>
  </si>
  <si>
    <t>Built-up : 546 sq. ft.</t>
  </si>
  <si>
    <t>Built-up : 2,501 sq. ft.</t>
  </si>
  <si>
    <t>Built-up : 1,851 sq. ft.</t>
  </si>
  <si>
    <t>RM 450,000</t>
  </si>
  <si>
    <t>RM 3,843,000</t>
  </si>
  <si>
    <t>Built-up : 1,098 sq. ft.</t>
  </si>
  <si>
    <t>RM 7,000,000</t>
  </si>
  <si>
    <t>Land area : 6846 sq. ft.</t>
  </si>
  <si>
    <t>Land area : 13041 sq. ft.</t>
  </si>
  <si>
    <t>RM 1,061,100</t>
  </si>
  <si>
    <t>Built-up : 786 sq. ft.</t>
  </si>
  <si>
    <t>RM 485,000</t>
  </si>
  <si>
    <t>RM 1,160,000</t>
  </si>
  <si>
    <t>RM 3,550,000</t>
  </si>
  <si>
    <t>Built-up : 932 sq. ft.</t>
  </si>
  <si>
    <t>RM 710,000</t>
  </si>
  <si>
    <t>Built-up : 676 sq. ft.</t>
  </si>
  <si>
    <t>RM 1,174,338</t>
  </si>
  <si>
    <t>Built-up : 2,266 sq. ft.</t>
  </si>
  <si>
    <t>RM 648,888</t>
  </si>
  <si>
    <t>Land area : 3060 sq. ft.</t>
  </si>
  <si>
    <t>Land area : 24x93 sq. ft.</t>
  </si>
  <si>
    <t>RM 1,049,888</t>
  </si>
  <si>
    <t>Built-up : 858 sq. ft.</t>
  </si>
  <si>
    <t>Land area : 22x100 sq. ft.</t>
  </si>
  <si>
    <t>Land area : 40x80 sq. ft.</t>
  </si>
  <si>
    <t>RM 3,890,000</t>
  </si>
  <si>
    <t>RM 1,470,000</t>
  </si>
  <si>
    <t>Land area : 20+26 x 80 sq. ft.</t>
  </si>
  <si>
    <t>RM 7,612,600</t>
  </si>
  <si>
    <t>Built-up : 4,478 sq. ft.</t>
  </si>
  <si>
    <t>RM 738,000</t>
  </si>
  <si>
    <t>Built-up : 1,092 sq. ft.</t>
  </si>
  <si>
    <t>RM 3,650,000</t>
  </si>
  <si>
    <t>RM 2,990,000</t>
  </si>
  <si>
    <t>Land area : 39x85 sq. ft.</t>
  </si>
  <si>
    <t>RM 715,000</t>
  </si>
  <si>
    <t>Built-up : 750 sq. ft.</t>
  </si>
  <si>
    <t>Built-up : 1,637 sq. ft.</t>
  </si>
  <si>
    <t>Built-up : 3,401 sq. ft.</t>
  </si>
  <si>
    <t>Land area : 2800 sq. ft.</t>
  </si>
  <si>
    <t>Land area : 3550 sq. ft.</t>
  </si>
  <si>
    <t>Built-up : 624 sq. ft.</t>
  </si>
  <si>
    <t>Built-up : 1,270 sq. ft.</t>
  </si>
  <si>
    <t>RM 2,450,000</t>
  </si>
  <si>
    <t>Land area : 9127 sq. ft.</t>
  </si>
  <si>
    <t>Built-up : 3,541 sq. ft.</t>
  </si>
  <si>
    <t>RM 11,800,000</t>
  </si>
  <si>
    <t>Land area : 8622 sq. ft.</t>
  </si>
  <si>
    <t>RM 940,000</t>
  </si>
  <si>
    <t>Built-up : 1,148 sq. ft.</t>
  </si>
  <si>
    <t>Serviced Residence (SOHO)</t>
  </si>
  <si>
    <t>Built-up : 496 sq. ft.</t>
  </si>
  <si>
    <t>RM 4,300,000</t>
  </si>
  <si>
    <t>Land area : 5177 sq. ft.</t>
  </si>
  <si>
    <t>Land area : 1875 sq. ft.</t>
  </si>
  <si>
    <t>RM 4,680,000</t>
  </si>
  <si>
    <t>Land area : 3800 sq. ft.</t>
  </si>
  <si>
    <t>RM 2,761,000</t>
  </si>
  <si>
    <t>Land area : 5317 sq. ft.</t>
  </si>
  <si>
    <t>RM 528,000</t>
  </si>
  <si>
    <t>Built-up : 960 sq. ft.</t>
  </si>
  <si>
    <t>Built-up : 635 sq. ft.</t>
  </si>
  <si>
    <t>RM 1,668,000</t>
  </si>
  <si>
    <t>RM 415,000</t>
  </si>
  <si>
    <t>Built-up : 999 sq. ft.</t>
  </si>
  <si>
    <t>RM 730,000</t>
  </si>
  <si>
    <t>Built-up : 935 sq. ft.</t>
  </si>
  <si>
    <t>RM 498,000</t>
  </si>
  <si>
    <t>RM 860,000</t>
  </si>
  <si>
    <t>Built-up : 933 sq. ft.</t>
  </si>
  <si>
    <t>Built-up : 1,519 sq. ft.</t>
  </si>
  <si>
    <t>Built-up : 1,259 sq. ft.</t>
  </si>
  <si>
    <t>RM 3,609,950</t>
  </si>
  <si>
    <t>Built-up : 600 sq. ft.</t>
  </si>
  <si>
    <t>RM 1,399,000</t>
  </si>
  <si>
    <t>RM 848,000</t>
  </si>
  <si>
    <t>Built-up : 926 sq. ft.</t>
  </si>
  <si>
    <t>RM 695,000</t>
  </si>
  <si>
    <t>RM 688,000</t>
  </si>
  <si>
    <t>RM 680,000</t>
  </si>
  <si>
    <t>Land area : 16x60 sq. ft.</t>
  </si>
  <si>
    <t>RM 430,000</t>
  </si>
  <si>
    <t>RM 5,200,000</t>
  </si>
  <si>
    <t>Land area : 12250 sq. ft.</t>
  </si>
  <si>
    <t>RM 285,000</t>
  </si>
  <si>
    <t>Land area : 748 sq. ft.</t>
  </si>
  <si>
    <t>RM 488,000</t>
  </si>
  <si>
    <t>RM 400,000</t>
  </si>
  <si>
    <t>Built-up : 920 sq. ft.</t>
  </si>
  <si>
    <t>RM 543,353</t>
  </si>
  <si>
    <t>Built-up : 667 sq. ft.</t>
  </si>
  <si>
    <t>RM 1,800</t>
  </si>
  <si>
    <t>Built-up : 493 sq. ft.</t>
  </si>
  <si>
    <t>Built-up : 1,079 sq. ft.</t>
  </si>
  <si>
    <t>Built-up : 1,208 sq. ft.</t>
  </si>
  <si>
    <t>RM 440,000</t>
  </si>
  <si>
    <t>RM 1,120,000</t>
  </si>
  <si>
    <t>RM 2,253,000</t>
  </si>
  <si>
    <t>RM 3,270,600</t>
  </si>
  <si>
    <t>Built-up : 3,671 sq. ft.</t>
  </si>
  <si>
    <t>RM 1,660,000</t>
  </si>
  <si>
    <t>Built-up : 3,729 sq. ft.</t>
  </si>
  <si>
    <t>7+</t>
  </si>
  <si>
    <t>Land area : 10345 sq. ft.</t>
  </si>
  <si>
    <t>Built-up : 4,723 sq. ft.</t>
  </si>
  <si>
    <t>RM 2,980,000</t>
  </si>
  <si>
    <t>Built-up : 3,668 sq. ft.</t>
  </si>
  <si>
    <t>Built-up : 4,450 sq. ft.</t>
  </si>
  <si>
    <t>RM 4,467,122</t>
  </si>
  <si>
    <t>Built-up : 4,422 sq. ft.</t>
  </si>
  <si>
    <t>RM 5,344,829</t>
  </si>
  <si>
    <t>Built-up : 5,315 sq. ft.</t>
  </si>
  <si>
    <t>Land area : 26x87 sq. ft.</t>
  </si>
  <si>
    <t>RM 3,484,600</t>
  </si>
  <si>
    <t>Land area : 25 x 85 sq. ft.</t>
  </si>
  <si>
    <t>Built-up : 1,323 sq. ft.</t>
  </si>
  <si>
    <t>Built-up : 1,300 sq. ft.</t>
  </si>
  <si>
    <t>Land area : 20'x 75' sq. ft.</t>
  </si>
  <si>
    <t>Land area : 30x44 sq. ft.</t>
  </si>
  <si>
    <t>Built-up : 1,680 sq. ft.</t>
  </si>
  <si>
    <t>Built-up : 1,518 sq. ft.</t>
  </si>
  <si>
    <t>Built-up : 3,303 sq. ft.</t>
  </si>
  <si>
    <t>Built-up : 1,205 sq. ft.</t>
  </si>
  <si>
    <t>RM 398,000</t>
  </si>
  <si>
    <t>Built-up : 1,027 sq. ft.</t>
  </si>
  <si>
    <t>Built-up : 3,412 sq. ft.</t>
  </si>
  <si>
    <t>Jalan Ipoh, Kuala Lumpur</t>
  </si>
  <si>
    <t>RM 561,100</t>
  </si>
  <si>
    <t>Built-up : 1,879 sq. ft.</t>
  </si>
  <si>
    <t>RM 710,550</t>
  </si>
  <si>
    <t>RM 1,818,500</t>
  </si>
  <si>
    <t>RM 486,000</t>
  </si>
  <si>
    <t>Built-up : 945 sq. ft.</t>
  </si>
  <si>
    <t>RM 2,535,300</t>
  </si>
  <si>
    <t>RM 1,804,275</t>
  </si>
  <si>
    <t>Land area : 1647 sq. ft.</t>
  </si>
  <si>
    <t>Land area : 2000 sq. ft.</t>
  </si>
  <si>
    <t>Built-up : 1,432 sq. ft.</t>
  </si>
  <si>
    <t>Built-up : 1,173 sq. ft.</t>
  </si>
  <si>
    <t>Built-up : 3,200 sq. ft.</t>
  </si>
  <si>
    <t>Built-up : 4,400 sq. ft.</t>
  </si>
  <si>
    <t>Built-up : 1,800 sq. ft.</t>
  </si>
  <si>
    <t>RM 3,150,000</t>
  </si>
  <si>
    <t>Built-up : 3,650 sq. ft.</t>
  </si>
  <si>
    <t>RM 3,880,000</t>
  </si>
  <si>
    <t>Land area : Kuala Lumpur sq. ft.</t>
  </si>
  <si>
    <t>Built-up : 1,448 sq. ft.</t>
  </si>
  <si>
    <t>Land area : 6800 sq. ft.</t>
  </si>
  <si>
    <t>3.5-sty Terrace/Link House</t>
  </si>
  <si>
    <t>Built-up : 3,500 sq. ft.</t>
  </si>
  <si>
    <t>RM 6,200,000</t>
  </si>
  <si>
    <t>3.5-sty Terrace/Link House (Corner)</t>
  </si>
  <si>
    <t>Built-up : 6,938 sq. ft.</t>
  </si>
  <si>
    <t>Built-up : 1,324 sq. ft.</t>
  </si>
  <si>
    <t>Built-up : 1,377 sq. ft.</t>
  </si>
  <si>
    <t>Built-up : 1,777 sq. ft.</t>
  </si>
  <si>
    <t>RM 1,170,000</t>
  </si>
  <si>
    <t>RM 1,599,000</t>
  </si>
  <si>
    <t>Built-up : 1,653 sq. ft.</t>
  </si>
  <si>
    <t>RM 2,940,000</t>
  </si>
  <si>
    <t>RM 1,131,760</t>
  </si>
  <si>
    <t>RM 1,138,060</t>
  </si>
  <si>
    <t>Built-up : 2,081 sq. ft.</t>
  </si>
  <si>
    <t>Built-up : 3,197 sq. ft.</t>
  </si>
  <si>
    <t>Built-up : 1,034 sq. ft.</t>
  </si>
  <si>
    <t>RM 7,150,000</t>
  </si>
  <si>
    <t>Built-up : 11,000 sq. ft.</t>
  </si>
  <si>
    <t>RM 4,550,000</t>
  </si>
  <si>
    <t>Built-up : 4,471 sq. ft.</t>
  </si>
  <si>
    <t>Built-up : 2,110 sq. ft.</t>
  </si>
  <si>
    <t>RM 12,350,000</t>
  </si>
  <si>
    <t>Land area : 19000 sq. ft.</t>
  </si>
  <si>
    <t>RM 5,300,000</t>
  </si>
  <si>
    <t>Built-up : 6,088 sq. ft.</t>
  </si>
  <si>
    <t>RM 5,670,000</t>
  </si>
  <si>
    <t>Land area : 9000 sq. ft.</t>
  </si>
  <si>
    <t>Built-up : 2,541 sq. ft.</t>
  </si>
  <si>
    <t>RM 1,520,000</t>
  </si>
  <si>
    <t>Built-up : 2,390 sq. ft.</t>
  </si>
  <si>
    <t>RM 989,000</t>
  </si>
  <si>
    <t>Built-up : 1,333 sq. ft.</t>
  </si>
  <si>
    <t>RM 883,000</t>
  </si>
  <si>
    <t>Built-up : 1,093 sq. ft.</t>
  </si>
  <si>
    <t>RM 1,208,000</t>
  </si>
  <si>
    <t>Built-up : 1,535 sq. ft.</t>
  </si>
  <si>
    <t>RM 588,000</t>
  </si>
  <si>
    <t>RM 1,130,000</t>
  </si>
  <si>
    <t>RM 790,000</t>
  </si>
  <si>
    <t>Built-up : 1,852 sq. ft.</t>
  </si>
  <si>
    <t>Built-up : 2,600 sq. ft.</t>
  </si>
  <si>
    <t>Built-up : 1,453 sq. ft.</t>
  </si>
  <si>
    <t>RM 2,350,000</t>
  </si>
  <si>
    <t>RM 8,100,000</t>
  </si>
  <si>
    <t>RM 3,468,000</t>
  </si>
  <si>
    <t>RM 948,888</t>
  </si>
  <si>
    <t>Built-up : 4,500 sq. ft.</t>
  </si>
  <si>
    <t>Built-up : 3,600 sq. ft.</t>
  </si>
  <si>
    <t>Built-up : 2,900 sq. ft.</t>
  </si>
  <si>
    <t>RM 4,690,000</t>
  </si>
  <si>
    <t>Land area : 6700 sq. ft.</t>
  </si>
  <si>
    <t>Mid Valley City, Kuala Lumpur</t>
  </si>
  <si>
    <t>Land area : 14000 sq. ft.</t>
  </si>
  <si>
    <t>Built-up : 2,098 sq. ft.</t>
  </si>
  <si>
    <t>Built-up : 3,832 sq. ft.</t>
  </si>
  <si>
    <t>Built-up : 1,445 sq. ft.</t>
  </si>
  <si>
    <t>Built-up : 1,691 sq. ft.</t>
  </si>
  <si>
    <t>RM 4,700,000</t>
  </si>
  <si>
    <t>Land area : 7678 sq. ft.</t>
  </si>
  <si>
    <t>RM 8,800,000</t>
  </si>
  <si>
    <t>Land area : 16001 sq. ft.</t>
  </si>
  <si>
    <t>RM 810,000</t>
  </si>
  <si>
    <t>Built-up : 1,237 sq. ft.</t>
  </si>
  <si>
    <t>Land area : 22X75 sq. ft.</t>
  </si>
  <si>
    <t>RM 818,000</t>
  </si>
  <si>
    <t>Land area : 22 X 80 sq. ft.</t>
  </si>
  <si>
    <t>Land area : 770 sq. ft.</t>
  </si>
  <si>
    <t>RM 995,000</t>
  </si>
  <si>
    <t>Built-up : 2,100 sq. ft.</t>
  </si>
  <si>
    <t>Built-up : 1,180 sq. ft.</t>
  </si>
  <si>
    <t>RM 845,000</t>
  </si>
  <si>
    <t>Built-up : 1,663 sq. ft.</t>
  </si>
  <si>
    <t>RM 880,900</t>
  </si>
  <si>
    <t>Built-up : 1,373 sq. ft.</t>
  </si>
  <si>
    <t>RM 390,000</t>
  </si>
  <si>
    <t>Built-up : 1,218 sq. ft.</t>
  </si>
  <si>
    <t>Built-up : 1,131 sq. ft.</t>
  </si>
  <si>
    <t>RM 890,000</t>
  </si>
  <si>
    <t>Built-up : 1,578 sq. ft.</t>
  </si>
  <si>
    <t>Land area : 1614 sq. ft.</t>
  </si>
  <si>
    <t>Land area : 42x85 sq. ft.</t>
  </si>
  <si>
    <t>Land area : 34x75 sq. ft.</t>
  </si>
  <si>
    <t>Land area : 20x70 sq. ft.</t>
  </si>
  <si>
    <t>Land area : 6200 sq. ft.</t>
  </si>
  <si>
    <t>Land area : 22x70 sq. ft.</t>
  </si>
  <si>
    <t>RM 1,190,000</t>
  </si>
  <si>
    <t>RM 2,388,000</t>
  </si>
  <si>
    <t>RM 2,080,000</t>
  </si>
  <si>
    <t>Built-up : 1,948 sq. ft.</t>
  </si>
  <si>
    <t>Land area : 1991 sq. ft.</t>
  </si>
  <si>
    <t>Built-up : 672 sq. ft.</t>
  </si>
  <si>
    <t>Land area : 45x103 sq. ft.</t>
  </si>
  <si>
    <t>Land area : 32x75 sq. ft.</t>
  </si>
  <si>
    <t>Built-up : 1,216 sq. ft.</t>
  </si>
  <si>
    <t>RM 555,000</t>
  </si>
  <si>
    <t>Built-up : 1,600 sq. ft.</t>
  </si>
  <si>
    <t>RM 358,000</t>
  </si>
  <si>
    <t>Built-up : 822 sq. ft.</t>
  </si>
  <si>
    <t>RM 1,270,000</t>
  </si>
  <si>
    <t>Built-up : 1,786 sq. ft.</t>
  </si>
  <si>
    <t>Land area : 10,000 sq. ft.</t>
  </si>
  <si>
    <t>Land area : 38x70 sq. ft.</t>
  </si>
  <si>
    <t>Land area : 5500 sq. ft.</t>
  </si>
  <si>
    <t>RM 330,000</t>
  </si>
  <si>
    <t>Land area : 14x43 sq. ft.</t>
  </si>
  <si>
    <t>Built-up : 3,152 sq. ft.</t>
  </si>
  <si>
    <t>Built-up : 2,552 sq. ft.</t>
  </si>
  <si>
    <t>Built-up : 6,207 sq. ft.</t>
  </si>
  <si>
    <t>Built-up : 1,458 sq. ft.</t>
  </si>
  <si>
    <t>RM 1,490,000</t>
  </si>
  <si>
    <t>Built-up : 1,357 sq. ft.</t>
  </si>
  <si>
    <t>Built-up : 3,228 sq. ft.</t>
  </si>
  <si>
    <t>Built-up : 1,782 sq. ft.</t>
  </si>
  <si>
    <t>Built-up : 4,506 sq. ft.</t>
  </si>
  <si>
    <t>Land area : 2809 sq. ft.</t>
  </si>
  <si>
    <t>RM 1,390,000</t>
  </si>
  <si>
    <t>Built-up : 1,356 sq. ft.</t>
  </si>
  <si>
    <t>Land area : 4300 sq. ft.</t>
  </si>
  <si>
    <t>Built-up : 783 sq. ft.</t>
  </si>
  <si>
    <t>Built-up : 1,003 sq. ft.</t>
  </si>
  <si>
    <t>Land area : 1298 sq. ft.</t>
  </si>
  <si>
    <t>Brickfields, Kuala Lumpur</t>
  </si>
  <si>
    <t>Built-up : 1,120 sq. ft.</t>
  </si>
  <si>
    <t>RM 7,500</t>
  </si>
  <si>
    <t>Built-up : 1,078 sq. ft.</t>
  </si>
  <si>
    <t>Built-up : 1,168 sq. ft.</t>
  </si>
  <si>
    <t>RM 885,000</t>
  </si>
  <si>
    <t>Built-up : 1,330 sq. ft.</t>
  </si>
  <si>
    <t>Built-up : 1,759 sq. ft.</t>
  </si>
  <si>
    <t>RM 760,000</t>
  </si>
  <si>
    <t>Built-up : 1,382 sq. ft.</t>
  </si>
  <si>
    <t>Built-up : 1,909 sq. ft.</t>
  </si>
  <si>
    <t>Built-up : 708 sq. ft.</t>
  </si>
  <si>
    <t>Built-up : 1,449 sq. ft.</t>
  </si>
  <si>
    <t>Built-up : 470 sq. ft.</t>
  </si>
  <si>
    <t>Built-up : 1,906 sq. ft.</t>
  </si>
  <si>
    <t>Built-up : 903 sq. ft.</t>
  </si>
  <si>
    <t>Built-up : 3,800 sq. ft.</t>
  </si>
  <si>
    <t>Built-up : 1,756 sq. ft.</t>
  </si>
  <si>
    <t>RM 2,720,000</t>
  </si>
  <si>
    <t>RM 3,317,400</t>
  </si>
  <si>
    <t>Built-up : 930 sq. ft.</t>
  </si>
  <si>
    <t>RM 1,818,450</t>
  </si>
  <si>
    <t>RM 4,600,000</t>
  </si>
  <si>
    <t>Built-up : 5,429 sq. ft.</t>
  </si>
  <si>
    <t>Built-up : 5,421 sq. ft.</t>
  </si>
  <si>
    <t>Built-up : 453 sq. ft.</t>
  </si>
  <si>
    <t>Built-up : 608 sq. ft.</t>
  </si>
  <si>
    <t>1-sty Terrace/Link House</t>
  </si>
  <si>
    <t>Land area : 22X70 sq. ft.</t>
  </si>
  <si>
    <t>RM 678,000</t>
  </si>
  <si>
    <t>Built-up : 1,067 sq. ft.</t>
  </si>
  <si>
    <t>Land area : 22'x70' sq. ft.</t>
  </si>
  <si>
    <t>Built-up : 1,710 sq. ft.</t>
  </si>
  <si>
    <t>RM 1,161,850</t>
  </si>
  <si>
    <t>Built-up : 1,223 sq. ft.</t>
  </si>
  <si>
    <t>Land area : 1840 sq. ft.</t>
  </si>
  <si>
    <t>Land area : 2160 sq. ft.</t>
  </si>
  <si>
    <t>Land area : 1600 sq. ft.</t>
  </si>
  <si>
    <t>Built-up : 1,212 sq. ft.</t>
  </si>
  <si>
    <t>Land area : 1800 sq. ft.</t>
  </si>
  <si>
    <t>Built-up : 1,712 sq. ft.</t>
  </si>
  <si>
    <t>RM 855,000</t>
  </si>
  <si>
    <t>RM 599,000</t>
  </si>
  <si>
    <t>Land area : 22X85 sq. ft.</t>
  </si>
  <si>
    <t>Land area : 4500 sq. ft.</t>
  </si>
  <si>
    <t>RM 18,200,000</t>
  </si>
  <si>
    <t>Residential Land (Corner)</t>
  </si>
  <si>
    <t>Land area : 34928 sq. ft.</t>
  </si>
  <si>
    <t>RM 1,435,000</t>
  </si>
  <si>
    <t>Built-up : 578 sq. ft.</t>
  </si>
  <si>
    <t>Land area : 24x82 sq. ft.</t>
  </si>
  <si>
    <t>Built-up : 1,429 sq. ft.</t>
  </si>
  <si>
    <t>Built-up : 680 sq. ft.</t>
  </si>
  <si>
    <t>Built-up : 1,431 sq. ft.</t>
  </si>
  <si>
    <t>Built-up : 1,102 sq. ft.</t>
  </si>
  <si>
    <t>RM 388,000</t>
  </si>
  <si>
    <t>RM 385,600</t>
  </si>
  <si>
    <t>Land area : 646~2928 sq. ft.</t>
  </si>
  <si>
    <t>Built-up : 1,336 sq. ft.</t>
  </si>
  <si>
    <t>Land area : 5700 sq. ft.</t>
  </si>
  <si>
    <t>RM 280,000</t>
  </si>
  <si>
    <t>RM 468,600</t>
  </si>
  <si>
    <t>Land area : 840~1193sf sq. ft.</t>
  </si>
  <si>
    <t>Land area : 1003 sq. ft.</t>
  </si>
  <si>
    <t>RM 6,350,000</t>
  </si>
  <si>
    <t>Built-up : 4,058 sq. ft.</t>
  </si>
  <si>
    <t>Land area : 3542 sq. ft.</t>
  </si>
  <si>
    <t>RM 1,290,000</t>
  </si>
  <si>
    <t>Land area : 20x78 sq. ft.</t>
  </si>
  <si>
    <t>Land area : 24x104 sq. ft.</t>
  </si>
  <si>
    <t>Built-up : 1,278 sq. ft.</t>
  </si>
  <si>
    <t>RM 2,719,000</t>
  </si>
  <si>
    <t>Built-up : 3,317 sq. ft.</t>
  </si>
  <si>
    <t>Built-up : 1,395 sq. ft.</t>
  </si>
  <si>
    <t>Land area : 6568 sq. ft.</t>
  </si>
  <si>
    <t>Built-up : 3,287 sq. ft.</t>
  </si>
  <si>
    <t>1+2</t>
  </si>
  <si>
    <t>Built-up : 646 sq. ft.</t>
  </si>
  <si>
    <t>RM 474,000</t>
  </si>
  <si>
    <t>Land area : 840-1195 sq. ft.</t>
  </si>
  <si>
    <t>RM 22,000,000</t>
  </si>
  <si>
    <t>Land area : 17000 sq. ft.</t>
  </si>
  <si>
    <t>RM 12,500,000</t>
  </si>
  <si>
    <t>Desa Pandan, Kuala Lumpur</t>
  </si>
  <si>
    <t>Built-up : 1,538 sq. ft.</t>
  </si>
  <si>
    <t>Built-up : 1,410 sq. ft.</t>
  </si>
  <si>
    <t>Built-up : 856 sq. ft.</t>
  </si>
  <si>
    <t>Built-up : 807 sq. ft.</t>
  </si>
  <si>
    <t>Built-up : 1,567 sq. ft.</t>
  </si>
  <si>
    <t>Built-up : 1,615 sq. ft.</t>
  </si>
  <si>
    <t>RM 1,285,000</t>
  </si>
  <si>
    <t>Built-up : 1,555 sq. ft.</t>
  </si>
  <si>
    <t>RM 3,350,000</t>
  </si>
  <si>
    <t>Land area : 4065 sq. ft.</t>
  </si>
  <si>
    <t>Built-up : 1,707 sq. ft.</t>
  </si>
  <si>
    <t>Land area : 3458 sq. ft.</t>
  </si>
  <si>
    <t>RM 6,950,000</t>
  </si>
  <si>
    <t>RM 6,480,000</t>
  </si>
  <si>
    <t>RM 6,880,000</t>
  </si>
  <si>
    <t>RM 8,480,000</t>
  </si>
  <si>
    <t>RM 465,000</t>
  </si>
  <si>
    <t>RM 3,180,000</t>
  </si>
  <si>
    <t>Land area : 40X90 sq. ft.</t>
  </si>
  <si>
    <t>RM 2,660,000</t>
  </si>
  <si>
    <t>Land area : 35 X 75 sq. ft.</t>
  </si>
  <si>
    <t>Land area : 3220 sq. ft.</t>
  </si>
  <si>
    <t>Land area : 42 x 85 sq. ft.</t>
  </si>
  <si>
    <t>RM 338,000</t>
  </si>
  <si>
    <t>RM 740,000</t>
  </si>
  <si>
    <t>RM 648,000</t>
  </si>
  <si>
    <t>RM 1,999,999</t>
  </si>
  <si>
    <t>Built-up : 2,563 sq. ft.</t>
  </si>
  <si>
    <t>Built-up : 780 sq. ft.</t>
  </si>
  <si>
    <t>Built-up : 1,074 sq. ft.</t>
  </si>
  <si>
    <t>RM 1,288,000</t>
  </si>
  <si>
    <t>Built-up : 800 sq. ft.</t>
  </si>
  <si>
    <t>Built-up : 1,457 sq. ft.</t>
  </si>
  <si>
    <t>Built-up : 4,520 sq. ft.</t>
  </si>
  <si>
    <t>RM 1,496,000</t>
  </si>
  <si>
    <t>RM 1,295,000</t>
  </si>
  <si>
    <t>Land area : 40X80 sq. ft.</t>
  </si>
  <si>
    <t>Built-up : 468 sq. ft.</t>
  </si>
  <si>
    <t>Built-up : 3,285 sq. ft.</t>
  </si>
  <si>
    <t>Built-up : 3,750 sq. ft.</t>
  </si>
  <si>
    <t>Built-up : 3,638 sq. ft.</t>
  </si>
  <si>
    <t>Built-up : 3,632 sq. ft.</t>
  </si>
  <si>
    <t>Built-up : 3,169 sq. ft.</t>
  </si>
  <si>
    <t>Land area : 5135 sq. ft.</t>
  </si>
  <si>
    <t>RM 437,400</t>
  </si>
  <si>
    <t>RM 3,190,000</t>
  </si>
  <si>
    <t>RM 2,320,000</t>
  </si>
  <si>
    <t>RM 2,730,000</t>
  </si>
  <si>
    <t>Built-up : 1,799 sq. ft.</t>
  </si>
  <si>
    <t>Built-up : 2,412 sq. ft.</t>
  </si>
  <si>
    <t>RM 1,560,000</t>
  </si>
  <si>
    <t>Built-up : 3,020 sq. ft.</t>
  </si>
  <si>
    <t>Built-up : 1,451 sq. ft.</t>
  </si>
  <si>
    <t>Built-up : 1,991 sq. ft.</t>
  </si>
  <si>
    <t>Land area : 32x85 sq. ft.</t>
  </si>
  <si>
    <t>RM 585,000</t>
  </si>
  <si>
    <t>RM 2,499,999</t>
  </si>
  <si>
    <t>Built-up : 1,787 sq. ft.</t>
  </si>
  <si>
    <t>RM 2,772,100</t>
  </si>
  <si>
    <t>Land area : 4284 sq. ft.</t>
  </si>
  <si>
    <t>Built-up : 1,938 sq. ft.</t>
  </si>
  <si>
    <t>Built-up : 1,141 sq. ft.</t>
  </si>
  <si>
    <t>RM 7,318,000</t>
  </si>
  <si>
    <t>Built-up : 7,318 sq. ft.</t>
  </si>
  <si>
    <t>RM 198,000</t>
  </si>
  <si>
    <t>RM 270,000</t>
  </si>
  <si>
    <t>RM 365,000</t>
  </si>
  <si>
    <t>Land area : 3821 sq. ft.</t>
  </si>
  <si>
    <t>Land area : 24x75, 1800 sq. ft.</t>
  </si>
  <si>
    <t>Land area : 9795 sq. ft.</t>
  </si>
  <si>
    <t>Land area : 2550, 34x75 sq. ft.</t>
  </si>
  <si>
    <t>Land area : 4817 sq. ft.</t>
  </si>
  <si>
    <t>Land area : 4200 sq. ft.</t>
  </si>
  <si>
    <t>Keramat, Kuala Lumpur</t>
  </si>
  <si>
    <t>RM 18,500,000</t>
  </si>
  <si>
    <t>Land area : 41707 sq. ft.</t>
  </si>
  <si>
    <t>RM 470,000</t>
  </si>
  <si>
    <t>Built-up : 1,009 sq. ft.</t>
  </si>
  <si>
    <t>Land area : 22x75 sq. m.</t>
  </si>
  <si>
    <t>Built-up : 2,998 sq. ft.</t>
  </si>
  <si>
    <t>Built-up : 3,383 sq. ft.</t>
  </si>
  <si>
    <t>Land area : 592 sq. ft.</t>
  </si>
  <si>
    <t>Built-up : 1,508 sq. ft.</t>
  </si>
  <si>
    <t>Townhouse (EndLot)</t>
  </si>
  <si>
    <t>Land area : 33 X 85 sq. ft.</t>
  </si>
  <si>
    <t>Land area : 45 x 90 sq. ft.</t>
  </si>
  <si>
    <t>RM 650,000</t>
  </si>
  <si>
    <t>Built-up : 745 sq. ft.</t>
  </si>
  <si>
    <t>Built-up : 819 sq. ft.</t>
  </si>
  <si>
    <t>Built-up : 3,264 sq. ft.</t>
  </si>
  <si>
    <t>Built-up : 1,164 sq. ft.</t>
  </si>
  <si>
    <t>RM 535,400</t>
  </si>
  <si>
    <t>RM 808,000</t>
  </si>
  <si>
    <t>Built-up : 2,049 sq. ft.</t>
  </si>
  <si>
    <t>Built-up : 1,147 sq. ft.</t>
  </si>
  <si>
    <t>RM 376,000</t>
  </si>
  <si>
    <t>RM 898,000</t>
  </si>
  <si>
    <t>Built-up : 817 sq. ft.</t>
  </si>
  <si>
    <t>Land area : 10400 sq. ft.</t>
  </si>
  <si>
    <t>RM 368,000</t>
  </si>
  <si>
    <t>Built-up : 854 sq. ft.</t>
  </si>
  <si>
    <t>Built-up : 1,005 sq. ft.</t>
  </si>
  <si>
    <t>RM 625,000</t>
  </si>
  <si>
    <t>RM 319,999</t>
  </si>
  <si>
    <t>Built-up : 351 sq. ft.</t>
  </si>
  <si>
    <t>Built-up : 996 sq. ft.</t>
  </si>
  <si>
    <t>RM 510,000</t>
  </si>
  <si>
    <t>RM 1,220,000</t>
  </si>
  <si>
    <t>Built-up : 610 sq. ft.</t>
  </si>
  <si>
    <t>RM 1,040,000</t>
  </si>
  <si>
    <t>Built-up : 876 sq. ft.</t>
  </si>
  <si>
    <t>Built-up : 1,036 sq. ft.</t>
  </si>
  <si>
    <t>Built-up : 842 sq. ft.</t>
  </si>
  <si>
    <t>Built-up : 2,719 sq. ft.</t>
  </si>
  <si>
    <t>Built-up : 1,967 sq. ft.</t>
  </si>
  <si>
    <t>Land area : 7525 sq. ft.</t>
  </si>
  <si>
    <t>Built-up : 3,006 sq. ft.</t>
  </si>
  <si>
    <t>Land area : 1030 sq. ft.</t>
  </si>
  <si>
    <t>Land area : 708 sq. ft.</t>
  </si>
  <si>
    <t>Built-up : 744 sq. ft.</t>
  </si>
  <si>
    <t>RM 1,178,850</t>
  </si>
  <si>
    <t>Built-up : 605 sq. ft.</t>
  </si>
  <si>
    <t>RM 895,000</t>
  </si>
  <si>
    <t>Land area : 1909 sq. ft.</t>
  </si>
  <si>
    <t>Built-up : 1,440 sq. ft.</t>
  </si>
  <si>
    <t>Land area : 1259 sq. ft.</t>
  </si>
  <si>
    <t>Built-up : 1,433 sq. ft.</t>
  </si>
  <si>
    <t>Built-up : 1,262 sq. ft.</t>
  </si>
  <si>
    <t>Land area : 1759 sq. ft.</t>
  </si>
  <si>
    <t>Built-up : 1,362 sq. ft.</t>
  </si>
  <si>
    <t>RM 1,370,650</t>
  </si>
  <si>
    <t>Built-up : 2,685 sq. ft.</t>
  </si>
  <si>
    <t>RM 1,360,000</t>
  </si>
  <si>
    <t>Built-up : 2,646 sq. ft.</t>
  </si>
  <si>
    <t>RM 1,960,000</t>
  </si>
  <si>
    <t>Land area : 20X70 sq. ft.</t>
  </si>
  <si>
    <t>1-sty Terrace/Link House (Corner)</t>
  </si>
  <si>
    <t>Land area : 4035 sq. ft.</t>
  </si>
  <si>
    <t>RM 1,110,000</t>
  </si>
  <si>
    <t>Built-up : 1,228 sq. ft.</t>
  </si>
  <si>
    <t>RM 525,000</t>
  </si>
  <si>
    <t>RM 1,303,000</t>
  </si>
  <si>
    <t>Built-up : 1,054 sq. ft.</t>
  </si>
  <si>
    <t>RM 1,410,000</t>
  </si>
  <si>
    <t>Land area : 26 x 87 sq. ft.</t>
  </si>
  <si>
    <t>Built-up : 1,392 sq. ft.</t>
  </si>
  <si>
    <t>Land area : 20 x 95 sq. ft.</t>
  </si>
  <si>
    <t>Land area : 20 x 75 sq. ft.</t>
  </si>
  <si>
    <t>RM 615,000</t>
  </si>
  <si>
    <t>Built-up : 1,080 sq. ft.</t>
  </si>
  <si>
    <t>RM 518,000</t>
  </si>
  <si>
    <t>Built-up : 872 sq. ft.</t>
  </si>
  <si>
    <t>RM 633,000</t>
  </si>
  <si>
    <t>Built-up : 1,033 sq. ft.</t>
  </si>
  <si>
    <t>Land area : 8950 sq. ft.</t>
  </si>
  <si>
    <t>Land area : 7588 sq. ft.</t>
  </si>
  <si>
    <t>Land area : 5920 sq. ft.</t>
  </si>
  <si>
    <t>Land area : 13027 sq. ft.</t>
  </si>
  <si>
    <t>RM 7,048,350</t>
  </si>
  <si>
    <t>Built-up : 5,221 sq. ft.</t>
  </si>
  <si>
    <t>RM 8,406,500</t>
  </si>
  <si>
    <t>RM 7,043,750</t>
  </si>
  <si>
    <t>RM 10,734,750</t>
  </si>
  <si>
    <t>RM 15,554,250</t>
  </si>
  <si>
    <t>Land area : 24 x 80 sq. ft.</t>
  </si>
  <si>
    <t>Built-up : 4,323 sq. ft.</t>
  </si>
  <si>
    <t>Built-up : 3,260 sq. ft.</t>
  </si>
  <si>
    <t>Built-up : 2,530 sq. ft.</t>
  </si>
  <si>
    <t>Townhouse (Corner)</t>
  </si>
  <si>
    <t>Built-up : 1,788 sq. ft.</t>
  </si>
  <si>
    <t>Built-up : 1,319 sq. ft.</t>
  </si>
  <si>
    <t>Built-up : 814 sq. ft.</t>
  </si>
  <si>
    <t>RM 2,413,375</t>
  </si>
  <si>
    <t>Built-up : 2,245 sq. ft.</t>
  </si>
  <si>
    <t>RM 2,357,250</t>
  </si>
  <si>
    <t>RM 2,715,300</t>
  </si>
  <si>
    <t>Built-up : 2,586 sq. ft.</t>
  </si>
  <si>
    <t>RM 1,155,600</t>
  </si>
  <si>
    <t>Built-up : 1,974 sq. ft.</t>
  </si>
  <si>
    <t>Built-up : 3,109 sq. ft.</t>
  </si>
  <si>
    <t>Built-up : 1,071 sq. ft.</t>
  </si>
  <si>
    <t>RM 420,000</t>
  </si>
  <si>
    <t>RM 1,046,100</t>
  </si>
  <si>
    <t>Built-up : 1,808 sq. ft.</t>
  </si>
  <si>
    <t>RM 298,000</t>
  </si>
  <si>
    <t>Land area : 38x85 sq. ft.</t>
  </si>
  <si>
    <t>Built-up : 793 sq. ft.</t>
  </si>
  <si>
    <t>Built-up : 704 sq. ft.</t>
  </si>
  <si>
    <t>Built-up : 1,850 sq. ft.</t>
  </si>
  <si>
    <t>Built-up : 738 sq. ft.</t>
  </si>
  <si>
    <t>RM 1,320,000</t>
  </si>
  <si>
    <t>RM 849,000</t>
  </si>
  <si>
    <t>Land area : 21x70 sq. ft.</t>
  </si>
  <si>
    <t>RM 788,000</t>
  </si>
  <si>
    <t>Built-up : 3,714 sq. ft.</t>
  </si>
  <si>
    <t>RM 298,888</t>
  </si>
  <si>
    <t>Built-up : 2,676 sq. ft.</t>
  </si>
  <si>
    <t>Land area : 1070 sq. ft.</t>
  </si>
  <si>
    <t>Land area : 918 sq. ft.</t>
  </si>
  <si>
    <t>Land area : 20x64 sq. ft.</t>
  </si>
  <si>
    <t>Built-up : 2,208 sq. ft.</t>
  </si>
  <si>
    <t>Built-up : 820 sq. ft.</t>
  </si>
  <si>
    <t>Land area : 1080 sq. ft.</t>
  </si>
  <si>
    <t>Built-up : 1,306 sq. ft.</t>
  </si>
  <si>
    <t>RM 999,999</t>
  </si>
  <si>
    <t>Built-up : 653 sq. ft.</t>
  </si>
  <si>
    <t>RM 248,000</t>
  </si>
  <si>
    <t>Built-up : 931 sq. ft.</t>
  </si>
  <si>
    <t>Land area : 800 sq. ft.</t>
  </si>
  <si>
    <t>Land area : 3928 sq. ft.</t>
  </si>
  <si>
    <t>RM 4,030,000</t>
  </si>
  <si>
    <t>Bungalow Land</t>
  </si>
  <si>
    <t>Built-up : 826 sq. ft.</t>
  </si>
  <si>
    <t>RM 549,000</t>
  </si>
  <si>
    <t>Pandan Indah, Kuala Lumpur</t>
  </si>
  <si>
    <t>RM 659,000</t>
  </si>
  <si>
    <t>Land area : 1400 sq. ft.</t>
  </si>
  <si>
    <t>RM 8,070,240</t>
  </si>
  <si>
    <t>RM 17,000,000</t>
  </si>
  <si>
    <t>Land area : 16500 sq. ft.</t>
  </si>
  <si>
    <t>Land area : 11981 sq. ft.</t>
  </si>
  <si>
    <t>Land area : 26920 sq. ft.</t>
  </si>
  <si>
    <t>Built-up : 606 sq. ft.</t>
  </si>
  <si>
    <t>RM 2,268,000</t>
  </si>
  <si>
    <t>RM 6,441,600</t>
  </si>
  <si>
    <t>RM 1,475,000</t>
  </si>
  <si>
    <t>RM 1,731,000</t>
  </si>
  <si>
    <t>RM 2,715,000</t>
  </si>
  <si>
    <t>RM 825,000</t>
  </si>
  <si>
    <t>Built-up : 1,115 sq. ft.</t>
  </si>
  <si>
    <t>Built-up : 1,522 sq. ft.</t>
  </si>
  <si>
    <t>RM 230,000</t>
  </si>
  <si>
    <t>Built-up : 832 sq. ft.</t>
  </si>
  <si>
    <t>Built-up : 1,302 sq. ft.</t>
  </si>
  <si>
    <t>Desa Petaling, Kuala Lumpur</t>
  </si>
  <si>
    <t>RM 265,000</t>
  </si>
  <si>
    <t>Built-up : 830 sq. ft.</t>
  </si>
  <si>
    <t>RM 130,000</t>
  </si>
  <si>
    <t>Built-up : 572 sq. ft.</t>
  </si>
  <si>
    <t>Built-up : 1,140 sq. ft.</t>
  </si>
  <si>
    <t>Built-up : 1,806 sq. ft.</t>
  </si>
  <si>
    <t>Land area : 3650 sq. ft.</t>
  </si>
  <si>
    <t>Land area : 34X75 sq. ft.</t>
  </si>
  <si>
    <t>Land area : 917 sq. ft.</t>
  </si>
  <si>
    <t>Land area : 7847 sq. ft.</t>
  </si>
  <si>
    <t>Land area : 1920 sq. ft.</t>
  </si>
  <si>
    <t>Land area : 4002 sq. ft.</t>
  </si>
  <si>
    <t>Land area : 2239 sq. ft.</t>
  </si>
  <si>
    <t>Built-up : 1,593 sq. ft.</t>
  </si>
  <si>
    <t>Land area : 2400 sq. ft.</t>
  </si>
  <si>
    <t>RM 4,450,000</t>
  </si>
  <si>
    <t>RM 537,000</t>
  </si>
  <si>
    <t>Built-up : 1,598 sq. ft.</t>
  </si>
  <si>
    <t>Built-up : 3,466 sq. ft.</t>
  </si>
  <si>
    <t>Land area : 9300 sq. ft.</t>
  </si>
  <si>
    <t>1-sty Terrace/Link House (EndLot)</t>
  </si>
  <si>
    <t>Land area : 1760sf sq. ft.</t>
  </si>
  <si>
    <t>Built-up : 630 sq. ft.</t>
  </si>
  <si>
    <t>Built-up : 1,240 sq. ft.</t>
  </si>
  <si>
    <t>Built-up : 3,137 sq. ft.</t>
  </si>
  <si>
    <t>Built-up : 1,583 sq. ft.</t>
  </si>
  <si>
    <t>Land area : 3068 sq. ft.</t>
  </si>
  <si>
    <t>Land area : 45x100 sq. ft.</t>
  </si>
  <si>
    <t>Built-up : 1,281 sq. ft.</t>
  </si>
  <si>
    <t>RM 1,570,800</t>
  </si>
  <si>
    <t>Land area : 38x80 sq. ft.</t>
  </si>
  <si>
    <t>Land area : 50x90 sq. ft.</t>
  </si>
  <si>
    <t>Built-up : 990 sq. ft.</t>
  </si>
  <si>
    <t>Land area : 10157 sq. ft.</t>
  </si>
  <si>
    <t>RM 1,589,000</t>
  </si>
  <si>
    <t>RM 5,750,000</t>
  </si>
  <si>
    <t>RM 1,570,000</t>
  </si>
  <si>
    <t>Built-up : 1,253 sq. ft.</t>
  </si>
  <si>
    <t>RM 2,490,000</t>
  </si>
  <si>
    <t>Land area : 2900 sq. ft.</t>
  </si>
  <si>
    <t>RM 910,000</t>
  </si>
  <si>
    <t>Built-up : 1,540 sq. ft.</t>
  </si>
  <si>
    <t>Built-up : 1,454 sq. ft.</t>
  </si>
  <si>
    <t>Built-up : 1,077 sq. ft.</t>
  </si>
  <si>
    <t>Built-up : 1,267 sq. ft.</t>
  </si>
  <si>
    <t>Built-up : 1,290 sq. ft.</t>
  </si>
  <si>
    <t>Land area : 22X80 sq. ft.</t>
  </si>
  <si>
    <t>Built-up : 450 sq. ft.</t>
  </si>
  <si>
    <t>Built-up : 909 sq. ft.</t>
  </si>
  <si>
    <t>Built-up : 1,202 sq. ft.</t>
  </si>
  <si>
    <t>RM 1,998,000</t>
  </si>
  <si>
    <t>RM 725,000</t>
  </si>
  <si>
    <t>Built-up : 1,705 sq. ft.</t>
  </si>
  <si>
    <t>RM 289,000</t>
  </si>
  <si>
    <t>RM 575,000</t>
  </si>
  <si>
    <t>Built-up : 1,044 sq. ft.</t>
  </si>
  <si>
    <t>RM 795,000</t>
  </si>
  <si>
    <t>Land area : 1760 sq. ft.</t>
  </si>
  <si>
    <t>Built-up : 1,275 sq. ft.</t>
  </si>
  <si>
    <t>RM 1,710,000</t>
  </si>
  <si>
    <t>Built-up : 625 sq. ft.</t>
  </si>
  <si>
    <t>Built-up : 1,603 sq. ft.</t>
  </si>
  <si>
    <t>RM 1,225,000</t>
  </si>
  <si>
    <t>Built-up : 1,220 sq. ft.</t>
  </si>
  <si>
    <t>RM 5,878,950</t>
  </si>
  <si>
    <t>Land area : 10689 sq. ft.</t>
  </si>
  <si>
    <t>RM 918,000</t>
  </si>
  <si>
    <t>RM 275,000</t>
  </si>
  <si>
    <t>Built-up : 973 sq. ft.</t>
  </si>
  <si>
    <t>Land area : 1175 sq. ft.</t>
  </si>
  <si>
    <t>RM 408,000</t>
  </si>
  <si>
    <t>Built-up : 952 sq. ft.</t>
  </si>
  <si>
    <t>Built-up : 1,048 sq. ft.</t>
  </si>
  <si>
    <t>Land area : 7057 sq. ft.</t>
  </si>
  <si>
    <t>RM 399,000</t>
  </si>
  <si>
    <t>Built-up : 502 sq. ft.</t>
  </si>
  <si>
    <t>RM 11,000,000</t>
  </si>
  <si>
    <t>Land area : 9826 sq. ft.</t>
  </si>
  <si>
    <t>Built-up : 1,238 sq. ft.</t>
  </si>
  <si>
    <t>Built-up : 1,241 sq. ft.</t>
  </si>
  <si>
    <t>Built-up : 1,019 sq. ft.</t>
  </si>
  <si>
    <t>Land area : 20&amp;#215;85 sq. ft.</t>
  </si>
  <si>
    <t>RM 300,000</t>
  </si>
  <si>
    <t>Built-up : 905 sq. ft.</t>
  </si>
  <si>
    <t>Built-up : 1,561 sq. ft.</t>
  </si>
  <si>
    <t>RM 1,188,000</t>
  </si>
  <si>
    <t>Land area : 6400 sq. ft.</t>
  </si>
  <si>
    <t>Land area : 6780 sq. ft.</t>
  </si>
  <si>
    <t>RM 268,000</t>
  </si>
  <si>
    <t>Flat (Intermediate)</t>
  </si>
  <si>
    <t>Built-up : 861 sq. ft.</t>
  </si>
  <si>
    <t>RM 3,000</t>
  </si>
  <si>
    <t>Built-up : 538 sq. ft.</t>
  </si>
  <si>
    <t>RM 5,199,999</t>
  </si>
  <si>
    <t>Land area : 8142 sq. ft.</t>
  </si>
  <si>
    <t>RM 5,499,999</t>
  </si>
  <si>
    <t>RM 4,599,999</t>
  </si>
  <si>
    <t>Land area : 9321.55 sq. ft.</t>
  </si>
  <si>
    <t>Built-up : 527 sq. ft.</t>
  </si>
  <si>
    <t>RM 755,000</t>
  </si>
  <si>
    <t>Land area : 32X55 sq. ft.</t>
  </si>
  <si>
    <t>Built-up : 1,539 sq. ft.</t>
  </si>
  <si>
    <t>1.5-sty Terrace/Link House (Corner)</t>
  </si>
  <si>
    <t>Land area : 42x70 sq. ft.</t>
  </si>
  <si>
    <t>Land area : 40x60 sq. ft.</t>
  </si>
  <si>
    <t>Built-up : 913 sq. ft.</t>
  </si>
  <si>
    <t>Built-up : 2,820 sq. ft.</t>
  </si>
  <si>
    <t>RM 1,318,350</t>
  </si>
  <si>
    <t>Built-up : 1,529 sq. ft.</t>
  </si>
  <si>
    <t>RM 914,160</t>
  </si>
  <si>
    <t>Built-up : 1,647 sq. ft.</t>
  </si>
  <si>
    <t>RM 1,779,286</t>
  </si>
  <si>
    <t>Built-up : 2,293 sq. ft.</t>
  </si>
  <si>
    <t>RM 5,550,000</t>
  </si>
  <si>
    <t>Land area : 4650 sq. ft.</t>
  </si>
  <si>
    <t>Built-up : 1,528 sq. ft.</t>
  </si>
  <si>
    <t>Land area : 1967 sq. ft.</t>
  </si>
  <si>
    <t>Land area : 2700 sq. ft.</t>
  </si>
  <si>
    <t>RM 975,000</t>
  </si>
  <si>
    <t>Built-up : 1,890 sq. ft.</t>
  </si>
  <si>
    <t>Built-up : 1,056 sq. ft.</t>
  </si>
  <si>
    <t>RM 1,829,880</t>
  </si>
  <si>
    <t>Built-up : 2,691 sq. ft.</t>
  </si>
  <si>
    <t>RM 639,999</t>
  </si>
  <si>
    <t>RM 315,000</t>
  </si>
  <si>
    <t>Built-up : 1,317 sq. ft.</t>
  </si>
  <si>
    <t>RM 288,000</t>
  </si>
  <si>
    <t>Built-up : 1,280 sq. ft.</t>
  </si>
  <si>
    <t>RM 348,000</t>
  </si>
  <si>
    <t>Land area : 855 sq. ft.</t>
  </si>
  <si>
    <t>Built-up : 1,295 sq. ft.</t>
  </si>
  <si>
    <t>Built-up : 1,693 sq. ft.</t>
  </si>
  <si>
    <t>Built-up : 3,513 sq. ft.</t>
  </si>
  <si>
    <t>RM 4,180,000</t>
  </si>
  <si>
    <t>Built-up : 3,100 sq. ft.</t>
  </si>
  <si>
    <t>RM 488,888</t>
  </si>
  <si>
    <t>Built-up : 2,190 sq. ft.</t>
  </si>
  <si>
    <t>Built-up : 1,049 sq. ft.</t>
  </si>
  <si>
    <t>RM 768,888</t>
  </si>
  <si>
    <t>Built-up : 694 sq. ft.</t>
  </si>
  <si>
    <t>Land area : 17 sq. ft.</t>
  </si>
  <si>
    <t>Built-up : 1,871 sq. ft.</t>
  </si>
  <si>
    <t>Built-up : 1,570 sq. ft.</t>
  </si>
  <si>
    <t>RM 431,000</t>
  </si>
  <si>
    <t>Land area : 7468 sq. ft.</t>
  </si>
  <si>
    <t>Built-up : 2,550 sq. ft.</t>
  </si>
  <si>
    <t>Land area : 744 sq. ft.</t>
  </si>
  <si>
    <t>RM 391,000</t>
  </si>
  <si>
    <t>RM 798,000</t>
  </si>
  <si>
    <t>Built-up : 3,983 sq. ft.</t>
  </si>
  <si>
    <t>Built-up : 2,573 sq. ft.</t>
  </si>
  <si>
    <t>Built-up : 3,660 sq. ft.</t>
  </si>
  <si>
    <t>Land area : 45x109 sq. ft.</t>
  </si>
  <si>
    <t>Built-up : 1,108 sq. ft.</t>
  </si>
  <si>
    <t>Land area : 55x85 sq. ft.</t>
  </si>
  <si>
    <t>Land area : 22 x 70 sq. ft.</t>
  </si>
  <si>
    <t>RM 1,052,000</t>
  </si>
  <si>
    <t>Built-up : 875 sq. ft.</t>
  </si>
  <si>
    <t>Built-up : 1,010 sq. ft.</t>
  </si>
  <si>
    <t>RM 7,980,000</t>
  </si>
  <si>
    <t>8+</t>
  </si>
  <si>
    <t>Land area : 7265 sq. ft.</t>
  </si>
  <si>
    <t>RM 7,480,000</t>
  </si>
  <si>
    <t>Land area : 8812 sq. ft.</t>
  </si>
  <si>
    <t>RM 6,918,800</t>
  </si>
  <si>
    <t>Bungalow Land (Intermediate)</t>
  </si>
  <si>
    <t>Land area : 9884 sq. ft.</t>
  </si>
  <si>
    <t>Land area : 3000 sq. ft.</t>
  </si>
  <si>
    <t>Land area : 5931 sq. ft.</t>
  </si>
  <si>
    <t>RM 3,080,000</t>
  </si>
  <si>
    <t>Land area : 10583 sq. ft.</t>
  </si>
  <si>
    <t>RM 5,650,000</t>
  </si>
  <si>
    <t>Land area : 5442 sq. ft.</t>
  </si>
  <si>
    <t>RM 765,000</t>
  </si>
  <si>
    <t>Built-up : 1,554 sq. ft.</t>
  </si>
  <si>
    <t>Built-up : 3,358 sq. ft.</t>
  </si>
  <si>
    <t>Land area : 34x70 sq. ft.</t>
  </si>
  <si>
    <t>Built-up : 515 sq. ft.</t>
  </si>
  <si>
    <t>Built-up : 4,214 sq. ft.</t>
  </si>
  <si>
    <t>Built-up : 1,145 sq. ft.</t>
  </si>
  <si>
    <t>Built-up : 1,110 sq. ft.</t>
  </si>
  <si>
    <t>RM 996,300</t>
  </si>
  <si>
    <t>RM 540,000</t>
  </si>
  <si>
    <t>RM 299,000</t>
  </si>
  <si>
    <t>Federal Hill, Kuala Lumpur</t>
  </si>
  <si>
    <t>RM 5,950,000</t>
  </si>
  <si>
    <t>Land area : 9548 sq. ft.</t>
  </si>
  <si>
    <t>Built-up : 1,162 sq. ft.</t>
  </si>
  <si>
    <t>RM 1,473,950</t>
  </si>
  <si>
    <t>Land area : 1551 sq. ft.</t>
  </si>
  <si>
    <t>RM 1,448,000</t>
  </si>
  <si>
    <t>3-sty Terrace/Link House (Duplex)</t>
  </si>
  <si>
    <t>RM 577,000</t>
  </si>
  <si>
    <t>Built-up : 1,127 sq. ft.</t>
  </si>
  <si>
    <t>Built-up : 1,111 sq. ft.</t>
  </si>
  <si>
    <t>Built-up : 3,514 sq. ft.</t>
  </si>
  <si>
    <t>RM 345,000</t>
  </si>
  <si>
    <t>Built-up : 3,460 sq. ft.</t>
  </si>
  <si>
    <t>Built-up : 3,482 sq. ft.</t>
  </si>
  <si>
    <t>RM 445,000</t>
  </si>
  <si>
    <t>Built-up : 1,142 sq. ft.</t>
  </si>
  <si>
    <t>RM 799,000</t>
  </si>
  <si>
    <t>RM 828,000</t>
  </si>
  <si>
    <t>Built-up : 2,583 sq. ft.</t>
  </si>
  <si>
    <t>Built-up : 1,272 sq. ft.</t>
  </si>
  <si>
    <t>Built-up : 3,664 sq. ft.</t>
  </si>
  <si>
    <t>Built-up : 3,250 sq. ft.</t>
  </si>
  <si>
    <t>Built-up : 1,166 sq. ft.</t>
  </si>
  <si>
    <t>RM 416,000</t>
  </si>
  <si>
    <t>Built-up : 1,021 sq. ft.</t>
  </si>
  <si>
    <t>Built-up : 1,207 sq. ft.</t>
  </si>
  <si>
    <t>Built-up : 1,250 sq. ft.</t>
  </si>
  <si>
    <t>Built-up : 9,332 sq. ft.</t>
  </si>
  <si>
    <t>Built-up : 1,605 sq. ft.</t>
  </si>
  <si>
    <t>Built-up : 2,002 sq. ft.</t>
  </si>
  <si>
    <t>Built-up : 3,133 sq. ft.</t>
  </si>
  <si>
    <t>Built-up : 2,735 sq. ft.</t>
  </si>
  <si>
    <t>Built-up : 936 sq. ft.</t>
  </si>
  <si>
    <t>Built-up : 1,569 sq. ft.</t>
  </si>
  <si>
    <t>RM 785,000</t>
  </si>
  <si>
    <t>Land area : 5583 sq. ft.</t>
  </si>
  <si>
    <t>RM 2,284,000</t>
  </si>
  <si>
    <t>RM 6,385,950</t>
  </si>
  <si>
    <t>Built-up : 5,553 sq. ft.</t>
  </si>
  <si>
    <t>Built-up : 1,628 sq. ft.</t>
  </si>
  <si>
    <t>RM 397,000</t>
  </si>
  <si>
    <t>Built-up : 1,135 sq. ft.</t>
  </si>
  <si>
    <t>RM 665,000</t>
  </si>
  <si>
    <t>Built-up : 1,530 sq. ft.</t>
  </si>
  <si>
    <t>RM 1,358,120</t>
  </si>
  <si>
    <t>Built-up : 1,468 sq. ft.</t>
  </si>
  <si>
    <t>Built-up : 1,820 sq. ft.</t>
  </si>
  <si>
    <t>RM 2,570,400</t>
  </si>
  <si>
    <t>RM 3,051,300</t>
  </si>
  <si>
    <t>RM 2,842,350</t>
  </si>
  <si>
    <t>RM 10,051,000</t>
  </si>
  <si>
    <t>Built-up : 7,825 sq. ft.</t>
  </si>
  <si>
    <t>Built-up : 1,409 sq. ft.</t>
  </si>
  <si>
    <t>Built-up : 1,842 sq. ft.</t>
  </si>
  <si>
    <t>RM 5,854,000</t>
  </si>
  <si>
    <t>Built-up : 1,427 sq. ft.</t>
  </si>
  <si>
    <t>Built-up : 1,819 sq. ft.</t>
  </si>
  <si>
    <t>Built-up : 923 sq. ft.</t>
  </si>
  <si>
    <t>Built-up : 2,343 sq. ft.</t>
  </si>
  <si>
    <t>RM 4,100,000</t>
  </si>
  <si>
    <t>Built-up : 1,231 sq. ft.</t>
  </si>
  <si>
    <t>Built-up : 4,660 sq. ft.</t>
  </si>
  <si>
    <t>Built-up : 3,410 sq. ft.</t>
  </si>
  <si>
    <t>Built-up : 5,800 sq. ft.</t>
  </si>
  <si>
    <t>Built-up : 2,495 sq. ft.</t>
  </si>
  <si>
    <t>Built-up : 2,726 sq. ft.</t>
  </si>
  <si>
    <t>Built-up : 2,257 sq. ft.</t>
  </si>
  <si>
    <t>Built-up : 2,159 sq. ft.</t>
  </si>
  <si>
    <t>Built-up : 2,560 sq. ft.</t>
  </si>
  <si>
    <t>Other, Kuala Lumpur</t>
  </si>
  <si>
    <t>Land area : 22x65 sq. ft.</t>
  </si>
  <si>
    <t>Land area : 4860 sq. ft.</t>
  </si>
  <si>
    <t>Built-up : 1,015 sq. ft.</t>
  </si>
  <si>
    <t>RM 308,000</t>
  </si>
  <si>
    <t>RM 16,000,000</t>
  </si>
  <si>
    <t>Land area : 17800 sq. ft.</t>
  </si>
  <si>
    <t>Land area : 6100 sq. ft.</t>
  </si>
  <si>
    <t>Land area : 2530 sq. ft.</t>
  </si>
  <si>
    <t>Land area : 8150 sq. ft.</t>
  </si>
  <si>
    <t>RM 449,000</t>
  </si>
  <si>
    <t>RM 1,322,355</t>
  </si>
  <si>
    <t>Built-up : 2,085 sq. ft.</t>
  </si>
  <si>
    <t>Built-up : 1,017 sq. ft.</t>
  </si>
  <si>
    <t>Built-up : 1,040 sq. ft.</t>
  </si>
  <si>
    <t>Built-up : 1,051 sq. ft.</t>
  </si>
  <si>
    <t>Land area : 45x90 sq. ft.</t>
  </si>
  <si>
    <t>Built-up : 870 sq. ft.</t>
  </si>
  <si>
    <t>Built-up : 3,840 sq. ft.</t>
  </si>
  <si>
    <t>Land area : 5600 sq. ft.</t>
  </si>
  <si>
    <t>Land area : 1212 sq. ft.</t>
  </si>
  <si>
    <t>Built-up : 1,060 sq. ft.</t>
  </si>
  <si>
    <t>RM 8,500,000</t>
  </si>
  <si>
    <t>8+1</t>
  </si>
  <si>
    <t>Bungalow (EndLot)</t>
  </si>
  <si>
    <t>Built-up : 2,718 sq. ft.</t>
  </si>
  <si>
    <t>Built-up : 1,775 sq. ft.</t>
  </si>
  <si>
    <t>Built-up : 6,552 sq. ft.</t>
  </si>
  <si>
    <t>Built-up : 840 sq. ft.</t>
  </si>
  <si>
    <t>RM 1,460,000</t>
  </si>
  <si>
    <t>Land area : 6329 sq. ft.</t>
  </si>
  <si>
    <t>Built-up : 4,142 sq. ft.</t>
  </si>
  <si>
    <t>Built-up : 995 sq. ft.</t>
  </si>
  <si>
    <t>Land area : 8200 sq. ft.</t>
  </si>
  <si>
    <t>RM 1,734,000</t>
  </si>
  <si>
    <t>RM 7,570,450</t>
  </si>
  <si>
    <t>Built-up : 5,220 sq. ft.</t>
  </si>
  <si>
    <t>Land area : 22x45 sq. ft.</t>
  </si>
  <si>
    <t>Land area : 40x90 sq. ft.</t>
  </si>
  <si>
    <t>Built-up : 3,658 sq. ft.</t>
  </si>
  <si>
    <t>RM 2,757,725</t>
  </si>
  <si>
    <t>RM 3,259,200</t>
  </si>
  <si>
    <t>Built-up : 4,074 sq. ft.</t>
  </si>
  <si>
    <t>Land area : 34x80 sq. ft.</t>
  </si>
  <si>
    <t>Land area : 18 x 90 sq. ft.</t>
  </si>
  <si>
    <t>Built-up : 1,307 sq. ft.</t>
  </si>
  <si>
    <t>Land area : 1252 sq. ft.</t>
  </si>
  <si>
    <t>RM 925,000</t>
  </si>
  <si>
    <t>RM 579,000</t>
  </si>
  <si>
    <t>Built-up : 1,143 sq. ft.</t>
  </si>
  <si>
    <t>RM 479,000</t>
  </si>
  <si>
    <t>Built-up : 958 sq. ft.</t>
  </si>
  <si>
    <t>Land area : 1142 sq. ft.</t>
  </si>
  <si>
    <t>RM 295,000</t>
  </si>
  <si>
    <t>Land area : 755 sq. ft.</t>
  </si>
  <si>
    <t>RM 838,000</t>
  </si>
  <si>
    <t>Built-up : 864 sq. ft.</t>
  </si>
  <si>
    <t>Built-up : 3,070 sq. ft.</t>
  </si>
  <si>
    <t>RM 2,464,350</t>
  </si>
  <si>
    <t>RM 8,880,000</t>
  </si>
  <si>
    <t>RM 403,000</t>
  </si>
  <si>
    <t>Built-up : 5,200 sq. ft.</t>
  </si>
  <si>
    <t>RM 4,266,600</t>
  </si>
  <si>
    <t>RM 5,580,000</t>
  </si>
  <si>
    <t>RM 4,210,700</t>
  </si>
  <si>
    <t>Built-up : 3,239 sq. ft.</t>
  </si>
  <si>
    <t>RM 7,200,000</t>
  </si>
  <si>
    <t>Built-up : 4,200 sq. ft.</t>
  </si>
  <si>
    <t>Land area : 2707 sq. ft.</t>
  </si>
  <si>
    <t>Built-up : 1,273 sq. ft.</t>
  </si>
  <si>
    <t>13+</t>
  </si>
  <si>
    <t>Land area : 9838 sq. ft.</t>
  </si>
  <si>
    <t>RM 6,523,000</t>
  </si>
  <si>
    <t>Residential Land (Intermediate)</t>
  </si>
  <si>
    <t>Land area : 22&amp;#215;100 sq. ft.</t>
  </si>
  <si>
    <t>RM 8,900,000</t>
  </si>
  <si>
    <t>Land area : 3690 sq. ft.</t>
  </si>
  <si>
    <t>Built-up : 948 sq. ft.</t>
  </si>
  <si>
    <t>RM 1,488,000</t>
  </si>
  <si>
    <t>Built-up : 1,370 sq. ft.</t>
  </si>
  <si>
    <t>RM 573,000</t>
  </si>
  <si>
    <t>Built-up : 550 sq. ft.</t>
  </si>
  <si>
    <t>Built-up : 1,299 sq. ft.</t>
  </si>
  <si>
    <t>RM 3,950,000</t>
  </si>
  <si>
    <t>Built-up : 928 sq. ft.</t>
  </si>
  <si>
    <t>Built-up : 1,870 sq. ft.</t>
  </si>
  <si>
    <t>RM 2,152,000</t>
  </si>
  <si>
    <t>RM 3,252,600</t>
  </si>
  <si>
    <t>RM 4,957,719</t>
  </si>
  <si>
    <t>Built-up : 1,066 sq. ft.</t>
  </si>
  <si>
    <t>Serviced Residence (Studio)</t>
  </si>
  <si>
    <t>Land area : 26X92 sq. ft.</t>
  </si>
  <si>
    <t>RM 508,000</t>
  </si>
  <si>
    <t>Built-up : 798 sq. ft.</t>
  </si>
  <si>
    <t>RM 3,750,000</t>
  </si>
  <si>
    <t>Built-up : 4,355 sq. ft.</t>
  </si>
  <si>
    <t>RM 4,400,000</t>
  </si>
  <si>
    <t>Land area : 4600 sq. ft.</t>
  </si>
  <si>
    <t>RM 1,498,000</t>
  </si>
  <si>
    <t>Built-up : 1,840 sq. ft.</t>
  </si>
  <si>
    <t>RM 2,688,000</t>
  </si>
  <si>
    <t>Built-up : 3,055 sq. ft.</t>
  </si>
  <si>
    <t>Built-up : 1,315 sq. ft.</t>
  </si>
  <si>
    <t>RM 1,540,000</t>
  </si>
  <si>
    <t>Built-up : 2,272 sq. ft.</t>
  </si>
  <si>
    <t>RM 675,000</t>
  </si>
  <si>
    <t>Built-up : 2,659 sq. ft.</t>
  </si>
  <si>
    <t>RM 7,900,000</t>
  </si>
  <si>
    <t>Land area : 18x65 sq. ft.</t>
  </si>
  <si>
    <t>Land area : 3285 sq. ft.</t>
  </si>
  <si>
    <t>Land area : 2245 sq. ft.</t>
  </si>
  <si>
    <t>Land area : 2906 sq. ft.</t>
  </si>
  <si>
    <t>RM 6,450,000</t>
  </si>
  <si>
    <t>Land area : 6390 sq. ft.</t>
  </si>
  <si>
    <t>RM 4,560,000</t>
  </si>
  <si>
    <t>Land area : 6609 sq. ft.</t>
  </si>
  <si>
    <t>Built-up : 997 sq. ft.</t>
  </si>
  <si>
    <t>Built-up : 498 sq. ft.</t>
  </si>
  <si>
    <t>Built-up : 2,109 sq. ft.</t>
  </si>
  <si>
    <t>Built-up : 1,326 sq. ft.</t>
  </si>
  <si>
    <t>RM 362,000</t>
  </si>
  <si>
    <t>Built-up : 304 sq. ft.</t>
  </si>
  <si>
    <t>Land area : 46x75 sq. ft.</t>
  </si>
  <si>
    <t>Built-up : 3,079 sq. ft.</t>
  </si>
  <si>
    <t>Built-up : 1,230 sq. ft.</t>
  </si>
  <si>
    <t>Built-up : 1,650 sq. ft.</t>
  </si>
  <si>
    <t>Built-up : 5,743 sq. ft.</t>
  </si>
  <si>
    <t>RM 1,105,500</t>
  </si>
  <si>
    <t>RM 1,216,800</t>
  </si>
  <si>
    <t>RM 1,003,000</t>
  </si>
  <si>
    <t>RM 1,123,000</t>
  </si>
  <si>
    <t>RM 899,000</t>
  </si>
  <si>
    <t>Built-up : 2,000 sq. ft.</t>
  </si>
  <si>
    <t>Built-up : 927 sq. ft.</t>
  </si>
  <si>
    <t>Built-up : 1,246 sq. ft.</t>
  </si>
  <si>
    <t>RM 2,910,000</t>
  </si>
  <si>
    <t>Built-up : 699 sq. ft.</t>
  </si>
  <si>
    <t>Land area : 55 x 85 sq. ft.</t>
  </si>
  <si>
    <t>RM 458,000</t>
  </si>
  <si>
    <t>Built-up : 719 sq. ft.</t>
  </si>
  <si>
    <t>Built-up : 781 sq. ft.</t>
  </si>
  <si>
    <t>RM 4,860,000</t>
  </si>
  <si>
    <t>Land area : 8231 sq. ft.</t>
  </si>
  <si>
    <t>Built-up : 2,335 sq. ft.</t>
  </si>
  <si>
    <t>Built-up : 790,000 sq. ft.</t>
  </si>
  <si>
    <t>RM 642,000</t>
  </si>
  <si>
    <t>Built-up : 1,733 sq. ft.</t>
  </si>
  <si>
    <t>Built-up : 1,206 sq. ft.</t>
  </si>
  <si>
    <t>Built-up : 1,804 sq. ft.</t>
  </si>
  <si>
    <t>RM 499,000</t>
  </si>
  <si>
    <t>Built-up : 645 sq. ft.</t>
  </si>
  <si>
    <t>Built-up : 1,339 sq. ft.</t>
  </si>
  <si>
    <t>Built-up : 747 sq. ft.</t>
  </si>
  <si>
    <t>Built-up : 916 sq. ft.</t>
  </si>
  <si>
    <t>Built-up : 1,975 sq. ft.</t>
  </si>
  <si>
    <t>Land area : 24x90 sq. ft.</t>
  </si>
  <si>
    <t>RM 6,990,000</t>
  </si>
  <si>
    <t>Built-up : 1,293 sq. ft.</t>
  </si>
  <si>
    <t>RM 17,500,000</t>
  </si>
  <si>
    <t>Built-up : 2,706 sq. ft.</t>
  </si>
  <si>
    <t>Built-up : 868 sq. ft.</t>
  </si>
  <si>
    <t>RM 515,000</t>
  </si>
  <si>
    <t>Built-up : 855 sq. ft.</t>
  </si>
  <si>
    <t>RM 988,000</t>
  </si>
  <si>
    <t>RM 1,828,000</t>
  </si>
  <si>
    <t>Built-up : 2,405 sq. ft.</t>
  </si>
  <si>
    <t>RM 2,789,000</t>
  </si>
  <si>
    <t>Land area : 1970 sq. ft.</t>
  </si>
  <si>
    <t>Land area : 60x106 sq. ft.</t>
  </si>
  <si>
    <t>Built-up : 1,703 sq. ft.</t>
  </si>
  <si>
    <t>RM 6,750,000</t>
  </si>
  <si>
    <t>Land area : 7793 sq. ft.</t>
  </si>
  <si>
    <t>Land area : 2498 sq. ft.</t>
  </si>
  <si>
    <t>Land area : Malaysia sq. ft.</t>
  </si>
  <si>
    <t>Built-up : 4,056 sq. ft.</t>
  </si>
  <si>
    <t>RM 290,000</t>
  </si>
  <si>
    <t>Built-up : 860 sq. ft.</t>
  </si>
  <si>
    <t>RM 699,000</t>
  </si>
  <si>
    <t>Land area : 18x60 sq. ft.</t>
  </si>
  <si>
    <t>RM 378,000</t>
  </si>
  <si>
    <t>RM 325,000</t>
  </si>
  <si>
    <t>Built-up : 1,106 sq. ft.</t>
  </si>
  <si>
    <t>Built-up : 732 sq. ft.</t>
  </si>
  <si>
    <t>Land area : 1019 sq. ft.</t>
  </si>
  <si>
    <t>RM 598,000</t>
  </si>
  <si>
    <t>Land area : 12x90 sq. ft.</t>
  </si>
  <si>
    <t>Built-up : 465 sq. ft.</t>
  </si>
  <si>
    <t>Built-up : 1,129 sq. ft.</t>
  </si>
  <si>
    <t>RM 566,000</t>
  </si>
  <si>
    <t>RM 1,743,000</t>
  </si>
  <si>
    <t>Built-up : 1,149 sq. ft.</t>
  </si>
  <si>
    <t>Built-up : 1,625 sq. ft.</t>
  </si>
  <si>
    <t>Built-up : 2,470 sq. ft.</t>
  </si>
  <si>
    <t>RM 8,000</t>
  </si>
  <si>
    <t>Built-up : 2,096 sq. ft.</t>
  </si>
  <si>
    <t>RM 3,050,000</t>
  </si>
  <si>
    <t>Built-up : 3,704 sq. ft.</t>
  </si>
  <si>
    <t>Land area : 1470 sq. ft.</t>
  </si>
  <si>
    <t>Built-up : 1,828 sq. ft.</t>
  </si>
  <si>
    <t>RM 1,359,800</t>
  </si>
  <si>
    <t>RM 855,800</t>
  </si>
  <si>
    <t>RM 1,128,800</t>
  </si>
  <si>
    <t>Built-up : 555 sq. ft.</t>
  </si>
  <si>
    <t>Land area : 1097 sq. ft.</t>
  </si>
  <si>
    <t>Built-up : 4,600 sq. ft.</t>
  </si>
  <si>
    <t>Land area : 1550 sq. ft.</t>
  </si>
  <si>
    <t>Land area : 5242 sq. ft.</t>
  </si>
  <si>
    <t>Land area : 22X49 sq. ft.</t>
  </si>
  <si>
    <t>Built-up : 2,482 sq. ft.</t>
  </si>
  <si>
    <t>Land area : 4999 sq. ft.</t>
  </si>
  <si>
    <t>RM 1,472,920</t>
  </si>
  <si>
    <t>RM 1,994,000</t>
  </si>
  <si>
    <t>RM 1,521,000</t>
  </si>
  <si>
    <t>Built-up : 602 sq. ft.</t>
  </si>
  <si>
    <t>Built-up : 805 sq. ft.</t>
  </si>
  <si>
    <t>RM 1,395,800</t>
  </si>
  <si>
    <t>Built-up : 1,722 sq. ft.</t>
  </si>
  <si>
    <t>Land area : 9149 sq. ft.</t>
  </si>
  <si>
    <t>RM 1,125,460</t>
  </si>
  <si>
    <t>Built-up : 2,018 sq. ft.</t>
  </si>
  <si>
    <t>RM 4,780,000</t>
  </si>
  <si>
    <t>Land area : 9375 sq. ft.</t>
  </si>
  <si>
    <t>RM 1,035,860</t>
  </si>
  <si>
    <t>Land area : 9800 sq. ft.</t>
  </si>
  <si>
    <t>Built-up : 1,424 sq. ft.</t>
  </si>
  <si>
    <t>Built-up : 1,242 sq. ft.</t>
  </si>
  <si>
    <t>RM 769,000</t>
  </si>
  <si>
    <t>Land area : 20x85 sq. ft.</t>
  </si>
  <si>
    <t>Land area : 15x55 sq. ft.</t>
  </si>
  <si>
    <t>Pandan Perdana, Kuala Lumpur</t>
  </si>
  <si>
    <t>Land area : 42x65 sq. ft.</t>
  </si>
  <si>
    <t>Land area : 624 sq. ft.</t>
  </si>
  <si>
    <t>Land area : 829 sq. ft.</t>
  </si>
  <si>
    <t>Built-up : 705 sq. ft.</t>
  </si>
  <si>
    <t>Built-up : 968 sq. ft.</t>
  </si>
  <si>
    <t>RM 556,000</t>
  </si>
  <si>
    <t>Land area : 35x75 sq. ft.</t>
  </si>
  <si>
    <t>RM 478,000</t>
  </si>
  <si>
    <t>Built-up : 955 sq. ft.</t>
  </si>
  <si>
    <t>Built-up : 2,513 sq. ft.</t>
  </si>
  <si>
    <t>Built-up : 1,464 sq. ft.</t>
  </si>
  <si>
    <t>Land area : 4277 sq. ft.</t>
  </si>
  <si>
    <t>Built-up : 1,304 sq. ft.</t>
  </si>
  <si>
    <t>Land area : 40x70 sq. ft.</t>
  </si>
  <si>
    <t>RM 719,000</t>
  </si>
  <si>
    <t>Built-up : 1,288 sq. ft.</t>
  </si>
  <si>
    <t>Built-up : 1,403 sq. ft.</t>
  </si>
  <si>
    <t>RM 475,000</t>
  </si>
  <si>
    <t>Bandar Damai Perdana, Kuala Lumpur</t>
  </si>
  <si>
    <t>RM 658,000</t>
  </si>
  <si>
    <t>RM 310,000</t>
  </si>
  <si>
    <t>Land area : 3704 sq. ft.</t>
  </si>
  <si>
    <t>RM 4,380,000</t>
  </si>
  <si>
    <t>RM 835,000</t>
  </si>
  <si>
    <t>Land area : 3885 sq. ft.</t>
  </si>
  <si>
    <t>Built-up : 1,261 sq. ft.</t>
  </si>
  <si>
    <t>Land area : 22 x 86 sq. ft.</t>
  </si>
  <si>
    <t>Land area : 990 sq. ft.</t>
  </si>
  <si>
    <t>Land area : 4570 sq. ft.</t>
  </si>
  <si>
    <t>Built-up : 988 sq. ft.</t>
  </si>
  <si>
    <t>Land area : 3300 sq. ft.</t>
  </si>
  <si>
    <t>RM 589,000</t>
  </si>
  <si>
    <t>Built-up : 1,461 sq. ft.</t>
  </si>
  <si>
    <t>RM 335,000</t>
  </si>
  <si>
    <t>Built-up : 2,097 sq. ft.</t>
  </si>
  <si>
    <t>Built-up : 2,292 sq. ft.</t>
  </si>
  <si>
    <t>RM 2,500</t>
  </si>
  <si>
    <t>Built-up : 1,384 sq. ft.</t>
  </si>
  <si>
    <t>Built-up : 2,800 sq. ft.</t>
  </si>
  <si>
    <t>RM 1,640,000</t>
  </si>
  <si>
    <t>Built-up : 3,707 sq. ft.</t>
  </si>
  <si>
    <t>1.5-sty Terrace/Link House</t>
  </si>
  <si>
    <t>Land area : 30X95 sq. ft.</t>
  </si>
  <si>
    <t>RM 7,172,300</t>
  </si>
  <si>
    <t>Land area : 8438 sq. ft.</t>
  </si>
  <si>
    <t>Land area : 1313 sq. ft.</t>
  </si>
  <si>
    <t>RM 656,000</t>
  </si>
  <si>
    <t>Land area : 22x68 sq. ft.</t>
  </si>
  <si>
    <t>Built-up : 1,405 sq. m.</t>
  </si>
  <si>
    <t>Built-up : 1,222 sq. ft.</t>
  </si>
  <si>
    <t>Built-up : 1,210 sq. ft.</t>
  </si>
  <si>
    <t>Built-up : 883 sq. ft.</t>
  </si>
  <si>
    <t>Built-up : 953 sq. ft.</t>
  </si>
  <si>
    <t>Built-up : 1,028 sq. ft.</t>
  </si>
  <si>
    <t>RM 4,990,000</t>
  </si>
  <si>
    <t>RM 435,000</t>
  </si>
  <si>
    <t>Land area : 6867 sq. ft.</t>
  </si>
  <si>
    <t>Built-up : 1,894 sq. ft.</t>
  </si>
  <si>
    <t>RM 1,033,000</t>
  </si>
  <si>
    <t>Land area : 20x60 sq. ft.</t>
  </si>
  <si>
    <t>Land area : 13217 sq. ft.</t>
  </si>
  <si>
    <t>Puchong, Kuala Lumpur</t>
  </si>
  <si>
    <t>RM 9,800,000</t>
  </si>
  <si>
    <t>20 Above</t>
  </si>
  <si>
    <t>Land area : 14102 sq. ft.</t>
  </si>
  <si>
    <t>Built-up : 1,822 sq. ft.</t>
  </si>
  <si>
    <t>Land area : 1281 sq. ft.</t>
  </si>
  <si>
    <t>Land area : 1100 sq. ft.</t>
  </si>
  <si>
    <t>Built-up : 795 sq. ft.</t>
  </si>
  <si>
    <t>Built-up : 803 sq. ft.</t>
  </si>
  <si>
    <t>Built-up : 901 sq. ft.</t>
  </si>
  <si>
    <t>Built-up : 6,300 sq. ft.</t>
  </si>
  <si>
    <t>RM 527,000</t>
  </si>
  <si>
    <t>Built-up : 1,109 sq. ft.</t>
  </si>
  <si>
    <t>Built-up : 1,215 sq. ft.</t>
  </si>
  <si>
    <t>Built-up : 1,856 sq. ft.</t>
  </si>
  <si>
    <t>Land area : 14x50 sq. ft.</t>
  </si>
  <si>
    <t>RM 1,510,000</t>
  </si>
  <si>
    <t>Built-up : 1,428 sq. ft.</t>
  </si>
  <si>
    <t>Built-up : 2,974 sq. ft.</t>
  </si>
  <si>
    <t>RM 1,875,000</t>
  </si>
  <si>
    <t>RM 2,934,400</t>
  </si>
  <si>
    <t>RM 2,653,600</t>
  </si>
  <si>
    <t>RM 2,928,000</t>
  </si>
  <si>
    <t>Built-up : 2,025 sq. ft.</t>
  </si>
  <si>
    <t>RM 2,945,910</t>
  </si>
  <si>
    <t>Built-up : 535 sq. ft.</t>
  </si>
  <si>
    <t>RM 379,000</t>
  </si>
  <si>
    <t>Land area : 1569 sq. ft.</t>
  </si>
  <si>
    <t>RM 4,980,000</t>
  </si>
  <si>
    <t>Built-up : 1,711 sq. ft.</t>
  </si>
  <si>
    <t>RM 3,230,000</t>
  </si>
  <si>
    <t>Built-up : 2,068 sq. ft.</t>
  </si>
  <si>
    <t>Land area : 1719 sq. ft.</t>
  </si>
  <si>
    <t>RM 1,085,000</t>
  </si>
  <si>
    <t>Land area : 2497 sq. ft.</t>
  </si>
  <si>
    <t>Land area : 2098 sq. ft.</t>
  </si>
  <si>
    <t>Land area : 2315 sq. ft.</t>
  </si>
  <si>
    <t>Land area : 3283 sq. ft.</t>
  </si>
  <si>
    <t>Land area : 2939 sq. ft.</t>
  </si>
  <si>
    <t>Land area : 24 x 85 sq. ft.</t>
  </si>
  <si>
    <t>Built-up : 877 sq. ft.</t>
  </si>
  <si>
    <t>Land area : 18x70 sq. ft.</t>
  </si>
  <si>
    <t>Built-up : 1,626 sq. ft.</t>
  </si>
  <si>
    <t>Built-up : 1,268 sq. ft.</t>
  </si>
  <si>
    <t>Land area : 2500 sq. ft.</t>
  </si>
  <si>
    <t>RM 2,196,000</t>
  </si>
  <si>
    <t>Built-up : 2,045 sq. ft.</t>
  </si>
  <si>
    <t>Land area : 11800 sq. ft.</t>
  </si>
  <si>
    <t>RM 5,490,000</t>
  </si>
  <si>
    <t>Built-up : 6,000 sq. ft.</t>
  </si>
  <si>
    <t>Built-up : 1,931 sq. ft.</t>
  </si>
  <si>
    <t>Land area : 14x42 sq. ft.</t>
  </si>
  <si>
    <t>Built-up : 1,521 sq. ft.</t>
  </si>
  <si>
    <t>Built-up : 1,013 sq. ft.</t>
  </si>
  <si>
    <t>Land area : 14X55 sq. ft.</t>
  </si>
  <si>
    <t>Built-up : 5,660 sq. ft.</t>
  </si>
  <si>
    <t>Built-up : 6,200 sq. ft.</t>
  </si>
  <si>
    <t>Land area : 1500 sq. ft.</t>
  </si>
  <si>
    <t>Land area : 14x60 sq. ft.</t>
  </si>
  <si>
    <t>Land area : 14x55 sq. ft.</t>
  </si>
  <si>
    <t>RM 557,000</t>
  </si>
  <si>
    <t>RM 2,090,000</t>
  </si>
  <si>
    <t>Land area : 9500 sq. ft.</t>
  </si>
  <si>
    <t>Built-up : 852 sq. ft.</t>
  </si>
  <si>
    <t>RM 748,000</t>
  </si>
  <si>
    <t>Built-up : 1,678 sq. ft.</t>
  </si>
  <si>
    <t>RM 2,160,000</t>
  </si>
  <si>
    <t>Land area : 23' x 85' sq. ft.</t>
  </si>
  <si>
    <t>Land area : 23 X 80 sq.ft. sq. ft.</t>
  </si>
  <si>
    <t>Land area : 23' x 80' sq. ft.</t>
  </si>
  <si>
    <t>Land area : 47' X 87' sq. ft.</t>
  </si>
  <si>
    <t>RM 1,502,400</t>
  </si>
  <si>
    <t>RM 4,179,628</t>
  </si>
  <si>
    <t>Built-up : 5,090 sq. ft.</t>
  </si>
  <si>
    <t>RM 2,160,329</t>
  </si>
  <si>
    <t>Built-up : 2,766 sq. ft.</t>
  </si>
  <si>
    <t>RM 1,823,366</t>
  </si>
  <si>
    <t>RM 1,305,750</t>
  </si>
  <si>
    <t>Built-up : 2,084 sq. ft.</t>
  </si>
  <si>
    <t>Land area : 26x82 sq. ft.</t>
  </si>
  <si>
    <t>RM 13,000,000</t>
  </si>
  <si>
    <t>Land area : 12300 sq. ft.</t>
  </si>
  <si>
    <t>RM 1,298,000</t>
  </si>
  <si>
    <t>Land area : 45x70 sq. ft.</t>
  </si>
  <si>
    <t>RM 538,000</t>
  </si>
  <si>
    <t>Land area : 20x75(1500sf) sq. ft.</t>
  </si>
  <si>
    <t>Land area : 969 sq. ft.</t>
  </si>
  <si>
    <t>Built-up : 1,480 sq. ft.</t>
  </si>
  <si>
    <t>Built-up : 1,463 sq. ft.</t>
  </si>
  <si>
    <t>RM 553,000</t>
  </si>
  <si>
    <t>Land area : 130. sq. ft.</t>
  </si>
  <si>
    <t>Land area : 1162 sq. ft.</t>
  </si>
  <si>
    <t>RM 3,699,000</t>
  </si>
  <si>
    <t>Land area : 9978 sq. ft.</t>
  </si>
  <si>
    <t>Built-up : 984 sq. ft.</t>
  </si>
  <si>
    <t>Land area : 22x81 sq. ft.</t>
  </si>
  <si>
    <t>Land area : 22x78 sq. ft.</t>
  </si>
  <si>
    <t>Land area : 6566.63 sq. ft.</t>
  </si>
  <si>
    <t>Land area : 6144 sq. ft.</t>
  </si>
  <si>
    <t>RM 47,916,000</t>
  </si>
  <si>
    <t>Land area : 87120 sq. ft.</t>
  </si>
  <si>
    <t>RM 49,000,000</t>
  </si>
  <si>
    <t>Land area : 32300 sq. ft.</t>
  </si>
  <si>
    <t>Land area : 13300 sq. ft.</t>
  </si>
  <si>
    <t>RM 6,335,000</t>
  </si>
  <si>
    <t>Land area : 9050 sq. ft.</t>
  </si>
  <si>
    <t>RM 24,680,000</t>
  </si>
  <si>
    <t>Land area : 70543 sq. ft.</t>
  </si>
  <si>
    <t>RM 32,670,000</t>
  </si>
  <si>
    <t>Land area : 108900 sq. ft.</t>
  </si>
  <si>
    <t>RM 11,830,000</t>
  </si>
  <si>
    <t>Land area : 18200 sq. ft.</t>
  </si>
  <si>
    <t>RM 4,850,000</t>
  </si>
  <si>
    <t>RM 10,540,000</t>
  </si>
  <si>
    <t>Land area : 23900 sq. ft.</t>
  </si>
  <si>
    <t>RM 5,214,000</t>
  </si>
  <si>
    <t>Land area : 13000 sq. ft.</t>
  </si>
  <si>
    <t>Land area : 3100 sq. ft.</t>
  </si>
  <si>
    <t>Land area : 2850 sq. ft.</t>
  </si>
  <si>
    <t>RM 6,680,000</t>
  </si>
  <si>
    <t>RM 7,680,000</t>
  </si>
  <si>
    <t>Land area : 10800 sq. ft.</t>
  </si>
  <si>
    <t>Land area : 9600 sq. ft.</t>
  </si>
  <si>
    <t>Land area : 4040 sq. ft.</t>
  </si>
  <si>
    <t>RM 4,390,000</t>
  </si>
  <si>
    <t>Land area : 42x80 sq. ft.</t>
  </si>
  <si>
    <t>Built-up : 1,248 sq. ft.</t>
  </si>
  <si>
    <t>RM 578,000</t>
  </si>
  <si>
    <t>Built-up : 3,719 sq. ft.</t>
  </si>
  <si>
    <t>RM 708,000</t>
  </si>
  <si>
    <t>RM 6,820,000</t>
  </si>
  <si>
    <t>Land area : 5930 sq. ft.</t>
  </si>
  <si>
    <t>Built-up : 2,161 sq. ft.</t>
  </si>
  <si>
    <t>Land area : 9365 sq. ft.</t>
  </si>
  <si>
    <t>Land area : 3900 sq. ft.</t>
  </si>
  <si>
    <t>Built-up : 1,235 sq. ft.</t>
  </si>
  <si>
    <t>Land area : 26x75 sq. ft.</t>
  </si>
  <si>
    <t>Land area : 26x65 sq. ft.</t>
  </si>
  <si>
    <t>RM 619,999</t>
  </si>
  <si>
    <t>Built-up : 1,985 sq. ft.</t>
  </si>
  <si>
    <t>Land area : 48x54 sq. ft.</t>
  </si>
  <si>
    <t>RM 329,999</t>
  </si>
  <si>
    <t>Land area : 55x80 sq. ft.</t>
  </si>
  <si>
    <t>Built-up : 1,460 sq. ft.</t>
  </si>
  <si>
    <t>Built-up : 1,233 sq. ft.</t>
  </si>
  <si>
    <t>RM 559,000</t>
  </si>
  <si>
    <t>Built-up : 1,320 sq. ft.</t>
  </si>
  <si>
    <t>Built-up : 1,929 sq. ft.</t>
  </si>
  <si>
    <t>Built-up : 1,584 sq. ft.</t>
  </si>
  <si>
    <t>Land area : 7680 sq. ft.</t>
  </si>
  <si>
    <t>Built-up : 1,408 sq. ft.</t>
  </si>
  <si>
    <t>Built-up : 838 sq. ft.</t>
  </si>
  <si>
    <t>RM 7,800,000</t>
  </si>
  <si>
    <t>Land area : 20800 sq. ft.</t>
  </si>
  <si>
    <t>RM 529,000</t>
  </si>
  <si>
    <t>Built-up : 1,385 sq. ft.</t>
  </si>
  <si>
    <t>RM 915,000</t>
  </si>
  <si>
    <t>2.5-sty Terrace/Link House (Penthouse)</t>
  </si>
  <si>
    <t>Built-up : 1,007 sq. ft.</t>
  </si>
  <si>
    <t>Built-up : 1,757 sq. ft.</t>
  </si>
  <si>
    <t>Built-up : 1,416 sq. ft.</t>
  </si>
  <si>
    <t>Built-up : 543 sq. ft.</t>
  </si>
  <si>
    <t>RM 340,000</t>
  </si>
  <si>
    <t>RM 496,000</t>
  </si>
  <si>
    <t>RM 406,000</t>
  </si>
  <si>
    <t>Built-up : 975 sq. ft.</t>
  </si>
  <si>
    <t>Built-up : 1,037 sq. ft.</t>
  </si>
  <si>
    <t>Built-up : 1,477 sq. ft.</t>
  </si>
  <si>
    <t>Land area : 1034 sq. ft.</t>
  </si>
  <si>
    <t>Land area : 960 sq. ft.</t>
  </si>
  <si>
    <t>Land area : 959 sq. ft.</t>
  </si>
  <si>
    <t>Built-up : 2,055 sq. ft.</t>
  </si>
  <si>
    <t>RM 3,886,800</t>
  </si>
  <si>
    <t>Built-up : 3,574 sq. ft.</t>
  </si>
  <si>
    <t>Land area : 22 x 85 sq. ft.</t>
  </si>
  <si>
    <t>Built-up : 1,719 sq. ft.</t>
  </si>
  <si>
    <t>RM 1,078,000</t>
  </si>
  <si>
    <t>Land area : 900 sq. ft.</t>
  </si>
  <si>
    <t>Built-up : 1,201 sq. ft.</t>
  </si>
  <si>
    <t>RM 612,000</t>
  </si>
  <si>
    <t>Built-up : 978 sq. ft.</t>
  </si>
  <si>
    <t>Built-up : 722 sq. ft.</t>
  </si>
  <si>
    <t>Built-up : 962 sq. ft.</t>
  </si>
  <si>
    <t>Land area : 1540 sq. ft.</t>
  </si>
  <si>
    <t>Land area : 39X95 sq. ft.</t>
  </si>
  <si>
    <t>Land area : 9200 sq. ft.</t>
  </si>
  <si>
    <t>Built-up : 1,706 sq. ft.</t>
  </si>
  <si>
    <t>Built-up : 2,258 sq. ft.</t>
  </si>
  <si>
    <t>Land area : 1173 sq. ft.</t>
  </si>
  <si>
    <t>Land area : 496 sq. ft.</t>
  </si>
  <si>
    <t>RM 3,288,888</t>
  </si>
  <si>
    <t>Land area : 40x110(4400sf) sq. ft.</t>
  </si>
  <si>
    <t>Land area : 4100 sq. ft.</t>
  </si>
  <si>
    <t>Built-up : 986 sq. ft.</t>
  </si>
  <si>
    <t>Land area : 578 sq. ft.</t>
  </si>
  <si>
    <t>Built-up : 1,137 sq. ft.</t>
  </si>
  <si>
    <t>Land area : 5694 sq. ft.</t>
  </si>
  <si>
    <t>RM 1,688,000</t>
  </si>
  <si>
    <t>Land area : 28x65 sq. ft.</t>
  </si>
  <si>
    <t>Built-up : 7,266 sq. ft.</t>
  </si>
  <si>
    <t>Built-up : 1,514 sq. ft.</t>
  </si>
  <si>
    <t>RM 2,484,000</t>
  </si>
  <si>
    <t>Built-up : 695 sq. ft.</t>
  </si>
  <si>
    <t>Built-up : 2,207 sq. ft.</t>
  </si>
  <si>
    <t>Built-up : 2,036 sq. ft.</t>
  </si>
  <si>
    <t>Built-up : 1,997 sq. ft.</t>
  </si>
  <si>
    <t>Built-up : 3,732 sq. ft.</t>
  </si>
  <si>
    <t>RM 2,310,000</t>
  </si>
  <si>
    <t>Built-up : 2,291 sq. ft.</t>
  </si>
  <si>
    <t>Built-up : 3,857 sq. ft.</t>
  </si>
  <si>
    <t>RM 2,420,000</t>
  </si>
  <si>
    <t>Built-up : 917 sq. ft.</t>
  </si>
  <si>
    <t>Built-up : 1,043 sq. ft.</t>
  </si>
  <si>
    <t>RM 2,520,000</t>
  </si>
  <si>
    <t>Land area : 22 X 85 sq. ft.</t>
  </si>
  <si>
    <t>Salak Selatan, Kuala Lumpur</t>
  </si>
  <si>
    <t>Land area : 7720 sq. ft.</t>
  </si>
  <si>
    <t>Land area : 20 x 70 sq. ft.</t>
  </si>
  <si>
    <t>Land area : 20 x70 sq. ft.</t>
  </si>
  <si>
    <t>Built-up : 1,096 sq. ft.</t>
  </si>
  <si>
    <t>Land area : 936 sq. ft.</t>
  </si>
  <si>
    <t>Land area : 935 sq. ft.</t>
  </si>
  <si>
    <t>Built-up : 1,130 sq. ft.</t>
  </si>
  <si>
    <t>Land area : 4900 sq. ft.</t>
  </si>
  <si>
    <t>Land area : 3874 sq. ft.</t>
  </si>
  <si>
    <t>Built-up : 1,042 sq. ft.</t>
  </si>
  <si>
    <t>Built-up : 1,134 sq. ft.</t>
  </si>
  <si>
    <t>Land area : 65x80 sq. ft.</t>
  </si>
  <si>
    <t>Land area : 22 x 75 sq. ft.</t>
  </si>
  <si>
    <t>Built-up : 454 sq. ft.</t>
  </si>
  <si>
    <t>Built-up : 2,021 sq. ft.</t>
  </si>
  <si>
    <t>RM 646,701</t>
  </si>
  <si>
    <t>Land area : 3 acres</t>
  </si>
  <si>
    <t>Built-up : 1,516 sq. ft.</t>
  </si>
  <si>
    <t>RM 359,999</t>
  </si>
  <si>
    <t>SEMARAK, Kuala Lumpur</t>
  </si>
  <si>
    <t>Land area : 7980 sq. ft.</t>
  </si>
  <si>
    <t>RM 1,920,000</t>
  </si>
  <si>
    <t>RM 31,314,631</t>
  </si>
  <si>
    <t>Land area : 2.357 acres</t>
  </si>
  <si>
    <t>Built-up : 894 sq. ft.</t>
  </si>
  <si>
    <t>Land area : - sq. ft.</t>
  </si>
  <si>
    <t>Built-up : 1,331 sq. ft.</t>
  </si>
  <si>
    <t>RM 905,000</t>
  </si>
  <si>
    <t>Land area : 22 X 70 sq. ft.</t>
  </si>
  <si>
    <t>Built-up : 1,707 sq. m.</t>
  </si>
  <si>
    <t>RM 278,000</t>
  </si>
  <si>
    <t>Land area : 2464 sq. ft.</t>
  </si>
  <si>
    <t>Land area : 36x83 sq. ft.</t>
  </si>
  <si>
    <t>Built-up : 1,657 sq. ft.</t>
  </si>
  <si>
    <t>Built-up : 769 sq. ft.</t>
  </si>
  <si>
    <t>Built-up : 3,480 sq. ft.</t>
  </si>
  <si>
    <t>Land area : 11700 sq. ft.</t>
  </si>
  <si>
    <t>RM 392,000</t>
  </si>
  <si>
    <t>Land area : 18 x 60 sq. ft.</t>
  </si>
  <si>
    <t>Land area : 1894 sq. ft.</t>
  </si>
  <si>
    <t>Land area : 22 x 100 sq. ft.</t>
  </si>
  <si>
    <t>Built-up : 989 sq. ft.</t>
  </si>
  <si>
    <t>Built-up : 3,900 sq. ft.</t>
  </si>
  <si>
    <t>Built-up : 2,755 sq. ft.</t>
  </si>
  <si>
    <t>Land area : 7950 sq. ft.</t>
  </si>
  <si>
    <t>Built-up : 2,556 sq. ft.</t>
  </si>
  <si>
    <t>Built-up : 991 sq. ft.</t>
  </si>
  <si>
    <t>RM 685,000</t>
  </si>
  <si>
    <t>Built-up : 1,276 sq. ft.</t>
  </si>
  <si>
    <t>Land area : 1608 sq. ft.</t>
  </si>
  <si>
    <t>Land area : 1672 sq. ft.</t>
  </si>
  <si>
    <t>Land area : 15800 sq. ft.</t>
  </si>
  <si>
    <t>Land area : 8618 sq. ft.</t>
  </si>
  <si>
    <t>Land area : 10200 sq. ft.</t>
  </si>
  <si>
    <t>Land area : 825 sq. ft.</t>
  </si>
  <si>
    <t>RM 220,000</t>
  </si>
  <si>
    <t>Built-up : 1,581 sq. ft.</t>
  </si>
  <si>
    <t>RM 1,090,600</t>
  </si>
  <si>
    <t>RM 705,000</t>
  </si>
  <si>
    <t>RM 15,000,000</t>
  </si>
  <si>
    <t>RM 841,700</t>
  </si>
  <si>
    <t>Built-up : 1,121 sq. ft.</t>
  </si>
  <si>
    <t>RM 795,308</t>
  </si>
  <si>
    <t>RM 601,469</t>
  </si>
  <si>
    <t>Built-up : 821 sq. ft.</t>
  </si>
  <si>
    <t>RM 974,600</t>
  </si>
  <si>
    <t>Built-up : 1,328 sq. ft.</t>
  </si>
  <si>
    <t>RM 597,443</t>
  </si>
  <si>
    <t>Built-up : 857 sq. ft.</t>
  </si>
  <si>
    <t>Titiwangsa, Kuala Lumpur</t>
  </si>
  <si>
    <t>Built-up : 726 sq. ft.</t>
  </si>
  <si>
    <t>Land area : 815 sq. ft.</t>
  </si>
  <si>
    <t>Built-up : 6,120 sq. ft.</t>
  </si>
  <si>
    <t>Land area : 1871 sq. ft.</t>
  </si>
  <si>
    <t>RM 2,005,000</t>
  </si>
  <si>
    <t>Built-up : 979 sq. ft.</t>
  </si>
  <si>
    <t>Land area : 20 x 86 sq. ft.</t>
  </si>
  <si>
    <t>RM 3,854,400</t>
  </si>
  <si>
    <t>Built-up : 2,409 sq. ft.</t>
  </si>
  <si>
    <t>Built-up : 1,750 sq. ft.</t>
  </si>
  <si>
    <t>RM 402,000</t>
  </si>
  <si>
    <t>Built-up : 845 sq. ft.</t>
  </si>
  <si>
    <t>Built-up : 1,224 sq. ft.</t>
  </si>
  <si>
    <t>Land area : 7350 sq. ft.</t>
  </si>
  <si>
    <t>Land area : 4455 sq. ft.</t>
  </si>
  <si>
    <t>Land area : 657 sq. ft.</t>
  </si>
  <si>
    <t>Built-up : 1,104 sq. ft.</t>
  </si>
  <si>
    <t>Land area : 7988 sq. ft.</t>
  </si>
  <si>
    <t>Built-up : 1,620 sq. ft.</t>
  </si>
  <si>
    <t>Land area : 16X55 sq. ft.</t>
  </si>
  <si>
    <t>Built-up : 878 sq. ft.</t>
  </si>
  <si>
    <t>Built-up : 1,338 sq. ft.</t>
  </si>
  <si>
    <t>Built-up : 2,059 sq. ft.</t>
  </si>
  <si>
    <t>2.5-sty Terrace/Link House (Corner)</t>
  </si>
  <si>
    <t>Built-up : 2,277 sq. ft.</t>
  </si>
  <si>
    <t>Built-up : 1,831 sq. ft.</t>
  </si>
  <si>
    <t>Built-up : 2,269 sq. ft.</t>
  </si>
  <si>
    <t>RM 1,642,744</t>
  </si>
  <si>
    <t>Land area : 7167 sq. ft.</t>
  </si>
  <si>
    <t>Built-up : 1,133 sq. ft.</t>
  </si>
  <si>
    <t>Built-up : 5,230 sq. ft.</t>
  </si>
  <si>
    <t>RM 1,473,450</t>
  </si>
  <si>
    <t>Built-up : 1,551 sq. ft.</t>
  </si>
  <si>
    <t>Built-up : 1,122 sq. ft.</t>
  </si>
  <si>
    <t>RM 595,000</t>
  </si>
  <si>
    <t>Land area : 20600 sq. ft.</t>
  </si>
  <si>
    <t>RM 4,088,000</t>
  </si>
  <si>
    <t>Land area : 6534 sq. ft.</t>
  </si>
  <si>
    <t>RM 698,000</t>
  </si>
  <si>
    <t>Built-up : 891 sq. ft.</t>
  </si>
  <si>
    <t>Land area : 20x54 sq. ft.</t>
  </si>
  <si>
    <t>RM 1,075,000</t>
  </si>
  <si>
    <t>Land area : 1757 sq. ft.</t>
  </si>
  <si>
    <t>Built-up : 1,209 sq. ft.</t>
  </si>
  <si>
    <t>Flat (Corner)</t>
  </si>
  <si>
    <t>Built-up : 1,001 sq. ft.</t>
  </si>
  <si>
    <t>Built-up : 1,016 sq. ft.</t>
  </si>
  <si>
    <t>Built-up : 2,690 sq. ft.</t>
  </si>
  <si>
    <t>Land area : 1222 sq. ft.</t>
  </si>
  <si>
    <t>RM 519,610</t>
  </si>
  <si>
    <t>RM 728,000</t>
  </si>
  <si>
    <t>RM 664,020</t>
  </si>
  <si>
    <t>Built-up : 696 sq. ft.</t>
  </si>
  <si>
    <t>Land area : 1790 sq. ft.</t>
  </si>
  <si>
    <t>Built-up : 2,928 sq. ft.</t>
  </si>
  <si>
    <t>RM 395,000</t>
  </si>
  <si>
    <t>Apartment (EndLot)</t>
  </si>
  <si>
    <t>RM 200,000</t>
  </si>
  <si>
    <t>Land area : 24x60 sq. ft.</t>
  </si>
  <si>
    <t>Land area : 18 x 65 sq. ft.</t>
  </si>
  <si>
    <t>Built-up : 1,075 sq. ft.</t>
  </si>
  <si>
    <t>RM 1,149,000</t>
  </si>
  <si>
    <t>Land area : 1221 sq. ft.</t>
  </si>
  <si>
    <t>Built-up : 2,150 sq. ft.</t>
  </si>
  <si>
    <t>RM 2,171,505</t>
  </si>
  <si>
    <t>RM 7,397,250</t>
  </si>
  <si>
    <t>Built-up : 4,227 sq. ft.</t>
  </si>
  <si>
    <t>Built-up : 2,447 sq. ft.</t>
  </si>
  <si>
    <t>RM 1,401,662</t>
  </si>
  <si>
    <t>RM 1,678,225</t>
  </si>
  <si>
    <t>RM 2,106,463</t>
  </si>
  <si>
    <t>RM 1,790,820</t>
  </si>
  <si>
    <t>RM 1,719,148</t>
  </si>
  <si>
    <t>RM 2,188,533</t>
  </si>
  <si>
    <t>Built-up : 2,850 sq. ft.</t>
  </si>
  <si>
    <t>Land area : 6860 sq. ft.</t>
  </si>
  <si>
    <t>Built-up : 4,900 sq. ft.</t>
  </si>
  <si>
    <t>RM 1,970,000</t>
  </si>
  <si>
    <t>Built-up : 1,190 sq. ft.</t>
  </si>
  <si>
    <t>Land area : 3960 sq. ft.</t>
  </si>
  <si>
    <t>RM 368,620</t>
  </si>
  <si>
    <t>Built-up : 1,059 sq. ft.</t>
  </si>
  <si>
    <t>RM 398,800</t>
  </si>
  <si>
    <t>Land area : 750 sq. ft.</t>
  </si>
  <si>
    <t>RM 1,307,475</t>
  </si>
  <si>
    <t>Built-up : 1,298 sq. ft.</t>
  </si>
  <si>
    <t>RM 505,000</t>
  </si>
  <si>
    <t>RM 1,739,000</t>
  </si>
  <si>
    <t>Built-up : 4,068 sq. ft.</t>
  </si>
  <si>
    <t>Land area : 8859 sq. ft.</t>
  </si>
  <si>
    <t>RM 606,000</t>
  </si>
  <si>
    <t>Land area : 40 x 80 sq. ft.</t>
  </si>
  <si>
    <t>Land area : 48x65 sq. ft.</t>
  </si>
  <si>
    <t>Built-up : 1,380 sq. ft.</t>
  </si>
  <si>
    <t>RM 1,125,000</t>
  </si>
  <si>
    <t>Built-up : 1,125 sq. ft.</t>
  </si>
  <si>
    <t>Built-up : 3,349 sq. ft.</t>
  </si>
  <si>
    <t>RM 1,359,640</t>
  </si>
  <si>
    <t>Land area : 8878 sq. ft.</t>
  </si>
  <si>
    <t>Built-up : 3,590 sq. ft.</t>
  </si>
  <si>
    <t>RM 2,244,000</t>
  </si>
  <si>
    <t>Built-up : 1,355 sq. ft.</t>
  </si>
  <si>
    <t>RM 1,150</t>
  </si>
  <si>
    <t>Built-up : 947 sq. ft.</t>
  </si>
  <si>
    <t>Built-up : 7,378 sq. ft.</t>
  </si>
  <si>
    <t>RM 2,740,000</t>
  </si>
  <si>
    <t>Built-up : 2,954 sq. ft.</t>
  </si>
  <si>
    <t>RM 1,149,999</t>
  </si>
  <si>
    <t>Land area : 33 x 100 sq. ft.</t>
  </si>
  <si>
    <t>Land area : 2040 sq. ft.</t>
  </si>
  <si>
    <t>Land area : 25x90 sq. ft.</t>
  </si>
  <si>
    <t>RM 1,290,800</t>
  </si>
  <si>
    <t>Land area : 3788 sq. ft.</t>
  </si>
  <si>
    <t>Land area : 28313 sq. ft.</t>
  </si>
  <si>
    <t>RM 865,000</t>
  </si>
  <si>
    <t>Built-up : 1,347 sq. ft.</t>
  </si>
  <si>
    <t>Land area : 5994 sq. ft.</t>
  </si>
  <si>
    <t>Land area : 6500 sq. ft.</t>
  </si>
  <si>
    <t>Built-up : 937 sq. ft.</t>
  </si>
  <si>
    <t>Land area : 952 sq. ft.</t>
  </si>
  <si>
    <t>Built-up : 2,034 sq. ft.</t>
  </si>
  <si>
    <t>Built-up : 4,055 sq. ft.</t>
  </si>
  <si>
    <t>Land area : 4983 sq. ft.</t>
  </si>
  <si>
    <t>Land area : 4590 sq. ft.</t>
  </si>
  <si>
    <t>Built-up : 3,141 sq. ft.</t>
  </si>
  <si>
    <t>Damansara, Kuala Lumpur</t>
  </si>
  <si>
    <t>4-sty Terrace/Link House (Corner)</t>
  </si>
  <si>
    <t>Land area : 4112 sq. ft.</t>
  </si>
  <si>
    <t>RM 10,081,000</t>
  </si>
  <si>
    <t>Land area : 30x66 sq. ft.</t>
  </si>
  <si>
    <t>RM 4,249,350</t>
  </si>
  <si>
    <t>Land area : 12141 sq. ft.</t>
  </si>
  <si>
    <t>Land area : 4123 sq. ft.</t>
  </si>
  <si>
    <t>RM 7,700,000</t>
  </si>
  <si>
    <t>Built-up : 4,853 sq. ft.</t>
  </si>
  <si>
    <t>Built-up : 3,003 sq. ft.</t>
  </si>
  <si>
    <t>Built-up : 689 sq. ft.</t>
  </si>
  <si>
    <t>Built-up : 865 sq. ft.</t>
  </si>
  <si>
    <t>RM 985,000</t>
  </si>
  <si>
    <t>Built-up : 3,735 sq. ft.</t>
  </si>
  <si>
    <t>Built-up : 4,427 sq. ft.</t>
  </si>
  <si>
    <t>RM 8,180,000</t>
  </si>
  <si>
    <t>Land area : 9709 sq. ft.</t>
  </si>
  <si>
    <t>RM 5,850,000</t>
  </si>
  <si>
    <t>RM 15,800,000</t>
  </si>
  <si>
    <t>Land area : 12240 sq. ft.</t>
  </si>
  <si>
    <t>Land area : 21582 sq. ft.</t>
  </si>
  <si>
    <t>RM 6,999,888</t>
  </si>
  <si>
    <t>Built-up : 2,645 sq. ft.</t>
  </si>
  <si>
    <t>Land area : 1045 sq. ft.</t>
  </si>
  <si>
    <t>RM 836,100</t>
  </si>
  <si>
    <t>RM 48,264,480</t>
  </si>
  <si>
    <t>Land area : 1.385 Acres sq. ft.</t>
  </si>
  <si>
    <t>Land area : 22' X 85' sq. ft.</t>
  </si>
  <si>
    <t>Land area : 15750 sq. ft.</t>
  </si>
  <si>
    <t>Built-up : 4,700 sq. ft.</t>
  </si>
  <si>
    <t>Built-up : 3,700 sq. ft.</t>
  </si>
  <si>
    <t>Built-up : 6,689 sq. ft.</t>
  </si>
  <si>
    <t>RM 412,000</t>
  </si>
  <si>
    <t>Built-up : 966 sq. ft.</t>
  </si>
  <si>
    <t>RM 504,000</t>
  </si>
  <si>
    <t>Land area : 9907 sq. ft.</t>
  </si>
  <si>
    <t>Land area : 5270 sq. ft.</t>
  </si>
  <si>
    <t>Land area : 5300 sq. ft.</t>
  </si>
  <si>
    <t>Built-up : 5,540 sq. ft.</t>
  </si>
  <si>
    <t>Flat</t>
  </si>
  <si>
    <t>Built-up : 54,200 sq. ft.</t>
  </si>
  <si>
    <t>Land area : 1010 sq. ft.</t>
  </si>
  <si>
    <t>Bandar Tasik Selatan, Kuala Lumpur</t>
  </si>
  <si>
    <t>RM 180,000</t>
  </si>
  <si>
    <t>RM 3,250,000</t>
  </si>
  <si>
    <t>RM 664,470</t>
  </si>
  <si>
    <t>Land area : 40x120 sq. ft.</t>
  </si>
  <si>
    <t>Built-up : 893 sq. ft.</t>
  </si>
  <si>
    <t>RM 50,000,000</t>
  </si>
  <si>
    <t>Land area : 30000 sq. ft.</t>
  </si>
  <si>
    <t>Built-up : 1,839 sq. ft.</t>
  </si>
  <si>
    <t>Built-up : 940 sq. ft.</t>
  </si>
  <si>
    <t>Condominium (SOHO)</t>
  </si>
  <si>
    <t>Built-up : 716 sq. ft.</t>
  </si>
  <si>
    <t>RM 2,904,300</t>
  </si>
  <si>
    <t>Land area : 41x70 sq. ft.</t>
  </si>
  <si>
    <t>Built-up : 687 sq. ft.</t>
  </si>
  <si>
    <t>Land area : 811 sq. ft.</t>
  </si>
  <si>
    <t>Land area : 3475 sq. ft.</t>
  </si>
  <si>
    <t>Land area : 43x79 sq. ft.</t>
  </si>
  <si>
    <t>Land area : 80x80 sq. ft.</t>
  </si>
  <si>
    <t>Built-up : 1,105 sq. ft.</t>
  </si>
  <si>
    <t>Built-up : 1,920 sq. ft.</t>
  </si>
  <si>
    <t>RM 510,300</t>
  </si>
  <si>
    <t>Land area : 20X75 sq. ft.</t>
  </si>
  <si>
    <t>Land area : 1830 sq. ft.</t>
  </si>
  <si>
    <t>Land area : 4740 sq. ft.</t>
  </si>
  <si>
    <t>Land area : 5823 sq. ft.</t>
  </si>
  <si>
    <t>Built-up : 1,970 sq. ft.</t>
  </si>
  <si>
    <t>Land area : 1356 sq. ft.</t>
  </si>
  <si>
    <t>Built-up : 2,056 sq. ft.</t>
  </si>
  <si>
    <t>RM 951,000</t>
  </si>
  <si>
    <t>Land area : 4047 sq. ft.</t>
  </si>
  <si>
    <t>Built-up : 7,100 sq. ft.</t>
  </si>
  <si>
    <t>Land area : 6120 sq. ft.</t>
  </si>
  <si>
    <t>RM 1,297,500</t>
  </si>
  <si>
    <t>Built-up : 325 sq. ft.</t>
  </si>
  <si>
    <t>RM 1,396,000</t>
  </si>
  <si>
    <t>Built-up : 652 sq. ft.</t>
  </si>
  <si>
    <t>Built-up : 1,435 sq. ft.</t>
  </si>
  <si>
    <t>RM 229,000</t>
  </si>
  <si>
    <t>Land area : 5900 sq. ft.</t>
  </si>
  <si>
    <t>Built-up : 1,595 sq. ft.</t>
  </si>
  <si>
    <t>Built-up : 4,690 sq. ft.</t>
  </si>
  <si>
    <t>RM 2,257,000</t>
  </si>
  <si>
    <t>Built-up : 1,559 sq. ft.</t>
  </si>
  <si>
    <t>Land area : 3797 sq. ft.</t>
  </si>
  <si>
    <t>Land area : 38x93 sq. ft.</t>
  </si>
  <si>
    <t>Built-up : 1,234 sq. ft.</t>
  </si>
  <si>
    <t>RM 158,000</t>
  </si>
  <si>
    <t>Built-up : 2,474 sq. ft.</t>
  </si>
  <si>
    <t>Built-up : 1,396 sq. ft.</t>
  </si>
  <si>
    <t>Built-up : 595 sq. ft.</t>
  </si>
  <si>
    <t>Built-up : 683 sq. ft.</t>
  </si>
  <si>
    <t>RM 2,478,600</t>
  </si>
  <si>
    <t>Built-up : 1,363 sq. ft.</t>
  </si>
  <si>
    <t>Built-up : 5,500 sq. ft.</t>
  </si>
  <si>
    <t>Built-up : 1,038 sq. ft.</t>
  </si>
  <si>
    <t>RM 3,300</t>
  </si>
  <si>
    <t>Built-up : 1,407 sq. ft.</t>
  </si>
  <si>
    <t>RM 5,450,000</t>
  </si>
  <si>
    <t>Land area : 5440 sq. ft.</t>
  </si>
  <si>
    <t>RM 1,937,320</t>
  </si>
  <si>
    <t>RM 9,700,000</t>
  </si>
  <si>
    <t>Land area : 81000 sq. ft.</t>
  </si>
  <si>
    <t>Built-up : 1,285 sq. ft.</t>
  </si>
  <si>
    <t>Built-up : 1,008 sq. ft.</t>
  </si>
  <si>
    <t>Built-up : 1,070 sq. ft.</t>
  </si>
  <si>
    <t>RM 558,000</t>
  </si>
  <si>
    <t>Land area : 1513 sq. ft.</t>
  </si>
  <si>
    <t>Land area : 20 x 65 sq. ft.</t>
  </si>
  <si>
    <t>RM 383,820</t>
  </si>
  <si>
    <t>Land area : 1270 sq. ft.</t>
  </si>
  <si>
    <t>Built-up : 980 sq. ft.</t>
  </si>
  <si>
    <t>RM 4,753,000</t>
  </si>
  <si>
    <t>Built-up : 3,283 sq. ft.</t>
  </si>
  <si>
    <t>RM 1,455,000</t>
  </si>
  <si>
    <t>RM 4,718,000</t>
  </si>
  <si>
    <t>Built-up : 2,949 sq. ft.</t>
  </si>
  <si>
    <t>RM 898,380</t>
  </si>
  <si>
    <t>RM 765,390</t>
  </si>
  <si>
    <t>RM 661,700</t>
  </si>
  <si>
    <t>Land area : 1207 sq. ft.</t>
  </si>
  <si>
    <t>RM 2,570,000</t>
  </si>
  <si>
    <t>Built-up : 748 sq. ft.</t>
  </si>
  <si>
    <t>Built-up : 1,011 sq. ft.</t>
  </si>
  <si>
    <t>Built-up : 853 sq. ft.</t>
  </si>
  <si>
    <t>Built-up : 1,684 sq. ft.</t>
  </si>
  <si>
    <t>Land area : 784 sq. ft.</t>
  </si>
  <si>
    <t>RM 968,000</t>
  </si>
  <si>
    <t>Land area : 10350 sq. ft.</t>
  </si>
  <si>
    <t>Built-up : 686 sq. ft.</t>
  </si>
  <si>
    <t>Built-up : 1,470 sq. ft.</t>
  </si>
  <si>
    <t>RM 5,788,000</t>
  </si>
  <si>
    <t>RM 973,150</t>
  </si>
  <si>
    <t>Land area : 3756 sq. ft.</t>
  </si>
  <si>
    <t>RM 1,088,000</t>
  </si>
  <si>
    <t>Land area : 4004 sq. ft.</t>
  </si>
  <si>
    <t>RM 7,607,600</t>
  </si>
  <si>
    <t>Land area : 13832 sq. ft.</t>
  </si>
  <si>
    <t>RM 4,350,000</t>
  </si>
  <si>
    <t>Land area : 16436 sq. ft.</t>
  </si>
  <si>
    <t>RM 5,100,000</t>
  </si>
  <si>
    <t>Land area : 7800 sq. ft.</t>
  </si>
  <si>
    <t>Built-up : 924 sq. ft.</t>
  </si>
  <si>
    <t>Built-up : 1,979 sq. ft.</t>
  </si>
  <si>
    <t>Built-up : 2,996 sq. ft.</t>
  </si>
  <si>
    <t>Land area : 22x72 sq. ft.</t>
  </si>
  <si>
    <t>RM 1,395,000</t>
  </si>
  <si>
    <t>Built-up : 3,891 sq. ft.</t>
  </si>
  <si>
    <t>RM 3,941,000</t>
  </si>
  <si>
    <t>Built-up : 3,941 sq. ft.</t>
  </si>
  <si>
    <t>Built-up : 2,121 sq. ft.</t>
  </si>
  <si>
    <t>RM 735,000</t>
  </si>
  <si>
    <t>Land area : 5354 sq. ft.</t>
  </si>
  <si>
    <t>Built-up : 1,512 sq. ft.</t>
  </si>
  <si>
    <t>Built-up : 2,743 sq. ft.</t>
  </si>
  <si>
    <t>RM 1,499,999</t>
  </si>
  <si>
    <t>Built-up : 1,660 sq. ft.</t>
  </si>
  <si>
    <t>Built-up : 2,516 sq. ft.</t>
  </si>
  <si>
    <t>RM 2,788,000</t>
  </si>
  <si>
    <t>Land area : 22 x 72 sq. ft.</t>
  </si>
  <si>
    <t>Built-up : 2,248 sq. ft.</t>
  </si>
  <si>
    <t>Built-up : 4,333 sq. ft.</t>
  </si>
  <si>
    <t>Built-up : 1,312 sq. ft.</t>
  </si>
  <si>
    <t>Built-up : 3,240 sq. ft.</t>
  </si>
  <si>
    <t>Built-up : 1,679 sq. ft.</t>
  </si>
  <si>
    <t>RM 9,300,000</t>
  </si>
  <si>
    <t>Built-up : 8,365 sq. ft.</t>
  </si>
  <si>
    <t>Built-up : 1,390 sq. ft.</t>
  </si>
  <si>
    <t>RM 2,052,000</t>
  </si>
  <si>
    <t>Built-up : 2,280 sq. ft.</t>
  </si>
  <si>
    <t>Land area : 1700 sq. ft.</t>
  </si>
  <si>
    <t>Land area : 3844 sq. ft.</t>
  </si>
  <si>
    <t>Built-up : 1,252 sq. ft.</t>
  </si>
  <si>
    <t>Built-up : 1,047 sq. ft.</t>
  </si>
  <si>
    <t>Land area : 8966 sq. ft.</t>
  </si>
  <si>
    <t>Land area : 962 sq. ft.</t>
  </si>
  <si>
    <t>Alam Damai, Kuala Lumpur</t>
  </si>
  <si>
    <t>Built-up : 1,611 sq. ft.</t>
  </si>
  <si>
    <t>RM 749,000</t>
  </si>
  <si>
    <t>RM 455,000</t>
  </si>
  <si>
    <t>RM 737,000</t>
  </si>
  <si>
    <t>RM 2,800</t>
  </si>
  <si>
    <t>Built-up : 869 sq. ft.</t>
  </si>
  <si>
    <t>RM 679,000</t>
  </si>
  <si>
    <t>Built-up : 725 sq. ft.</t>
  </si>
  <si>
    <t>Built-up : 648 sq. ft.</t>
  </si>
  <si>
    <t>Land area : 1507 sq. ft.</t>
  </si>
  <si>
    <t>Bukit Ledang, Kuala Lumpur</t>
  </si>
  <si>
    <t>RM 1,723,500</t>
  </si>
  <si>
    <t>Land area : 4884 sq. ft.</t>
  </si>
  <si>
    <t>RM 714,000</t>
  </si>
  <si>
    <t>Land area : 904 sq. ft.</t>
  </si>
  <si>
    <t>Land area : 1109 sq. ft.</t>
  </si>
  <si>
    <t>Built-up : 2,680 sq. ft.</t>
  </si>
  <si>
    <t>Built-up : 1,116 sq. ft.</t>
  </si>
  <si>
    <t>Built-up : 2,739 sq. ft.</t>
  </si>
  <si>
    <t>Built-up : 2,416 sq. ft.</t>
  </si>
  <si>
    <t>Built-up : 3,467 sq. ft.</t>
  </si>
  <si>
    <t>Built-up : 3,502 sq. ft.</t>
  </si>
  <si>
    <t>Built-up : 5,472 sq. ft.</t>
  </si>
  <si>
    <t>RM 384,000</t>
  </si>
  <si>
    <t>Land area : 1870 sq. ft.</t>
  </si>
  <si>
    <t>RM 875,000</t>
  </si>
  <si>
    <t>Land area : 20*65 sq. ft.</t>
  </si>
  <si>
    <t>Land area : 8400 sq. ft.</t>
  </si>
  <si>
    <t>Land area : 6931 sq. ft.</t>
  </si>
  <si>
    <t>RM 450,800</t>
  </si>
  <si>
    <t>RM 1,359,000</t>
  </si>
  <si>
    <t>RM 718,000</t>
  </si>
  <si>
    <t>Built-up : 782 sq. ft.</t>
  </si>
  <si>
    <t>RM 545,000</t>
  </si>
  <si>
    <t>Built-up : 518 sq. ft.</t>
  </si>
  <si>
    <t>RM 529,600</t>
  </si>
  <si>
    <t>Built-up : 713 sq. ft.</t>
  </si>
  <si>
    <t>RM 690,788</t>
  </si>
  <si>
    <t>Built-up : 1,126 sq. ft.</t>
  </si>
  <si>
    <t>RM 546,000</t>
  </si>
  <si>
    <t>RM 384,384</t>
  </si>
  <si>
    <t>RM 369,000</t>
  </si>
  <si>
    <t>RM 536,000</t>
  </si>
  <si>
    <t>Built-up : 592 sq. ft.</t>
  </si>
  <si>
    <t>RM 618,500</t>
  </si>
  <si>
    <t>RM 378,400</t>
  </si>
  <si>
    <t>RM 588,880</t>
  </si>
  <si>
    <t>RM 513,000</t>
  </si>
  <si>
    <t>RM 789,000</t>
  </si>
  <si>
    <t>Built-up : 886 sq. ft.</t>
  </si>
  <si>
    <t>Built-up : 957 sq. ft.</t>
  </si>
  <si>
    <t>Built-up : 1,132 sq. ft.</t>
  </si>
  <si>
    <t>RM 170,000</t>
  </si>
  <si>
    <t>RM 250,000</t>
  </si>
  <si>
    <t>Built-up : 956 sq. ft.</t>
  </si>
  <si>
    <t>Built-up : 946 sq. ft.</t>
  </si>
  <si>
    <t>RM 965,000</t>
  </si>
  <si>
    <t>Built-up : 5,738 sq. ft.</t>
  </si>
  <si>
    <t>Land area : 32 X 75 sq. ft.</t>
  </si>
  <si>
    <t>RM 10,800,000</t>
  </si>
  <si>
    <t>Land area : 4700 sq. ft.</t>
  </si>
  <si>
    <t>RM 448,000</t>
  </si>
  <si>
    <t>Land area : 1850 sq. ft.</t>
  </si>
  <si>
    <t>Land area : 2045 sq. ft.</t>
  </si>
  <si>
    <t>RM 958,000</t>
  </si>
  <si>
    <t>Land area : 36x80 sq. ft.</t>
  </si>
  <si>
    <t>Built-up : 1,358 sq. ft.</t>
  </si>
  <si>
    <t>Built-up : 1,316 sq. ft.</t>
  </si>
  <si>
    <t>Built-up : 2,236 sq. ft.</t>
  </si>
  <si>
    <t>Built-up : 1,221 sq. ft.</t>
  </si>
  <si>
    <t>Land area : 36x85 sq. ft.</t>
  </si>
  <si>
    <t>Land area : 47x75 sq. ft.</t>
  </si>
  <si>
    <t>Land area : 8848 sq. ft.</t>
  </si>
  <si>
    <t>Built-up : 1,635 sq. ft.</t>
  </si>
  <si>
    <t>Land area : 9120 sq. ft.</t>
  </si>
  <si>
    <t>RM 6,331,050</t>
  </si>
  <si>
    <t>Bungalow Land (Corner)</t>
  </si>
  <si>
    <t>Land area : 14068 sq. ft.</t>
  </si>
  <si>
    <t>Land area : 12002 sq. ft.</t>
  </si>
  <si>
    <t>Land area : 4941 sq. ft.</t>
  </si>
  <si>
    <t>Land area : 4556 sq. ft.</t>
  </si>
  <si>
    <t>Land area : 4667 sq. ft.</t>
  </si>
  <si>
    <t>Built-up : 1,405 sq. ft.</t>
  </si>
  <si>
    <t>RM 105,000</t>
  </si>
  <si>
    <t>RM 389,000</t>
  </si>
  <si>
    <t>RM 439,000</t>
  </si>
  <si>
    <t>RM 419,000</t>
  </si>
  <si>
    <t>Built-up : 514 sq. ft.</t>
  </si>
  <si>
    <t>Land area : 1039 sq. ft.</t>
  </si>
  <si>
    <t>Built-up : 3,033 sq. ft.</t>
  </si>
  <si>
    <t>RM 2,414,710</t>
  </si>
  <si>
    <t>Built-up : 2,090 sq. ft.</t>
  </si>
  <si>
    <t>Built-up : 2,553 sq. ft.</t>
  </si>
  <si>
    <t>RM 2,237,620</t>
  </si>
  <si>
    <t>Built-up : 2,668 sq. ft.</t>
  </si>
  <si>
    <t>Built-up : 2,028 sq. ft.</t>
  </si>
  <si>
    <t>Built-up : 2,487 sq. ft.</t>
  </si>
  <si>
    <t>RM 2,828,280</t>
  </si>
  <si>
    <t>Built-up : 3,626 sq. ft.</t>
  </si>
  <si>
    <t>Built-up : 1,097 sq. ft.</t>
  </si>
  <si>
    <t>Built-up : 3,316 sq. ft.</t>
  </si>
  <si>
    <t>Built-up : 3,203 sq. ft.</t>
  </si>
  <si>
    <t>RM 1,967,750</t>
  </si>
  <si>
    <t>RM 1,852,000</t>
  </si>
  <si>
    <t>RM 6,090,920</t>
  </si>
  <si>
    <t>Built-up : 6,575 sq. ft.</t>
  </si>
  <si>
    <t>RM 3,748,080</t>
  </si>
  <si>
    <t>RM 3,963,960</t>
  </si>
  <si>
    <t>Built-up : 4,356 sq. ft.</t>
  </si>
  <si>
    <t>RM 3,990,000</t>
  </si>
  <si>
    <t>Built-up : 3,979 sq. ft.</t>
  </si>
  <si>
    <t>Built-up : 2,249 sq. ft.</t>
  </si>
  <si>
    <t>RM 6,331,500</t>
  </si>
  <si>
    <t>Built-up : 4,237 sq. ft.</t>
  </si>
  <si>
    <t>RM 2,810,000</t>
  </si>
  <si>
    <t>Built-up : 2,241 sq. ft.</t>
  </si>
  <si>
    <t>RM 2,357,000</t>
  </si>
  <si>
    <t>Built-up : 2,357 sq. ft.</t>
  </si>
  <si>
    <t>RM 3,513,000</t>
  </si>
  <si>
    <t>Built-up : 1,492 sq. ft.</t>
  </si>
  <si>
    <t>RM 4,041,100</t>
  </si>
  <si>
    <t>RM 1,979,250</t>
  </si>
  <si>
    <t>Built-up : 1,885 sq. ft.</t>
  </si>
  <si>
    <t>RM 2,655,400</t>
  </si>
  <si>
    <t>Built-up : 2,414 sq. ft.</t>
  </si>
  <si>
    <t>RM 2,473,000</t>
  </si>
  <si>
    <t>Built-up : 2,473 sq. ft.</t>
  </si>
  <si>
    <t>Built-up : 908 sq. ft.</t>
  </si>
  <si>
    <t>RM 9,496,000</t>
  </si>
  <si>
    <t>Built-up : 7,287 sq. ft.</t>
  </si>
  <si>
    <t>RM 4,996,950</t>
  </si>
  <si>
    <t>Built-up : 3,950 sq. ft.</t>
  </si>
  <si>
    <t>Built-up : 4,721 sq. ft.</t>
  </si>
  <si>
    <t>RM 4,626,300</t>
  </si>
  <si>
    <t>Land area : 6878 sq. ft.</t>
  </si>
  <si>
    <t>RM 5,149,300</t>
  </si>
  <si>
    <t>Land area : 7922 sq. ft.</t>
  </si>
  <si>
    <t>Land area : 11302 sq. ft.</t>
  </si>
  <si>
    <t>RM 6,065,800</t>
  </si>
  <si>
    <t>Land area : 9332 sq. ft.</t>
  </si>
  <si>
    <t>RM 5,799,950</t>
  </si>
  <si>
    <t>Land area : 8923 sq. ft.</t>
  </si>
  <si>
    <t>Land area : 7329 sq. ft.</t>
  </si>
  <si>
    <t>Built-up : 2,740 sq. ft.</t>
  </si>
  <si>
    <t>Land area : 8350 sq. ft.</t>
  </si>
  <si>
    <t>Built-up : 1,475 sq. ft.</t>
  </si>
  <si>
    <t>Built-up : 2,780 sq. ft.</t>
  </si>
  <si>
    <t>RM 1,038,000</t>
  </si>
  <si>
    <t>Built-up : 4,580 sq. ft.</t>
  </si>
  <si>
    <t>Land area : 6360 sq. ft.</t>
  </si>
  <si>
    <t>Land area : 2572 sq. ft.</t>
  </si>
  <si>
    <t>Built-up : 2,278 sq. ft.</t>
  </si>
  <si>
    <t>RM 2,008,000</t>
  </si>
  <si>
    <t>Built-up : 2,496 sq. ft.</t>
  </si>
  <si>
    <t>Land area : 8365 sq. ft.</t>
  </si>
  <si>
    <t>Land area : 14327 sq. ft.</t>
  </si>
  <si>
    <t>Land area : 2029 sq. ft.</t>
  </si>
  <si>
    <t>Land area : 6670 sq. ft.</t>
  </si>
  <si>
    <t>Land area : 1389 sq. ft.</t>
  </si>
  <si>
    <t>Built-up : 2,247 sq. ft.</t>
  </si>
  <si>
    <t>Built-up : 1,314 sq. ft.</t>
  </si>
  <si>
    <t>RM 608,000</t>
  </si>
  <si>
    <t>Built-up : 1,616 sq. ft.</t>
  </si>
  <si>
    <t>Land area : 20X85 sq. ft.</t>
  </si>
  <si>
    <t>Jinjang, Kuala Lumpur</t>
  </si>
  <si>
    <t>Built-up : 3,370 sq. ft.</t>
  </si>
  <si>
    <t>Built-up : 1,594 sq. ft.</t>
  </si>
  <si>
    <t>Land area : 1373 sq. ft.</t>
  </si>
  <si>
    <t>Land area : 24x143 sq. ft.</t>
  </si>
  <si>
    <t>Gombak, Kuala Lumpur</t>
  </si>
  <si>
    <t>Land area : 632 sq. ft.</t>
  </si>
  <si>
    <t>RM 672,300</t>
  </si>
  <si>
    <t>RM 11,900,000</t>
  </si>
  <si>
    <t>Land area : 9619 sq. ft.</t>
  </si>
  <si>
    <t>RM 5,751,200</t>
  </si>
  <si>
    <t>Built-up : 1,257 sq. ft.</t>
  </si>
  <si>
    <t>Built-up : 2,037 sq. ft.</t>
  </si>
  <si>
    <t>Built-up : 2,092 sq. ft.</t>
  </si>
  <si>
    <t>RM 339,000</t>
  </si>
  <si>
    <t>RM 328,000</t>
  </si>
  <si>
    <t>Built-up : 1,675 sq. ft.</t>
  </si>
  <si>
    <t>RM 138,000</t>
  </si>
  <si>
    <t>Built-up : 540 sq. ft.</t>
  </si>
  <si>
    <t>Land area : 20X65 sq. ft.</t>
  </si>
  <si>
    <t>Built-up : 5,400 sq. ft.</t>
  </si>
  <si>
    <t>Built-up : 3,139 sq. ft.</t>
  </si>
  <si>
    <t>Built-up : 1,766 sq. ft.</t>
  </si>
  <si>
    <t>Built-up : 2,035 sq. ft.</t>
  </si>
  <si>
    <t>RM 548,000</t>
  </si>
  <si>
    <t>Built-up : 785 sq. ft.</t>
  </si>
  <si>
    <t>RM 538,500</t>
  </si>
  <si>
    <t>Built-up : 5,147 sq. ft.</t>
  </si>
  <si>
    <t>RM 2,146,000</t>
  </si>
  <si>
    <t>RM 1,532,576</t>
  </si>
  <si>
    <t>RM 800,760</t>
  </si>
  <si>
    <t>RM 1,431,886</t>
  </si>
  <si>
    <t>RM 961,158</t>
  </si>
  <si>
    <t>Built-up : 1,923 sq. ft.</t>
  </si>
  <si>
    <t>Built-up : 1,895 sq. ft.</t>
  </si>
  <si>
    <t>Land area : 2378 sq. ft.</t>
  </si>
  <si>
    <t>RM 11,600,000</t>
  </si>
  <si>
    <t>Built-up : 3,843 sq. ft.</t>
  </si>
  <si>
    <t>Built-up : 2,885 sq. ft.</t>
  </si>
  <si>
    <t>Built-up : 2,271 sq. ft.</t>
  </si>
  <si>
    <t>Built-up : 7,793 sq. ft.</t>
  </si>
  <si>
    <t>Built-up : 6,600 sq. ft.</t>
  </si>
  <si>
    <t>RM 10,260,000</t>
  </si>
  <si>
    <t>Built-up : 7,901 sq. ft.</t>
  </si>
  <si>
    <t>RM 9,490,000</t>
  </si>
  <si>
    <t>Built-up : 5,640 sq. ft.</t>
  </si>
  <si>
    <t>Built-up : 6,500 sq. ft.</t>
  </si>
  <si>
    <t>Serviced Residence (Triplex)</t>
  </si>
  <si>
    <t>Built-up : 5,402 sq. ft.</t>
  </si>
  <si>
    <t>Built-up : 3,563 sq. ft.</t>
  </si>
  <si>
    <t>RM 7,230,000</t>
  </si>
  <si>
    <t>Built-up : 5,834 sq. ft.</t>
  </si>
  <si>
    <t>Built-up : 5,427 sq. ft.</t>
  </si>
  <si>
    <t>Built-up : 2,240 sq. ft.</t>
  </si>
  <si>
    <t>Built-up : 3,575 sq. ft.</t>
  </si>
  <si>
    <t>Built-up : 2,265 sq. ft.</t>
  </si>
  <si>
    <t>Built-up : 4,919 sq. ft.</t>
  </si>
  <si>
    <t>RM 5,480,000</t>
  </si>
  <si>
    <t>Built-up : 3,311 sq. ft.</t>
  </si>
  <si>
    <t>RM 2,453,000</t>
  </si>
  <si>
    <t>Built-up : 2,230 sq. ft.</t>
  </si>
  <si>
    <t>RM 10,267,000</t>
  </si>
  <si>
    <t>RM 9,388,000</t>
  </si>
  <si>
    <t>Built-up : 3,063 sq. ft.</t>
  </si>
  <si>
    <t>RM 4,247,000</t>
  </si>
  <si>
    <t>RM 5,231,000</t>
  </si>
  <si>
    <t>Built-up : 1,743 sq. ft.</t>
  </si>
  <si>
    <t>RM 4,260,000</t>
  </si>
  <si>
    <t>RM 4,657,000</t>
  </si>
  <si>
    <t>RM 2,982,000</t>
  </si>
  <si>
    <t>RM 4,344,000</t>
  </si>
  <si>
    <t>Built-up : 1,604 sq. ft.</t>
  </si>
  <si>
    <t>RM 3,738,000</t>
  </si>
  <si>
    <t>RM 3,264,000</t>
  </si>
  <si>
    <t>RM 3,244,000</t>
  </si>
  <si>
    <t>RM 3,320,000</t>
  </si>
  <si>
    <t>RM 3,368,000</t>
  </si>
  <si>
    <t>RM 5,179,400</t>
  </si>
  <si>
    <t>RM 3,261,000</t>
  </si>
  <si>
    <t>Built-up : 5,145 sq. ft.</t>
  </si>
  <si>
    <t>Built-up : 6,825 sq. ft.</t>
  </si>
  <si>
    <t>Built-up : 3,789 sq. ft.</t>
  </si>
  <si>
    <t>Built-up : 3,550 sq. ft.</t>
  </si>
  <si>
    <t>Built-up : 14,570 sq. ft.</t>
  </si>
  <si>
    <t>Land area : 1180 sq. ft.</t>
  </si>
  <si>
    <t>Land area : 50X100 sq. ft.</t>
  </si>
  <si>
    <t>Land area : 40X120 sq. ft.</t>
  </si>
  <si>
    <t>Built-up : 568 sq. ft.</t>
  </si>
  <si>
    <t>RM 405,000</t>
  </si>
  <si>
    <t>RM 497,000</t>
  </si>
  <si>
    <t>Land area : 1076 sq. ft.</t>
  </si>
  <si>
    <t>Built-up : 698 sq. ft.</t>
  </si>
  <si>
    <t>Built-up : 521 sq. ft.</t>
  </si>
  <si>
    <t>RM 483,000</t>
  </si>
  <si>
    <t>Built-up : 774 sq. ft.</t>
  </si>
  <si>
    <t>RM 408</t>
  </si>
  <si>
    <t>Land area : 2195 sq. ft.</t>
  </si>
  <si>
    <t>Land area : 3444 sq. ft.</t>
  </si>
  <si>
    <t>Land area : 1498 sq. ft.</t>
  </si>
  <si>
    <t>Land area : 6888 sq. ft.</t>
  </si>
  <si>
    <t>Built-up : 1,182 sq. ft.</t>
  </si>
  <si>
    <t>RM 704,880</t>
  </si>
  <si>
    <t>Built-up : 2,387 sq. ft.</t>
  </si>
  <si>
    <t>Built-up : 1,685 sq. ft.</t>
  </si>
  <si>
    <t>Land area : 4293 sq. ft.</t>
  </si>
  <si>
    <t>Land area : 3230 sq. ft.</t>
  </si>
  <si>
    <t>Built-up : 1,415 sq. ft.</t>
  </si>
  <si>
    <t>Land area : 2496 sq. ft.</t>
  </si>
  <si>
    <t>Land area : 5554 sq. ft.</t>
  </si>
  <si>
    <t>Land area : 2720 sq. ft.</t>
  </si>
  <si>
    <t>Land area : 23x80 sq. ft.</t>
  </si>
  <si>
    <t>Land area : 3067 sq. ft.</t>
  </si>
  <si>
    <t>Land area : 2640 sq. ft.</t>
  </si>
  <si>
    <t>Land area : 1955 sq. ft.</t>
  </si>
  <si>
    <t>Land area : 1750 sq. ft.</t>
  </si>
  <si>
    <t>Built-up : 1,614 sq. ft.</t>
  </si>
  <si>
    <t>Land area : 4610 sq. ft.</t>
  </si>
  <si>
    <t>Land area : 3147 sq. ft.</t>
  </si>
  <si>
    <t>Land area : 3347 sq. ft.</t>
  </si>
  <si>
    <t>Land area : 21X70 sq. ft.</t>
  </si>
  <si>
    <t>Built-up : 929 sq. ft.</t>
  </si>
  <si>
    <t>Land area : 20X60 sq. ft.</t>
  </si>
  <si>
    <t>Land area : 4825 sq. ft.</t>
  </si>
  <si>
    <t>RM 805,000</t>
  </si>
  <si>
    <t>Built-up : 790 sq. ft.</t>
  </si>
  <si>
    <t>Built-up : 674 sq. ft.</t>
  </si>
  <si>
    <t>RM 11,500,000</t>
  </si>
  <si>
    <t>Land area : 17300 sq. ft.</t>
  </si>
  <si>
    <t>Land area : 6650 sq. ft.</t>
  </si>
  <si>
    <t>Built-up : 971 sq. ft.</t>
  </si>
  <si>
    <t>RM 432,000</t>
  </si>
  <si>
    <t>RM 2,000</t>
  </si>
  <si>
    <t>Built-up : 1,869 sq. ft.</t>
  </si>
  <si>
    <t>Built-up : 1,704 sq. ft.</t>
  </si>
  <si>
    <t>Built-up : 1,511 sq. ft.</t>
  </si>
  <si>
    <t>Land area : 45x85 sq. ft.</t>
  </si>
  <si>
    <t>RM 7,875,000</t>
  </si>
  <si>
    <t>RM 130,000,000</t>
  </si>
  <si>
    <t>Land area : 5.668 acres</t>
  </si>
  <si>
    <t>RM 62,262,000</t>
  </si>
  <si>
    <t>Land area : 51885 sq. ft.</t>
  </si>
  <si>
    <t>RM 7,534,038</t>
  </si>
  <si>
    <t>Land area : 12191 sq. ft.</t>
  </si>
  <si>
    <t>Land area : 10796 sq. ft.</t>
  </si>
  <si>
    <t>RM 4,834,740</t>
  </si>
  <si>
    <t>Land area : 12723 sq. ft.</t>
  </si>
  <si>
    <t>Land area : 17478 sq. ft.</t>
  </si>
  <si>
    <t>RM 263,000</t>
  </si>
  <si>
    <t>Built-up : 831 sq. ft.</t>
  </si>
  <si>
    <t>RM 2,140,000</t>
  </si>
  <si>
    <t>RM 1,429,123</t>
  </si>
  <si>
    <t>RM 1,649,999</t>
  </si>
  <si>
    <t>RM 1,719,888</t>
  </si>
  <si>
    <t>RM 2,159,999</t>
  </si>
  <si>
    <t>Built-up : 1,669 sq. ft.</t>
  </si>
  <si>
    <t>RM 949,999</t>
  </si>
  <si>
    <t>RM 2,426,016</t>
  </si>
  <si>
    <t>Built-up : 2,732 sq. ft.</t>
  </si>
  <si>
    <t>Built-up : 731 sq. ft.</t>
  </si>
  <si>
    <t>Land area : 11000 sq. ft.</t>
  </si>
  <si>
    <t>RM 693,000</t>
  </si>
  <si>
    <t>RM 881,100</t>
  </si>
  <si>
    <t>Built-up : 1,872 sq. ft.</t>
  </si>
  <si>
    <t>RM 1,289,600</t>
  </si>
  <si>
    <t>RM 579,999</t>
  </si>
  <si>
    <t>RM 649,999</t>
  </si>
  <si>
    <t>RM 629,999</t>
  </si>
  <si>
    <t>RM 799,999</t>
  </si>
  <si>
    <t>Built-up : 1,599 sq. ft.</t>
  </si>
  <si>
    <t>RM 699,999</t>
  </si>
  <si>
    <t>Built-up : 1,498 sq. ft.</t>
  </si>
  <si>
    <t>Built-up : 1,263 sq. ft.</t>
  </si>
  <si>
    <t>Built-up : 1,465 sq. ft.</t>
  </si>
  <si>
    <t>Land area : 44x80 sq. ft.</t>
  </si>
  <si>
    <t>Land area : 1168 sq. ft.</t>
  </si>
  <si>
    <t>Land area : 4400 sq. ft.</t>
  </si>
  <si>
    <t>Built-up : 1,391 sq. ft.</t>
  </si>
  <si>
    <t>Built-up : 810 sq. ft.</t>
  </si>
  <si>
    <t>Built-up : 466 sq. ft.</t>
  </si>
  <si>
    <t>Built-up : 943 sq. ft.</t>
  </si>
  <si>
    <t>Built-up : 1,095 sq. ft.</t>
  </si>
  <si>
    <t>RM 333,000</t>
  </si>
  <si>
    <t>RM 1,206,600</t>
  </si>
  <si>
    <t>RM 4,256,840</t>
  </si>
  <si>
    <t>Built-up : 4,130 sq. ft.</t>
  </si>
  <si>
    <t>Built-up : 1,211 sq. ft.</t>
  </si>
  <si>
    <t>RM 192,000</t>
  </si>
  <si>
    <t>RM 3,698,000</t>
  </si>
  <si>
    <t>Land area : 56x80 sq. ft.</t>
  </si>
  <si>
    <t>Land area : 1442 sq. ft.</t>
  </si>
  <si>
    <t>Land area : 5837 sq. ft.</t>
  </si>
  <si>
    <t>RM 1,053,000</t>
  </si>
  <si>
    <t>RM 812,000</t>
  </si>
  <si>
    <t>RM 707,000</t>
  </si>
  <si>
    <t>Built-up : 829 sq. ft.</t>
  </si>
  <si>
    <t>RM 933,000</t>
  </si>
  <si>
    <t>Land area : 14x52 sq. ft.</t>
  </si>
  <si>
    <t>Land area : 18X60 sq. ft.</t>
  </si>
  <si>
    <t>Land area : 5403 sq. ft.</t>
  </si>
  <si>
    <t>RM 414,600</t>
  </si>
  <si>
    <t>RM 483,300</t>
  </si>
  <si>
    <t>Land area : 893-1195 sq. ft.</t>
  </si>
  <si>
    <t>Built-up :</t>
  </si>
  <si>
    <t>1,335 sqft</t>
  </si>
  <si>
    <t xml:space="preserve">Land area </t>
  </si>
  <si>
    <t>6900 sqft</t>
  </si>
  <si>
    <t>1,875 sqft</t>
  </si>
  <si>
    <t/>
  </si>
  <si>
    <t xml:space="preserve"> </t>
  </si>
  <si>
    <t>1,513 sqft</t>
  </si>
  <si>
    <t>7200 sqft</t>
  </si>
  <si>
    <t>3600 sqft</t>
  </si>
  <si>
    <t>1875 sqft</t>
  </si>
  <si>
    <t>75 sq. ft.</t>
  </si>
  <si>
    <t>904 sqft</t>
  </si>
  <si>
    <t>1760 sqft</t>
  </si>
  <si>
    <t>80 sq. ft.</t>
  </si>
  <si>
    <t>1900 sqft</t>
  </si>
  <si>
    <t>6000 sqft</t>
  </si>
  <si>
    <t>8500 sqft</t>
  </si>
  <si>
    <t>4,842 sqft</t>
  </si>
  <si>
    <t>1,830 sqft</t>
  </si>
  <si>
    <t>3,720 sqft</t>
  </si>
  <si>
    <t>1,798 sqft</t>
  </si>
  <si>
    <t>2,163 sqft</t>
  </si>
  <si>
    <t>520 sqft</t>
  </si>
  <si>
    <t>1500 sqft</t>
  </si>
  <si>
    <t>1,236 sqft</t>
  </si>
  <si>
    <t>1,876 sqft</t>
  </si>
  <si>
    <t>1,668 sqft</t>
  </si>
  <si>
    <t>3,536 sqft</t>
  </si>
  <si>
    <t>880 sqft</t>
  </si>
  <si>
    <t>55 sq. ft.</t>
  </si>
  <si>
    <t>613 sqft</t>
  </si>
  <si>
    <t>1,006 sqft</t>
  </si>
  <si>
    <t>2,767 sqft</t>
  </si>
  <si>
    <t>2,702 sqft</t>
  </si>
  <si>
    <t>2,378 sqft</t>
  </si>
  <si>
    <t>2,020 sqft</t>
  </si>
  <si>
    <t>3,897 sqft</t>
  </si>
  <si>
    <t>2,195 sqft</t>
  </si>
  <si>
    <t>1,023 sqft</t>
  </si>
  <si>
    <t>5274 sqft</t>
  </si>
  <si>
    <t>1600 sqft</t>
  </si>
  <si>
    <t>3,095 sqft</t>
  </si>
  <si>
    <t>896 sqft</t>
  </si>
  <si>
    <t>1,200 sqft</t>
  </si>
  <si>
    <t>1,772 sqft</t>
  </si>
  <si>
    <t>2,066 sqft</t>
  </si>
  <si>
    <t>1,244 sqft</t>
  </si>
  <si>
    <t>4,090 sqft</t>
  </si>
  <si>
    <t>2,250 sqft</t>
  </si>
  <si>
    <t>4,300 sqft</t>
  </si>
  <si>
    <t>3,628 sqft</t>
  </si>
  <si>
    <t>1,050 sqft</t>
  </si>
  <si>
    <t>2,347 sqft</t>
  </si>
  <si>
    <t>1,227 sqft</t>
  </si>
  <si>
    <t>2,512 sqft</t>
  </si>
  <si>
    <t>1,648 sqft</t>
  </si>
  <si>
    <t>1,022 sqft</t>
  </si>
  <si>
    <t>1800 sqft</t>
  </si>
  <si>
    <t>1,550 sqft</t>
  </si>
  <si>
    <t>3,000 sqft</t>
  </si>
  <si>
    <t>2,356 sqft</t>
  </si>
  <si>
    <t>3,713 sqft</t>
  </si>
  <si>
    <t>4244 sqft</t>
  </si>
  <si>
    <t>720 sqft</t>
  </si>
  <si>
    <t>1,159 sqft</t>
  </si>
  <si>
    <t>1,313 sqft</t>
  </si>
  <si>
    <t>1,905 sqft</t>
  </si>
  <si>
    <t>2702 sqft</t>
  </si>
  <si>
    <t>797 sqft</t>
  </si>
  <si>
    <t>700 sqft</t>
  </si>
  <si>
    <t>1,232 sqft</t>
  </si>
  <si>
    <t>3033 sqft</t>
  </si>
  <si>
    <t>3,282 sqft</t>
  </si>
  <si>
    <t>1,046 sqft</t>
  </si>
  <si>
    <t>8113 sqft</t>
  </si>
  <si>
    <t>976 sqft</t>
  </si>
  <si>
    <t>1,942 sqft</t>
  </si>
  <si>
    <t>1,442 sqft</t>
  </si>
  <si>
    <t>761 sqft</t>
  </si>
  <si>
    <t>7000 sqft</t>
  </si>
  <si>
    <t>3,400 sqft</t>
  </si>
  <si>
    <t>791 sqft</t>
  </si>
  <si>
    <t>2400 sqft</t>
  </si>
  <si>
    <t>728 sqft</t>
  </si>
  <si>
    <t>3,211 sqft</t>
  </si>
  <si>
    <t>1,389 sqft</t>
  </si>
  <si>
    <t>3,041 sqft</t>
  </si>
  <si>
    <t>663 sqft</t>
  </si>
  <si>
    <t>1,399 sqft</t>
  </si>
  <si>
    <t>1,087 sqft</t>
  </si>
  <si>
    <t>2,065 sqft</t>
  </si>
  <si>
    <t>736 sqft</t>
  </si>
  <si>
    <t>650 sqft</t>
  </si>
  <si>
    <t>500 sqft</t>
  </si>
  <si>
    <t>825 sqft</t>
  </si>
  <si>
    <t>2,200 sqft</t>
  </si>
  <si>
    <t>1,853 sqft</t>
  </si>
  <si>
    <t>657 sqft</t>
  </si>
  <si>
    <t>1,045 sqft</t>
  </si>
  <si>
    <t>3700 sqft</t>
  </si>
  <si>
    <t>2,227 sqft</t>
  </si>
  <si>
    <t>1,544 sqft</t>
  </si>
  <si>
    <t>10000 sqft</t>
  </si>
  <si>
    <t>2,454 sqft</t>
  </si>
  <si>
    <t>715 sqft</t>
  </si>
  <si>
    <t>7500 sqft</t>
  </si>
  <si>
    <t>2850 sqft</t>
  </si>
  <si>
    <t>1826 sqft</t>
  </si>
  <si>
    <t>83 sq. ft.</t>
  </si>
  <si>
    <t>1,560 sqft</t>
  </si>
  <si>
    <t>2,243 sqft</t>
  </si>
  <si>
    <t>1650 sqft</t>
  </si>
  <si>
    <t>2,174 sqft</t>
  </si>
  <si>
    <t>1,345 sqft</t>
  </si>
  <si>
    <t>4,306 sqft</t>
  </si>
  <si>
    <t>5,448 sqft</t>
  </si>
  <si>
    <t>3,218 sqft</t>
  </si>
  <si>
    <t>2,809 sqft</t>
  </si>
  <si>
    <t>7,000 sqft</t>
  </si>
  <si>
    <t>1,485 sqft</t>
  </si>
  <si>
    <t>2805 sqft</t>
  </si>
  <si>
    <t>85 sq. ft.</t>
  </si>
  <si>
    <t>2,500 sqft</t>
  </si>
  <si>
    <t>2,441 sqft</t>
  </si>
  <si>
    <t>1,085 sqft</t>
  </si>
  <si>
    <t>1,572 sqft</t>
  </si>
  <si>
    <t>3450 sqft</t>
  </si>
  <si>
    <t>1,292 sqft</t>
  </si>
  <si>
    <t>915 sqft</t>
  </si>
  <si>
    <t>1,090 sqft</t>
  </si>
  <si>
    <t>925 sqft</t>
  </si>
  <si>
    <t>1,930 sqft</t>
  </si>
  <si>
    <t>1,496 sqft</t>
  </si>
  <si>
    <t>1,368 sqft</t>
  </si>
  <si>
    <t>1,619 sqft</t>
  </si>
  <si>
    <t>2,789 sqft</t>
  </si>
  <si>
    <t>1,184 sqft</t>
  </si>
  <si>
    <t>1,076 sqft</t>
  </si>
  <si>
    <t>1920 sqft</t>
  </si>
  <si>
    <t>1,381 sqft</t>
  </si>
  <si>
    <t>1890 sqft</t>
  </si>
  <si>
    <t>70 sq. ft.</t>
  </si>
  <si>
    <t>4,067 sqft</t>
  </si>
  <si>
    <t>495 sqft</t>
  </si>
  <si>
    <t>2090 sqft</t>
  </si>
  <si>
    <t>95 sq. ft.</t>
  </si>
  <si>
    <t>1,643 sqft</t>
  </si>
  <si>
    <t>2,142 sqft</t>
  </si>
  <si>
    <t>685 sqft</t>
  </si>
  <si>
    <t>717 sqft</t>
  </si>
  <si>
    <t>5700 sqft</t>
  </si>
  <si>
    <t>1,152 sqft</t>
  </si>
  <si>
    <t>3,369 sqft</t>
  </si>
  <si>
    <t>2,411 sqft</t>
  </si>
  <si>
    <t>3,907 sqft</t>
  </si>
  <si>
    <t>871 sqft</t>
  </si>
  <si>
    <t>1,488 sqft</t>
  </si>
  <si>
    <t>1,065 sqft</t>
  </si>
  <si>
    <t>3,709 sqft</t>
  </si>
  <si>
    <t>2,315 sqft</t>
  </si>
  <si>
    <t>1,195 sqft</t>
  </si>
  <si>
    <t>850 sqft</t>
  </si>
  <si>
    <t>751 sqft</t>
  </si>
  <si>
    <t>1,350 sqft</t>
  </si>
  <si>
    <t>1,265 sqft</t>
  </si>
  <si>
    <t>2,400 sqft</t>
  </si>
  <si>
    <t>4050 sqft</t>
  </si>
  <si>
    <t>1,878 sqft</t>
  </si>
  <si>
    <t>2,069 sqft</t>
  </si>
  <si>
    <t>710 sqft</t>
  </si>
  <si>
    <t>1,094 sqft</t>
  </si>
  <si>
    <t>2,700 sqft</t>
  </si>
  <si>
    <t>2,975 sqft</t>
  </si>
  <si>
    <t>823 sqft</t>
  </si>
  <si>
    <t>2,153 sqft</t>
  </si>
  <si>
    <t>777 sqft</t>
  </si>
  <si>
    <t>1,020 sqft</t>
  </si>
  <si>
    <t>2,095 sqft</t>
  </si>
  <si>
    <t>6300 sqft</t>
  </si>
  <si>
    <t>2,906 sqft</t>
  </si>
  <si>
    <t>8611 sqft</t>
  </si>
  <si>
    <t>1,917 sqft</t>
  </si>
  <si>
    <t>577 sqft</t>
  </si>
  <si>
    <t>5320 sqft</t>
  </si>
  <si>
    <t>2040 sqft</t>
  </si>
  <si>
    <t>1,271 sqft</t>
  </si>
  <si>
    <t>1,499 sqft</t>
  </si>
  <si>
    <t>1,832 sqft</t>
  </si>
  <si>
    <t>1,502 sqft</t>
  </si>
  <si>
    <t>3897 sqft</t>
  </si>
  <si>
    <t>2,973 sqft</t>
  </si>
  <si>
    <t>1,114 sqft</t>
  </si>
  <si>
    <t>1,900 sqft</t>
  </si>
  <si>
    <t>1,194 sqft</t>
  </si>
  <si>
    <t>1,367 sqft</t>
  </si>
  <si>
    <t>10600 sqft</t>
  </si>
  <si>
    <t>7880 sqft</t>
  </si>
  <si>
    <t>1958 sqft</t>
  </si>
  <si>
    <t>89 sq. ft.</t>
  </si>
  <si>
    <t>1,400 sqft</t>
  </si>
  <si>
    <t>1,690 sqft</t>
  </si>
  <si>
    <t>1,346 sqft</t>
  </si>
  <si>
    <t>1302 sqft</t>
  </si>
  <si>
    <t>3200 sqft</t>
  </si>
  <si>
    <t>1,507 sqft</t>
  </si>
  <si>
    <t>2,300 sqft</t>
  </si>
  <si>
    <t>2,674 sqft</t>
  </si>
  <si>
    <t>5850 sqft</t>
  </si>
  <si>
    <t>90 sq. ft.</t>
  </si>
  <si>
    <t>1,378 sqft</t>
  </si>
  <si>
    <t>950 sqft</t>
  </si>
  <si>
    <t>1,303 sqft</t>
  </si>
  <si>
    <t>1364 sqft</t>
  </si>
  <si>
    <t>62 sq. ft.</t>
  </si>
  <si>
    <t>1320 sqft</t>
  </si>
  <si>
    <t>5628 sqft</t>
  </si>
  <si>
    <t>4,000 sqft</t>
  </si>
  <si>
    <t>1,636 sqft</t>
  </si>
  <si>
    <t>1,018 sqft</t>
  </si>
  <si>
    <t>900 sqft</t>
  </si>
  <si>
    <t>1,196 sqft</t>
  </si>
  <si>
    <t>764 sqft</t>
  </si>
  <si>
    <t>11500 sqft</t>
  </si>
  <si>
    <t>12722 sqft</t>
  </si>
  <si>
    <t>1930 sqft</t>
  </si>
  <si>
    <t>1,055 sqft</t>
  </si>
  <si>
    <t>646sf~1001sf sqft</t>
  </si>
  <si>
    <t>3,216 sqft</t>
  </si>
  <si>
    <t>4,157 sqft</t>
  </si>
  <si>
    <t>2,336 sqft</t>
  </si>
  <si>
    <t>7700 sqft</t>
  </si>
  <si>
    <t>7300 sqft</t>
  </si>
  <si>
    <t>560 sqft</t>
  </si>
  <si>
    <t>888 sqft</t>
  </si>
  <si>
    <t>850sf~1000sf sqft</t>
  </si>
  <si>
    <t>1087 sqft</t>
  </si>
  <si>
    <t>6,913 sqft</t>
  </si>
  <si>
    <t>22&amp;#8217;x100&amp;#8217 sqft</t>
  </si>
  <si>
    <t>100&amp;#8217; sq. ft.</t>
  </si>
  <si>
    <t>850-1000 sqft</t>
  </si>
  <si>
    <t>4,771 sqft</t>
  </si>
  <si>
    <t>1,590 sqft</t>
  </si>
  <si>
    <t>2,648 sqft</t>
  </si>
  <si>
    <t>1725 sqft</t>
  </si>
  <si>
    <t>80, 1920 sq. ft.</t>
  </si>
  <si>
    <t>11676 sqft</t>
  </si>
  <si>
    <t>2,535 sqft</t>
  </si>
  <si>
    <t>1025 sqft</t>
  </si>
  <si>
    <t>1,873 sqft</t>
  </si>
  <si>
    <t>2,982 sqft</t>
  </si>
  <si>
    <t>3,143 sqft</t>
  </si>
  <si>
    <t>4,025 sqft</t>
  </si>
  <si>
    <t>4,945 sqft</t>
  </si>
  <si>
    <t>992 sqft</t>
  </si>
  <si>
    <t>1,421 sqft</t>
  </si>
  <si>
    <t>721 sqft</t>
  </si>
  <si>
    <t>5,137 sqft</t>
  </si>
  <si>
    <t>9124 sqft</t>
  </si>
  <si>
    <t>14380 sqft</t>
  </si>
  <si>
    <t>12000 sqft</t>
  </si>
  <si>
    <t>1,701 sqft</t>
  </si>
  <si>
    <t>1,103 sqft</t>
  </si>
  <si>
    <t>3658 sqft</t>
  </si>
  <si>
    <t>5337 sqft</t>
  </si>
  <si>
    <t>1,150 sqft</t>
  </si>
  <si>
    <t>918 sqft</t>
  </si>
  <si>
    <t>969 sqft</t>
  </si>
  <si>
    <t>2440 sqft</t>
  </si>
  <si>
    <t>8300 sqft</t>
  </si>
  <si>
    <t>867 sqft</t>
  </si>
  <si>
    <t>3,082 sqft</t>
  </si>
  <si>
    <t>1,119 sqft</t>
  </si>
  <si>
    <t>3,478 sqft</t>
  </si>
  <si>
    <t>1,444 sqft</t>
  </si>
  <si>
    <t>2,426 sqft</t>
  </si>
  <si>
    <t>5446 sqft</t>
  </si>
  <si>
    <t>26000 sqft</t>
  </si>
  <si>
    <t>1,186 sqft</t>
  </si>
  <si>
    <t>5000 sqft</t>
  </si>
  <si>
    <t>7750 sqft</t>
  </si>
  <si>
    <t>1,577 sqft</t>
  </si>
  <si>
    <t>4080 sqft</t>
  </si>
  <si>
    <t>1,088 sqft</t>
  </si>
  <si>
    <t>473 sqft</t>
  </si>
  <si>
    <t>753 sqft</t>
  </si>
  <si>
    <t>813 sqft</t>
  </si>
  <si>
    <t>833 sqft</t>
  </si>
  <si>
    <t>910 sqft</t>
  </si>
  <si>
    <t>2,707 sqft</t>
  </si>
  <si>
    <t>1,573 sqft</t>
  </si>
  <si>
    <t>2,077 sqft</t>
  </si>
  <si>
    <t>1,163 sqft</t>
  </si>
  <si>
    <t>4,327 sqft</t>
  </si>
  <si>
    <t>1,411 sqft</t>
  </si>
  <si>
    <t>3,833 sqft</t>
  </si>
  <si>
    <t>100000 sqft</t>
  </si>
  <si>
    <t>3282 sqft</t>
  </si>
  <si>
    <t>9670 sqft</t>
  </si>
  <si>
    <t>638 sqft</t>
  </si>
  <si>
    <t>1873 sqft</t>
  </si>
  <si>
    <t>762 sqft</t>
  </si>
  <si>
    <t>2,013 sqft</t>
  </si>
  <si>
    <t>4640 sqft</t>
  </si>
  <si>
    <t>462 sqft</t>
  </si>
  <si>
    <t>2,201 sqft</t>
  </si>
  <si>
    <t>811 sqft</t>
  </si>
  <si>
    <t>618 sqft</t>
  </si>
  <si>
    <t>1,423 sqft</t>
  </si>
  <si>
    <t>8000 sqft</t>
  </si>
  <si>
    <t>2970 sqft</t>
  </si>
  <si>
    <t>7416 sqft</t>
  </si>
  <si>
    <t>1,738 sqft</t>
  </si>
  <si>
    <t>885 sqft</t>
  </si>
  <si>
    <t>2,070 sqft</t>
  </si>
  <si>
    <t>1200 sqft</t>
  </si>
  <si>
    <t>2,038 sqft</t>
  </si>
  <si>
    <t>1,073 sqft</t>
  </si>
  <si>
    <t>1300 sqft</t>
  </si>
  <si>
    <t>65 sq. ft.</t>
  </si>
  <si>
    <t>1870 sqft</t>
  </si>
  <si>
    <t>2200 sqft</t>
  </si>
  <si>
    <t>497 sqft</t>
  </si>
  <si>
    <t>4,186 sqft</t>
  </si>
  <si>
    <t>912 sqft</t>
  </si>
  <si>
    <t>1,700 sqft</t>
  </si>
  <si>
    <t>3,300 sqft</t>
  </si>
  <si>
    <t>0 sqft</t>
  </si>
  <si>
    <t>1,523 sqft</t>
  </si>
  <si>
    <t>1,100 sqft</t>
  </si>
  <si>
    <t>2,638 sqft</t>
  </si>
  <si>
    <t>3670 sqft</t>
  </si>
  <si>
    <t>907 sqft</t>
  </si>
  <si>
    <t>3,289 sqft</t>
  </si>
  <si>
    <t>2,128 sqft</t>
  </si>
  <si>
    <t>1,072 sqft</t>
  </si>
  <si>
    <t>2,111 sqft</t>
  </si>
  <si>
    <t>6103 sqft</t>
  </si>
  <si>
    <t>5200 sqft</t>
  </si>
  <si>
    <t>1,000 sqft</t>
  </si>
  <si>
    <t>743 sqft</t>
  </si>
  <si>
    <t>452 sqft</t>
  </si>
  <si>
    <t>603 sqft</t>
  </si>
  <si>
    <t>1,888 sqft</t>
  </si>
  <si>
    <t>1,450 sqft</t>
  </si>
  <si>
    <t>1,582 sqft</t>
  </si>
  <si>
    <t>1,025 sqft</t>
  </si>
  <si>
    <t>3,043 sqft</t>
  </si>
  <si>
    <t>8600 sqft</t>
  </si>
  <si>
    <t>3,004 sqft</t>
  </si>
  <si>
    <t>6507 sqft</t>
  </si>
  <si>
    <t>8700 sqft</t>
  </si>
  <si>
    <t>4800 sqft</t>
  </si>
  <si>
    <t>1,012 sqft</t>
  </si>
  <si>
    <t>3040 sqft</t>
  </si>
  <si>
    <t>1615 sqft</t>
  </si>
  <si>
    <t>15000 sqft</t>
  </si>
  <si>
    <t>4,069 sqft</t>
  </si>
  <si>
    <t>8,000 sqft</t>
  </si>
  <si>
    <t>7100 sqft</t>
  </si>
  <si>
    <t>775 sqft</t>
  </si>
  <si>
    <t>1367 sqft</t>
  </si>
  <si>
    <t>2080 sqft</t>
  </si>
  <si>
    <t>849 sqft</t>
  </si>
  <si>
    <t>6,900 sqft</t>
  </si>
  <si>
    <t>1,170 sqft</t>
  </si>
  <si>
    <t>1,430 sqft</t>
  </si>
  <si>
    <t>7600 sqft</t>
  </si>
  <si>
    <t>562 sqft</t>
  </si>
  <si>
    <t>2,874 sqft</t>
  </si>
  <si>
    <t>2170 sqft</t>
  </si>
  <si>
    <t>3690 sqft</t>
  </si>
  <si>
    <t>82 sq. ft.</t>
  </si>
  <si>
    <t>16000 sqft</t>
  </si>
  <si>
    <t>75, 2850 sq. ft.</t>
  </si>
  <si>
    <t>1,580 sqft</t>
  </si>
  <si>
    <t>1,063 sqft</t>
  </si>
  <si>
    <t>815 sqft</t>
  </si>
  <si>
    <t>1,509 sqft</t>
  </si>
  <si>
    <t>1,031 sqft</t>
  </si>
  <si>
    <t>2,615 sqft</t>
  </si>
  <si>
    <t>1,426 sqft</t>
  </si>
  <si>
    <t>2,593 sqft</t>
  </si>
  <si>
    <t>1,688 sqft</t>
  </si>
  <si>
    <t>636 sqft</t>
  </si>
  <si>
    <t>2,694 sqft</t>
  </si>
  <si>
    <t>2,916 sqft</t>
  </si>
  <si>
    <t>6600 sqft</t>
  </si>
  <si>
    <t>1,500 sqft</t>
  </si>
  <si>
    <t>5,632 sqft</t>
  </si>
  <si>
    <t>3254 sqft</t>
  </si>
  <si>
    <t>633 sqft</t>
  </si>
  <si>
    <t>970 sqft</t>
  </si>
  <si>
    <t>60 sq. ft.</t>
  </si>
  <si>
    <t>8100 sqft</t>
  </si>
  <si>
    <t>9700 sqft</t>
  </si>
  <si>
    <t>9400 sqft</t>
  </si>
  <si>
    <t>4000 sqft</t>
  </si>
  <si>
    <t>3500 sqft</t>
  </si>
  <si>
    <t>75' sq. ft.</t>
  </si>
  <si>
    <t>2,073 sqft</t>
  </si>
  <si>
    <t>1,404 sqft</t>
  </si>
  <si>
    <t>1,394 sqft</t>
  </si>
  <si>
    <t>100 sq. ft.</t>
  </si>
  <si>
    <t>711 sqft</t>
  </si>
  <si>
    <t>3400 sqft</t>
  </si>
  <si>
    <t>873 sqft</t>
  </si>
  <si>
    <t>7318 sqft</t>
  </si>
  <si>
    <t>1,260 sqft</t>
  </si>
  <si>
    <t>546 sqft</t>
  </si>
  <si>
    <t>2,501 sqft</t>
  </si>
  <si>
    <t>1,851 sqft</t>
  </si>
  <si>
    <t>1,098 sqft</t>
  </si>
  <si>
    <t>6846 sqft</t>
  </si>
  <si>
    <t>13041 sqft</t>
  </si>
  <si>
    <t>786 sqft</t>
  </si>
  <si>
    <t>932 sqft</t>
  </si>
  <si>
    <t>676 sqft</t>
  </si>
  <si>
    <t>2,266 sqft</t>
  </si>
  <si>
    <t>3060 sqft</t>
  </si>
  <si>
    <t>2232 sqft</t>
  </si>
  <si>
    <t>93 sq. ft.</t>
  </si>
  <si>
    <t>858 sqft</t>
  </si>
  <si>
    <t>2100 sqft</t>
  </si>
  <si>
    <t>4,478 sqft</t>
  </si>
  <si>
    <t>1,092 sqft</t>
  </si>
  <si>
    <t>3315 sqft</t>
  </si>
  <si>
    <t>750 sqft</t>
  </si>
  <si>
    <t>1,637 sqft</t>
  </si>
  <si>
    <t>3,401 sqft</t>
  </si>
  <si>
    <t>2800 sqft</t>
  </si>
  <si>
    <t>3550 sqft</t>
  </si>
  <si>
    <t>624 sqft</t>
  </si>
  <si>
    <t>1,270 sqft</t>
  </si>
  <si>
    <t>9127 sqft</t>
  </si>
  <si>
    <t>3,541 sqft</t>
  </si>
  <si>
    <t>8622 sqft</t>
  </si>
  <si>
    <t>1,148 sqft</t>
  </si>
  <si>
    <t>496 sqft</t>
  </si>
  <si>
    <t>5177 sqft</t>
  </si>
  <si>
    <t>3800 sqft</t>
  </si>
  <si>
    <t>5317 sqft</t>
  </si>
  <si>
    <t>960 sqft</t>
  </si>
  <si>
    <t>635 sqft</t>
  </si>
  <si>
    <t>999 sqft</t>
  </si>
  <si>
    <t>935 sqft</t>
  </si>
  <si>
    <t>933 sqft</t>
  </si>
  <si>
    <t>1,519 sqft</t>
  </si>
  <si>
    <t>1,259 sqft</t>
  </si>
  <si>
    <t>600 sqft</t>
  </si>
  <si>
    <t>926 sqft</t>
  </si>
  <si>
    <t>12250 sqft</t>
  </si>
  <si>
    <t>748 sqft</t>
  </si>
  <si>
    <t>920 sqft</t>
  </si>
  <si>
    <t>667 sqft</t>
  </si>
  <si>
    <t>493 sqft</t>
  </si>
  <si>
    <t>1,079 sqft</t>
  </si>
  <si>
    <t>1,208 sqft</t>
  </si>
  <si>
    <t>3,671 sqft</t>
  </si>
  <si>
    <t>3,729 sqft</t>
  </si>
  <si>
    <t>10345 sqft</t>
  </si>
  <si>
    <t>4,723 sqft</t>
  </si>
  <si>
    <t>3,668 sqft</t>
  </si>
  <si>
    <t>4,450 sqft</t>
  </si>
  <si>
    <t>4,422 sqft</t>
  </si>
  <si>
    <t>5,315 sqft</t>
  </si>
  <si>
    <t>2262 sqft</t>
  </si>
  <si>
    <t>87 sq. ft.</t>
  </si>
  <si>
    <t>2125 sqft</t>
  </si>
  <si>
    <t>1,323 sqft</t>
  </si>
  <si>
    <t>1,300 sqft</t>
  </si>
  <si>
    <t>44 sq. ft.</t>
  </si>
  <si>
    <t>1,680 sqft</t>
  </si>
  <si>
    <t>1,518 sqft</t>
  </si>
  <si>
    <t>3,303 sqft</t>
  </si>
  <si>
    <t>1,205 sqft</t>
  </si>
  <si>
    <t>1,027 sqft</t>
  </si>
  <si>
    <t>3,412 sqft</t>
  </si>
  <si>
    <t>1,879 sqft</t>
  </si>
  <si>
    <t>945 sqft</t>
  </si>
  <si>
    <t>1647 sqft</t>
  </si>
  <si>
    <t>2000 sqft</t>
  </si>
  <si>
    <t>1,432 sqft</t>
  </si>
  <si>
    <t>1,173 sqft</t>
  </si>
  <si>
    <t>3,200 sqft</t>
  </si>
  <si>
    <t>4,400 sqft</t>
  </si>
  <si>
    <t>1,800 sqft</t>
  </si>
  <si>
    <t>3,650 sqft</t>
  </si>
  <si>
    <t>Kuala Lumpur sqft</t>
  </si>
  <si>
    <t>1,448 sqft</t>
  </si>
  <si>
    <t>6800 sqft</t>
  </si>
  <si>
    <t>3,500 sqft</t>
  </si>
  <si>
    <t>6,938 sqft</t>
  </si>
  <si>
    <t>1,324 sqft</t>
  </si>
  <si>
    <t>1,377 sqft</t>
  </si>
  <si>
    <t>1,777 sqft</t>
  </si>
  <si>
    <t>1,653 sqft</t>
  </si>
  <si>
    <t>2,081 sqft</t>
  </si>
  <si>
    <t>3,197 sqft</t>
  </si>
  <si>
    <t>1,034 sqft</t>
  </si>
  <si>
    <t>11,000 sqft</t>
  </si>
  <si>
    <t>4,471 sqft</t>
  </si>
  <si>
    <t>2,110 sqft</t>
  </si>
  <si>
    <t>19000 sqft</t>
  </si>
  <si>
    <t>6,088 sqft</t>
  </si>
  <si>
    <t>9000 sqft</t>
  </si>
  <si>
    <t>2,541 sqft</t>
  </si>
  <si>
    <t>2,390 sqft</t>
  </si>
  <si>
    <t>1,333 sqft</t>
  </si>
  <si>
    <t>1,093 sqft</t>
  </si>
  <si>
    <t>1,535 sqft</t>
  </si>
  <si>
    <t>1,852 sqft</t>
  </si>
  <si>
    <t>2,600 sqft</t>
  </si>
  <si>
    <t>1,453 sqft</t>
  </si>
  <si>
    <t>4,500 sqft</t>
  </si>
  <si>
    <t>3,600 sqft</t>
  </si>
  <si>
    <t>2,900 sqft</t>
  </si>
  <si>
    <t>6700 sqft</t>
  </si>
  <si>
    <t>14000 sqft</t>
  </si>
  <si>
    <t>2,098 sqft</t>
  </si>
  <si>
    <t>3,832 sqft</t>
  </si>
  <si>
    <t>1,445 sqft</t>
  </si>
  <si>
    <t>1,691 sqft</t>
  </si>
  <si>
    <t>7678 sqft</t>
  </si>
  <si>
    <t>16001 sqft</t>
  </si>
  <si>
    <t>1,237 sqft</t>
  </si>
  <si>
    <t>770 sqft</t>
  </si>
  <si>
    <t>2,100 sqft</t>
  </si>
  <si>
    <t>1,180 sqft</t>
  </si>
  <si>
    <t>1,663 sqft</t>
  </si>
  <si>
    <t>1,373 sqft</t>
  </si>
  <si>
    <t>1,218 sqft</t>
  </si>
  <si>
    <t>1,131 sqft</t>
  </si>
  <si>
    <t>1,578 sqft</t>
  </si>
  <si>
    <t>1614 sqft</t>
  </si>
  <si>
    <t>3570 sqft</t>
  </si>
  <si>
    <t>2550 sqft</t>
  </si>
  <si>
    <t>1400 sqft</t>
  </si>
  <si>
    <t>6200 sqft</t>
  </si>
  <si>
    <t>1540 sqft</t>
  </si>
  <si>
    <t>1,948 sqft</t>
  </si>
  <si>
    <t>1991 sqft</t>
  </si>
  <si>
    <t>672 sqft</t>
  </si>
  <si>
    <t>4635 sqft</t>
  </si>
  <si>
    <t>103 sq. ft.</t>
  </si>
  <si>
    <t>1,216 sqft</t>
  </si>
  <si>
    <t>1,600 sqft</t>
  </si>
  <si>
    <t>822 sqft</t>
  </si>
  <si>
    <t>1,786 sqft</t>
  </si>
  <si>
    <t>10,000 sqft</t>
  </si>
  <si>
    <t>2660 sqft</t>
  </si>
  <si>
    <t>5500 sqft</t>
  </si>
  <si>
    <t>602 sqft</t>
  </si>
  <si>
    <t>43 sq. ft.</t>
  </si>
  <si>
    <t>3,152 sqft</t>
  </si>
  <si>
    <t>2,552 sqft</t>
  </si>
  <si>
    <t>6,207 sqft</t>
  </si>
  <si>
    <t>1,458 sqft</t>
  </si>
  <si>
    <t>1,357 sqft</t>
  </si>
  <si>
    <t>3,228 sqft</t>
  </si>
  <si>
    <t>1,782 sqft</t>
  </si>
  <si>
    <t>4,506 sqft</t>
  </si>
  <si>
    <t>2809 sqft</t>
  </si>
  <si>
    <t>1,356 sqft</t>
  </si>
  <si>
    <t>4300 sqft</t>
  </si>
  <si>
    <t>783 sqft</t>
  </si>
  <si>
    <t>1,003 sqft</t>
  </si>
  <si>
    <t>1298 sqft</t>
  </si>
  <si>
    <t>1,120 sqft</t>
  </si>
  <si>
    <t>1,078 sqft</t>
  </si>
  <si>
    <t>1,168 sqft</t>
  </si>
  <si>
    <t>1,330 sqft</t>
  </si>
  <si>
    <t>1,759 sqft</t>
  </si>
  <si>
    <t>1,382 sqft</t>
  </si>
  <si>
    <t>1,909 sqft</t>
  </si>
  <si>
    <t>708 sqft</t>
  </si>
  <si>
    <t>1,449 sqft</t>
  </si>
  <si>
    <t>470 sqft</t>
  </si>
  <si>
    <t>1,906 sqft</t>
  </si>
  <si>
    <t>903 sqft</t>
  </si>
  <si>
    <t>3,800 sqft</t>
  </si>
  <si>
    <t>1,756 sqft</t>
  </si>
  <si>
    <t>930 sqft</t>
  </si>
  <si>
    <t>5,429 sqft</t>
  </si>
  <si>
    <t>5,421 sqft</t>
  </si>
  <si>
    <t>453 sqft</t>
  </si>
  <si>
    <t>608 sqft</t>
  </si>
  <si>
    <t>1,067 sqft</t>
  </si>
  <si>
    <t>70' sq. ft.</t>
  </si>
  <si>
    <t>1,710 sqft</t>
  </si>
  <si>
    <t>1,223 sqft</t>
  </si>
  <si>
    <t>1840 sqft</t>
  </si>
  <si>
    <t>2160 sqft</t>
  </si>
  <si>
    <t>1,212 sqft</t>
  </si>
  <si>
    <t>1,712 sqft</t>
  </si>
  <si>
    <t>4500 sqft</t>
  </si>
  <si>
    <t>34928 sqft</t>
  </si>
  <si>
    <t>578 sqft</t>
  </si>
  <si>
    <t>1968 sqft</t>
  </si>
  <si>
    <t>1,429 sqft</t>
  </si>
  <si>
    <t>680 sqft</t>
  </si>
  <si>
    <t>1,431 sqft</t>
  </si>
  <si>
    <t>1,102 sqft</t>
  </si>
  <si>
    <t>646~2928 sqft</t>
  </si>
  <si>
    <t>1,336 sqft</t>
  </si>
  <si>
    <t>840~1193sf sqft</t>
  </si>
  <si>
    <t>1003 sqft</t>
  </si>
  <si>
    <t>4,058 sqft</t>
  </si>
  <si>
    <t>3542 sqft</t>
  </si>
  <si>
    <t>1560 sqft</t>
  </si>
  <si>
    <t>78 sq. ft.</t>
  </si>
  <si>
    <t>2496 sqft</t>
  </si>
  <si>
    <t>104 sq. ft.</t>
  </si>
  <si>
    <t>1,278 sqft</t>
  </si>
  <si>
    <t>3,317 sqft</t>
  </si>
  <si>
    <t>1,395 sqft</t>
  </si>
  <si>
    <t>6568 sqft</t>
  </si>
  <si>
    <t>3,287 sqft</t>
  </si>
  <si>
    <t>646 sqft</t>
  </si>
  <si>
    <t>840-1195 sqft</t>
  </si>
  <si>
    <t>17000 sqft</t>
  </si>
  <si>
    <t>1,538 sqft</t>
  </si>
  <si>
    <t>1,410 sqft</t>
  </si>
  <si>
    <t>856 sqft</t>
  </si>
  <si>
    <t>807 sqft</t>
  </si>
  <si>
    <t>1,567 sqft</t>
  </si>
  <si>
    <t>1,615 sqft</t>
  </si>
  <si>
    <t>1,555 sqft</t>
  </si>
  <si>
    <t>4065 sqft</t>
  </si>
  <si>
    <t>1,707 sqft</t>
  </si>
  <si>
    <t>3458 sqft</t>
  </si>
  <si>
    <t>2625 sqft</t>
  </si>
  <si>
    <t>3220 sqft</t>
  </si>
  <si>
    <t>2,563 sqft</t>
  </si>
  <si>
    <t>780 sqft</t>
  </si>
  <si>
    <t>1,074 sqft</t>
  </si>
  <si>
    <t>800 sqft</t>
  </si>
  <si>
    <t>1,457 sqft</t>
  </si>
  <si>
    <t>4,520 sqft</t>
  </si>
  <si>
    <t>468 sqft</t>
  </si>
  <si>
    <t>3,285 sqft</t>
  </si>
  <si>
    <t>3,750 sqft</t>
  </si>
  <si>
    <t>3,638 sqft</t>
  </si>
  <si>
    <t>3,632 sqft</t>
  </si>
  <si>
    <t>3,169 sqft</t>
  </si>
  <si>
    <t>5135 sqft</t>
  </si>
  <si>
    <t>1,799 sqft</t>
  </si>
  <si>
    <t>2,412 sqft</t>
  </si>
  <si>
    <t>3,020 sqft</t>
  </si>
  <si>
    <t>1,451 sqft</t>
  </si>
  <si>
    <t>1,991 sqft</t>
  </si>
  <si>
    <t>2720 sqft</t>
  </si>
  <si>
    <t>1,787 sqft</t>
  </si>
  <si>
    <t>4284 sqft</t>
  </si>
  <si>
    <t>1,938 sqft</t>
  </si>
  <si>
    <t>1,141 sqft</t>
  </si>
  <si>
    <t>7,318 sqft</t>
  </si>
  <si>
    <t>3821 sqft</t>
  </si>
  <si>
    <t>75, 1800 sq. ft.</t>
  </si>
  <si>
    <t>9795 sqft</t>
  </si>
  <si>
    <t>4817 sqft</t>
  </si>
  <si>
    <t>4200 sqft</t>
  </si>
  <si>
    <t>41707 sqft</t>
  </si>
  <si>
    <t>1,009 sqft</t>
  </si>
  <si>
    <t>1650 sq.m.</t>
  </si>
  <si>
    <t>75 sq. m.</t>
  </si>
  <si>
    <t>2,998 sqft</t>
  </si>
  <si>
    <t>3,383 sqft</t>
  </si>
  <si>
    <t>592 sqft</t>
  </si>
  <si>
    <t>1,508 sqft</t>
  </si>
  <si>
    <t>745 sqft</t>
  </si>
  <si>
    <t>819 sqft</t>
  </si>
  <si>
    <t>3,264 sqft</t>
  </si>
  <si>
    <t>1,164 sqft</t>
  </si>
  <si>
    <t>2,049 sqft</t>
  </si>
  <si>
    <t>1,147 sqft</t>
  </si>
  <si>
    <t>817 sqft</t>
  </si>
  <si>
    <t>10400 sqft</t>
  </si>
  <si>
    <t>854 sqft</t>
  </si>
  <si>
    <t>1,005 sqft</t>
  </si>
  <si>
    <t>351 sqft</t>
  </si>
  <si>
    <t>996 sqft</t>
  </si>
  <si>
    <t>610 sqft</t>
  </si>
  <si>
    <t>876 sqft</t>
  </si>
  <si>
    <t>1,036 sqft</t>
  </si>
  <si>
    <t>842 sqft</t>
  </si>
  <si>
    <t>2,719 sqft</t>
  </si>
  <si>
    <t>1,967 sqft</t>
  </si>
  <si>
    <t>7525 sqft</t>
  </si>
  <si>
    <t>3,006 sqft</t>
  </si>
  <si>
    <t>1030 sqft</t>
  </si>
  <si>
    <t>744 sqft</t>
  </si>
  <si>
    <t>605 sqft</t>
  </si>
  <si>
    <t>1909 sqft</t>
  </si>
  <si>
    <t>1,440 sqft</t>
  </si>
  <si>
    <t>1259 sqft</t>
  </si>
  <si>
    <t>1,433 sqft</t>
  </si>
  <si>
    <t>1,262 sqft</t>
  </si>
  <si>
    <t>1759 sqft</t>
  </si>
  <si>
    <t>1,362 sqft</t>
  </si>
  <si>
    <t>2,685 sqft</t>
  </si>
  <si>
    <t>2,646 sqft</t>
  </si>
  <si>
    <t>4035 sqft</t>
  </si>
  <si>
    <t>1,228 sqft</t>
  </si>
  <si>
    <t>1,054 sqft</t>
  </si>
  <si>
    <t>1,392 sqft</t>
  </si>
  <si>
    <t>1,080 sqft</t>
  </si>
  <si>
    <t>872 sqft</t>
  </si>
  <si>
    <t>1,033 sqft</t>
  </si>
  <si>
    <t>8950 sqft</t>
  </si>
  <si>
    <t>7588 sqft</t>
  </si>
  <si>
    <t>5920 sqft</t>
  </si>
  <si>
    <t>13027 sqft</t>
  </si>
  <si>
    <t>5,221 sqft</t>
  </si>
  <si>
    <t>4,323 sqft</t>
  </si>
  <si>
    <t>3,260 sqft</t>
  </si>
  <si>
    <t>2,530 sqft</t>
  </si>
  <si>
    <t>1,788 sqft</t>
  </si>
  <si>
    <t>1,319 sqft</t>
  </si>
  <si>
    <t>814 sqft</t>
  </si>
  <si>
    <t>2,245 sqft</t>
  </si>
  <si>
    <t>2,586 sqft</t>
  </si>
  <si>
    <t>1,974 sqft</t>
  </si>
  <si>
    <t>3,109 sqft</t>
  </si>
  <si>
    <t>1,071 sqft</t>
  </si>
  <si>
    <t>1,808 sqft</t>
  </si>
  <si>
    <t>3230 sqft</t>
  </si>
  <si>
    <t>793 sqft</t>
  </si>
  <si>
    <t>704 sqft</t>
  </si>
  <si>
    <t>1,850 sqft</t>
  </si>
  <si>
    <t>738 sqft</t>
  </si>
  <si>
    <t>1470 sqft</t>
  </si>
  <si>
    <t>3,714 sqft</t>
  </si>
  <si>
    <t>2,676 sqft</t>
  </si>
  <si>
    <t>1070 sqft</t>
  </si>
  <si>
    <t>1280 sqft</t>
  </si>
  <si>
    <t>64 sq. ft.</t>
  </si>
  <si>
    <t>2,208 sqft</t>
  </si>
  <si>
    <t>820 sqft</t>
  </si>
  <si>
    <t>1080 sqft</t>
  </si>
  <si>
    <t>1,306 sqft</t>
  </si>
  <si>
    <t>653 sqft</t>
  </si>
  <si>
    <t>931 sqft</t>
  </si>
  <si>
    <t>3928 sqft</t>
  </si>
  <si>
    <t>826 sqft</t>
  </si>
  <si>
    <t>16500 sqft</t>
  </si>
  <si>
    <t>11981 sqft</t>
  </si>
  <si>
    <t>26920 sqft</t>
  </si>
  <si>
    <t>606 sqft</t>
  </si>
  <si>
    <t>1,115 sqft</t>
  </si>
  <si>
    <t>1,522 sqft</t>
  </si>
  <si>
    <t>832 sqft</t>
  </si>
  <si>
    <t>1,302 sqft</t>
  </si>
  <si>
    <t>830 sqft</t>
  </si>
  <si>
    <t>572 sqft</t>
  </si>
  <si>
    <t>1,140 sqft</t>
  </si>
  <si>
    <t>1,806 sqft</t>
  </si>
  <si>
    <t>3650 sqft</t>
  </si>
  <si>
    <t>917 sqft</t>
  </si>
  <si>
    <t>7847 sqft</t>
  </si>
  <si>
    <t>4002 sqft</t>
  </si>
  <si>
    <t>2239 sqft</t>
  </si>
  <si>
    <t>1,593 sqft</t>
  </si>
  <si>
    <t>1,598 sqft</t>
  </si>
  <si>
    <t>3,466 sqft</t>
  </si>
  <si>
    <t>9300 sqft</t>
  </si>
  <si>
    <t>630 sqft</t>
  </si>
  <si>
    <t>1,240 sqft</t>
  </si>
  <si>
    <t>3,137 sqft</t>
  </si>
  <si>
    <t>1,583 sqft</t>
  </si>
  <si>
    <t>3068 sqft</t>
  </si>
  <si>
    <t>1,281 sqft</t>
  </si>
  <si>
    <t>990 sqft</t>
  </si>
  <si>
    <t>10157 sqft</t>
  </si>
  <si>
    <t>1,253 sqft</t>
  </si>
  <si>
    <t>2900 sqft</t>
  </si>
  <si>
    <t>1,540 sqft</t>
  </si>
  <si>
    <t>1,454 sqft</t>
  </si>
  <si>
    <t>1,077 sqft</t>
  </si>
  <si>
    <t>1,267 sqft</t>
  </si>
  <si>
    <t>1,290 sqft</t>
  </si>
  <si>
    <t>450 sqft</t>
  </si>
  <si>
    <t>909 sqft</t>
  </si>
  <si>
    <t>1,202 sqft</t>
  </si>
  <si>
    <t>1,705 sqft</t>
  </si>
  <si>
    <t>1,044 sqft</t>
  </si>
  <si>
    <t>1,275 sqft</t>
  </si>
  <si>
    <t>625 sqft</t>
  </si>
  <si>
    <t>1,603 sqft</t>
  </si>
  <si>
    <t>1,220 sqft</t>
  </si>
  <si>
    <t>10689 sqft</t>
  </si>
  <si>
    <t>973 sqft</t>
  </si>
  <si>
    <t>1175 sqft</t>
  </si>
  <si>
    <t>952 sqft</t>
  </si>
  <si>
    <t>1,048 sqft</t>
  </si>
  <si>
    <t>7057 sqft</t>
  </si>
  <si>
    <t>502 sqft</t>
  </si>
  <si>
    <t>9826 sqft</t>
  </si>
  <si>
    <t>1,238 sqft</t>
  </si>
  <si>
    <t>1,241 sqft</t>
  </si>
  <si>
    <t>1,019 sqft</t>
  </si>
  <si>
    <t>20&amp;#215;85 sqft</t>
  </si>
  <si>
    <t>905 sqft</t>
  </si>
  <si>
    <t>1,561 sqft</t>
  </si>
  <si>
    <t>6400 sqft</t>
  </si>
  <si>
    <t>6780 sqft</t>
  </si>
  <si>
    <t>861 sqft</t>
  </si>
  <si>
    <t>538 sqft</t>
  </si>
  <si>
    <t>8142 sqft</t>
  </si>
  <si>
    <t>9321.55 sqft</t>
  </si>
  <si>
    <t>527 sqft</t>
  </si>
  <si>
    <t>1,539 sqft</t>
  </si>
  <si>
    <t>2940 sqft</t>
  </si>
  <si>
    <t>913 sqft</t>
  </si>
  <si>
    <t>2,820 sqft</t>
  </si>
  <si>
    <t>1,529 sqft</t>
  </si>
  <si>
    <t>1,647 sqft</t>
  </si>
  <si>
    <t>2,293 sqft</t>
  </si>
  <si>
    <t>4650 sqft</t>
  </si>
  <si>
    <t>1,528 sqft</t>
  </si>
  <si>
    <t>1967 sqft</t>
  </si>
  <si>
    <t>2700 sqft</t>
  </si>
  <si>
    <t>1,890 sqft</t>
  </si>
  <si>
    <t>1,056 sqft</t>
  </si>
  <si>
    <t>2,691 sqft</t>
  </si>
  <si>
    <t>1,317 sqft</t>
  </si>
  <si>
    <t>1,280 sqft</t>
  </si>
  <si>
    <t>855 sqft</t>
  </si>
  <si>
    <t>1,295 sqft</t>
  </si>
  <si>
    <t>1,693 sqft</t>
  </si>
  <si>
    <t>3,513 sqft</t>
  </si>
  <si>
    <t>3,100 sqft</t>
  </si>
  <si>
    <t>2,190 sqft</t>
  </si>
  <si>
    <t>1,049 sqft</t>
  </si>
  <si>
    <t>694 sqft</t>
  </si>
  <si>
    <t>17 sqft</t>
  </si>
  <si>
    <t>1,871 sqft</t>
  </si>
  <si>
    <t>1,570 sqft</t>
  </si>
  <si>
    <t>7468 sqft</t>
  </si>
  <si>
    <t>2,550 sqft</t>
  </si>
  <si>
    <t>3,983 sqft</t>
  </si>
  <si>
    <t>2,573 sqft</t>
  </si>
  <si>
    <t>3,660 sqft</t>
  </si>
  <si>
    <t>4905 sqft</t>
  </si>
  <si>
    <t>109 sq. ft.</t>
  </si>
  <si>
    <t>1,108 sqft</t>
  </si>
  <si>
    <t>4675 sqft</t>
  </si>
  <si>
    <t>875 sqft</t>
  </si>
  <si>
    <t>1,010 sqft</t>
  </si>
  <si>
    <t>7265 sqft</t>
  </si>
  <si>
    <t>8812 sqft</t>
  </si>
  <si>
    <t>9884 sqft</t>
  </si>
  <si>
    <t>3000 sqft</t>
  </si>
  <si>
    <t>5931 sqft</t>
  </si>
  <si>
    <t>10583 sqft</t>
  </si>
  <si>
    <t>5442 sqft</t>
  </si>
  <si>
    <t>1,554 sqft</t>
  </si>
  <si>
    <t>3,358 sqft</t>
  </si>
  <si>
    <t>2380 sqft</t>
  </si>
  <si>
    <t>515 sqft</t>
  </si>
  <si>
    <t>4,214 sqft</t>
  </si>
  <si>
    <t>1,145 sqft</t>
  </si>
  <si>
    <t>1,110 sqft</t>
  </si>
  <si>
    <t>9548 sqft</t>
  </si>
  <si>
    <t>1,162 sqft</t>
  </si>
  <si>
    <t>1551 sqft</t>
  </si>
  <si>
    <t>1,127 sqft</t>
  </si>
  <si>
    <t>1,111 sqft</t>
  </si>
  <si>
    <t>3,514 sqft</t>
  </si>
  <si>
    <t>3,460 sqft</t>
  </si>
  <si>
    <t>3,482 sqft</t>
  </si>
  <si>
    <t>1,142 sqft</t>
  </si>
  <si>
    <t>2,583 sqft</t>
  </si>
  <si>
    <t>1,272 sqft</t>
  </si>
  <si>
    <t>3,664 sqft</t>
  </si>
  <si>
    <t>3,250 sqft</t>
  </si>
  <si>
    <t>1,166 sqft</t>
  </si>
  <si>
    <t>1,021 sqft</t>
  </si>
  <si>
    <t>1,207 sqft</t>
  </si>
  <si>
    <t>1,250 sqft</t>
  </si>
  <si>
    <t>9,332 sqft</t>
  </si>
  <si>
    <t>1,605 sqft</t>
  </si>
  <si>
    <t>2,002 sqft</t>
  </si>
  <si>
    <t>3,133 sqft</t>
  </si>
  <si>
    <t>2,735 sqft</t>
  </si>
  <si>
    <t>936 sqft</t>
  </si>
  <si>
    <t>1,569 sqft</t>
  </si>
  <si>
    <t>5583 sqft</t>
  </si>
  <si>
    <t>5,553 sqft</t>
  </si>
  <si>
    <t>1,628 sqft</t>
  </si>
  <si>
    <t>1,135 sqft</t>
  </si>
  <si>
    <t>1,530 sqft</t>
  </si>
  <si>
    <t>1,468 sqft</t>
  </si>
  <si>
    <t>1,820 sqft</t>
  </si>
  <si>
    <t>7,825 sqft</t>
  </si>
  <si>
    <t>1,409 sqft</t>
  </si>
  <si>
    <t>1,842 sqft</t>
  </si>
  <si>
    <t>1,427 sqft</t>
  </si>
  <si>
    <t>1,819 sqft</t>
  </si>
  <si>
    <t>923 sqft</t>
  </si>
  <si>
    <t>2,343 sqft</t>
  </si>
  <si>
    <t>1,231 sqft</t>
  </si>
  <si>
    <t>4,660 sqft</t>
  </si>
  <si>
    <t>3,410 sqft</t>
  </si>
  <si>
    <t>5,800 sqft</t>
  </si>
  <si>
    <t>2,495 sqft</t>
  </si>
  <si>
    <t>2,726 sqft</t>
  </si>
  <si>
    <t>2,257 sqft</t>
  </si>
  <si>
    <t>2,159 sqft</t>
  </si>
  <si>
    <t>2,560 sqft</t>
  </si>
  <si>
    <t>1430 sqft</t>
  </si>
  <si>
    <t>4860 sqft</t>
  </si>
  <si>
    <t>1,015 sqft</t>
  </si>
  <si>
    <t>17800 sqft</t>
  </si>
  <si>
    <t>6100 sqft</t>
  </si>
  <si>
    <t>2530 sqft</t>
  </si>
  <si>
    <t>8150 sqft</t>
  </si>
  <si>
    <t>2,085 sqft</t>
  </si>
  <si>
    <t>1,017 sqft</t>
  </si>
  <si>
    <t>1,040 sqft</t>
  </si>
  <si>
    <t>1,051 sqft</t>
  </si>
  <si>
    <t>870 sqft</t>
  </si>
  <si>
    <t>3,840 sqft</t>
  </si>
  <si>
    <t>5600 sqft</t>
  </si>
  <si>
    <t>1212 sqft</t>
  </si>
  <si>
    <t>1,060 sqft</t>
  </si>
  <si>
    <t>2,718 sqft</t>
  </si>
  <si>
    <t>1,775 sqft</t>
  </si>
  <si>
    <t>6,552 sqft</t>
  </si>
  <si>
    <t>840 sqft</t>
  </si>
  <si>
    <t>6329 sqft</t>
  </si>
  <si>
    <t>4,142 sqft</t>
  </si>
  <si>
    <t>995 sqft</t>
  </si>
  <si>
    <t>8200 sqft</t>
  </si>
  <si>
    <t>5,220 sqft</t>
  </si>
  <si>
    <t>45 sq. ft.</t>
  </si>
  <si>
    <t>3,658 sqft</t>
  </si>
  <si>
    <t>4,074 sqft</t>
  </si>
  <si>
    <t>1620 sqft</t>
  </si>
  <si>
    <t>1,307 sqft</t>
  </si>
  <si>
    <t>1252 sqft</t>
  </si>
  <si>
    <t>1,143 sqft</t>
  </si>
  <si>
    <t>958 sqft</t>
  </si>
  <si>
    <t>1142 sqft</t>
  </si>
  <si>
    <t>755 sqft</t>
  </si>
  <si>
    <t>864 sqft</t>
  </si>
  <si>
    <t>3,070 sqft</t>
  </si>
  <si>
    <t>5,200 sqft</t>
  </si>
  <si>
    <t>3,239 sqft</t>
  </si>
  <si>
    <t>4,200 sqft</t>
  </si>
  <si>
    <t>2707 sqft</t>
  </si>
  <si>
    <t>1,273 sqft</t>
  </si>
  <si>
    <t>9838 sqft</t>
  </si>
  <si>
    <t>22&amp;#215;100 sqft</t>
  </si>
  <si>
    <t>948 sqft</t>
  </si>
  <si>
    <t>1,370 sqft</t>
  </si>
  <si>
    <t>550 sqft</t>
  </si>
  <si>
    <t>1,299 sqft</t>
  </si>
  <si>
    <t>928 sqft</t>
  </si>
  <si>
    <t>1,870 sqft</t>
  </si>
  <si>
    <t>1,066 sqft</t>
  </si>
  <si>
    <t>2392 sqft</t>
  </si>
  <si>
    <t>798 sqft</t>
  </si>
  <si>
    <t>4,355 sqft</t>
  </si>
  <si>
    <t>4600 sqft</t>
  </si>
  <si>
    <t>1,840 sqft</t>
  </si>
  <si>
    <t>3,055 sqft</t>
  </si>
  <si>
    <t>1,315 sqft</t>
  </si>
  <si>
    <t>2,272 sqft</t>
  </si>
  <si>
    <t>2,659 sqft</t>
  </si>
  <si>
    <t>1170 sqft</t>
  </si>
  <si>
    <t>3285 sqft</t>
  </si>
  <si>
    <t>2245 sqft</t>
  </si>
  <si>
    <t>2906 sqft</t>
  </si>
  <si>
    <t>6390 sqft</t>
  </si>
  <si>
    <t>6609 sqft</t>
  </si>
  <si>
    <t>997 sqft</t>
  </si>
  <si>
    <t>498 sqft</t>
  </si>
  <si>
    <t>2,109 sqft</t>
  </si>
  <si>
    <t>1,326 sqft</t>
  </si>
  <si>
    <t>304 sqft</t>
  </si>
  <si>
    <t>3,079 sqft</t>
  </si>
  <si>
    <t>1,230 sqft</t>
  </si>
  <si>
    <t>1,650 sqft</t>
  </si>
  <si>
    <t>5,743 sqft</t>
  </si>
  <si>
    <t>2,000 sqft</t>
  </si>
  <si>
    <t>927 sqft</t>
  </si>
  <si>
    <t>1,246 sqft</t>
  </si>
  <si>
    <t>699 sqft</t>
  </si>
  <si>
    <t>719 sqft</t>
  </si>
  <si>
    <t>781 sqft</t>
  </si>
  <si>
    <t>8231 sqft</t>
  </si>
  <si>
    <t>2,335 sqft</t>
  </si>
  <si>
    <t>790,000 sqft</t>
  </si>
  <si>
    <t>1,733 sqft</t>
  </si>
  <si>
    <t>1,206 sqft</t>
  </si>
  <si>
    <t>1,804 sqft</t>
  </si>
  <si>
    <t>645 sqft</t>
  </si>
  <si>
    <t>1,339 sqft</t>
  </si>
  <si>
    <t>747 sqft</t>
  </si>
  <si>
    <t>916 sqft</t>
  </si>
  <si>
    <t>1,975 sqft</t>
  </si>
  <si>
    <t>1,293 sqft</t>
  </si>
  <si>
    <t>2,706 sqft</t>
  </si>
  <si>
    <t>868 sqft</t>
  </si>
  <si>
    <t>2,405 sqft</t>
  </si>
  <si>
    <t>1970 sqft</t>
  </si>
  <si>
    <t>6360 sqft</t>
  </si>
  <si>
    <t>106 sq. ft.</t>
  </si>
  <si>
    <t>1,703 sqft</t>
  </si>
  <si>
    <t>7793 sqft</t>
  </si>
  <si>
    <t>2498 sqft</t>
  </si>
  <si>
    <t>Malaysia sqft</t>
  </si>
  <si>
    <t>4,056 sqft</t>
  </si>
  <si>
    <t>860 sqft</t>
  </si>
  <si>
    <t>1,106 sqft</t>
  </si>
  <si>
    <t>732 sqft</t>
  </si>
  <si>
    <t>1019 sqft</t>
  </si>
  <si>
    <t>465 sqft</t>
  </si>
  <si>
    <t>1,129 sqft</t>
  </si>
  <si>
    <t>1,149 sqft</t>
  </si>
  <si>
    <t>1,625 sqft</t>
  </si>
  <si>
    <t>2,470 sqft</t>
  </si>
  <si>
    <t>2,096 sqft</t>
  </si>
  <si>
    <t>3,704 sqft</t>
  </si>
  <si>
    <t>1,828 sqft</t>
  </si>
  <si>
    <t>555 sqft</t>
  </si>
  <si>
    <t>1097 sqft</t>
  </si>
  <si>
    <t>4,600 sqft</t>
  </si>
  <si>
    <t>1550 sqft</t>
  </si>
  <si>
    <t>5242 sqft</t>
  </si>
  <si>
    <t>1078 sqft</t>
  </si>
  <si>
    <t>2,482 sqft</t>
  </si>
  <si>
    <t>4999 sqft</t>
  </si>
  <si>
    <t>805 sqft</t>
  </si>
  <si>
    <t>1,722 sqft</t>
  </si>
  <si>
    <t>9149 sqft</t>
  </si>
  <si>
    <t>2,018 sqft</t>
  </si>
  <si>
    <t>9375 sqft</t>
  </si>
  <si>
    <t>9800 sqft</t>
  </si>
  <si>
    <t>1,424 sqft</t>
  </si>
  <si>
    <t>1,242 sqft</t>
  </si>
  <si>
    <t>1700 sqft</t>
  </si>
  <si>
    <t>2730 sqft</t>
  </si>
  <si>
    <t>829 sqft</t>
  </si>
  <si>
    <t>705 sqft</t>
  </si>
  <si>
    <t>968 sqft</t>
  </si>
  <si>
    <t>955 sqft</t>
  </si>
  <si>
    <t>2,513 sqft</t>
  </si>
  <si>
    <t>1,464 sqft</t>
  </si>
  <si>
    <t>4277 sqft</t>
  </si>
  <si>
    <t>1,304 sqft</t>
  </si>
  <si>
    <t>1,288 sqft</t>
  </si>
  <si>
    <t>1,403 sqft</t>
  </si>
  <si>
    <t>3704 sqft</t>
  </si>
  <si>
    <t>3885 sqft</t>
  </si>
  <si>
    <t>1,261 sqft</t>
  </si>
  <si>
    <t>1892 sqft</t>
  </si>
  <si>
    <t>86 sq. ft.</t>
  </si>
  <si>
    <t>4570 sqft</t>
  </si>
  <si>
    <t>988 sqft</t>
  </si>
  <si>
    <t>3300 sqft</t>
  </si>
  <si>
    <t>1,461 sqft</t>
  </si>
  <si>
    <t>2,097 sqft</t>
  </si>
  <si>
    <t>2,292 sqft</t>
  </si>
  <si>
    <t>1,384 sqft</t>
  </si>
  <si>
    <t>2,800 sqft</t>
  </si>
  <si>
    <t>3,707 sqft</t>
  </si>
  <si>
    <t>8438 sqft</t>
  </si>
  <si>
    <t>1313 sqft</t>
  </si>
  <si>
    <t>1496 sqft</t>
  </si>
  <si>
    <t>68 sq. ft.</t>
  </si>
  <si>
    <t>sq. m.</t>
  </si>
  <si>
    <t>1,405 sq.m.</t>
  </si>
  <si>
    <t>1,222 sqft</t>
  </si>
  <si>
    <t>1,210 sqft</t>
  </si>
  <si>
    <t>883 sqft</t>
  </si>
  <si>
    <t>953 sqft</t>
  </si>
  <si>
    <t>1,028 sqft</t>
  </si>
  <si>
    <t>6867 sqft</t>
  </si>
  <si>
    <t>1,894 sqft</t>
  </si>
  <si>
    <t>13217 sqft</t>
  </si>
  <si>
    <t>14102 sqft</t>
  </si>
  <si>
    <t>1,822 sqft</t>
  </si>
  <si>
    <t>1281 sqft</t>
  </si>
  <si>
    <t>1100 sqft</t>
  </si>
  <si>
    <t>795 sqft</t>
  </si>
  <si>
    <t>803 sqft</t>
  </si>
  <si>
    <t>901 sqft</t>
  </si>
  <si>
    <t>6,300 sqft</t>
  </si>
  <si>
    <t>1,109 sqft</t>
  </si>
  <si>
    <t>1,215 sqft</t>
  </si>
  <si>
    <t>1,856 sqft</t>
  </si>
  <si>
    <t>50 sq. ft.</t>
  </si>
  <si>
    <t>1,428 sqft</t>
  </si>
  <si>
    <t>2,974 sqft</t>
  </si>
  <si>
    <t>2,025 sqft</t>
  </si>
  <si>
    <t>535 sqft</t>
  </si>
  <si>
    <t>1569 sqft</t>
  </si>
  <si>
    <t>1,711 sqft</t>
  </si>
  <si>
    <t>2,068 sqft</t>
  </si>
  <si>
    <t>1719 sqft</t>
  </si>
  <si>
    <t>2497 sqft</t>
  </si>
  <si>
    <t>2098 sqft</t>
  </si>
  <si>
    <t>2315 sqft</t>
  </si>
  <si>
    <t>3283 sqft</t>
  </si>
  <si>
    <t>2939 sqft</t>
  </si>
  <si>
    <t>877 sqft</t>
  </si>
  <si>
    <t>1260 sqft</t>
  </si>
  <si>
    <t>1,626 sqft</t>
  </si>
  <si>
    <t>1,268 sqft</t>
  </si>
  <si>
    <t>2500 sqft</t>
  </si>
  <si>
    <t>2,045 sqft</t>
  </si>
  <si>
    <t>11800 sqft</t>
  </si>
  <si>
    <t>6,000 sqft</t>
  </si>
  <si>
    <t>1,931 sqft</t>
  </si>
  <si>
    <t>588 sqft</t>
  </si>
  <si>
    <t>42 sq. ft.</t>
  </si>
  <si>
    <t>1,521 sqft</t>
  </si>
  <si>
    <t>1,013 sqft</t>
  </si>
  <si>
    <t>5,660 sqft</t>
  </si>
  <si>
    <t>6,200 sqft</t>
  </si>
  <si>
    <t>9500 sqft</t>
  </si>
  <si>
    <t>852 sqft</t>
  </si>
  <si>
    <t>1,678 sqft</t>
  </si>
  <si>
    <t>1955 sqft</t>
  </si>
  <si>
    <t>85' sq. ft.</t>
  </si>
  <si>
    <t>80' sq. ft.</t>
  </si>
  <si>
    <t>4089 sqft</t>
  </si>
  <si>
    <t>5,090 sqft</t>
  </si>
  <si>
    <t>2,766 sqft</t>
  </si>
  <si>
    <t>2,084 sqft</t>
  </si>
  <si>
    <t>2132 sqft</t>
  </si>
  <si>
    <t>12300 sqft</t>
  </si>
  <si>
    <t>3150 sqft</t>
  </si>
  <si>
    <t>75(1500sf) sq. ft.</t>
  </si>
  <si>
    <t>1,480 sqft</t>
  </si>
  <si>
    <t>1,463 sqft</t>
  </si>
  <si>
    <t>130 sqft</t>
  </si>
  <si>
    <t>1162 sqft</t>
  </si>
  <si>
    <t>9978 sqft</t>
  </si>
  <si>
    <t>984 sqft</t>
  </si>
  <si>
    <t>1782 sqft</t>
  </si>
  <si>
    <t>81 sq. ft.</t>
  </si>
  <si>
    <t>1716 sqft</t>
  </si>
  <si>
    <t>6566.63 sqft</t>
  </si>
  <si>
    <t>6144 sqft</t>
  </si>
  <si>
    <t>87120 sqft</t>
  </si>
  <si>
    <t>32300 sqft</t>
  </si>
  <si>
    <t>13300 sqft</t>
  </si>
  <si>
    <t>9050 sqft</t>
  </si>
  <si>
    <t>70543 sqft</t>
  </si>
  <si>
    <t>108900 sqft</t>
  </si>
  <si>
    <t>18200 sqft</t>
  </si>
  <si>
    <t>23900 sqft</t>
  </si>
  <si>
    <t>13000 sqft</t>
  </si>
  <si>
    <t>3100 sqft</t>
  </si>
  <si>
    <t>10800 sqft</t>
  </si>
  <si>
    <t>9600 sqft</t>
  </si>
  <si>
    <t>4040 sqft</t>
  </si>
  <si>
    <t>3360 sqft</t>
  </si>
  <si>
    <t>1,248 sqft</t>
  </si>
  <si>
    <t>3,719 sqft</t>
  </si>
  <si>
    <t>5930 sqft</t>
  </si>
  <si>
    <t>2,161 sqft</t>
  </si>
  <si>
    <t>9365 sqft</t>
  </si>
  <si>
    <t>3900 sqft</t>
  </si>
  <si>
    <t>1,235 sqft</t>
  </si>
  <si>
    <t>1950 sqft</t>
  </si>
  <si>
    <t>1690 sqft</t>
  </si>
  <si>
    <t>1,985 sqft</t>
  </si>
  <si>
    <t>2592 sqft</t>
  </si>
  <si>
    <t>54 sq. ft.</t>
  </si>
  <si>
    <t>4400 sqft</t>
  </si>
  <si>
    <t>1,460 sqft</t>
  </si>
  <si>
    <t>1,233 sqft</t>
  </si>
  <si>
    <t>1,320 sqft</t>
  </si>
  <si>
    <t>1,929 sqft</t>
  </si>
  <si>
    <t>1,584 sqft</t>
  </si>
  <si>
    <t>7680 sqft</t>
  </si>
  <si>
    <t>1,408 sqft</t>
  </si>
  <si>
    <t>838 sqft</t>
  </si>
  <si>
    <t>20800 sqft</t>
  </si>
  <si>
    <t>1,385 sqft</t>
  </si>
  <si>
    <t>1,007 sqft</t>
  </si>
  <si>
    <t>1,757 sqft</t>
  </si>
  <si>
    <t>1,416 sqft</t>
  </si>
  <si>
    <t>543 sqft</t>
  </si>
  <si>
    <t>975 sqft</t>
  </si>
  <si>
    <t>1,037 sqft</t>
  </si>
  <si>
    <t>1,477 sqft</t>
  </si>
  <si>
    <t>1034 sqft</t>
  </si>
  <si>
    <t>959 sqft</t>
  </si>
  <si>
    <t>2,055 sqft</t>
  </si>
  <si>
    <t>3,574 sqft</t>
  </si>
  <si>
    <t>1,719 sqft</t>
  </si>
  <si>
    <t>1,201 sqft</t>
  </si>
  <si>
    <t>978 sqft</t>
  </si>
  <si>
    <t>722 sqft</t>
  </si>
  <si>
    <t>962 sqft</t>
  </si>
  <si>
    <t>3705 sqft</t>
  </si>
  <si>
    <t>9200 sqft</t>
  </si>
  <si>
    <t>1,706 sqft</t>
  </si>
  <si>
    <t>2,258 sqft</t>
  </si>
  <si>
    <t>1173 sqft</t>
  </si>
  <si>
    <t>110(4400sf) sq. ft.</t>
  </si>
  <si>
    <t>4100 sqft</t>
  </si>
  <si>
    <t>986 sqft</t>
  </si>
  <si>
    <t>1,137 sqft</t>
  </si>
  <si>
    <t>5694 sqft</t>
  </si>
  <si>
    <t>1820 sqft</t>
  </si>
  <si>
    <t>7,266 sqft</t>
  </si>
  <si>
    <t>1,514 sqft</t>
  </si>
  <si>
    <t>695 sqft</t>
  </si>
  <si>
    <t>2,207 sqft</t>
  </si>
  <si>
    <t>2,036 sqft</t>
  </si>
  <si>
    <t>1,997 sqft</t>
  </si>
  <si>
    <t>3,732 sqft</t>
  </si>
  <si>
    <t>2,291 sqft</t>
  </si>
  <si>
    <t>3,857 sqft</t>
  </si>
  <si>
    <t>1,043 sqft</t>
  </si>
  <si>
    <t>7720 sqft</t>
  </si>
  <si>
    <t>1,096 sqft</t>
  </si>
  <si>
    <t>1,130 sqft</t>
  </si>
  <si>
    <t>4900 sqft</t>
  </si>
  <si>
    <t>3874 sqft</t>
  </si>
  <si>
    <t>1,042 sqft</t>
  </si>
  <si>
    <t>1,134 sqft</t>
  </si>
  <si>
    <t>454 sqft</t>
  </si>
  <si>
    <t>2,021 sqft</t>
  </si>
  <si>
    <t>3 acres</t>
  </si>
  <si>
    <t>1,516 sqft</t>
  </si>
  <si>
    <t>7980 sqft</t>
  </si>
  <si>
    <t>2.357 acres</t>
  </si>
  <si>
    <t>894 sqft</t>
  </si>
  <si>
    <t>1,331 sqft</t>
  </si>
  <si>
    <t>1,707 sq. m.</t>
  </si>
  <si>
    <t>2464 sqft</t>
  </si>
  <si>
    <t>2988 sqft</t>
  </si>
  <si>
    <t>1,657 sqft</t>
  </si>
  <si>
    <t>769 sqft</t>
  </si>
  <si>
    <t>3,480 sqft</t>
  </si>
  <si>
    <t>11700 sqft</t>
  </si>
  <si>
    <t>1894 sqft</t>
  </si>
  <si>
    <t>989 sqft</t>
  </si>
  <si>
    <t>3,900 sqft</t>
  </si>
  <si>
    <t>2,755 sqft</t>
  </si>
  <si>
    <t>7950 sqft</t>
  </si>
  <si>
    <t>2,556 sqft</t>
  </si>
  <si>
    <t>991 sqft</t>
  </si>
  <si>
    <t>1,276 sqft</t>
  </si>
  <si>
    <t>1608 sqft</t>
  </si>
  <si>
    <t>1672 sqft</t>
  </si>
  <si>
    <t>15800 sqft</t>
  </si>
  <si>
    <t>8618 sqft</t>
  </si>
  <si>
    <t>10200 sqft</t>
  </si>
  <si>
    <t>1,581 sqft</t>
  </si>
  <si>
    <t>1,121 sqft</t>
  </si>
  <si>
    <t>821 sqft</t>
  </si>
  <si>
    <t>1,328 sqft</t>
  </si>
  <si>
    <t>857 sqft</t>
  </si>
  <si>
    <t>726 sqft</t>
  </si>
  <si>
    <t>6,120 sqft</t>
  </si>
  <si>
    <t>1871 sqft</t>
  </si>
  <si>
    <t>979 sqft</t>
  </si>
  <si>
    <t>1720 sqft</t>
  </si>
  <si>
    <t>2,409 sqft</t>
  </si>
  <si>
    <t>1,750 sqft</t>
  </si>
  <si>
    <t>845 sqft</t>
  </si>
  <si>
    <t>1,224 sqft</t>
  </si>
  <si>
    <t>7350 sqft</t>
  </si>
  <si>
    <t>4455 sqft</t>
  </si>
  <si>
    <t>1,104 sqft</t>
  </si>
  <si>
    <t>7988 sqft</t>
  </si>
  <si>
    <t>1,620 sqft</t>
  </si>
  <si>
    <t>878 sqft</t>
  </si>
  <si>
    <t>1,338 sqft</t>
  </si>
  <si>
    <t>2,059 sqft</t>
  </si>
  <si>
    <t>2,277 sqft</t>
  </si>
  <si>
    <t>1,831 sqft</t>
  </si>
  <si>
    <t>2,269 sqft</t>
  </si>
  <si>
    <t>7167 sqft</t>
  </si>
  <si>
    <t>1,133 sqft</t>
  </si>
  <si>
    <t>5,230 sqft</t>
  </si>
  <si>
    <t>1,551 sqft</t>
  </si>
  <si>
    <t>1,122 sqft</t>
  </si>
  <si>
    <t>20600 sqft</t>
  </si>
  <si>
    <t>6534 sqft</t>
  </si>
  <si>
    <t>891 sqft</t>
  </si>
  <si>
    <t>1757 sqft</t>
  </si>
  <si>
    <t>1,209 sqft</t>
  </si>
  <si>
    <t>1,001 sqft</t>
  </si>
  <si>
    <t>1,016 sqft</t>
  </si>
  <si>
    <t>2,690 sqft</t>
  </si>
  <si>
    <t>1222 sqft</t>
  </si>
  <si>
    <t>696 sqft</t>
  </si>
  <si>
    <t>1790 sqft</t>
  </si>
  <si>
    <t>2,928 sqft</t>
  </si>
  <si>
    <t>1440 sqft</t>
  </si>
  <si>
    <t>1,075 sqft</t>
  </si>
  <si>
    <t>1221 sqft</t>
  </si>
  <si>
    <t>2,150 sqft</t>
  </si>
  <si>
    <t>4,227 sqft</t>
  </si>
  <si>
    <t>2,447 sqft</t>
  </si>
  <si>
    <t>2,850 sqft</t>
  </si>
  <si>
    <t>6860 sqft</t>
  </si>
  <si>
    <t>4,900 sqft</t>
  </si>
  <si>
    <t>1,190 sqft</t>
  </si>
  <si>
    <t>3960 sqft</t>
  </si>
  <si>
    <t>1,059 sqft</t>
  </si>
  <si>
    <t>1,298 sqft</t>
  </si>
  <si>
    <t>4,068 sqft</t>
  </si>
  <si>
    <t>8859 sqft</t>
  </si>
  <si>
    <t>3120 sqft</t>
  </si>
  <si>
    <t>1,380 sqft</t>
  </si>
  <si>
    <t>1,125 sqft</t>
  </si>
  <si>
    <t>3,349 sqft</t>
  </si>
  <si>
    <t>8878 sqft</t>
  </si>
  <si>
    <t>3,590 sqft</t>
  </si>
  <si>
    <t>1,355 sqft</t>
  </si>
  <si>
    <t>947 sqft</t>
  </si>
  <si>
    <t>7,378 sqft</t>
  </si>
  <si>
    <t>2,954 sqft</t>
  </si>
  <si>
    <t>2250 sqft</t>
  </si>
  <si>
    <t>3788 sqft</t>
  </si>
  <si>
    <t>28313 sqft</t>
  </si>
  <si>
    <t>1,347 sqft</t>
  </si>
  <si>
    <t>5994 sqft</t>
  </si>
  <si>
    <t>6500 sqft</t>
  </si>
  <si>
    <t>937 sqft</t>
  </si>
  <si>
    <t>2,034 sqft</t>
  </si>
  <si>
    <t>4,055 sqft</t>
  </si>
  <si>
    <t>4983 sqft</t>
  </si>
  <si>
    <t>4590 sqft</t>
  </si>
  <si>
    <t>3,141 sqft</t>
  </si>
  <si>
    <t>4112 sqft</t>
  </si>
  <si>
    <t>1980 sqft</t>
  </si>
  <si>
    <t>66 sq. ft.</t>
  </si>
  <si>
    <t>12141 sqft</t>
  </si>
  <si>
    <t>4123 sqft</t>
  </si>
  <si>
    <t>4,853 sqft</t>
  </si>
  <si>
    <t>3,003 sqft</t>
  </si>
  <si>
    <t>689 sqft</t>
  </si>
  <si>
    <t>865 sqft</t>
  </si>
  <si>
    <t>3,735 sqft</t>
  </si>
  <si>
    <t>4,427 sqft</t>
  </si>
  <si>
    <t>9709 sqft</t>
  </si>
  <si>
    <t>12240 sqft</t>
  </si>
  <si>
    <t>21582 sqft</t>
  </si>
  <si>
    <t>2,645 sqft</t>
  </si>
  <si>
    <t>1045 sqft</t>
  </si>
  <si>
    <t>1.385 acres</t>
  </si>
  <si>
    <t>15750 sqft</t>
  </si>
  <si>
    <t>4,700 sqft</t>
  </si>
  <si>
    <t>3,700 sqft</t>
  </si>
  <si>
    <t>6,689 sqft</t>
  </si>
  <si>
    <t>966 sqft</t>
  </si>
  <si>
    <t>9907 sqft</t>
  </si>
  <si>
    <t>5270 sqft</t>
  </si>
  <si>
    <t>5300 sqft</t>
  </si>
  <si>
    <t>5,540 sqft</t>
  </si>
  <si>
    <t>54,200 sqft</t>
  </si>
  <si>
    <t>1010 sqft</t>
  </si>
  <si>
    <t>120 sq. ft.</t>
  </si>
  <si>
    <t>893 sqft</t>
  </si>
  <si>
    <t>30000 sqft</t>
  </si>
  <si>
    <t>1,839 sqft</t>
  </si>
  <si>
    <t>940 sqft</t>
  </si>
  <si>
    <t>716 sqft</t>
  </si>
  <si>
    <t>2870 sqft</t>
  </si>
  <si>
    <t>687 sqft</t>
  </si>
  <si>
    <t>3475 sqft</t>
  </si>
  <si>
    <t>3397 sqft</t>
  </si>
  <si>
    <t>79 sq. ft.</t>
  </si>
  <si>
    <t>1,105 sqft</t>
  </si>
  <si>
    <t>1,920 sqft</t>
  </si>
  <si>
    <t>1830 sqft</t>
  </si>
  <si>
    <t>4740 sqft</t>
  </si>
  <si>
    <t>5823 sqft</t>
  </si>
  <si>
    <t>1,970 sqft</t>
  </si>
  <si>
    <t>1356 sqft</t>
  </si>
  <si>
    <t>2,056 sqft</t>
  </si>
  <si>
    <t>4047 sqft</t>
  </si>
  <si>
    <t>7,100 sqft</t>
  </si>
  <si>
    <t>6120 sqft</t>
  </si>
  <si>
    <t>325 sqft</t>
  </si>
  <si>
    <t>652 sqft</t>
  </si>
  <si>
    <t>1,435 sqft</t>
  </si>
  <si>
    <t>5900 sqft</t>
  </si>
  <si>
    <t>1,595 sqft</t>
  </si>
  <si>
    <t>4,690 sqft</t>
  </si>
  <si>
    <t>1,559 sqft</t>
  </si>
  <si>
    <t>3797 sqft</t>
  </si>
  <si>
    <t>3534 sqft</t>
  </si>
  <si>
    <t>1,234 sqft</t>
  </si>
  <si>
    <t>2,474 sqft</t>
  </si>
  <si>
    <t>1,396 sqft</t>
  </si>
  <si>
    <t>595 sqft</t>
  </si>
  <si>
    <t>683 sqft</t>
  </si>
  <si>
    <t>1,363 sqft</t>
  </si>
  <si>
    <t>5,500 sqft</t>
  </si>
  <si>
    <t>1,038 sqft</t>
  </si>
  <si>
    <t>1,407 sqft</t>
  </si>
  <si>
    <t>5440 sqft</t>
  </si>
  <si>
    <t>81000 sqft</t>
  </si>
  <si>
    <t>1,285 sqft</t>
  </si>
  <si>
    <t>1,008 sqft</t>
  </si>
  <si>
    <t>1,070 sqft</t>
  </si>
  <si>
    <t>1513 sqft</t>
  </si>
  <si>
    <t>1270 sqft</t>
  </si>
  <si>
    <t>980 sqft</t>
  </si>
  <si>
    <t>3,283 sqft</t>
  </si>
  <si>
    <t>2,949 sqft</t>
  </si>
  <si>
    <t>1207 sqft</t>
  </si>
  <si>
    <t>1,011 sqft</t>
  </si>
  <si>
    <t>853 sqft</t>
  </si>
  <si>
    <t>1,684 sqft</t>
  </si>
  <si>
    <t>784 sqft</t>
  </si>
  <si>
    <t>10350 sqft</t>
  </si>
  <si>
    <t>686 sqft</t>
  </si>
  <si>
    <t>1,470 sqft</t>
  </si>
  <si>
    <t>3756 sqft</t>
  </si>
  <si>
    <t>4004 sqft</t>
  </si>
  <si>
    <t>13832 sqft</t>
  </si>
  <si>
    <t>16436 sqft</t>
  </si>
  <si>
    <t>7800 sqft</t>
  </si>
  <si>
    <t>924 sqft</t>
  </si>
  <si>
    <t>1,979 sqft</t>
  </si>
  <si>
    <t>2,996 sqft</t>
  </si>
  <si>
    <t>1584 sqft</t>
  </si>
  <si>
    <t>72 sq. ft.</t>
  </si>
  <si>
    <t>3,891 sqft</t>
  </si>
  <si>
    <t>3,941 sqft</t>
  </si>
  <si>
    <t>2,121 sqft</t>
  </si>
  <si>
    <t>5354 sqft</t>
  </si>
  <si>
    <t>1,512 sqft</t>
  </si>
  <si>
    <t>2,743 sqft</t>
  </si>
  <si>
    <t>1,660 sqft</t>
  </si>
  <si>
    <t>2,516 sqft</t>
  </si>
  <si>
    <t>2,248 sqft</t>
  </si>
  <si>
    <t>4,333 sqft</t>
  </si>
  <si>
    <t>1,312 sqft</t>
  </si>
  <si>
    <t>3,240 sqft</t>
  </si>
  <si>
    <t>1,679 sqft</t>
  </si>
  <si>
    <t>8,365 sqft</t>
  </si>
  <si>
    <t>1,390 sqft</t>
  </si>
  <si>
    <t>2,280 sqft</t>
  </si>
  <si>
    <t>3844 sqft</t>
  </si>
  <si>
    <t>1,252 sqft</t>
  </si>
  <si>
    <t>1,047 sqft</t>
  </si>
  <si>
    <t>8966 sqft</t>
  </si>
  <si>
    <t>1,611 sqft</t>
  </si>
  <si>
    <t>869 sqft</t>
  </si>
  <si>
    <t>725 sqft</t>
  </si>
  <si>
    <t>648 sqft</t>
  </si>
  <si>
    <t>1507 sqft</t>
  </si>
  <si>
    <t>4884 sqft</t>
  </si>
  <si>
    <t>22X80 sqft</t>
  </si>
  <si>
    <t>1109 sqft</t>
  </si>
  <si>
    <t>2,680 sqft</t>
  </si>
  <si>
    <t>1,116 sqft</t>
  </si>
  <si>
    <t>2,739 sqft</t>
  </si>
  <si>
    <t>2,416 sqft</t>
  </si>
  <si>
    <t>3,467 sqft</t>
  </si>
  <si>
    <t>3,502 sqft</t>
  </si>
  <si>
    <t>5,472 sqft</t>
  </si>
  <si>
    <t>22X75 sqft</t>
  </si>
  <si>
    <t>20X65 sqft</t>
  </si>
  <si>
    <t>8400 sqft</t>
  </si>
  <si>
    <t>6931 sqft</t>
  </si>
  <si>
    <t>782 sqft</t>
  </si>
  <si>
    <t>518 sqft</t>
  </si>
  <si>
    <t>713 sqft</t>
  </si>
  <si>
    <t>1,126 sqft</t>
  </si>
  <si>
    <t>886 sqft</t>
  </si>
  <si>
    <t>957 sqft</t>
  </si>
  <si>
    <t>1,132 sqft</t>
  </si>
  <si>
    <t>956 sqft</t>
  </si>
  <si>
    <t>946 sqft</t>
  </si>
  <si>
    <t>5,738 sqft</t>
  </si>
  <si>
    <t>4700 sqft</t>
  </si>
  <si>
    <t>1850 sqft</t>
  </si>
  <si>
    <t>2045 sqft</t>
  </si>
  <si>
    <t>2880 sqft</t>
  </si>
  <si>
    <t>1,358 sqft</t>
  </si>
  <si>
    <t>1,316 sqft</t>
  </si>
  <si>
    <t>2,236 sqft</t>
  </si>
  <si>
    <t>1,221 sqft</t>
  </si>
  <si>
    <t>3525 sqft</t>
  </si>
  <si>
    <t>8848 sqft</t>
  </si>
  <si>
    <t>1,635 sqft</t>
  </si>
  <si>
    <t>9120 sqft</t>
  </si>
  <si>
    <t>14068 sqft</t>
  </si>
  <si>
    <t>12002 sqft</t>
  </si>
  <si>
    <t>4941 sqft</t>
  </si>
  <si>
    <t>4556 sqft</t>
  </si>
  <si>
    <t>4667 sqft</t>
  </si>
  <si>
    <t>1,405 sqft</t>
  </si>
  <si>
    <t>514 sqft</t>
  </si>
  <si>
    <t>1039 sqft</t>
  </si>
  <si>
    <t>3,033 sqft</t>
  </si>
  <si>
    <t>2,090 sqft</t>
  </si>
  <si>
    <t>2,553 sqft</t>
  </si>
  <si>
    <t>2,668 sqft</t>
  </si>
  <si>
    <t>2,028 sqft</t>
  </si>
  <si>
    <t>2,487 sqft</t>
  </si>
  <si>
    <t>3,626 sqft</t>
  </si>
  <si>
    <t>1,097 sqft</t>
  </si>
  <si>
    <t>3,316 sqft</t>
  </si>
  <si>
    <t>3,203 sqft</t>
  </si>
  <si>
    <t>6,575 sqft</t>
  </si>
  <si>
    <t>4,356 sqft</t>
  </si>
  <si>
    <t>3,979 sqft</t>
  </si>
  <si>
    <t>2,249 sqft</t>
  </si>
  <si>
    <t>4,237 sqft</t>
  </si>
  <si>
    <t>2,241 sqft</t>
  </si>
  <si>
    <t>2,357 sqft</t>
  </si>
  <si>
    <t>1,492 sqft</t>
  </si>
  <si>
    <t>1,885 sqft</t>
  </si>
  <si>
    <t>2,414 sqft</t>
  </si>
  <si>
    <t>2,473 sqft</t>
  </si>
  <si>
    <t>908 sqft</t>
  </si>
  <si>
    <t>7,287 sqft</t>
  </si>
  <si>
    <t>3,950 sqft</t>
  </si>
  <si>
    <t>4,721 sqft</t>
  </si>
  <si>
    <t>6878 sqft</t>
  </si>
  <si>
    <t>7922 sqft</t>
  </si>
  <si>
    <t>11302 sqft</t>
  </si>
  <si>
    <t>9332 sqft</t>
  </si>
  <si>
    <t>8923 sqft</t>
  </si>
  <si>
    <t>7329 sqft</t>
  </si>
  <si>
    <t>2,740 sqft</t>
  </si>
  <si>
    <t>8350 sqft</t>
  </si>
  <si>
    <t>1,475 sqft</t>
  </si>
  <si>
    <t>2,780 sqft</t>
  </si>
  <si>
    <t>4,580 sqft</t>
  </si>
  <si>
    <t>2572 sqft</t>
  </si>
  <si>
    <t>2,278 sqft</t>
  </si>
  <si>
    <t>2,496 sqft</t>
  </si>
  <si>
    <t>8365 sqft</t>
  </si>
  <si>
    <t>14327 sqft</t>
  </si>
  <si>
    <t>2029 sqft</t>
  </si>
  <si>
    <t>6670 sqft</t>
  </si>
  <si>
    <t>1389 sqft</t>
  </si>
  <si>
    <t>2,247 sqft</t>
  </si>
  <si>
    <t>1,314 sqft</t>
  </si>
  <si>
    <t>1,616 sqft</t>
  </si>
  <si>
    <t>3,370 sqft</t>
  </si>
  <si>
    <t>1,594 sqft</t>
  </si>
  <si>
    <t>1373 sqft</t>
  </si>
  <si>
    <t>3432 sqft</t>
  </si>
  <si>
    <t>143 sq. ft.</t>
  </si>
  <si>
    <t>632 sqft</t>
  </si>
  <si>
    <t>9619 sqft</t>
  </si>
  <si>
    <t>1,257 sqft</t>
  </si>
  <si>
    <t>2,037 sqft</t>
  </si>
  <si>
    <t>2,092 sqft</t>
  </si>
  <si>
    <t>1,675 sqft</t>
  </si>
  <si>
    <t>540 sqft</t>
  </si>
  <si>
    <t>5,400 sqft</t>
  </si>
  <si>
    <t>3,139 sqft</t>
  </si>
  <si>
    <t>1,766 sqft</t>
  </si>
  <si>
    <t>2,035 sqft</t>
  </si>
  <si>
    <t>785 sqft</t>
  </si>
  <si>
    <t>5,147 sqft</t>
  </si>
  <si>
    <t>1,923 sqft</t>
  </si>
  <si>
    <t>1,895 sqft</t>
  </si>
  <si>
    <t>2378 sqft</t>
  </si>
  <si>
    <t>3,843 sqft</t>
  </si>
  <si>
    <t>2,885 sqft</t>
  </si>
  <si>
    <t>2,271 sqft</t>
  </si>
  <si>
    <t>7,793 sqft</t>
  </si>
  <si>
    <t>6,600 sqft</t>
  </si>
  <si>
    <t>7,901 sqft</t>
  </si>
  <si>
    <t>5,640 sqft</t>
  </si>
  <si>
    <t>6,500 sqft</t>
  </si>
  <si>
    <t>5,402 sqft</t>
  </si>
  <si>
    <t>3,563 sqft</t>
  </si>
  <si>
    <t>5,834 sqft</t>
  </si>
  <si>
    <t>5,427 sqft</t>
  </si>
  <si>
    <t>2,240 sqft</t>
  </si>
  <si>
    <t>3,575 sqft</t>
  </si>
  <si>
    <t>2,265 sqft</t>
  </si>
  <si>
    <t>4,919 sqft</t>
  </si>
  <si>
    <t>3,311 sqft</t>
  </si>
  <si>
    <t>2,230 sqft</t>
  </si>
  <si>
    <t>3,063 sqft</t>
  </si>
  <si>
    <t>1,743 sqft</t>
  </si>
  <si>
    <t>1,604 sqft</t>
  </si>
  <si>
    <t>5,145 sqft</t>
  </si>
  <si>
    <t>6,825 sqft</t>
  </si>
  <si>
    <t>3,789 sqft</t>
  </si>
  <si>
    <t>3,550 sqft</t>
  </si>
  <si>
    <t>14,570 sqft</t>
  </si>
  <si>
    <t>1180 sqft</t>
  </si>
  <si>
    <t>50000 sqft</t>
  </si>
  <si>
    <t>40X120 sqft</t>
  </si>
  <si>
    <t>568 sqft</t>
  </si>
  <si>
    <t>1076 sqft</t>
  </si>
  <si>
    <t>698 sqft</t>
  </si>
  <si>
    <t>521 sqft</t>
  </si>
  <si>
    <t>774 sqft</t>
  </si>
  <si>
    <t>2195 sqft</t>
  </si>
  <si>
    <t>3444 sqft</t>
  </si>
  <si>
    <t>1498 sqft</t>
  </si>
  <si>
    <t>6888 sqft</t>
  </si>
  <si>
    <t>1,182 sqft</t>
  </si>
  <si>
    <t>2,387 sqft</t>
  </si>
  <si>
    <t>1,685 sqft</t>
  </si>
  <si>
    <t>4293 sqft</t>
  </si>
  <si>
    <t>1,415 sqft</t>
  </si>
  <si>
    <t>5554 sqft</t>
  </si>
  <si>
    <t>3067 sqft</t>
  </si>
  <si>
    <t>2640 sqft</t>
  </si>
  <si>
    <t>1750 sqft</t>
  </si>
  <si>
    <t>1,614 sqft</t>
  </si>
  <si>
    <t>4610 sqft</t>
  </si>
  <si>
    <t>3147 sqft</t>
  </si>
  <si>
    <t>3347 sqft</t>
  </si>
  <si>
    <t>21X70 sqft</t>
  </si>
  <si>
    <t>929 sqft</t>
  </si>
  <si>
    <t>20X60 sqft</t>
  </si>
  <si>
    <t>4825 sqft</t>
  </si>
  <si>
    <t>790 sqft</t>
  </si>
  <si>
    <t>674 sqft</t>
  </si>
  <si>
    <t>17300 sqft</t>
  </si>
  <si>
    <t>6650 sqft</t>
  </si>
  <si>
    <t>971 sqft</t>
  </si>
  <si>
    <t>1,869 sqft</t>
  </si>
  <si>
    <t>1,704 sqft</t>
  </si>
  <si>
    <t>1,511 sqft</t>
  </si>
  <si>
    <t>3825 sqft</t>
  </si>
  <si>
    <t>5.668 acres</t>
  </si>
  <si>
    <t>51885 sqft</t>
  </si>
  <si>
    <t>12191 sqft</t>
  </si>
  <si>
    <t>10796 sqft</t>
  </si>
  <si>
    <t>12723 sqft</t>
  </si>
  <si>
    <t>17478 sqft</t>
  </si>
  <si>
    <t>831 sqft</t>
  </si>
  <si>
    <t>1,669 sqft</t>
  </si>
  <si>
    <t>2,732 sqft</t>
  </si>
  <si>
    <t>731 sqft</t>
  </si>
  <si>
    <t>11000 sqft</t>
  </si>
  <si>
    <t>1,872 sqft</t>
  </si>
  <si>
    <t>1,599 sqft</t>
  </si>
  <si>
    <t>1,498 sqft</t>
  </si>
  <si>
    <t>1,263 sqft</t>
  </si>
  <si>
    <t>1,465 sqft</t>
  </si>
  <si>
    <t>3520 sqft</t>
  </si>
  <si>
    <t>1168 sqft</t>
  </si>
  <si>
    <t>1,391 sqft</t>
  </si>
  <si>
    <t>810 sqft</t>
  </si>
  <si>
    <t>466 sqft</t>
  </si>
  <si>
    <t>943 sqft</t>
  </si>
  <si>
    <t>1,095 sqft</t>
  </si>
  <si>
    <t>4,130 sqft</t>
  </si>
  <si>
    <t>1,211 sqft</t>
  </si>
  <si>
    <t>4480 sqft</t>
  </si>
  <si>
    <t>1442 sqft</t>
  </si>
  <si>
    <t>5837 sqft</t>
  </si>
  <si>
    <t>52 sq. ft.</t>
  </si>
  <si>
    <t>5403 sqft</t>
  </si>
  <si>
    <t>893-1195 sqft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</si>
</sst>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AABDA"/>
        <bgColor rgb="FFBAABDA"/>
      </patternFill>
    </fill>
    <fill>
      <patternFill patternType="solid">
        <fgColor rgb="FFFFFFFF"/>
        <bgColor rgb="FFFFFFFF"/>
      </patternFill>
    </fill>
    <fill>
      <patternFill patternType="solid">
        <fgColor rgb="FFFFF9F9"/>
        <bgColor rgb="FFFFF9F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25"/>
  </cols>
  <sheetData>
    <row r="1">
      <c r="B1" s="1"/>
    </row>
    <row r="2">
      <c r="A2" s="2" t="s">
        <v>0</v>
      </c>
    </row>
    <row r="3">
      <c r="A3" s="3" t="s">
        <v>1</v>
      </c>
      <c r="B3" s="4" t="s">
        <v>2</v>
      </c>
    </row>
    <row r="4">
      <c r="A4" s="5" t="s">
        <v>3</v>
      </c>
      <c r="B4" s="6" t="s">
        <v>4</v>
      </c>
    </row>
    <row r="5">
      <c r="A5" s="3" t="s">
        <v>5</v>
      </c>
      <c r="B5" s="4" t="s">
        <v>6</v>
      </c>
    </row>
    <row r="6">
      <c r="A6" s="5" t="s">
        <v>7</v>
      </c>
      <c r="B6" s="6" t="s">
        <v>8</v>
      </c>
    </row>
    <row r="7">
      <c r="A7" s="3" t="s">
        <v>9</v>
      </c>
      <c r="B7" s="4" t="s">
        <v>10</v>
      </c>
    </row>
    <row r="8">
      <c r="A8" s="5" t="s">
        <v>11</v>
      </c>
      <c r="B8" s="6" t="s">
        <v>12</v>
      </c>
    </row>
    <row r="9">
      <c r="A9" s="3" t="s">
        <v>13</v>
      </c>
      <c r="B9" s="4" t="s">
        <v>14</v>
      </c>
    </row>
    <row r="10">
      <c r="A10" s="5" t="s">
        <v>15</v>
      </c>
      <c r="B10" s="6" t="s">
        <v>16</v>
      </c>
    </row>
    <row r="11">
      <c r="B11" s="1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7" max="7" width="26.63"/>
    <col customWidth="1" min="8" max="8" width="20.25"/>
    <col customWidth="1" min="9" max="9" width="19.88"/>
  </cols>
  <sheetData>
    <row r="1">
      <c r="A1" s="7" t="s">
        <v>1</v>
      </c>
      <c r="B1" s="7" t="s">
        <v>3</v>
      </c>
      <c r="C1" s="7"/>
      <c r="D1" s="7" t="s">
        <v>5</v>
      </c>
      <c r="E1" s="7" t="s">
        <v>7</v>
      </c>
      <c r="F1" s="7" t="s">
        <v>9</v>
      </c>
      <c r="G1" s="7" t="s">
        <v>11</v>
      </c>
      <c r="H1" s="7" t="s">
        <v>13</v>
      </c>
      <c r="I1" s="7" t="s">
        <v>15</v>
      </c>
    </row>
    <row r="2">
      <c r="A2" s="7" t="s">
        <v>17</v>
      </c>
      <c r="B2" s="7" t="s">
        <v>18</v>
      </c>
      <c r="C2" s="8">
        <f>IFERROR(__xludf.DUMMYFUNCTION("SPLIT(B2,""RM"")"),1250000.0)</f>
        <v>1250000</v>
      </c>
      <c r="D2" s="7" t="s">
        <v>19</v>
      </c>
      <c r="E2" s="7">
        <v>3.0</v>
      </c>
      <c r="F2" s="7">
        <v>2.0</v>
      </c>
      <c r="G2" s="7" t="s">
        <v>20</v>
      </c>
      <c r="H2" s="7" t="s">
        <v>21</v>
      </c>
      <c r="I2" s="7" t="s">
        <v>22</v>
      </c>
    </row>
    <row r="3">
      <c r="A3" s="7" t="s">
        <v>23</v>
      </c>
      <c r="B3" s="7" t="s">
        <v>24</v>
      </c>
      <c r="C3" s="8">
        <f>IFERROR(__xludf.DUMMYFUNCTION("SPLIT(B3,""RM"")"),6800000.0)</f>
        <v>6800000</v>
      </c>
      <c r="D3" s="7">
        <v>6.0</v>
      </c>
      <c r="E3" s="7">
        <v>7.0</v>
      </c>
      <c r="G3" s="7" t="s">
        <v>25</v>
      </c>
      <c r="H3" s="7" t="s">
        <v>26</v>
      </c>
      <c r="I3" s="7" t="s">
        <v>27</v>
      </c>
    </row>
    <row r="4">
      <c r="A4" s="7" t="s">
        <v>28</v>
      </c>
      <c r="B4" s="7" t="s">
        <v>29</v>
      </c>
      <c r="C4" s="8">
        <f>IFERROR(__xludf.DUMMYFUNCTION("SPLIT(B4,""RM"")"),1030000.0)</f>
        <v>1030000</v>
      </c>
      <c r="D4" s="7">
        <v>3.0</v>
      </c>
      <c r="E4" s="7">
        <v>4.0</v>
      </c>
      <c r="F4" s="7">
        <v>2.0</v>
      </c>
      <c r="G4" s="7" t="s">
        <v>30</v>
      </c>
      <c r="H4" s="7" t="s">
        <v>31</v>
      </c>
      <c r="I4" s="7" t="s">
        <v>27</v>
      </c>
    </row>
    <row r="5" hidden="1">
      <c r="A5" s="7" t="s">
        <v>32</v>
      </c>
      <c r="C5" s="7" t="str">
        <f>IFERROR(__xludf.DUMMYFUNCTION("SPLIT(B5,""RM"")"),"#VALUE!")</f>
        <v>#VALUE!</v>
      </c>
    </row>
    <row r="6">
      <c r="A6" s="7" t="s">
        <v>33</v>
      </c>
      <c r="B6" s="7" t="s">
        <v>34</v>
      </c>
      <c r="C6" s="8">
        <f>IFERROR(__xludf.DUMMYFUNCTION("SPLIT(B6,""RM"")"),900000.0)</f>
        <v>900000</v>
      </c>
      <c r="D6" s="7" t="s">
        <v>35</v>
      </c>
      <c r="E6" s="7">
        <v>3.0</v>
      </c>
      <c r="F6" s="7">
        <v>2.0</v>
      </c>
      <c r="G6" s="7" t="s">
        <v>30</v>
      </c>
      <c r="H6" s="7" t="s">
        <v>36</v>
      </c>
      <c r="I6" s="7" t="s">
        <v>27</v>
      </c>
    </row>
    <row r="7">
      <c r="A7" s="7" t="s">
        <v>37</v>
      </c>
      <c r="B7" s="7" t="s">
        <v>38</v>
      </c>
      <c r="C7" s="8">
        <f>IFERROR(__xludf.DUMMYFUNCTION("SPLIT(B7,""RM"")"),5350000.0)</f>
        <v>5350000</v>
      </c>
      <c r="D7" s="7" t="s">
        <v>39</v>
      </c>
      <c r="E7" s="7">
        <v>5.0</v>
      </c>
      <c r="F7" s="7">
        <v>4.0</v>
      </c>
      <c r="G7" s="7" t="s">
        <v>25</v>
      </c>
      <c r="H7" s="7" t="s">
        <v>40</v>
      </c>
      <c r="I7" s="7" t="s">
        <v>27</v>
      </c>
    </row>
    <row r="8" hidden="1">
      <c r="A8" s="7" t="s">
        <v>41</v>
      </c>
      <c r="C8" s="7" t="str">
        <f>IFERROR(__xludf.DUMMYFUNCTION("SPLIT(B8,""RM"")"),"#VALUE!")</f>
        <v>#VALUE!</v>
      </c>
    </row>
    <row r="9">
      <c r="A9" s="7" t="s">
        <v>37</v>
      </c>
      <c r="B9" s="7" t="s">
        <v>42</v>
      </c>
      <c r="C9" s="8">
        <f>IFERROR(__xludf.DUMMYFUNCTION("SPLIT(B9,""RM"")"),2600000.0)</f>
        <v>2600000</v>
      </c>
      <c r="D9" s="7">
        <v>5.0</v>
      </c>
      <c r="E9" s="7">
        <v>4.0</v>
      </c>
      <c r="F9" s="7">
        <v>4.0</v>
      </c>
      <c r="G9" s="7" t="s">
        <v>43</v>
      </c>
      <c r="H9" s="7" t="s">
        <v>44</v>
      </c>
      <c r="I9" s="7" t="s">
        <v>27</v>
      </c>
    </row>
    <row r="10">
      <c r="A10" s="7" t="s">
        <v>37</v>
      </c>
      <c r="B10" s="7" t="s">
        <v>45</v>
      </c>
      <c r="C10" s="8">
        <f>IFERROR(__xludf.DUMMYFUNCTION("SPLIT(B10,""RM"")"),1950000.0)</f>
        <v>1950000</v>
      </c>
      <c r="D10" s="7" t="s">
        <v>35</v>
      </c>
      <c r="E10" s="7">
        <v>4.0</v>
      </c>
      <c r="F10" s="7">
        <v>3.0</v>
      </c>
      <c r="G10" s="7" t="s">
        <v>46</v>
      </c>
      <c r="H10" s="7" t="s">
        <v>47</v>
      </c>
      <c r="I10" s="7" t="s">
        <v>27</v>
      </c>
    </row>
    <row r="11">
      <c r="A11" s="7" t="s">
        <v>48</v>
      </c>
      <c r="B11" s="7" t="s">
        <v>49</v>
      </c>
      <c r="C11" s="8">
        <f>IFERROR(__xludf.DUMMYFUNCTION("SPLIT(B11,""RM"")"),385000.0)</f>
        <v>385000</v>
      </c>
      <c r="D11" s="7">
        <v>3.0</v>
      </c>
      <c r="E11" s="7">
        <v>2.0</v>
      </c>
      <c r="F11" s="7">
        <v>1.0</v>
      </c>
      <c r="G11" s="7" t="s">
        <v>50</v>
      </c>
      <c r="H11" s="7" t="s">
        <v>51</v>
      </c>
      <c r="I11" s="7" t="s">
        <v>27</v>
      </c>
    </row>
    <row r="12" hidden="1">
      <c r="A12" s="7" t="s">
        <v>52</v>
      </c>
      <c r="C12" s="7" t="str">
        <f>IFERROR(__xludf.DUMMYFUNCTION("SPLIT(B12,""RM"")"),"#VALUE!")</f>
        <v>#VALUE!</v>
      </c>
    </row>
    <row r="13">
      <c r="A13" s="7" t="s">
        <v>37</v>
      </c>
      <c r="B13" s="7" t="s">
        <v>53</v>
      </c>
      <c r="C13" s="8">
        <f>IFERROR(__xludf.DUMMYFUNCTION("SPLIT(B13,""RM"")"),1680000.0)</f>
        <v>1680000</v>
      </c>
      <c r="D13" s="7">
        <v>4.0</v>
      </c>
      <c r="E13" s="7">
        <v>3.0</v>
      </c>
      <c r="G13" s="7" t="s">
        <v>54</v>
      </c>
      <c r="H13" s="7" t="s">
        <v>55</v>
      </c>
      <c r="I13" s="7" t="s">
        <v>27</v>
      </c>
    </row>
    <row r="14">
      <c r="A14" s="7" t="s">
        <v>37</v>
      </c>
      <c r="B14" s="7" t="s">
        <v>56</v>
      </c>
      <c r="C14" s="8">
        <f>IFERROR(__xludf.DUMMYFUNCTION("SPLIT(B14,""RM"")"),1700000.0)</f>
        <v>1700000</v>
      </c>
      <c r="D14" s="7" t="s">
        <v>57</v>
      </c>
      <c r="E14" s="7">
        <v>3.0</v>
      </c>
      <c r="G14" s="7" t="s">
        <v>54</v>
      </c>
      <c r="H14" s="7" t="s">
        <v>58</v>
      </c>
      <c r="I14" s="7" t="s">
        <v>27</v>
      </c>
    </row>
    <row r="15">
      <c r="A15" s="7" t="s">
        <v>37</v>
      </c>
      <c r="B15" s="7" t="s">
        <v>59</v>
      </c>
      <c r="C15" s="8">
        <f>IFERROR(__xludf.DUMMYFUNCTION("SPLIT(B15,""RM"")"),4580000.0)</f>
        <v>4580000</v>
      </c>
      <c r="D15" s="7" t="s">
        <v>60</v>
      </c>
      <c r="E15" s="7">
        <v>5.0</v>
      </c>
      <c r="F15" s="7">
        <v>5.0</v>
      </c>
      <c r="G15" s="7" t="s">
        <v>61</v>
      </c>
      <c r="H15" s="7" t="s">
        <v>62</v>
      </c>
      <c r="I15" s="7" t="s">
        <v>27</v>
      </c>
    </row>
    <row r="16" hidden="1">
      <c r="A16" s="7" t="s">
        <v>33</v>
      </c>
      <c r="C16" s="7" t="str">
        <f>IFERROR(__xludf.DUMMYFUNCTION("SPLIT(B16,""RM"")"),"#VALUE!")</f>
        <v>#VALUE!</v>
      </c>
    </row>
    <row r="17">
      <c r="A17" s="7" t="s">
        <v>37</v>
      </c>
      <c r="B17" s="7" t="s">
        <v>63</v>
      </c>
      <c r="C17" s="8">
        <f>IFERROR(__xludf.DUMMYFUNCTION("SPLIT(B17,""RM"")"),3100000.0)</f>
        <v>3100000</v>
      </c>
      <c r="D17" s="7" t="s">
        <v>35</v>
      </c>
      <c r="E17" s="7">
        <v>3.0</v>
      </c>
      <c r="G17" s="7" t="s">
        <v>64</v>
      </c>
      <c r="H17" s="7" t="s">
        <v>44</v>
      </c>
      <c r="I17" s="7" t="s">
        <v>27</v>
      </c>
    </row>
    <row r="18">
      <c r="A18" s="7" t="s">
        <v>65</v>
      </c>
      <c r="B18" s="7" t="s">
        <v>66</v>
      </c>
      <c r="C18" s="8">
        <f>IFERROR(__xludf.DUMMYFUNCTION("SPLIT(B18,""RM"")"),9000000.0)</f>
        <v>9000000</v>
      </c>
      <c r="D18" s="7" t="s">
        <v>60</v>
      </c>
      <c r="E18" s="7">
        <v>7.0</v>
      </c>
      <c r="F18" s="7">
        <v>4.0</v>
      </c>
      <c r="G18" s="7" t="s">
        <v>67</v>
      </c>
      <c r="H18" s="7" t="s">
        <v>68</v>
      </c>
      <c r="I18" s="7" t="s">
        <v>27</v>
      </c>
    </row>
    <row r="19">
      <c r="A19" s="7" t="s">
        <v>23</v>
      </c>
      <c r="B19" s="7" t="s">
        <v>69</v>
      </c>
      <c r="C19" s="8">
        <f>IFERROR(__xludf.DUMMYFUNCTION("SPLIT(B19,""RM"")"),4500000.0)</f>
        <v>4500000</v>
      </c>
      <c r="D19" s="7" t="s">
        <v>70</v>
      </c>
      <c r="E19" s="7">
        <v>7.0</v>
      </c>
      <c r="G19" s="7" t="s">
        <v>67</v>
      </c>
      <c r="H19" s="7" t="s">
        <v>71</v>
      </c>
      <c r="I19" s="7" t="s">
        <v>27</v>
      </c>
    </row>
    <row r="20">
      <c r="A20" s="7" t="s">
        <v>72</v>
      </c>
      <c r="B20" s="7" t="s">
        <v>73</v>
      </c>
      <c r="C20" s="8">
        <f>IFERROR(__xludf.DUMMYFUNCTION("SPLIT(B20,""RM"")"),1780000.0)</f>
        <v>1780000</v>
      </c>
      <c r="D20" s="7" t="s">
        <v>35</v>
      </c>
      <c r="E20" s="7">
        <v>4.0</v>
      </c>
      <c r="F20" s="7">
        <v>2.0</v>
      </c>
      <c r="G20" s="7" t="s">
        <v>30</v>
      </c>
      <c r="H20" s="7" t="s">
        <v>74</v>
      </c>
      <c r="I20" s="7" t="s">
        <v>27</v>
      </c>
    </row>
    <row r="21">
      <c r="A21" s="7" t="s">
        <v>72</v>
      </c>
      <c r="B21" s="7" t="s">
        <v>75</v>
      </c>
      <c r="C21" s="8">
        <f>IFERROR(__xludf.DUMMYFUNCTION("SPLIT(B21,""RM"")"),3450000.0)</f>
        <v>3450000</v>
      </c>
      <c r="D21" s="7" t="s">
        <v>35</v>
      </c>
      <c r="E21" s="7">
        <v>6.0</v>
      </c>
      <c r="F21" s="7">
        <v>3.0</v>
      </c>
      <c r="G21" s="7" t="s">
        <v>30</v>
      </c>
      <c r="H21" s="7" t="s">
        <v>76</v>
      </c>
      <c r="I21" s="7" t="s">
        <v>22</v>
      </c>
    </row>
    <row r="22">
      <c r="A22" s="7" t="s">
        <v>77</v>
      </c>
      <c r="B22" s="7" t="s">
        <v>78</v>
      </c>
      <c r="C22" s="8">
        <f>IFERROR(__xludf.DUMMYFUNCTION("SPLIT(B22,""RM"")"),1500000.0)</f>
        <v>1500000</v>
      </c>
      <c r="D22" s="7" t="s">
        <v>79</v>
      </c>
      <c r="E22" s="7">
        <v>4.0</v>
      </c>
      <c r="F22" s="7">
        <v>2.0</v>
      </c>
      <c r="G22" s="7" t="s">
        <v>30</v>
      </c>
      <c r="H22" s="7" t="s">
        <v>80</v>
      </c>
      <c r="I22" s="7" t="s">
        <v>27</v>
      </c>
    </row>
    <row r="23">
      <c r="A23" s="7" t="s">
        <v>23</v>
      </c>
      <c r="B23" s="7" t="s">
        <v>81</v>
      </c>
      <c r="C23" s="8">
        <f>IFERROR(__xludf.DUMMYFUNCTION("SPLIT(B23,""RM"")"),1550000.0)</f>
        <v>1550000</v>
      </c>
      <c r="D23" s="7">
        <v>1.0</v>
      </c>
      <c r="E23" s="7">
        <v>1.0</v>
      </c>
      <c r="F23" s="7">
        <v>1.0</v>
      </c>
      <c r="G23" s="7" t="s">
        <v>82</v>
      </c>
      <c r="H23" s="7" t="s">
        <v>51</v>
      </c>
      <c r="I23" s="7" t="s">
        <v>22</v>
      </c>
    </row>
    <row r="24">
      <c r="A24" s="7" t="s">
        <v>72</v>
      </c>
      <c r="B24" s="7" t="s">
        <v>78</v>
      </c>
      <c r="C24" s="8">
        <f>IFERROR(__xludf.DUMMYFUNCTION("SPLIT(B24,""RM"")"),1500000.0)</f>
        <v>1500000</v>
      </c>
      <c r="D24" s="7" t="s">
        <v>57</v>
      </c>
      <c r="E24" s="7">
        <v>4.0</v>
      </c>
      <c r="F24" s="7">
        <v>3.0</v>
      </c>
      <c r="G24" s="7" t="s">
        <v>83</v>
      </c>
      <c r="H24" s="7" t="s">
        <v>84</v>
      </c>
      <c r="I24" s="7" t="s">
        <v>22</v>
      </c>
    </row>
    <row r="25">
      <c r="A25" s="7" t="s">
        <v>72</v>
      </c>
      <c r="B25" s="7" t="s">
        <v>85</v>
      </c>
      <c r="C25" s="8">
        <f>IFERROR(__xludf.DUMMYFUNCTION("SPLIT(B25,""RM"")"),1450000.0)</f>
        <v>1450000</v>
      </c>
      <c r="D25" s="7" t="s">
        <v>57</v>
      </c>
      <c r="E25" s="7">
        <v>4.0</v>
      </c>
      <c r="G25" s="7" t="s">
        <v>83</v>
      </c>
      <c r="H25" s="7" t="s">
        <v>84</v>
      </c>
      <c r="I25" s="7" t="s">
        <v>22</v>
      </c>
    </row>
    <row r="26">
      <c r="A26" s="7" t="s">
        <v>86</v>
      </c>
      <c r="B26" s="7" t="s">
        <v>87</v>
      </c>
      <c r="C26" s="8">
        <f>IFERROR(__xludf.DUMMYFUNCTION("SPLIT(B26,""RM"")"),490000.0)</f>
        <v>490000</v>
      </c>
      <c r="D26" s="7">
        <v>1.0</v>
      </c>
      <c r="E26" s="7">
        <v>1.0</v>
      </c>
      <c r="F26" s="7">
        <v>1.0</v>
      </c>
      <c r="G26" s="7" t="s">
        <v>20</v>
      </c>
      <c r="H26" s="7" t="s">
        <v>88</v>
      </c>
      <c r="I26" s="7" t="s">
        <v>22</v>
      </c>
    </row>
    <row r="27" hidden="1">
      <c r="A27" s="7" t="s">
        <v>89</v>
      </c>
      <c r="C27" s="7" t="str">
        <f>IFERROR(__xludf.DUMMYFUNCTION("SPLIT(B27,""RM"")"),"#VALUE!")</f>
        <v>#VALUE!</v>
      </c>
      <c r="D27" s="7">
        <v>5.0</v>
      </c>
      <c r="E27" s="7">
        <v>4.0</v>
      </c>
      <c r="G27" s="7" t="s">
        <v>90</v>
      </c>
      <c r="H27" s="7" t="s">
        <v>91</v>
      </c>
      <c r="I27" s="7" t="s">
        <v>22</v>
      </c>
    </row>
    <row r="28">
      <c r="A28" s="7" t="s">
        <v>33</v>
      </c>
      <c r="B28" s="7" t="s">
        <v>92</v>
      </c>
      <c r="C28" s="8">
        <f>IFERROR(__xludf.DUMMYFUNCTION("SPLIT(B28,""RM"")"),610000.0)</f>
        <v>610000</v>
      </c>
      <c r="D28" s="7" t="s">
        <v>57</v>
      </c>
      <c r="E28" s="7">
        <v>2.0</v>
      </c>
      <c r="F28" s="7">
        <v>2.0</v>
      </c>
      <c r="G28" s="7" t="s">
        <v>93</v>
      </c>
      <c r="H28" s="7" t="s">
        <v>94</v>
      </c>
      <c r="I28" s="7" t="s">
        <v>27</v>
      </c>
    </row>
    <row r="29" hidden="1">
      <c r="A29" s="7" t="s">
        <v>72</v>
      </c>
      <c r="C29" s="7" t="str">
        <f>IFERROR(__xludf.DUMMYFUNCTION("SPLIT(B29,""RM"")"),"#VALUE!")</f>
        <v>#VALUE!</v>
      </c>
    </row>
    <row r="30">
      <c r="A30" s="7" t="s">
        <v>28</v>
      </c>
      <c r="B30" s="7" t="s">
        <v>95</v>
      </c>
      <c r="C30" s="8">
        <f>IFERROR(__xludf.DUMMYFUNCTION("SPLIT(B30,""RM"")"),1035880.0)</f>
        <v>1035880</v>
      </c>
      <c r="D30" s="7" t="s">
        <v>57</v>
      </c>
      <c r="E30" s="7">
        <v>4.0</v>
      </c>
      <c r="F30" s="7">
        <v>1.0</v>
      </c>
      <c r="G30" s="7" t="s">
        <v>96</v>
      </c>
      <c r="H30" s="7" t="s">
        <v>97</v>
      </c>
      <c r="I30" s="7" t="s">
        <v>27</v>
      </c>
    </row>
    <row r="31">
      <c r="A31" s="7" t="s">
        <v>72</v>
      </c>
      <c r="B31" s="7" t="s">
        <v>98</v>
      </c>
      <c r="C31" s="8">
        <f>IFERROR(__xludf.DUMMYFUNCTION("SPLIT(B31,""RM"")"),1830000.0)</f>
        <v>1830000</v>
      </c>
      <c r="D31" s="7">
        <v>3.0</v>
      </c>
      <c r="E31" s="7">
        <v>4.0</v>
      </c>
      <c r="G31" s="7" t="s">
        <v>93</v>
      </c>
      <c r="H31" s="7" t="s">
        <v>99</v>
      </c>
      <c r="I31" s="7" t="s">
        <v>27</v>
      </c>
    </row>
    <row r="32" hidden="1">
      <c r="A32" s="7" t="s">
        <v>100</v>
      </c>
      <c r="C32" s="7" t="str">
        <f>IFERROR(__xludf.DUMMYFUNCTION("SPLIT(B32,""RM"")"),"#VALUE!")</f>
        <v>#VALUE!</v>
      </c>
    </row>
    <row r="33">
      <c r="A33" s="7" t="s">
        <v>52</v>
      </c>
      <c r="B33" s="7" t="s">
        <v>101</v>
      </c>
      <c r="C33" s="8">
        <f>IFERROR(__xludf.DUMMYFUNCTION("SPLIT(B33,""RM"")"),3300000.0)</f>
        <v>3300000</v>
      </c>
      <c r="D33" s="7" t="s">
        <v>35</v>
      </c>
      <c r="E33" s="7">
        <v>4.0</v>
      </c>
      <c r="F33" s="7">
        <v>4.0</v>
      </c>
      <c r="G33" s="7" t="s">
        <v>83</v>
      </c>
      <c r="H33" s="7" t="s">
        <v>102</v>
      </c>
      <c r="I33" s="7" t="s">
        <v>103</v>
      </c>
    </row>
    <row r="34">
      <c r="A34" s="7" t="s">
        <v>104</v>
      </c>
      <c r="B34" s="7" t="s">
        <v>105</v>
      </c>
      <c r="C34" s="8">
        <f>IFERROR(__xludf.DUMMYFUNCTION("SPLIT(B34,""RM"")"),560000.0)</f>
        <v>560000</v>
      </c>
      <c r="D34" s="7">
        <v>3.0</v>
      </c>
      <c r="E34" s="7">
        <v>2.0</v>
      </c>
      <c r="G34" s="7" t="s">
        <v>54</v>
      </c>
      <c r="H34" s="7" t="s">
        <v>106</v>
      </c>
      <c r="I34" s="7" t="s">
        <v>27</v>
      </c>
    </row>
    <row r="35">
      <c r="A35" s="7" t="s">
        <v>52</v>
      </c>
      <c r="B35" s="7" t="s">
        <v>107</v>
      </c>
      <c r="C35" s="8">
        <f>IFERROR(__xludf.DUMMYFUNCTION("SPLIT(B35,""RM"")"),460000.0)</f>
        <v>460000</v>
      </c>
      <c r="D35" s="7">
        <v>1.0</v>
      </c>
      <c r="E35" s="7">
        <v>1.0</v>
      </c>
      <c r="F35" s="7">
        <v>1.0</v>
      </c>
      <c r="G35" s="7" t="s">
        <v>20</v>
      </c>
      <c r="H35" s="7" t="s">
        <v>108</v>
      </c>
      <c r="I35" s="7" t="s">
        <v>22</v>
      </c>
    </row>
    <row r="36" hidden="1">
      <c r="A36" s="7" t="s">
        <v>109</v>
      </c>
      <c r="C36" s="7" t="str">
        <f>IFERROR(__xludf.DUMMYFUNCTION("SPLIT(B36,""RM"")"),"#VALUE!")</f>
        <v>#VALUE!</v>
      </c>
    </row>
    <row r="37">
      <c r="A37" s="7" t="s">
        <v>17</v>
      </c>
      <c r="B37" s="7" t="s">
        <v>110</v>
      </c>
      <c r="C37" s="8">
        <f>IFERROR(__xludf.DUMMYFUNCTION("SPLIT(B37,""RM"")"),2400000.0)</f>
        <v>2400000</v>
      </c>
      <c r="D37" s="7">
        <v>2.0</v>
      </c>
      <c r="E37" s="7">
        <v>2.0</v>
      </c>
      <c r="F37" s="7">
        <v>1.0</v>
      </c>
      <c r="G37" s="7" t="s">
        <v>20</v>
      </c>
      <c r="H37" s="7" t="s">
        <v>111</v>
      </c>
      <c r="I37" s="7" t="s">
        <v>22</v>
      </c>
    </row>
    <row r="38">
      <c r="A38" s="7" t="s">
        <v>72</v>
      </c>
      <c r="B38" s="7" t="s">
        <v>112</v>
      </c>
      <c r="C38" s="8">
        <f>IFERROR(__xludf.DUMMYFUNCTION("SPLIT(B38,""RM"")"),2290710.0)</f>
        <v>2290710</v>
      </c>
      <c r="D38" s="7" t="s">
        <v>35</v>
      </c>
      <c r="E38" s="7">
        <v>4.0</v>
      </c>
      <c r="G38" s="7" t="s">
        <v>83</v>
      </c>
      <c r="H38" s="7" t="s">
        <v>113</v>
      </c>
    </row>
    <row r="39">
      <c r="A39" s="7" t="s">
        <v>72</v>
      </c>
      <c r="B39" s="7" t="s">
        <v>114</v>
      </c>
      <c r="C39" s="8">
        <f>IFERROR(__xludf.DUMMYFUNCTION("SPLIT(B39,""RM"")"),2284620.0)</f>
        <v>2284620</v>
      </c>
      <c r="D39" s="7" t="s">
        <v>39</v>
      </c>
      <c r="E39" s="7">
        <v>4.0</v>
      </c>
      <c r="G39" s="7" t="s">
        <v>83</v>
      </c>
      <c r="H39" s="7" t="s">
        <v>115</v>
      </c>
    </row>
    <row r="40" hidden="1">
      <c r="A40" s="7" t="s">
        <v>32</v>
      </c>
      <c r="C40" s="7" t="str">
        <f>IFERROR(__xludf.DUMMYFUNCTION("SPLIT(B40,""RM"")"),"#VALUE!")</f>
        <v>#VALUE!</v>
      </c>
    </row>
    <row r="41">
      <c r="A41" s="7" t="s">
        <v>100</v>
      </c>
      <c r="B41" s="7" t="s">
        <v>116</v>
      </c>
      <c r="C41" s="8">
        <f>IFERROR(__xludf.DUMMYFUNCTION("SPLIT(B41,""RM"")"),1438000.0)</f>
        <v>1438000</v>
      </c>
      <c r="D41" s="7" t="s">
        <v>79</v>
      </c>
      <c r="E41" s="7">
        <v>4.0</v>
      </c>
      <c r="F41" s="7">
        <v>3.0</v>
      </c>
      <c r="G41" s="7" t="s">
        <v>30</v>
      </c>
      <c r="H41" s="7" t="s">
        <v>117</v>
      </c>
      <c r="I41" s="7" t="s">
        <v>27</v>
      </c>
    </row>
    <row r="42">
      <c r="A42" s="7" t="s">
        <v>72</v>
      </c>
      <c r="B42" s="7" t="s">
        <v>118</v>
      </c>
      <c r="C42" s="8">
        <f>IFERROR(__xludf.DUMMYFUNCTION("SPLIT(B42,""RM"")"),1720000.0)</f>
        <v>1720000</v>
      </c>
      <c r="D42" s="7" t="s">
        <v>79</v>
      </c>
      <c r="E42" s="7">
        <v>6.0</v>
      </c>
      <c r="F42" s="7">
        <v>3.0</v>
      </c>
      <c r="G42" s="7" t="s">
        <v>30</v>
      </c>
      <c r="H42" s="7" t="s">
        <v>119</v>
      </c>
      <c r="I42" s="7" t="s">
        <v>27</v>
      </c>
    </row>
    <row r="43">
      <c r="A43" s="7" t="s">
        <v>17</v>
      </c>
      <c r="B43" s="7" t="s">
        <v>120</v>
      </c>
      <c r="C43" s="8">
        <f>IFERROR(__xludf.DUMMYFUNCTION("SPLIT(B43,""RM"")"),3600000.0)</f>
        <v>3600000</v>
      </c>
      <c r="D43" s="7">
        <v>4.0</v>
      </c>
      <c r="E43" s="7">
        <v>4.0</v>
      </c>
      <c r="G43" s="7" t="s">
        <v>121</v>
      </c>
      <c r="H43" s="7" t="s">
        <v>122</v>
      </c>
      <c r="I43" s="7" t="s">
        <v>27</v>
      </c>
    </row>
    <row r="44">
      <c r="A44" s="7" t="s">
        <v>17</v>
      </c>
      <c r="B44" s="7" t="s">
        <v>123</v>
      </c>
      <c r="C44" s="8">
        <f>IFERROR(__xludf.DUMMYFUNCTION("SPLIT(B44,""RM"")"),4280000.0)</f>
        <v>4280000</v>
      </c>
      <c r="D44" s="7" t="s">
        <v>57</v>
      </c>
      <c r="E44" s="7">
        <v>4.0</v>
      </c>
      <c r="F44" s="7">
        <v>2.0</v>
      </c>
      <c r="G44" s="7" t="s">
        <v>121</v>
      </c>
      <c r="H44" s="7" t="s">
        <v>124</v>
      </c>
      <c r="I44" s="7" t="s">
        <v>22</v>
      </c>
    </row>
    <row r="45">
      <c r="A45" s="7" t="s">
        <v>17</v>
      </c>
      <c r="B45" s="7" t="s">
        <v>125</v>
      </c>
      <c r="C45" s="8">
        <f>IFERROR(__xludf.DUMMYFUNCTION("SPLIT(B45,""RM"")"),2300000.0)</f>
        <v>2300000</v>
      </c>
      <c r="D45" s="7">
        <v>1.0</v>
      </c>
      <c r="E45" s="7">
        <v>2.0</v>
      </c>
      <c r="F45" s="7">
        <v>1.0</v>
      </c>
      <c r="G45" s="7" t="s">
        <v>20</v>
      </c>
      <c r="H45" s="7" t="s">
        <v>126</v>
      </c>
      <c r="I45" s="7" t="s">
        <v>27</v>
      </c>
    </row>
    <row r="46">
      <c r="A46" s="7" t="s">
        <v>23</v>
      </c>
      <c r="B46" s="7" t="s">
        <v>127</v>
      </c>
      <c r="C46" s="8">
        <f>IFERROR(__xludf.DUMMYFUNCTION("SPLIT(B46,""RM"")"),4200000.0)</f>
        <v>4200000</v>
      </c>
      <c r="D46" s="7">
        <v>6.0</v>
      </c>
      <c r="E46" s="7">
        <v>5.0</v>
      </c>
      <c r="F46" s="7">
        <v>5.0</v>
      </c>
      <c r="G46" s="7" t="s">
        <v>25</v>
      </c>
      <c r="H46" s="7" t="s">
        <v>128</v>
      </c>
      <c r="I46" s="7" t="s">
        <v>27</v>
      </c>
    </row>
    <row r="47">
      <c r="A47" s="7" t="s">
        <v>89</v>
      </c>
      <c r="B47" s="7" t="s">
        <v>34</v>
      </c>
      <c r="C47" s="8">
        <f>IFERROR(__xludf.DUMMYFUNCTION("SPLIT(B47,""RM"")"),900000.0)</f>
        <v>900000</v>
      </c>
      <c r="D47" s="7">
        <v>6.0</v>
      </c>
      <c r="E47" s="7">
        <v>5.0</v>
      </c>
      <c r="F47" s="7">
        <v>3.0</v>
      </c>
      <c r="G47" s="7" t="s">
        <v>90</v>
      </c>
      <c r="H47" s="7" t="s">
        <v>129</v>
      </c>
      <c r="I47" s="7" t="s">
        <v>22</v>
      </c>
    </row>
    <row r="48">
      <c r="A48" s="7" t="s">
        <v>17</v>
      </c>
      <c r="B48" s="7" t="s">
        <v>130</v>
      </c>
      <c r="C48" s="8">
        <f>IFERROR(__xludf.DUMMYFUNCTION("SPLIT(B48,""RM"")"),2700000.0)</f>
        <v>2700000</v>
      </c>
      <c r="D48" s="7" t="s">
        <v>57</v>
      </c>
      <c r="E48" s="7">
        <v>4.0</v>
      </c>
      <c r="F48" s="7">
        <v>3.0</v>
      </c>
      <c r="G48" s="7" t="s">
        <v>121</v>
      </c>
      <c r="H48" s="7" t="s">
        <v>131</v>
      </c>
      <c r="I48" s="7" t="s">
        <v>22</v>
      </c>
    </row>
    <row r="49">
      <c r="A49" s="7" t="s">
        <v>72</v>
      </c>
      <c r="B49" s="7" t="s">
        <v>132</v>
      </c>
      <c r="C49" s="8">
        <f>IFERROR(__xludf.DUMMYFUNCTION("SPLIT(B49,""RM"")"),1080000.0)</f>
        <v>1080000</v>
      </c>
      <c r="D49" s="7">
        <v>2.0</v>
      </c>
      <c r="E49" s="7">
        <v>2.0</v>
      </c>
      <c r="F49" s="7">
        <v>1.0</v>
      </c>
      <c r="G49" s="7" t="s">
        <v>20</v>
      </c>
      <c r="H49" s="7" t="s">
        <v>133</v>
      </c>
      <c r="I49" s="7" t="s">
        <v>22</v>
      </c>
    </row>
    <row r="50">
      <c r="A50" s="7" t="s">
        <v>72</v>
      </c>
      <c r="B50" s="7" t="s">
        <v>134</v>
      </c>
      <c r="C50" s="8">
        <f>IFERROR(__xludf.DUMMYFUNCTION("SPLIT(B50,""RM"")"),1150000.0)</f>
        <v>1150000</v>
      </c>
      <c r="D50" s="7">
        <v>3.0</v>
      </c>
      <c r="E50" s="7">
        <v>2.0</v>
      </c>
      <c r="F50" s="7">
        <v>2.0</v>
      </c>
      <c r="G50" s="7" t="s">
        <v>30</v>
      </c>
      <c r="H50" s="7" t="s">
        <v>135</v>
      </c>
      <c r="I50" s="7" t="s">
        <v>27</v>
      </c>
    </row>
    <row r="51">
      <c r="A51" s="7" t="s">
        <v>33</v>
      </c>
      <c r="B51" s="7" t="s">
        <v>136</v>
      </c>
      <c r="C51" s="8">
        <f>IFERROR(__xludf.DUMMYFUNCTION("SPLIT(B51,""RM"")"),1070000.0)</f>
        <v>1070000</v>
      </c>
      <c r="D51" s="7" t="s">
        <v>35</v>
      </c>
      <c r="E51" s="7">
        <v>4.0</v>
      </c>
      <c r="F51" s="7">
        <v>4.0</v>
      </c>
      <c r="G51" s="7" t="s">
        <v>96</v>
      </c>
      <c r="H51" s="7" t="s">
        <v>137</v>
      </c>
      <c r="I51" s="7" t="s">
        <v>27</v>
      </c>
    </row>
    <row r="52">
      <c r="A52" s="7" t="s">
        <v>33</v>
      </c>
      <c r="B52" s="7" t="s">
        <v>138</v>
      </c>
      <c r="C52" s="8">
        <f>IFERROR(__xludf.DUMMYFUNCTION("SPLIT(B52,""RM"")"),930000.0)</f>
        <v>930000</v>
      </c>
      <c r="D52" s="7">
        <v>4.0</v>
      </c>
      <c r="E52" s="7">
        <v>3.0</v>
      </c>
      <c r="F52" s="7">
        <v>2.0</v>
      </c>
      <c r="G52" s="7" t="s">
        <v>96</v>
      </c>
      <c r="H52" s="7" t="s">
        <v>36</v>
      </c>
      <c r="I52" s="7" t="s">
        <v>27</v>
      </c>
    </row>
    <row r="53" hidden="1">
      <c r="A53" s="7" t="s">
        <v>37</v>
      </c>
      <c r="C53" s="7" t="str">
        <f>IFERROR(__xludf.DUMMYFUNCTION("SPLIT(B53,""RM"")"),"#VALUE!")</f>
        <v>#VALUE!</v>
      </c>
    </row>
    <row r="54">
      <c r="A54" s="7" t="s">
        <v>86</v>
      </c>
      <c r="B54" s="7" t="s">
        <v>139</v>
      </c>
      <c r="C54" s="8">
        <f>IFERROR(__xludf.DUMMYFUNCTION("SPLIT(B54,""RM"")"),780000.0)</f>
        <v>780000</v>
      </c>
      <c r="D54" s="7">
        <v>2.0</v>
      </c>
      <c r="E54" s="7">
        <v>2.0</v>
      </c>
      <c r="F54" s="7">
        <v>1.0</v>
      </c>
      <c r="G54" s="7" t="s">
        <v>121</v>
      </c>
      <c r="H54" s="7" t="s">
        <v>140</v>
      </c>
      <c r="I54" s="7" t="s">
        <v>27</v>
      </c>
    </row>
    <row r="55">
      <c r="A55" s="7" t="s">
        <v>17</v>
      </c>
      <c r="B55" s="7" t="s">
        <v>141</v>
      </c>
      <c r="C55" s="8">
        <f>IFERROR(__xludf.DUMMYFUNCTION("SPLIT(B55,""RM"")"),4098000.0)</f>
        <v>4098000</v>
      </c>
      <c r="D55" s="7" t="s">
        <v>57</v>
      </c>
      <c r="E55" s="7">
        <v>3.0</v>
      </c>
      <c r="F55" s="7">
        <v>2.0</v>
      </c>
      <c r="G55" s="7" t="s">
        <v>82</v>
      </c>
      <c r="H55" s="7" t="s">
        <v>142</v>
      </c>
      <c r="I55" s="7" t="s">
        <v>27</v>
      </c>
    </row>
    <row r="56" hidden="1">
      <c r="A56" s="7" t="s">
        <v>37</v>
      </c>
      <c r="C56" s="7" t="str">
        <f>IFERROR(__xludf.DUMMYFUNCTION("SPLIT(B56,""RM"")"),"#VALUE!")</f>
        <v>#VALUE!</v>
      </c>
    </row>
    <row r="57">
      <c r="A57" s="7" t="s">
        <v>143</v>
      </c>
      <c r="B57" s="7" t="s">
        <v>144</v>
      </c>
      <c r="C57" s="8">
        <f>IFERROR(__xludf.DUMMYFUNCTION("SPLIT(B57,""RM"")"),1800000.0)</f>
        <v>1800000</v>
      </c>
      <c r="D57" s="7">
        <v>2.0</v>
      </c>
      <c r="E57" s="7">
        <v>2.0</v>
      </c>
      <c r="F57" s="7">
        <v>1.0</v>
      </c>
      <c r="G57" s="7" t="s">
        <v>145</v>
      </c>
      <c r="H57" s="7" t="s">
        <v>146</v>
      </c>
      <c r="I57" s="7" t="s">
        <v>22</v>
      </c>
    </row>
    <row r="58">
      <c r="A58" s="7" t="s">
        <v>72</v>
      </c>
      <c r="B58" s="7" t="s">
        <v>120</v>
      </c>
      <c r="C58" s="8">
        <f>IFERROR(__xludf.DUMMYFUNCTION("SPLIT(B58,""RM"")"),3600000.0)</f>
        <v>3600000</v>
      </c>
      <c r="D58" s="7" t="s">
        <v>39</v>
      </c>
      <c r="E58" s="7">
        <v>6.0</v>
      </c>
      <c r="G58" s="7" t="s">
        <v>30</v>
      </c>
      <c r="H58" s="7" t="s">
        <v>147</v>
      </c>
      <c r="I58" s="7" t="s">
        <v>22</v>
      </c>
    </row>
    <row r="59">
      <c r="A59" s="7" t="s">
        <v>72</v>
      </c>
      <c r="B59" s="7" t="s">
        <v>125</v>
      </c>
      <c r="C59" s="8">
        <f>IFERROR(__xludf.DUMMYFUNCTION("SPLIT(B59,""RM"")"),2300000.0)</f>
        <v>2300000</v>
      </c>
      <c r="D59" s="7" t="s">
        <v>35</v>
      </c>
      <c r="E59" s="7">
        <v>5.0</v>
      </c>
      <c r="F59" s="7">
        <v>2.0</v>
      </c>
      <c r="G59" s="7" t="s">
        <v>30</v>
      </c>
      <c r="H59" s="7" t="s">
        <v>115</v>
      </c>
      <c r="I59" s="7" t="s">
        <v>27</v>
      </c>
    </row>
    <row r="60" hidden="1">
      <c r="A60" s="7" t="s">
        <v>148</v>
      </c>
      <c r="C60" s="7" t="str">
        <f>IFERROR(__xludf.DUMMYFUNCTION("SPLIT(B60,""RM"")"),"#VALUE!")</f>
        <v>#VALUE!</v>
      </c>
    </row>
    <row r="61">
      <c r="A61" s="7" t="s">
        <v>17</v>
      </c>
      <c r="B61" s="7" t="s">
        <v>149</v>
      </c>
      <c r="C61" s="8">
        <f>IFERROR(__xludf.DUMMYFUNCTION("SPLIT(B61,""RM"")"),4000000.0)</f>
        <v>4000000</v>
      </c>
      <c r="D61" s="7" t="s">
        <v>57</v>
      </c>
      <c r="E61" s="7">
        <v>3.0</v>
      </c>
      <c r="F61" s="7">
        <v>2.0</v>
      </c>
      <c r="G61" s="7" t="s">
        <v>93</v>
      </c>
      <c r="H61" s="7" t="s">
        <v>150</v>
      </c>
      <c r="I61" s="7" t="s">
        <v>22</v>
      </c>
    </row>
    <row r="62">
      <c r="A62" s="7" t="s">
        <v>52</v>
      </c>
      <c r="B62" s="7" t="s">
        <v>151</v>
      </c>
      <c r="C62" s="8">
        <f>IFERROR(__xludf.DUMMYFUNCTION("SPLIT(B62,""RM"")"),4800000.0)</f>
        <v>4800000</v>
      </c>
      <c r="D62" s="7">
        <v>5.0</v>
      </c>
      <c r="E62" s="7">
        <v>6.0</v>
      </c>
      <c r="F62" s="7">
        <v>3.0</v>
      </c>
      <c r="G62" s="7" t="s">
        <v>83</v>
      </c>
      <c r="H62" s="7" t="s">
        <v>152</v>
      </c>
      <c r="I62" s="7" t="s">
        <v>27</v>
      </c>
    </row>
    <row r="63">
      <c r="A63" s="7" t="s">
        <v>52</v>
      </c>
      <c r="B63" s="7" t="s">
        <v>153</v>
      </c>
      <c r="C63" s="8">
        <f>IFERROR(__xludf.DUMMYFUNCTION("SPLIT(B63,""RM"")"),3780000.0)</f>
        <v>3780000</v>
      </c>
      <c r="D63" s="7" t="s">
        <v>35</v>
      </c>
      <c r="E63" s="7">
        <v>5.0</v>
      </c>
      <c r="F63" s="7">
        <v>4.0</v>
      </c>
      <c r="G63" s="7" t="s">
        <v>30</v>
      </c>
      <c r="H63" s="7" t="s">
        <v>154</v>
      </c>
      <c r="I63" s="7" t="s">
        <v>27</v>
      </c>
    </row>
    <row r="64" hidden="1">
      <c r="A64" s="7" t="s">
        <v>155</v>
      </c>
      <c r="C64" s="7" t="str">
        <f>IFERROR(__xludf.DUMMYFUNCTION("SPLIT(B64,""RM"")"),"#VALUE!")</f>
        <v>#VALUE!</v>
      </c>
    </row>
    <row r="65">
      <c r="A65" s="7" t="s">
        <v>86</v>
      </c>
      <c r="B65" s="7" t="s">
        <v>156</v>
      </c>
      <c r="C65" s="8">
        <f>IFERROR(__xludf.DUMMYFUNCTION("SPLIT(B65,""RM"")"),850000.0)</f>
        <v>850000</v>
      </c>
      <c r="D65" s="7" t="s">
        <v>19</v>
      </c>
      <c r="E65" s="7">
        <v>2.0</v>
      </c>
      <c r="F65" s="7">
        <v>1.0</v>
      </c>
      <c r="G65" s="7" t="s">
        <v>20</v>
      </c>
      <c r="H65" s="7" t="s">
        <v>157</v>
      </c>
      <c r="I65" s="7" t="s">
        <v>22</v>
      </c>
    </row>
    <row r="66">
      <c r="A66" s="7" t="s">
        <v>72</v>
      </c>
      <c r="B66" s="7" t="s">
        <v>158</v>
      </c>
      <c r="C66" s="8">
        <f>IFERROR(__xludf.DUMMYFUNCTION("SPLIT(B66,""RM"")"),1850000.0)</f>
        <v>1850000</v>
      </c>
      <c r="D66" s="7" t="s">
        <v>57</v>
      </c>
      <c r="E66" s="7">
        <v>4.0</v>
      </c>
      <c r="G66" s="7" t="s">
        <v>83</v>
      </c>
      <c r="H66" s="7" t="s">
        <v>159</v>
      </c>
      <c r="I66" s="7" t="s">
        <v>27</v>
      </c>
    </row>
    <row r="67">
      <c r="A67" s="7" t="s">
        <v>17</v>
      </c>
      <c r="B67" s="7" t="s">
        <v>160</v>
      </c>
      <c r="C67" s="8">
        <f>IFERROR(__xludf.DUMMYFUNCTION("SPLIT(B67,""RM"")"),1698800.0)</f>
        <v>1698800</v>
      </c>
      <c r="D67" s="7">
        <v>2.0</v>
      </c>
      <c r="E67" s="7">
        <v>2.0</v>
      </c>
      <c r="F67" s="7">
        <v>1.0</v>
      </c>
      <c r="G67" s="7" t="s">
        <v>82</v>
      </c>
      <c r="H67" s="7" t="s">
        <v>161</v>
      </c>
      <c r="I67" s="7" t="s">
        <v>22</v>
      </c>
    </row>
    <row r="68">
      <c r="A68" s="7" t="s">
        <v>89</v>
      </c>
      <c r="B68" s="7" t="s">
        <v>162</v>
      </c>
      <c r="C68" s="8">
        <f>IFERROR(__xludf.DUMMYFUNCTION("SPLIT(B68,""RM"")"),999000.0)</f>
        <v>999000</v>
      </c>
      <c r="D68" s="7" t="s">
        <v>35</v>
      </c>
      <c r="E68" s="7">
        <v>4.0</v>
      </c>
      <c r="F68" s="7">
        <v>2.0</v>
      </c>
      <c r="G68" s="7" t="s">
        <v>90</v>
      </c>
      <c r="H68" s="7" t="s">
        <v>163</v>
      </c>
      <c r="I68" s="7" t="s">
        <v>27</v>
      </c>
    </row>
    <row r="69">
      <c r="A69" s="7" t="s">
        <v>164</v>
      </c>
      <c r="B69" s="7" t="s">
        <v>165</v>
      </c>
      <c r="C69" s="8">
        <f>IFERROR(__xludf.DUMMYFUNCTION("SPLIT(B69,""RM"")"),3500000.0)</f>
        <v>3500000</v>
      </c>
      <c r="D69" s="7">
        <v>1.0</v>
      </c>
      <c r="E69" s="7">
        <v>1.0</v>
      </c>
      <c r="F69" s="7">
        <v>1.0</v>
      </c>
      <c r="G69" s="7" t="s">
        <v>20</v>
      </c>
      <c r="H69" s="7" t="s">
        <v>166</v>
      </c>
      <c r="I69" s="7" t="s">
        <v>27</v>
      </c>
    </row>
    <row r="70">
      <c r="A70" s="7" t="s">
        <v>17</v>
      </c>
      <c r="B70" s="7" t="s">
        <v>78</v>
      </c>
      <c r="C70" s="8">
        <f>IFERROR(__xludf.DUMMYFUNCTION("SPLIT(B70,""RM"")"),1500000.0)</f>
        <v>1500000</v>
      </c>
      <c r="D70" s="7">
        <v>2.0</v>
      </c>
      <c r="E70" s="7">
        <v>2.0</v>
      </c>
      <c r="F70" s="7">
        <v>1.0</v>
      </c>
      <c r="G70" s="7" t="s">
        <v>121</v>
      </c>
      <c r="H70" s="7" t="s">
        <v>167</v>
      </c>
      <c r="I70" s="7" t="s">
        <v>22</v>
      </c>
    </row>
    <row r="71">
      <c r="A71" s="7" t="s">
        <v>17</v>
      </c>
      <c r="B71" s="7" t="s">
        <v>125</v>
      </c>
      <c r="C71" s="8">
        <f>IFERROR(__xludf.DUMMYFUNCTION("SPLIT(B71,""RM"")"),2300000.0)</f>
        <v>2300000</v>
      </c>
      <c r="D71" s="7">
        <v>1.0</v>
      </c>
      <c r="E71" s="7">
        <v>2.0</v>
      </c>
      <c r="F71" s="7">
        <v>1.0</v>
      </c>
      <c r="G71" s="7" t="s">
        <v>82</v>
      </c>
      <c r="H71" s="7" t="s">
        <v>126</v>
      </c>
      <c r="I71" s="7" t="s">
        <v>27</v>
      </c>
    </row>
    <row r="72">
      <c r="A72" s="7" t="s">
        <v>72</v>
      </c>
      <c r="B72" s="7" t="s">
        <v>98</v>
      </c>
      <c r="C72" s="8">
        <f>IFERROR(__xludf.DUMMYFUNCTION("SPLIT(B72,""RM"")"),1830000.0)</f>
        <v>1830000</v>
      </c>
      <c r="D72" s="7" t="s">
        <v>57</v>
      </c>
      <c r="E72" s="7">
        <v>4.0</v>
      </c>
      <c r="F72" s="7">
        <v>2.0</v>
      </c>
      <c r="G72" s="7" t="s">
        <v>30</v>
      </c>
      <c r="H72" s="7" t="s">
        <v>74</v>
      </c>
      <c r="I72" s="7" t="s">
        <v>27</v>
      </c>
    </row>
    <row r="73">
      <c r="A73" s="7" t="s">
        <v>148</v>
      </c>
      <c r="B73" s="7" t="s">
        <v>168</v>
      </c>
      <c r="C73" s="8">
        <f>IFERROR(__xludf.DUMMYFUNCTION("SPLIT(B73,""RM"")"),750000.0)</f>
        <v>750000</v>
      </c>
      <c r="D73" s="7">
        <v>4.0</v>
      </c>
      <c r="E73" s="7">
        <v>3.0</v>
      </c>
      <c r="F73" s="7">
        <v>3.0</v>
      </c>
      <c r="G73" s="7" t="s">
        <v>169</v>
      </c>
      <c r="H73" s="7" t="s">
        <v>170</v>
      </c>
      <c r="I73" s="7" t="s">
        <v>27</v>
      </c>
    </row>
    <row r="74">
      <c r="A74" s="7" t="s">
        <v>171</v>
      </c>
      <c r="B74" s="7" t="s">
        <v>172</v>
      </c>
      <c r="C74" s="8">
        <f>IFERROR(__xludf.DUMMYFUNCTION("SPLIT(B74,""RM"")"),580000.0)</f>
        <v>580000</v>
      </c>
      <c r="D74" s="7" t="s">
        <v>35</v>
      </c>
      <c r="E74" s="7">
        <v>2.0</v>
      </c>
      <c r="F74" s="7">
        <v>2.0</v>
      </c>
      <c r="G74" s="7" t="s">
        <v>30</v>
      </c>
      <c r="H74" s="7" t="s">
        <v>173</v>
      </c>
      <c r="I74" s="7" t="s">
        <v>27</v>
      </c>
    </row>
    <row r="75">
      <c r="A75" s="7" t="s">
        <v>17</v>
      </c>
      <c r="B75" s="7" t="s">
        <v>174</v>
      </c>
      <c r="C75" s="8">
        <f>IFERROR(__xludf.DUMMYFUNCTION("SPLIT(B75,""RM"")"),3000000.0)</f>
        <v>3000000</v>
      </c>
      <c r="D75" s="7" t="s">
        <v>57</v>
      </c>
      <c r="E75" s="7">
        <v>3.0</v>
      </c>
      <c r="F75" s="7">
        <v>3.0</v>
      </c>
      <c r="G75" s="7" t="s">
        <v>20</v>
      </c>
      <c r="H75" s="7" t="s">
        <v>142</v>
      </c>
    </row>
    <row r="76">
      <c r="A76" s="7" t="s">
        <v>72</v>
      </c>
      <c r="B76" s="7" t="s">
        <v>175</v>
      </c>
      <c r="C76" s="8">
        <f>IFERROR(__xludf.DUMMYFUNCTION("SPLIT(B76,""RM"")"),2180000.0)</f>
        <v>2180000</v>
      </c>
      <c r="D76" s="7" t="s">
        <v>35</v>
      </c>
      <c r="E76" s="7">
        <v>4.0</v>
      </c>
      <c r="F76" s="7">
        <v>3.0</v>
      </c>
      <c r="G76" s="7" t="s">
        <v>30</v>
      </c>
      <c r="H76" s="7" t="s">
        <v>176</v>
      </c>
      <c r="I76" s="7" t="s">
        <v>27</v>
      </c>
    </row>
    <row r="77" hidden="1">
      <c r="A77" s="7" t="s">
        <v>177</v>
      </c>
      <c r="C77" s="7" t="str">
        <f>IFERROR(__xludf.DUMMYFUNCTION("SPLIT(B77,""RM"")"),"#VALUE!")</f>
        <v>#VALUE!</v>
      </c>
    </row>
    <row r="78">
      <c r="A78" s="7" t="s">
        <v>17</v>
      </c>
      <c r="B78" s="7" t="s">
        <v>178</v>
      </c>
      <c r="C78" s="8">
        <f>IFERROR(__xludf.DUMMYFUNCTION("SPLIT(B78,""RM"")"),2030000.0)</f>
        <v>2030000</v>
      </c>
      <c r="D78" s="7" t="s">
        <v>57</v>
      </c>
      <c r="E78" s="7">
        <v>5.0</v>
      </c>
      <c r="F78" s="7">
        <v>2.0</v>
      </c>
      <c r="G78" s="7" t="s">
        <v>83</v>
      </c>
      <c r="H78" s="7" t="s">
        <v>179</v>
      </c>
      <c r="I78" s="7" t="s">
        <v>22</v>
      </c>
    </row>
    <row r="79">
      <c r="A79" s="7" t="s">
        <v>72</v>
      </c>
      <c r="B79" s="7" t="s">
        <v>75</v>
      </c>
      <c r="C79" s="8">
        <f>IFERROR(__xludf.DUMMYFUNCTION("SPLIT(B79,""RM"")"),3450000.0)</f>
        <v>3450000</v>
      </c>
      <c r="D79" s="7" t="s">
        <v>35</v>
      </c>
      <c r="E79" s="7">
        <v>6.0</v>
      </c>
      <c r="F79" s="7">
        <v>3.0</v>
      </c>
      <c r="G79" s="7" t="s">
        <v>83</v>
      </c>
      <c r="H79" s="7" t="s">
        <v>76</v>
      </c>
      <c r="I79" s="7" t="s">
        <v>22</v>
      </c>
    </row>
    <row r="80" hidden="1">
      <c r="A80" s="7" t="s">
        <v>143</v>
      </c>
      <c r="C80" s="7" t="str">
        <f>IFERROR(__xludf.DUMMYFUNCTION("SPLIT(B80,""RM"")"),"#VALUE!")</f>
        <v>#VALUE!</v>
      </c>
    </row>
    <row r="81">
      <c r="A81" s="7" t="s">
        <v>180</v>
      </c>
      <c r="B81" s="7" t="s">
        <v>181</v>
      </c>
      <c r="C81" s="8">
        <f>IFERROR(__xludf.DUMMYFUNCTION("SPLIT(B81,""RM"")"),4080000.0)</f>
        <v>4080000</v>
      </c>
      <c r="D81" s="7" t="s">
        <v>35</v>
      </c>
      <c r="E81" s="7">
        <v>5.0</v>
      </c>
      <c r="F81" s="7">
        <v>2.0</v>
      </c>
      <c r="G81" s="7" t="s">
        <v>30</v>
      </c>
      <c r="H81" s="7" t="s">
        <v>182</v>
      </c>
      <c r="I81" s="7" t="s">
        <v>27</v>
      </c>
    </row>
    <row r="82">
      <c r="A82" s="7" t="s">
        <v>37</v>
      </c>
      <c r="B82" s="7" t="s">
        <v>183</v>
      </c>
      <c r="C82" s="8">
        <f>IFERROR(__xludf.DUMMYFUNCTION("SPLIT(B82,""RM"")"),2880000.0)</f>
        <v>2880000</v>
      </c>
      <c r="D82" s="7" t="s">
        <v>35</v>
      </c>
      <c r="E82" s="7">
        <v>3.0</v>
      </c>
      <c r="F82" s="7">
        <v>4.0</v>
      </c>
      <c r="G82" s="7" t="s">
        <v>184</v>
      </c>
      <c r="H82" s="7" t="s">
        <v>185</v>
      </c>
      <c r="I82" s="7" t="s">
        <v>27</v>
      </c>
    </row>
    <row r="83">
      <c r="A83" s="7" t="s">
        <v>17</v>
      </c>
      <c r="B83" s="7" t="s">
        <v>186</v>
      </c>
      <c r="C83" s="8">
        <f>IFERROR(__xludf.DUMMYFUNCTION("SPLIT(B83,""RM"")"),1799000.0)</f>
        <v>1799000</v>
      </c>
      <c r="D83" s="7">
        <v>1.0</v>
      </c>
      <c r="E83" s="7">
        <v>1.0</v>
      </c>
      <c r="F83" s="7">
        <v>1.0</v>
      </c>
      <c r="G83" s="7" t="s">
        <v>20</v>
      </c>
      <c r="H83" s="7" t="s">
        <v>187</v>
      </c>
      <c r="I83" s="7" t="s">
        <v>22</v>
      </c>
    </row>
    <row r="84" hidden="1">
      <c r="A84" s="7" t="s">
        <v>188</v>
      </c>
      <c r="C84" s="7" t="str">
        <f>IFERROR(__xludf.DUMMYFUNCTION("SPLIT(B84,""RM"")"),"#VALUE!")</f>
        <v>#VALUE!</v>
      </c>
    </row>
    <row r="85">
      <c r="A85" s="7" t="s">
        <v>17</v>
      </c>
      <c r="B85" s="7" t="s">
        <v>189</v>
      </c>
      <c r="C85" s="8">
        <f>IFERROR(__xludf.DUMMYFUNCTION("SPLIT(B85,""RM"")"),1820000.0)</f>
        <v>1820000</v>
      </c>
      <c r="D85" s="7" t="s">
        <v>19</v>
      </c>
      <c r="E85" s="7">
        <v>2.0</v>
      </c>
      <c r="F85" s="7">
        <v>2.0</v>
      </c>
      <c r="G85" s="7" t="s">
        <v>30</v>
      </c>
      <c r="H85" s="7" t="s">
        <v>190</v>
      </c>
      <c r="I85" s="7" t="s">
        <v>22</v>
      </c>
    </row>
    <row r="86">
      <c r="A86" s="7" t="s">
        <v>17</v>
      </c>
      <c r="B86" s="7" t="s">
        <v>191</v>
      </c>
      <c r="C86" s="8">
        <f>IFERROR(__xludf.DUMMYFUNCTION("SPLIT(B86,""RM"")"),1000000.0)</f>
        <v>1000000</v>
      </c>
      <c r="D86" s="7" t="s">
        <v>57</v>
      </c>
      <c r="E86" s="7">
        <v>3.0</v>
      </c>
      <c r="F86" s="7">
        <v>2.0</v>
      </c>
      <c r="G86" s="7" t="s">
        <v>121</v>
      </c>
      <c r="H86" s="7" t="s">
        <v>192</v>
      </c>
      <c r="I86" s="7" t="s">
        <v>27</v>
      </c>
    </row>
    <row r="87">
      <c r="A87" s="7" t="s">
        <v>17</v>
      </c>
      <c r="B87" s="7" t="s">
        <v>193</v>
      </c>
      <c r="C87" s="8">
        <f>IFERROR(__xludf.DUMMYFUNCTION("SPLIT(B87,""RM"")"),1650000.0)</f>
        <v>1650000</v>
      </c>
      <c r="D87" s="7" t="s">
        <v>57</v>
      </c>
      <c r="E87" s="7">
        <v>5.0</v>
      </c>
      <c r="F87" s="7">
        <v>2.0</v>
      </c>
      <c r="G87" s="7" t="s">
        <v>30</v>
      </c>
      <c r="H87" s="7" t="s">
        <v>194</v>
      </c>
      <c r="I87" s="7" t="s">
        <v>22</v>
      </c>
    </row>
    <row r="88" hidden="1">
      <c r="A88" s="7" t="s">
        <v>23</v>
      </c>
      <c r="C88" s="7" t="str">
        <f>IFERROR(__xludf.DUMMYFUNCTION("SPLIT(B88,""RM"")"),"#VALUE!")</f>
        <v>#VALUE!</v>
      </c>
    </row>
    <row r="89">
      <c r="A89" s="7" t="s">
        <v>17</v>
      </c>
      <c r="B89" s="7" t="s">
        <v>125</v>
      </c>
      <c r="C89" s="8">
        <f>IFERROR(__xludf.DUMMYFUNCTION("SPLIT(B89,""RM"")"),2300000.0)</f>
        <v>2300000</v>
      </c>
      <c r="D89" s="7">
        <v>1.0</v>
      </c>
      <c r="E89" s="7">
        <v>1.0</v>
      </c>
      <c r="F89" s="7">
        <v>2.0</v>
      </c>
      <c r="G89" s="7" t="s">
        <v>20</v>
      </c>
      <c r="H89" s="7" t="s">
        <v>126</v>
      </c>
      <c r="I89" s="7" t="s">
        <v>27</v>
      </c>
    </row>
    <row r="90">
      <c r="A90" s="7" t="s">
        <v>72</v>
      </c>
      <c r="B90" s="7" t="s">
        <v>110</v>
      </c>
      <c r="C90" s="8">
        <f>IFERROR(__xludf.DUMMYFUNCTION("SPLIT(B90,""RM"")"),2400000.0)</f>
        <v>2400000</v>
      </c>
      <c r="D90" s="7" t="s">
        <v>35</v>
      </c>
      <c r="E90" s="7">
        <v>5.0</v>
      </c>
      <c r="F90" s="7">
        <v>3.0</v>
      </c>
      <c r="G90" s="7" t="s">
        <v>83</v>
      </c>
      <c r="H90" s="7" t="s">
        <v>195</v>
      </c>
      <c r="I90" s="7" t="s">
        <v>27</v>
      </c>
    </row>
    <row r="91">
      <c r="A91" s="7" t="s">
        <v>17</v>
      </c>
      <c r="B91" s="7" t="s">
        <v>196</v>
      </c>
      <c r="C91" s="8">
        <f>IFERROR(__xludf.DUMMYFUNCTION("SPLIT(B91,""RM"")"),2055000.0)</f>
        <v>2055000</v>
      </c>
      <c r="D91" s="7" t="s">
        <v>197</v>
      </c>
      <c r="E91" s="7">
        <v>1.0</v>
      </c>
      <c r="F91" s="7">
        <v>1.0</v>
      </c>
      <c r="G91" s="7" t="s">
        <v>82</v>
      </c>
      <c r="H91" s="7" t="s">
        <v>198</v>
      </c>
      <c r="I91" s="7" t="s">
        <v>27</v>
      </c>
    </row>
    <row r="92">
      <c r="A92" s="7" t="s">
        <v>17</v>
      </c>
      <c r="B92" s="7" t="s">
        <v>199</v>
      </c>
      <c r="C92" s="8">
        <f>IFERROR(__xludf.DUMMYFUNCTION("SPLIT(B92,""RM"")"),1714000.0)</f>
        <v>1714000</v>
      </c>
      <c r="D92" s="7">
        <v>1.0</v>
      </c>
      <c r="E92" s="7">
        <v>1.0</v>
      </c>
      <c r="F92" s="7">
        <v>1.0</v>
      </c>
      <c r="G92" s="7" t="s">
        <v>82</v>
      </c>
      <c r="H92" s="7" t="s">
        <v>200</v>
      </c>
      <c r="I92" s="7" t="s">
        <v>27</v>
      </c>
    </row>
    <row r="93">
      <c r="A93" s="7" t="s">
        <v>33</v>
      </c>
      <c r="B93" s="7" t="s">
        <v>201</v>
      </c>
      <c r="C93" s="8">
        <f>IFERROR(__xludf.DUMMYFUNCTION("SPLIT(B93,""RM"")"),620000.0)</f>
        <v>620000</v>
      </c>
      <c r="D93" s="7">
        <v>3.0</v>
      </c>
      <c r="E93" s="7">
        <v>2.0</v>
      </c>
      <c r="G93" s="7" t="s">
        <v>93</v>
      </c>
      <c r="H93" s="7" t="s">
        <v>202</v>
      </c>
      <c r="I93" s="7" t="s">
        <v>27</v>
      </c>
    </row>
    <row r="94">
      <c r="A94" s="7" t="s">
        <v>33</v>
      </c>
      <c r="B94" s="7" t="s">
        <v>118</v>
      </c>
      <c r="C94" s="8">
        <f>IFERROR(__xludf.DUMMYFUNCTION("SPLIT(B94,""RM"")"),1720000.0)</f>
        <v>1720000</v>
      </c>
      <c r="D94" s="7" t="s">
        <v>60</v>
      </c>
      <c r="E94" s="7">
        <v>7.0</v>
      </c>
      <c r="G94" s="7" t="s">
        <v>203</v>
      </c>
      <c r="H94" s="7" t="s">
        <v>204</v>
      </c>
      <c r="I94" s="7" t="s">
        <v>103</v>
      </c>
    </row>
    <row r="95">
      <c r="A95" s="7" t="s">
        <v>17</v>
      </c>
      <c r="B95" s="7" t="s">
        <v>125</v>
      </c>
      <c r="C95" s="8">
        <f>IFERROR(__xludf.DUMMYFUNCTION("SPLIT(B95,""RM"")"),2300000.0)</f>
        <v>2300000</v>
      </c>
      <c r="D95" s="7" t="s">
        <v>57</v>
      </c>
      <c r="E95" s="7">
        <v>4.0</v>
      </c>
      <c r="F95" s="7">
        <v>3.0</v>
      </c>
      <c r="G95" s="7" t="s">
        <v>121</v>
      </c>
      <c r="H95" s="7" t="s">
        <v>205</v>
      </c>
      <c r="I95" s="7" t="s">
        <v>27</v>
      </c>
    </row>
    <row r="96">
      <c r="A96" s="7" t="s">
        <v>33</v>
      </c>
      <c r="B96" s="7" t="s">
        <v>206</v>
      </c>
      <c r="C96" s="8">
        <f>IFERROR(__xludf.DUMMYFUNCTION("SPLIT(B96,""RM"")"),920000.0)</f>
        <v>920000</v>
      </c>
      <c r="D96" s="7" t="s">
        <v>35</v>
      </c>
      <c r="E96" s="7">
        <v>3.0</v>
      </c>
      <c r="F96" s="7">
        <v>2.0</v>
      </c>
      <c r="G96" s="7" t="s">
        <v>83</v>
      </c>
      <c r="H96" s="7" t="s">
        <v>36</v>
      </c>
      <c r="I96" s="7" t="s">
        <v>27</v>
      </c>
    </row>
    <row r="97">
      <c r="A97" s="7" t="s">
        <v>17</v>
      </c>
      <c r="B97" s="7" t="s">
        <v>125</v>
      </c>
      <c r="C97" s="8">
        <f>IFERROR(__xludf.DUMMYFUNCTION("SPLIT(B97,""RM"")"),2300000.0)</f>
        <v>2300000</v>
      </c>
      <c r="D97" s="7">
        <v>1.0</v>
      </c>
      <c r="E97" s="7">
        <v>1.0</v>
      </c>
      <c r="F97" s="7">
        <v>2.0</v>
      </c>
      <c r="G97" s="7" t="s">
        <v>82</v>
      </c>
      <c r="H97" s="7" t="s">
        <v>207</v>
      </c>
      <c r="I97" s="7" t="s">
        <v>27</v>
      </c>
    </row>
    <row r="98">
      <c r="A98" s="7" t="s">
        <v>37</v>
      </c>
      <c r="B98" s="7" t="s">
        <v>208</v>
      </c>
      <c r="C98" s="8">
        <f>IFERROR(__xludf.DUMMYFUNCTION("SPLIT(B98,""RM"")"),4995000.0)</f>
        <v>4995000</v>
      </c>
      <c r="D98" s="7" t="s">
        <v>70</v>
      </c>
      <c r="E98" s="7">
        <v>7.0</v>
      </c>
      <c r="F98" s="7">
        <v>6.0</v>
      </c>
      <c r="G98" s="7" t="s">
        <v>25</v>
      </c>
      <c r="H98" s="7" t="s">
        <v>209</v>
      </c>
      <c r="I98" s="7" t="s">
        <v>27</v>
      </c>
    </row>
    <row r="99">
      <c r="A99" s="7" t="s">
        <v>37</v>
      </c>
      <c r="B99" s="7" t="s">
        <v>210</v>
      </c>
      <c r="C99" s="8">
        <f>IFERROR(__xludf.DUMMYFUNCTION("SPLIT(B99,""RM"")"),1630000.0)</f>
        <v>1630000</v>
      </c>
      <c r="D99" s="7">
        <v>4.0</v>
      </c>
      <c r="E99" s="7">
        <v>3.0</v>
      </c>
      <c r="F99" s="7">
        <v>2.0</v>
      </c>
      <c r="G99" s="7" t="s">
        <v>54</v>
      </c>
      <c r="H99" s="7" t="s">
        <v>211</v>
      </c>
      <c r="I99" s="7" t="s">
        <v>27</v>
      </c>
    </row>
    <row r="100">
      <c r="A100" s="7" t="s">
        <v>72</v>
      </c>
      <c r="B100" s="7" t="s">
        <v>158</v>
      </c>
      <c r="C100" s="8">
        <f>IFERROR(__xludf.DUMMYFUNCTION("SPLIT(B100,""RM"")"),1850000.0)</f>
        <v>1850000</v>
      </c>
      <c r="D100" s="7" t="s">
        <v>35</v>
      </c>
      <c r="E100" s="7">
        <v>4.0</v>
      </c>
      <c r="F100" s="7">
        <v>2.0</v>
      </c>
      <c r="G100" s="7" t="s">
        <v>83</v>
      </c>
      <c r="H100" s="7" t="s">
        <v>74</v>
      </c>
      <c r="I100" s="7" t="s">
        <v>27</v>
      </c>
    </row>
    <row r="101" hidden="1">
      <c r="A101" s="7" t="s">
        <v>32</v>
      </c>
      <c r="C101" s="7" t="str">
        <f>IFERROR(__xludf.DUMMYFUNCTION("SPLIT(B101,""RM"")"),"#VALUE!")</f>
        <v>#VALUE!</v>
      </c>
    </row>
    <row r="102">
      <c r="A102" s="7" t="s">
        <v>17</v>
      </c>
      <c r="B102" s="7" t="s">
        <v>212</v>
      </c>
      <c r="C102" s="8">
        <f>IFERROR(__xludf.DUMMYFUNCTION("SPLIT(B102,""RM"")"),1783000.0)</f>
        <v>1783000</v>
      </c>
      <c r="D102" s="7">
        <v>2.0</v>
      </c>
      <c r="E102" s="7">
        <v>2.0</v>
      </c>
      <c r="F102" s="7">
        <v>1.0</v>
      </c>
      <c r="G102" s="7" t="s">
        <v>83</v>
      </c>
      <c r="H102" s="7" t="s">
        <v>213</v>
      </c>
      <c r="I102" s="7" t="s">
        <v>27</v>
      </c>
    </row>
    <row r="103">
      <c r="A103" s="7" t="s">
        <v>28</v>
      </c>
      <c r="B103" s="7" t="s">
        <v>214</v>
      </c>
      <c r="C103" s="8">
        <f>IFERROR(__xludf.DUMMYFUNCTION("SPLIT(B103,""RM"")"),1180000.0)</f>
        <v>1180000</v>
      </c>
      <c r="D103" s="7" t="s">
        <v>57</v>
      </c>
      <c r="E103" s="7">
        <v>4.0</v>
      </c>
      <c r="F103" s="7">
        <v>1.0</v>
      </c>
      <c r="G103" s="7" t="s">
        <v>93</v>
      </c>
      <c r="H103" s="7" t="s">
        <v>215</v>
      </c>
      <c r="I103" s="7" t="s">
        <v>27</v>
      </c>
    </row>
    <row r="104" hidden="1">
      <c r="A104" s="7" t="s">
        <v>32</v>
      </c>
      <c r="C104" s="7" t="str">
        <f>IFERROR(__xludf.DUMMYFUNCTION("SPLIT(B104,""RM"")"),"#VALUE!")</f>
        <v>#VALUE!</v>
      </c>
    </row>
    <row r="105">
      <c r="A105" s="7" t="s">
        <v>33</v>
      </c>
      <c r="B105" s="7" t="s">
        <v>34</v>
      </c>
      <c r="C105" s="8">
        <f>IFERROR(__xludf.DUMMYFUNCTION("SPLIT(B105,""RM"")"),900000.0)</f>
        <v>900000</v>
      </c>
      <c r="D105" s="7" t="s">
        <v>35</v>
      </c>
      <c r="E105" s="7">
        <v>3.0</v>
      </c>
      <c r="F105" s="7">
        <v>2.0</v>
      </c>
      <c r="G105" s="7" t="s">
        <v>30</v>
      </c>
      <c r="H105" s="7" t="s">
        <v>36</v>
      </c>
      <c r="I105" s="7" t="s">
        <v>27</v>
      </c>
    </row>
    <row r="106">
      <c r="A106" s="7" t="s">
        <v>180</v>
      </c>
      <c r="B106" s="7" t="s">
        <v>56</v>
      </c>
      <c r="C106" s="8">
        <f>IFERROR(__xludf.DUMMYFUNCTION("SPLIT(B106,""RM"")"),1700000.0)</f>
        <v>1700000</v>
      </c>
      <c r="D106" s="7" t="s">
        <v>19</v>
      </c>
      <c r="E106" s="7">
        <v>2.0</v>
      </c>
      <c r="F106" s="7">
        <v>1.0</v>
      </c>
      <c r="G106" s="7" t="s">
        <v>82</v>
      </c>
      <c r="H106" s="7" t="s">
        <v>216</v>
      </c>
      <c r="I106" s="7" t="s">
        <v>22</v>
      </c>
    </row>
    <row r="107">
      <c r="A107" s="7" t="s">
        <v>17</v>
      </c>
      <c r="B107" s="7" t="s">
        <v>156</v>
      </c>
      <c r="C107" s="8">
        <f>IFERROR(__xludf.DUMMYFUNCTION("SPLIT(B107,""RM"")"),850000.0)</f>
        <v>850000</v>
      </c>
      <c r="D107" s="7">
        <v>1.0</v>
      </c>
      <c r="E107" s="7">
        <v>2.0</v>
      </c>
      <c r="G107" s="7" t="s">
        <v>20</v>
      </c>
      <c r="H107" s="7" t="s">
        <v>217</v>
      </c>
      <c r="I107" s="7" t="s">
        <v>22</v>
      </c>
    </row>
    <row r="108" hidden="1">
      <c r="A108" s="7" t="s">
        <v>188</v>
      </c>
      <c r="C108" s="7" t="str">
        <f>IFERROR(__xludf.DUMMYFUNCTION("SPLIT(B108,""RM"")"),"#VALUE!")</f>
        <v>#VALUE!</v>
      </c>
    </row>
    <row r="109">
      <c r="A109" s="7" t="s">
        <v>23</v>
      </c>
      <c r="B109" s="7" t="s">
        <v>24</v>
      </c>
      <c r="C109" s="8">
        <f>IFERROR(__xludf.DUMMYFUNCTION("SPLIT(B109,""RM"")"),6800000.0)</f>
        <v>6800000</v>
      </c>
      <c r="D109" s="7" t="s">
        <v>218</v>
      </c>
      <c r="E109" s="7">
        <v>7.0</v>
      </c>
      <c r="G109" s="7" t="s">
        <v>25</v>
      </c>
      <c r="H109" s="7" t="s">
        <v>219</v>
      </c>
    </row>
    <row r="110">
      <c r="A110" s="7" t="s">
        <v>72</v>
      </c>
      <c r="B110" s="7" t="s">
        <v>63</v>
      </c>
      <c r="C110" s="8">
        <f>IFERROR(__xludf.DUMMYFUNCTION("SPLIT(B110,""RM"")"),3100000.0)</f>
        <v>3100000</v>
      </c>
      <c r="D110" s="7" t="s">
        <v>35</v>
      </c>
      <c r="E110" s="7">
        <v>6.0</v>
      </c>
      <c r="F110" s="7">
        <v>3.0</v>
      </c>
      <c r="G110" s="7" t="s">
        <v>30</v>
      </c>
      <c r="H110" s="7" t="s">
        <v>220</v>
      </c>
      <c r="I110" s="7" t="s">
        <v>22</v>
      </c>
    </row>
    <row r="111">
      <c r="A111" s="7" t="s">
        <v>33</v>
      </c>
      <c r="B111" s="7" t="s">
        <v>221</v>
      </c>
      <c r="C111" s="8">
        <f>IFERROR(__xludf.DUMMYFUNCTION("SPLIT(B111,""RM"")"),630000.0)</f>
        <v>630000</v>
      </c>
      <c r="D111" s="7">
        <v>2.0</v>
      </c>
      <c r="E111" s="7">
        <v>2.0</v>
      </c>
      <c r="F111" s="7">
        <v>2.0</v>
      </c>
      <c r="G111" s="7" t="s">
        <v>20</v>
      </c>
      <c r="H111" s="7" t="s">
        <v>222</v>
      </c>
      <c r="I111" s="7" t="s">
        <v>27</v>
      </c>
    </row>
    <row r="112" hidden="1">
      <c r="A112" s="7" t="s">
        <v>223</v>
      </c>
      <c r="C112" s="7" t="str">
        <f>IFERROR(__xludf.DUMMYFUNCTION("SPLIT(B112,""RM"")"),"#VALUE!")</f>
        <v>#VALUE!</v>
      </c>
    </row>
    <row r="113">
      <c r="A113" s="7" t="s">
        <v>104</v>
      </c>
      <c r="B113" s="7" t="s">
        <v>224</v>
      </c>
      <c r="C113" s="8">
        <f>IFERROR(__xludf.DUMMYFUNCTION("SPLIT(B113,""RM"")"),2040000.0)</f>
        <v>2040000</v>
      </c>
      <c r="D113" s="7" t="s">
        <v>70</v>
      </c>
      <c r="E113" s="7">
        <v>5.0</v>
      </c>
      <c r="F113" s="7">
        <v>4.0</v>
      </c>
      <c r="G113" s="7" t="s">
        <v>203</v>
      </c>
      <c r="H113" s="7" t="s">
        <v>225</v>
      </c>
      <c r="I113" s="7" t="s">
        <v>27</v>
      </c>
    </row>
    <row r="114">
      <c r="A114" s="7" t="s">
        <v>17</v>
      </c>
      <c r="B114" s="7" t="s">
        <v>73</v>
      </c>
      <c r="C114" s="8">
        <f>IFERROR(__xludf.DUMMYFUNCTION("SPLIT(B114,""RM"")"),1780000.0)</f>
        <v>1780000</v>
      </c>
      <c r="D114" s="7">
        <v>1.0</v>
      </c>
      <c r="E114" s="7">
        <v>1.0</v>
      </c>
      <c r="F114" s="7">
        <v>1.0</v>
      </c>
      <c r="G114" s="7" t="s">
        <v>121</v>
      </c>
      <c r="H114" s="7" t="s">
        <v>226</v>
      </c>
      <c r="I114" s="7" t="s">
        <v>22</v>
      </c>
    </row>
    <row r="115">
      <c r="A115" s="7" t="s">
        <v>77</v>
      </c>
      <c r="B115" s="7" t="s">
        <v>227</v>
      </c>
      <c r="C115" s="8">
        <f>IFERROR(__xludf.DUMMYFUNCTION("SPLIT(B115,""RM"")"),2850000.0)</f>
        <v>2850000</v>
      </c>
      <c r="D115" s="7" t="s">
        <v>57</v>
      </c>
      <c r="E115" s="7">
        <v>3.0</v>
      </c>
      <c r="G115" s="7" t="s">
        <v>90</v>
      </c>
      <c r="H115" s="7" t="s">
        <v>228</v>
      </c>
      <c r="I115" s="7" t="s">
        <v>27</v>
      </c>
    </row>
    <row r="116">
      <c r="A116" s="7" t="s">
        <v>77</v>
      </c>
      <c r="B116" s="7" t="s">
        <v>229</v>
      </c>
      <c r="C116" s="8">
        <f>IFERROR(__xludf.DUMMYFUNCTION("SPLIT(B116,""RM"")"),1050000.0)</f>
        <v>1050000</v>
      </c>
      <c r="D116" s="7" t="s">
        <v>19</v>
      </c>
      <c r="E116" s="7">
        <v>2.0</v>
      </c>
      <c r="F116" s="7">
        <v>2.0</v>
      </c>
      <c r="G116" s="7" t="s">
        <v>83</v>
      </c>
      <c r="H116" s="7" t="s">
        <v>230</v>
      </c>
      <c r="I116" s="7" t="s">
        <v>27</v>
      </c>
    </row>
    <row r="117">
      <c r="A117" s="7" t="s">
        <v>72</v>
      </c>
      <c r="B117" s="7" t="s">
        <v>42</v>
      </c>
      <c r="C117" s="8">
        <f>IFERROR(__xludf.DUMMYFUNCTION("SPLIT(B117,""RM"")"),2600000.0)</f>
        <v>2600000</v>
      </c>
      <c r="D117" s="7" t="s">
        <v>35</v>
      </c>
      <c r="E117" s="7">
        <v>4.0</v>
      </c>
      <c r="F117" s="7">
        <v>3.0</v>
      </c>
      <c r="G117" s="7" t="s">
        <v>83</v>
      </c>
      <c r="H117" s="7" t="s">
        <v>231</v>
      </c>
      <c r="I117" s="7" t="s">
        <v>27</v>
      </c>
    </row>
    <row r="118">
      <c r="A118" s="7" t="s">
        <v>86</v>
      </c>
      <c r="B118" s="7" t="s">
        <v>221</v>
      </c>
      <c r="C118" s="8">
        <f>IFERROR(__xludf.DUMMYFUNCTION("SPLIT(B118,""RM"")"),630000.0)</f>
        <v>630000</v>
      </c>
      <c r="D118" s="7" t="s">
        <v>197</v>
      </c>
      <c r="E118" s="7">
        <v>1.0</v>
      </c>
      <c r="F118" s="7">
        <v>1.0</v>
      </c>
      <c r="G118" s="7" t="s">
        <v>20</v>
      </c>
      <c r="H118" s="7" t="s">
        <v>232</v>
      </c>
      <c r="I118" s="7" t="s">
        <v>27</v>
      </c>
    </row>
    <row r="119">
      <c r="A119" s="7" t="s">
        <v>17</v>
      </c>
      <c r="B119" s="7" t="s">
        <v>233</v>
      </c>
      <c r="C119" s="8">
        <f>IFERROR(__xludf.DUMMYFUNCTION("SPLIT(B119,""RM"")"),3364000.0)</f>
        <v>3364000</v>
      </c>
      <c r="D119" s="7" t="s">
        <v>19</v>
      </c>
      <c r="E119" s="7">
        <v>2.0</v>
      </c>
      <c r="F119" s="7">
        <v>2.0</v>
      </c>
      <c r="G119" s="7" t="s">
        <v>20</v>
      </c>
      <c r="H119" s="7" t="s">
        <v>234</v>
      </c>
      <c r="I119" s="7" t="s">
        <v>22</v>
      </c>
    </row>
    <row r="120">
      <c r="A120" s="7" t="s">
        <v>33</v>
      </c>
      <c r="B120" s="7" t="s">
        <v>235</v>
      </c>
      <c r="C120" s="8">
        <f>IFERROR(__xludf.DUMMYFUNCTION("SPLIT(B120,""RM"")"),978000.0)</f>
        <v>978000</v>
      </c>
      <c r="D120" s="7" t="s">
        <v>35</v>
      </c>
      <c r="E120" s="7">
        <v>3.0</v>
      </c>
      <c r="F120" s="7">
        <v>2.0</v>
      </c>
      <c r="G120" s="7" t="s">
        <v>83</v>
      </c>
      <c r="H120" s="7" t="s">
        <v>36</v>
      </c>
      <c r="I120" s="7" t="s">
        <v>27</v>
      </c>
    </row>
    <row r="121">
      <c r="A121" s="7" t="s">
        <v>17</v>
      </c>
      <c r="B121" s="7" t="s">
        <v>120</v>
      </c>
      <c r="C121" s="8">
        <f>IFERROR(__xludf.DUMMYFUNCTION("SPLIT(B121,""RM"")"),3600000.0)</f>
        <v>3600000</v>
      </c>
      <c r="D121" s="7" t="s">
        <v>57</v>
      </c>
      <c r="E121" s="7">
        <v>5.0</v>
      </c>
      <c r="F121" s="7">
        <v>2.0</v>
      </c>
      <c r="G121" s="7" t="s">
        <v>121</v>
      </c>
      <c r="H121" s="7" t="s">
        <v>122</v>
      </c>
      <c r="I121" s="7" t="s">
        <v>27</v>
      </c>
    </row>
    <row r="122">
      <c r="A122" s="7" t="s">
        <v>17</v>
      </c>
      <c r="B122" s="7" t="s">
        <v>120</v>
      </c>
      <c r="C122" s="8">
        <f>IFERROR(__xludf.DUMMYFUNCTION("SPLIT(B122,""RM"")"),3600000.0)</f>
        <v>3600000</v>
      </c>
      <c r="D122" s="7" t="s">
        <v>57</v>
      </c>
      <c r="E122" s="7">
        <v>5.0</v>
      </c>
      <c r="F122" s="7">
        <v>2.0</v>
      </c>
      <c r="G122" s="7" t="s">
        <v>121</v>
      </c>
      <c r="H122" s="7" t="s">
        <v>122</v>
      </c>
      <c r="I122" s="7" t="s">
        <v>27</v>
      </c>
    </row>
    <row r="123">
      <c r="A123" s="7" t="s">
        <v>17</v>
      </c>
      <c r="B123" s="7" t="s">
        <v>236</v>
      </c>
      <c r="C123" s="8">
        <f>IFERROR(__xludf.DUMMYFUNCTION("SPLIT(B123,""RM"")"),2000000.0)</f>
        <v>2000000</v>
      </c>
      <c r="D123" s="7">
        <v>1.0</v>
      </c>
      <c r="E123" s="7">
        <v>1.0</v>
      </c>
      <c r="F123" s="7">
        <v>1.0</v>
      </c>
      <c r="G123" s="7" t="s">
        <v>20</v>
      </c>
      <c r="H123" s="7" t="s">
        <v>237</v>
      </c>
      <c r="I123" s="7" t="s">
        <v>22</v>
      </c>
    </row>
    <row r="124">
      <c r="A124" s="7" t="s">
        <v>72</v>
      </c>
      <c r="B124" s="7" t="s">
        <v>210</v>
      </c>
      <c r="C124" s="8">
        <f>IFERROR(__xludf.DUMMYFUNCTION("SPLIT(B124,""RM"")"),1630000.0)</f>
        <v>1630000</v>
      </c>
      <c r="D124" s="7" t="s">
        <v>35</v>
      </c>
      <c r="E124" s="7">
        <v>4.0</v>
      </c>
      <c r="F124" s="7">
        <v>2.0</v>
      </c>
      <c r="G124" s="7" t="s">
        <v>83</v>
      </c>
      <c r="H124" s="7" t="s">
        <v>238</v>
      </c>
      <c r="I124" s="7" t="s">
        <v>27</v>
      </c>
    </row>
    <row r="125" hidden="1">
      <c r="A125" s="7" t="s">
        <v>109</v>
      </c>
      <c r="C125" s="7" t="str">
        <f>IFERROR(__xludf.DUMMYFUNCTION("SPLIT(B125,""RM"")"),"#VALUE!")</f>
        <v>#VALUE!</v>
      </c>
    </row>
    <row r="126">
      <c r="A126" s="7" t="s">
        <v>37</v>
      </c>
      <c r="B126" s="7" t="s">
        <v>239</v>
      </c>
      <c r="C126" s="8">
        <f>IFERROR(__xludf.DUMMYFUNCTION("SPLIT(B126,""RM"")"),1280000.0)</f>
        <v>1280000</v>
      </c>
      <c r="D126" s="7">
        <v>4.0</v>
      </c>
      <c r="E126" s="7">
        <v>3.0</v>
      </c>
      <c r="F126" s="7">
        <v>3.0</v>
      </c>
      <c r="G126" s="7" t="s">
        <v>54</v>
      </c>
      <c r="H126" s="7" t="s">
        <v>47</v>
      </c>
      <c r="I126" s="7" t="s">
        <v>27</v>
      </c>
    </row>
    <row r="127">
      <c r="A127" s="7" t="s">
        <v>17</v>
      </c>
      <c r="B127" s="7" t="s">
        <v>18</v>
      </c>
      <c r="C127" s="8">
        <f>IFERROR(__xludf.DUMMYFUNCTION("SPLIT(B127,""RM"")"),1250000.0)</f>
        <v>1250000</v>
      </c>
      <c r="D127" s="7">
        <v>2.0</v>
      </c>
      <c r="E127" s="7">
        <v>2.0</v>
      </c>
      <c r="F127" s="7">
        <v>1.0</v>
      </c>
      <c r="G127" s="7" t="s">
        <v>83</v>
      </c>
      <c r="H127" s="7" t="s">
        <v>240</v>
      </c>
      <c r="I127" s="7" t="s">
        <v>27</v>
      </c>
    </row>
    <row r="128" hidden="1">
      <c r="A128" s="7" t="s">
        <v>241</v>
      </c>
      <c r="C128" s="7" t="str">
        <f>IFERROR(__xludf.DUMMYFUNCTION("SPLIT(B128,""RM"")"),"#VALUE!")</f>
        <v>#VALUE!</v>
      </c>
    </row>
    <row r="129">
      <c r="A129" s="7" t="s">
        <v>86</v>
      </c>
      <c r="B129" s="7" t="s">
        <v>221</v>
      </c>
      <c r="C129" s="8">
        <f>IFERROR(__xludf.DUMMYFUNCTION("SPLIT(B129,""RM"")"),630000.0)</f>
        <v>630000</v>
      </c>
      <c r="D129" s="7" t="s">
        <v>197</v>
      </c>
      <c r="E129" s="7">
        <v>1.0</v>
      </c>
      <c r="F129" s="7">
        <v>1.0</v>
      </c>
      <c r="G129" s="7" t="s">
        <v>20</v>
      </c>
      <c r="H129" s="7" t="s">
        <v>242</v>
      </c>
      <c r="I129" s="7" t="s">
        <v>22</v>
      </c>
    </row>
    <row r="130">
      <c r="A130" s="7" t="s">
        <v>17</v>
      </c>
      <c r="B130" s="7" t="s">
        <v>243</v>
      </c>
      <c r="C130" s="8">
        <f>IFERROR(__xludf.DUMMYFUNCTION("SPLIT(B130,""RM"")"),1350000.0)</f>
        <v>1350000</v>
      </c>
      <c r="D130" s="7">
        <v>2.0</v>
      </c>
      <c r="E130" s="7">
        <v>2.0</v>
      </c>
      <c r="F130" s="7">
        <v>1.0</v>
      </c>
      <c r="G130" s="7" t="s">
        <v>20</v>
      </c>
      <c r="H130" s="7" t="s">
        <v>157</v>
      </c>
      <c r="I130" s="7" t="s">
        <v>22</v>
      </c>
    </row>
    <row r="131">
      <c r="A131" s="7" t="s">
        <v>86</v>
      </c>
      <c r="B131" s="7" t="s">
        <v>87</v>
      </c>
      <c r="C131" s="8">
        <f>IFERROR(__xludf.DUMMYFUNCTION("SPLIT(B131,""RM"")"),490000.0)</f>
        <v>490000</v>
      </c>
      <c r="D131" s="7">
        <v>1.0</v>
      </c>
      <c r="E131" s="7">
        <v>1.0</v>
      </c>
      <c r="F131" s="7">
        <v>1.0</v>
      </c>
      <c r="G131" s="7" t="s">
        <v>82</v>
      </c>
      <c r="H131" s="7" t="s">
        <v>244</v>
      </c>
      <c r="I131" s="7" t="s">
        <v>22</v>
      </c>
    </row>
    <row r="132" hidden="1">
      <c r="A132" s="7" t="s">
        <v>171</v>
      </c>
      <c r="C132" s="7" t="str">
        <f>IFERROR(__xludf.DUMMYFUNCTION("SPLIT(B132,""RM"")"),"#VALUE!")</f>
        <v>#VALUE!</v>
      </c>
    </row>
    <row r="133">
      <c r="A133" s="7" t="s">
        <v>86</v>
      </c>
      <c r="B133" s="7" t="s">
        <v>245</v>
      </c>
      <c r="C133" s="8">
        <f>IFERROR(__xludf.DUMMYFUNCTION("SPLIT(B133,""RM"")"),800000.0)</f>
        <v>800000</v>
      </c>
      <c r="D133" s="7">
        <v>2.0</v>
      </c>
      <c r="E133" s="7">
        <v>2.0</v>
      </c>
      <c r="F133" s="7">
        <v>1.0</v>
      </c>
      <c r="G133" s="7" t="s">
        <v>121</v>
      </c>
      <c r="H133" s="7" t="s">
        <v>246</v>
      </c>
      <c r="I133" s="7" t="s">
        <v>27</v>
      </c>
    </row>
    <row r="134">
      <c r="A134" s="7" t="s">
        <v>77</v>
      </c>
      <c r="B134" s="7" t="s">
        <v>247</v>
      </c>
      <c r="C134" s="8">
        <f>IFERROR(__xludf.DUMMYFUNCTION("SPLIT(B134,""RM"")"),1980000.0)</f>
        <v>1980000</v>
      </c>
      <c r="D134" s="7" t="s">
        <v>57</v>
      </c>
      <c r="E134" s="7">
        <v>4.0</v>
      </c>
      <c r="G134" s="7" t="s">
        <v>169</v>
      </c>
      <c r="H134" s="7" t="s">
        <v>248</v>
      </c>
      <c r="I134" s="7" t="s">
        <v>27</v>
      </c>
    </row>
    <row r="135">
      <c r="A135" s="7" t="s">
        <v>28</v>
      </c>
      <c r="B135" s="7" t="s">
        <v>249</v>
      </c>
      <c r="C135" s="8">
        <f>IFERROR(__xludf.DUMMYFUNCTION("SPLIT(B135,""RM"")"),1035000.0)</f>
        <v>1035000</v>
      </c>
      <c r="D135" s="7" t="s">
        <v>57</v>
      </c>
      <c r="E135" s="7">
        <v>5.0</v>
      </c>
      <c r="F135" s="7">
        <v>2.0</v>
      </c>
      <c r="G135" s="7" t="s">
        <v>83</v>
      </c>
      <c r="H135" s="7" t="s">
        <v>250</v>
      </c>
      <c r="I135" s="7" t="s">
        <v>251</v>
      </c>
    </row>
    <row r="136" hidden="1">
      <c r="A136" s="7" t="s">
        <v>164</v>
      </c>
      <c r="C136" s="7" t="str">
        <f>IFERROR(__xludf.DUMMYFUNCTION("SPLIT(B136,""RM"")"),"#VALUE!")</f>
        <v>#VALUE!</v>
      </c>
    </row>
    <row r="137">
      <c r="A137" s="7" t="s">
        <v>17</v>
      </c>
      <c r="B137" s="7" t="s">
        <v>191</v>
      </c>
      <c r="C137" s="8">
        <f>IFERROR(__xludf.DUMMYFUNCTION("SPLIT(B137,""RM"")"),1000000.0)</f>
        <v>1000000</v>
      </c>
      <c r="D137" s="7">
        <v>1.0</v>
      </c>
      <c r="E137" s="7">
        <v>1.0</v>
      </c>
      <c r="F137" s="7">
        <v>1.0</v>
      </c>
      <c r="G137" s="7" t="s">
        <v>96</v>
      </c>
      <c r="H137" s="7" t="s">
        <v>252</v>
      </c>
      <c r="I137" s="7" t="s">
        <v>22</v>
      </c>
    </row>
    <row r="138">
      <c r="A138" s="7" t="s">
        <v>89</v>
      </c>
      <c r="B138" s="7" t="s">
        <v>253</v>
      </c>
      <c r="C138" s="8">
        <f>IFERROR(__xludf.DUMMYFUNCTION("SPLIT(B138,""RM"")"),448800.0)</f>
        <v>448800</v>
      </c>
      <c r="D138" s="7">
        <v>3.0</v>
      </c>
      <c r="E138" s="7">
        <v>3.0</v>
      </c>
      <c r="F138" s="7">
        <v>1.0</v>
      </c>
      <c r="G138" s="7" t="s">
        <v>82</v>
      </c>
      <c r="H138" s="7" t="s">
        <v>254</v>
      </c>
      <c r="I138" s="7" t="s">
        <v>103</v>
      </c>
    </row>
    <row r="139">
      <c r="A139" s="7" t="s">
        <v>23</v>
      </c>
      <c r="B139" s="7" t="s">
        <v>255</v>
      </c>
      <c r="C139" s="8">
        <f>IFERROR(__xludf.DUMMYFUNCTION("SPLIT(B139,""RM"")"),4900000.0)</f>
        <v>4900000</v>
      </c>
      <c r="D139" s="7" t="s">
        <v>70</v>
      </c>
      <c r="E139" s="7">
        <v>6.0</v>
      </c>
      <c r="G139" s="7" t="s">
        <v>43</v>
      </c>
      <c r="H139" s="7" t="s">
        <v>256</v>
      </c>
      <c r="I139" s="7" t="s">
        <v>22</v>
      </c>
    </row>
    <row r="140">
      <c r="A140" s="7" t="s">
        <v>72</v>
      </c>
      <c r="B140" s="7" t="s">
        <v>257</v>
      </c>
      <c r="C140" s="8">
        <f>IFERROR(__xludf.DUMMYFUNCTION("SPLIT(B140,""RM"")"),2480000.0)</f>
        <v>2480000</v>
      </c>
      <c r="D140" s="7" t="s">
        <v>35</v>
      </c>
      <c r="E140" s="7">
        <v>5.0</v>
      </c>
      <c r="F140" s="7">
        <v>3.0</v>
      </c>
      <c r="G140" s="7" t="s">
        <v>30</v>
      </c>
      <c r="H140" s="7" t="s">
        <v>231</v>
      </c>
      <c r="I140" s="7" t="s">
        <v>27</v>
      </c>
    </row>
    <row r="141">
      <c r="A141" s="7" t="s">
        <v>164</v>
      </c>
      <c r="B141" s="7" t="s">
        <v>258</v>
      </c>
      <c r="C141" s="8">
        <f>IFERROR(__xludf.DUMMYFUNCTION("SPLIT(B141,""RM"")"),2716000.0)</f>
        <v>2716000</v>
      </c>
      <c r="D141" s="7" t="s">
        <v>57</v>
      </c>
      <c r="E141" s="7">
        <v>4.0</v>
      </c>
      <c r="F141" s="7">
        <v>2.0</v>
      </c>
      <c r="G141" s="7" t="s">
        <v>121</v>
      </c>
      <c r="H141" s="7" t="s">
        <v>259</v>
      </c>
      <c r="I141" s="7" t="s">
        <v>27</v>
      </c>
    </row>
    <row r="142">
      <c r="A142" s="7" t="s">
        <v>164</v>
      </c>
      <c r="B142" s="7" t="s">
        <v>260</v>
      </c>
      <c r="C142" s="8">
        <f>IFERROR(__xludf.DUMMYFUNCTION("SPLIT(B142,""RM"")"),1480000.0)</f>
        <v>1480000</v>
      </c>
      <c r="D142" s="7" t="s">
        <v>57</v>
      </c>
      <c r="E142" s="7">
        <v>3.0</v>
      </c>
      <c r="G142" s="7" t="s">
        <v>30</v>
      </c>
      <c r="H142" s="7" t="s">
        <v>261</v>
      </c>
      <c r="I142" s="7" t="s">
        <v>22</v>
      </c>
    </row>
    <row r="143">
      <c r="A143" s="7" t="s">
        <v>262</v>
      </c>
      <c r="B143" s="7" t="s">
        <v>263</v>
      </c>
      <c r="C143" s="8">
        <f>IFERROR(__xludf.DUMMYFUNCTION("SPLIT(B143,""RM"")"),9500000.0)</f>
        <v>9500000</v>
      </c>
      <c r="D143" s="7" t="s">
        <v>60</v>
      </c>
      <c r="E143" s="7">
        <v>7.0</v>
      </c>
      <c r="F143" s="7">
        <v>6.0</v>
      </c>
      <c r="G143" s="7" t="s">
        <v>67</v>
      </c>
      <c r="H143" s="7" t="s">
        <v>264</v>
      </c>
      <c r="I143" s="7" t="s">
        <v>27</v>
      </c>
    </row>
    <row r="144">
      <c r="A144" s="7" t="s">
        <v>17</v>
      </c>
      <c r="B144" s="7" t="s">
        <v>265</v>
      </c>
      <c r="C144" s="8">
        <f>IFERROR(__xludf.DUMMYFUNCTION("SPLIT(B144,""RM"")"),8343600.0)</f>
        <v>8343600</v>
      </c>
      <c r="D144" s="7">
        <v>3.0</v>
      </c>
      <c r="E144" s="7">
        <v>3.0</v>
      </c>
      <c r="F144" s="7">
        <v>2.0</v>
      </c>
      <c r="G144" s="7" t="s">
        <v>93</v>
      </c>
      <c r="H144" s="7" t="s">
        <v>266</v>
      </c>
    </row>
    <row r="145">
      <c r="A145" s="7" t="s">
        <v>267</v>
      </c>
      <c r="B145" s="7" t="s">
        <v>268</v>
      </c>
      <c r="C145" s="8">
        <f>IFERROR(__xludf.DUMMYFUNCTION("SPLIT(B145,""RM"")"),500000.0)</f>
        <v>500000</v>
      </c>
      <c r="D145" s="7">
        <v>2.0</v>
      </c>
      <c r="E145" s="7">
        <v>2.0</v>
      </c>
      <c r="F145" s="7">
        <v>1.0</v>
      </c>
      <c r="G145" s="7" t="s">
        <v>121</v>
      </c>
      <c r="H145" s="7" t="s">
        <v>269</v>
      </c>
      <c r="I145" s="7" t="s">
        <v>27</v>
      </c>
    </row>
    <row r="146">
      <c r="A146" s="7" t="s">
        <v>23</v>
      </c>
      <c r="B146" s="7" t="s">
        <v>270</v>
      </c>
      <c r="C146" s="8">
        <f>IFERROR(__xludf.DUMMYFUNCTION("SPLIT(B146,""RM"")"),1.38E7)</f>
        <v>13800000</v>
      </c>
      <c r="D146" s="7" t="s">
        <v>70</v>
      </c>
      <c r="E146" s="7">
        <v>7.0</v>
      </c>
      <c r="F146" s="7">
        <v>3.0</v>
      </c>
      <c r="G146" s="7" t="s">
        <v>67</v>
      </c>
      <c r="H146" s="7" t="s">
        <v>271</v>
      </c>
      <c r="I146" s="7" t="s">
        <v>27</v>
      </c>
    </row>
    <row r="147">
      <c r="A147" s="7" t="s">
        <v>77</v>
      </c>
      <c r="B147" s="7" t="s">
        <v>272</v>
      </c>
      <c r="C147" s="8">
        <f>IFERROR(__xludf.DUMMYFUNCTION("SPLIT(B147,""RM"")"),3490000.0)</f>
        <v>3490000</v>
      </c>
      <c r="D147" s="7">
        <v>5.0</v>
      </c>
      <c r="E147" s="7">
        <v>5.0</v>
      </c>
      <c r="G147" s="7" t="s">
        <v>273</v>
      </c>
      <c r="H147" s="7" t="s">
        <v>274</v>
      </c>
      <c r="I147" s="7" t="s">
        <v>27</v>
      </c>
    </row>
    <row r="148">
      <c r="A148" s="7" t="s">
        <v>77</v>
      </c>
      <c r="B148" s="7" t="s">
        <v>125</v>
      </c>
      <c r="C148" s="8">
        <f>IFERROR(__xludf.DUMMYFUNCTION("SPLIT(B148,""RM"")"),2300000.0)</f>
        <v>2300000</v>
      </c>
      <c r="D148" s="7">
        <v>4.0</v>
      </c>
      <c r="E148" s="7">
        <v>3.0</v>
      </c>
      <c r="F148" s="7">
        <v>2.0</v>
      </c>
      <c r="G148" s="7" t="s">
        <v>54</v>
      </c>
      <c r="H148" s="7" t="s">
        <v>275</v>
      </c>
      <c r="I148" s="7" t="s">
        <v>27</v>
      </c>
    </row>
    <row r="149" hidden="1">
      <c r="A149" s="7" t="s">
        <v>33</v>
      </c>
      <c r="C149" s="7" t="str">
        <f>IFERROR(__xludf.DUMMYFUNCTION("SPLIT(B149,""RM"")"),"#VALUE!")</f>
        <v>#VALUE!</v>
      </c>
    </row>
    <row r="150">
      <c r="A150" s="7" t="s">
        <v>17</v>
      </c>
      <c r="B150" s="7" t="s">
        <v>120</v>
      </c>
      <c r="C150" s="8">
        <f>IFERROR(__xludf.DUMMYFUNCTION("SPLIT(B150,""RM"")"),3600000.0)</f>
        <v>3600000</v>
      </c>
      <c r="D150" s="7">
        <v>4.0</v>
      </c>
      <c r="E150" s="7">
        <v>4.0</v>
      </c>
      <c r="G150" s="7" t="s">
        <v>121</v>
      </c>
      <c r="H150" s="7" t="s">
        <v>122</v>
      </c>
      <c r="I150" s="7" t="s">
        <v>27</v>
      </c>
    </row>
    <row r="151">
      <c r="A151" s="7" t="s">
        <v>72</v>
      </c>
      <c r="B151" s="7" t="s">
        <v>257</v>
      </c>
      <c r="C151" s="8">
        <f>IFERROR(__xludf.DUMMYFUNCTION("SPLIT(B151,""RM"")"),2480000.0)</f>
        <v>2480000</v>
      </c>
      <c r="D151" s="7" t="s">
        <v>35</v>
      </c>
      <c r="E151" s="7">
        <v>5.0</v>
      </c>
      <c r="F151" s="7">
        <v>3.0</v>
      </c>
      <c r="G151" s="7" t="s">
        <v>83</v>
      </c>
      <c r="H151" s="7" t="s">
        <v>231</v>
      </c>
      <c r="I151" s="7" t="s">
        <v>103</v>
      </c>
    </row>
    <row r="152">
      <c r="A152" s="7" t="s">
        <v>17</v>
      </c>
      <c r="B152" s="7" t="s">
        <v>165</v>
      </c>
      <c r="C152" s="8">
        <f>IFERROR(__xludf.DUMMYFUNCTION("SPLIT(B152,""RM"")"),3500000.0)</f>
        <v>3500000</v>
      </c>
      <c r="D152" s="7">
        <v>3.0</v>
      </c>
      <c r="E152" s="7">
        <v>3.0</v>
      </c>
      <c r="F152" s="7">
        <v>1.0</v>
      </c>
      <c r="G152" s="7" t="s">
        <v>20</v>
      </c>
      <c r="H152" s="7" t="s">
        <v>276</v>
      </c>
      <c r="I152" s="7" t="s">
        <v>22</v>
      </c>
    </row>
    <row r="153">
      <c r="A153" s="7" t="s">
        <v>72</v>
      </c>
      <c r="B153" s="7" t="s">
        <v>277</v>
      </c>
      <c r="C153" s="8">
        <f>IFERROR(__xludf.DUMMYFUNCTION("SPLIT(B153,""RM"")"),2200000.0)</f>
        <v>2200000</v>
      </c>
      <c r="D153" s="7">
        <v>4.0</v>
      </c>
      <c r="E153" s="7">
        <v>4.0</v>
      </c>
      <c r="F153" s="7">
        <v>2.0</v>
      </c>
      <c r="G153" s="7" t="s">
        <v>83</v>
      </c>
      <c r="H153" s="7" t="s">
        <v>278</v>
      </c>
    </row>
    <row r="154">
      <c r="A154" s="7" t="s">
        <v>37</v>
      </c>
      <c r="B154" s="7" t="s">
        <v>279</v>
      </c>
      <c r="C154" s="8">
        <f>IFERROR(__xludf.DUMMYFUNCTION("SPLIT(B154,""RM"")"),1380000.0)</f>
        <v>1380000</v>
      </c>
      <c r="D154" s="7">
        <v>4.0</v>
      </c>
      <c r="E154" s="7">
        <v>3.0</v>
      </c>
      <c r="F154" s="7">
        <v>2.0</v>
      </c>
      <c r="G154" s="7" t="s">
        <v>169</v>
      </c>
      <c r="H154" s="7" t="s">
        <v>280</v>
      </c>
      <c r="I154" s="7" t="s">
        <v>22</v>
      </c>
    </row>
    <row r="155">
      <c r="A155" s="7" t="s">
        <v>17</v>
      </c>
      <c r="B155" s="7" t="s">
        <v>120</v>
      </c>
      <c r="C155" s="8">
        <f>IFERROR(__xludf.DUMMYFUNCTION("SPLIT(B155,""RM"")"),3600000.0)</f>
        <v>3600000</v>
      </c>
      <c r="D155" s="7" t="s">
        <v>57</v>
      </c>
      <c r="E155" s="7">
        <v>4.0</v>
      </c>
      <c r="F155" s="7">
        <v>2.0</v>
      </c>
      <c r="G155" s="7" t="s">
        <v>121</v>
      </c>
      <c r="H155" s="7" t="s">
        <v>122</v>
      </c>
      <c r="I155" s="7" t="s">
        <v>22</v>
      </c>
    </row>
    <row r="156">
      <c r="A156" s="7" t="s">
        <v>77</v>
      </c>
      <c r="B156" s="7" t="s">
        <v>281</v>
      </c>
      <c r="C156" s="8">
        <f>IFERROR(__xludf.DUMMYFUNCTION("SPLIT(B156,""RM"")"),2500000.0)</f>
        <v>2500000</v>
      </c>
      <c r="D156" s="7" t="s">
        <v>35</v>
      </c>
      <c r="E156" s="7">
        <v>6.0</v>
      </c>
      <c r="G156" s="7" t="s">
        <v>282</v>
      </c>
      <c r="H156" s="7" t="s">
        <v>283</v>
      </c>
      <c r="I156" s="7" t="s">
        <v>27</v>
      </c>
    </row>
    <row r="157">
      <c r="A157" s="7" t="s">
        <v>33</v>
      </c>
      <c r="B157" s="7" t="s">
        <v>284</v>
      </c>
      <c r="C157" s="8">
        <f>IFERROR(__xludf.DUMMYFUNCTION("SPLIT(B157,""RM"")"),1060000.0)</f>
        <v>1060000</v>
      </c>
      <c r="D157" s="7" t="s">
        <v>35</v>
      </c>
      <c r="E157" s="7">
        <v>4.0</v>
      </c>
      <c r="F157" s="7">
        <v>4.0</v>
      </c>
      <c r="G157" s="7" t="s">
        <v>30</v>
      </c>
      <c r="H157" s="7" t="s">
        <v>137</v>
      </c>
      <c r="I157" s="7" t="s">
        <v>27</v>
      </c>
    </row>
    <row r="158">
      <c r="A158" s="7" t="s">
        <v>33</v>
      </c>
      <c r="B158" s="7" t="s">
        <v>34</v>
      </c>
      <c r="C158" s="8">
        <f>IFERROR(__xludf.DUMMYFUNCTION("SPLIT(B158,""RM"")"),900000.0)</f>
        <v>900000</v>
      </c>
      <c r="D158" s="7" t="s">
        <v>35</v>
      </c>
      <c r="E158" s="7">
        <v>3.0</v>
      </c>
      <c r="F158" s="7">
        <v>3.0</v>
      </c>
      <c r="G158" s="7" t="s">
        <v>30</v>
      </c>
      <c r="H158" s="7" t="s">
        <v>36</v>
      </c>
      <c r="I158" s="7" t="s">
        <v>27</v>
      </c>
    </row>
    <row r="159">
      <c r="A159" s="7" t="s">
        <v>17</v>
      </c>
      <c r="B159" s="7" t="s">
        <v>158</v>
      </c>
      <c r="C159" s="8">
        <f>IFERROR(__xludf.DUMMYFUNCTION("SPLIT(B159,""RM"")"),1850000.0)</f>
        <v>1850000</v>
      </c>
      <c r="D159" s="7">
        <v>3.0</v>
      </c>
      <c r="E159" s="7">
        <v>1.0</v>
      </c>
      <c r="F159" s="7">
        <v>1.0</v>
      </c>
      <c r="G159" s="7" t="s">
        <v>30</v>
      </c>
      <c r="H159" s="7" t="s">
        <v>285</v>
      </c>
      <c r="I159" s="7" t="s">
        <v>27</v>
      </c>
    </row>
    <row r="160">
      <c r="A160" s="7" t="s">
        <v>155</v>
      </c>
      <c r="B160" s="7" t="s">
        <v>286</v>
      </c>
      <c r="C160" s="8">
        <f>IFERROR(__xludf.DUMMYFUNCTION("SPLIT(B160,""RM"")"),668000.0)</f>
        <v>668000</v>
      </c>
      <c r="D160" s="7" t="s">
        <v>57</v>
      </c>
      <c r="E160" s="7">
        <v>3.0</v>
      </c>
      <c r="F160" s="7">
        <v>3.0</v>
      </c>
      <c r="G160" s="7" t="s">
        <v>30</v>
      </c>
      <c r="H160" s="7" t="s">
        <v>287</v>
      </c>
      <c r="I160" s="7" t="s">
        <v>22</v>
      </c>
    </row>
    <row r="161">
      <c r="A161" s="7" t="s">
        <v>17</v>
      </c>
      <c r="B161" s="7" t="s">
        <v>229</v>
      </c>
      <c r="C161" s="8">
        <f>IFERROR(__xludf.DUMMYFUNCTION("SPLIT(B161,""RM"")"),1050000.0)</f>
        <v>1050000</v>
      </c>
      <c r="D161" s="7" t="s">
        <v>288</v>
      </c>
      <c r="E161" s="7">
        <v>3.0</v>
      </c>
      <c r="F161" s="7">
        <v>2.0</v>
      </c>
      <c r="G161" s="7" t="s">
        <v>82</v>
      </c>
      <c r="H161" s="7" t="s">
        <v>192</v>
      </c>
      <c r="I161" s="7" t="s">
        <v>22</v>
      </c>
    </row>
    <row r="162">
      <c r="A162" s="7" t="s">
        <v>100</v>
      </c>
      <c r="B162" s="7" t="s">
        <v>289</v>
      </c>
      <c r="C162" s="8">
        <f>IFERROR(__xludf.DUMMYFUNCTION("SPLIT(B162,""RM"")"),509000.0)</f>
        <v>509000</v>
      </c>
      <c r="D162" s="7">
        <v>2.0</v>
      </c>
      <c r="E162" s="7">
        <v>2.0</v>
      </c>
      <c r="F162" s="7">
        <v>1.0</v>
      </c>
      <c r="G162" s="7" t="s">
        <v>20</v>
      </c>
      <c r="H162" s="7" t="s">
        <v>198</v>
      </c>
    </row>
    <row r="163">
      <c r="A163" s="7" t="s">
        <v>77</v>
      </c>
      <c r="B163" s="7" t="s">
        <v>290</v>
      </c>
      <c r="C163" s="8">
        <f>IFERROR(__xludf.DUMMYFUNCTION("SPLIT(B163,""RM"")"),3170000.0)</f>
        <v>3170000</v>
      </c>
      <c r="D163" s="7" t="s">
        <v>35</v>
      </c>
      <c r="E163" s="7">
        <v>5.0</v>
      </c>
      <c r="G163" s="7" t="s">
        <v>90</v>
      </c>
      <c r="H163" s="7" t="s">
        <v>291</v>
      </c>
      <c r="I163" s="7" t="s">
        <v>27</v>
      </c>
    </row>
    <row r="164">
      <c r="A164" s="7" t="s">
        <v>77</v>
      </c>
      <c r="B164" s="7" t="s">
        <v>292</v>
      </c>
      <c r="C164" s="8">
        <f>IFERROR(__xludf.DUMMYFUNCTION("SPLIT(B164,""RM"")"),3400000.0)</f>
        <v>3400000</v>
      </c>
      <c r="D164" s="7" t="s">
        <v>70</v>
      </c>
      <c r="E164" s="7">
        <v>6.0</v>
      </c>
      <c r="G164" s="7" t="s">
        <v>90</v>
      </c>
      <c r="H164" s="7" t="s">
        <v>293</v>
      </c>
      <c r="I164" s="7" t="s">
        <v>103</v>
      </c>
    </row>
    <row r="165">
      <c r="A165" s="7" t="s">
        <v>17</v>
      </c>
      <c r="B165" s="7" t="s">
        <v>294</v>
      </c>
      <c r="C165" s="8">
        <f>IFERROR(__xludf.DUMMYFUNCTION("SPLIT(B165,""RM"")"),2998000.0)</f>
        <v>2998000</v>
      </c>
      <c r="D165" s="7" t="s">
        <v>57</v>
      </c>
      <c r="E165" s="7">
        <v>3.0</v>
      </c>
      <c r="F165" s="7">
        <v>2.0</v>
      </c>
      <c r="G165" s="7" t="s">
        <v>93</v>
      </c>
      <c r="H165" s="7" t="s">
        <v>295</v>
      </c>
      <c r="I165" s="7" t="s">
        <v>27</v>
      </c>
    </row>
    <row r="166">
      <c r="A166" s="7" t="s">
        <v>17</v>
      </c>
      <c r="B166" s="7" t="s">
        <v>296</v>
      </c>
      <c r="C166" s="8">
        <f>IFERROR(__xludf.DUMMYFUNCTION("SPLIT(B166,""RM"")"),2580000.0)</f>
        <v>2580000</v>
      </c>
      <c r="D166" s="7" t="s">
        <v>57</v>
      </c>
      <c r="E166" s="7">
        <v>3.0</v>
      </c>
      <c r="F166" s="7">
        <v>2.0</v>
      </c>
      <c r="G166" s="7" t="s">
        <v>93</v>
      </c>
      <c r="H166" s="7" t="s">
        <v>297</v>
      </c>
      <c r="I166" s="7" t="s">
        <v>27</v>
      </c>
    </row>
    <row r="167">
      <c r="A167" s="7" t="s">
        <v>77</v>
      </c>
      <c r="B167" s="7" t="s">
        <v>298</v>
      </c>
      <c r="C167" s="8">
        <f>IFERROR(__xludf.DUMMYFUNCTION("SPLIT(B167,""RM"")"),5600000.0)</f>
        <v>5600000</v>
      </c>
      <c r="D167" s="7" t="s">
        <v>299</v>
      </c>
      <c r="E167" s="7">
        <v>9.0</v>
      </c>
      <c r="G167" s="7" t="s">
        <v>300</v>
      </c>
      <c r="H167" s="7" t="s">
        <v>301</v>
      </c>
      <c r="I167" s="7" t="s">
        <v>27</v>
      </c>
    </row>
    <row r="168">
      <c r="A168" s="7" t="s">
        <v>77</v>
      </c>
      <c r="B168" s="7" t="s">
        <v>302</v>
      </c>
      <c r="C168" s="8">
        <f>IFERROR(__xludf.DUMMYFUNCTION("SPLIT(B168,""RM"")"),1260000.0)</f>
        <v>1260000</v>
      </c>
      <c r="D168" s="7" t="s">
        <v>19</v>
      </c>
      <c r="E168" s="7">
        <v>3.0</v>
      </c>
      <c r="G168" s="7" t="s">
        <v>93</v>
      </c>
      <c r="H168" s="7" t="s">
        <v>303</v>
      </c>
      <c r="I168" s="7" t="s">
        <v>27</v>
      </c>
    </row>
    <row r="169">
      <c r="A169" s="7" t="s">
        <v>77</v>
      </c>
      <c r="B169" s="7" t="s">
        <v>304</v>
      </c>
      <c r="C169" s="8">
        <f>IFERROR(__xludf.DUMMYFUNCTION("SPLIT(B169,""RM"")"),4950000.0)</f>
        <v>4950000</v>
      </c>
      <c r="D169" s="7" t="s">
        <v>218</v>
      </c>
      <c r="E169" s="7">
        <v>7.0</v>
      </c>
      <c r="G169" s="7" t="s">
        <v>300</v>
      </c>
      <c r="H169" s="7" t="s">
        <v>305</v>
      </c>
      <c r="I169" s="7" t="s">
        <v>103</v>
      </c>
    </row>
    <row r="170">
      <c r="A170" s="7" t="s">
        <v>77</v>
      </c>
      <c r="B170" s="7" t="s">
        <v>306</v>
      </c>
      <c r="C170" s="8">
        <f>IFERROR(__xludf.DUMMYFUNCTION("SPLIT(B170,""RM"")"),1990000.0)</f>
        <v>1990000</v>
      </c>
      <c r="D170" s="7" t="s">
        <v>57</v>
      </c>
      <c r="E170" s="7">
        <v>4.0</v>
      </c>
      <c r="G170" s="7" t="s">
        <v>54</v>
      </c>
      <c r="H170" s="7" t="s">
        <v>307</v>
      </c>
      <c r="I170" s="7" t="s">
        <v>27</v>
      </c>
    </row>
    <row r="171">
      <c r="A171" s="7" t="s">
        <v>104</v>
      </c>
      <c r="B171" s="7" t="s">
        <v>206</v>
      </c>
      <c r="C171" s="8">
        <f>IFERROR(__xludf.DUMMYFUNCTION("SPLIT(B171,""RM"")"),920000.0)</f>
        <v>920000</v>
      </c>
      <c r="D171" s="7">
        <v>5.0</v>
      </c>
      <c r="E171" s="7">
        <v>3.0</v>
      </c>
      <c r="G171" s="7" t="s">
        <v>46</v>
      </c>
      <c r="H171" s="7" t="s">
        <v>308</v>
      </c>
      <c r="I171" s="7" t="s">
        <v>27</v>
      </c>
    </row>
    <row r="172">
      <c r="A172" s="7" t="s">
        <v>72</v>
      </c>
      <c r="B172" s="7" t="s">
        <v>309</v>
      </c>
      <c r="C172" s="8">
        <f>IFERROR(__xludf.DUMMYFUNCTION("SPLIT(B172,""RM"")"),2100000.0)</f>
        <v>2100000</v>
      </c>
      <c r="D172" s="7">
        <v>4.0</v>
      </c>
      <c r="E172" s="7">
        <v>4.0</v>
      </c>
      <c r="G172" s="7" t="s">
        <v>93</v>
      </c>
      <c r="H172" s="7" t="s">
        <v>310</v>
      </c>
      <c r="I172" s="7" t="s">
        <v>22</v>
      </c>
    </row>
    <row r="173">
      <c r="A173" s="7" t="s">
        <v>17</v>
      </c>
      <c r="B173" s="7" t="s">
        <v>311</v>
      </c>
      <c r="C173" s="8">
        <f>IFERROR(__xludf.DUMMYFUNCTION("SPLIT(B173,""RM"")"),1100000.0)</f>
        <v>1100000</v>
      </c>
      <c r="D173" s="7">
        <v>2.0</v>
      </c>
      <c r="E173" s="7">
        <v>2.0</v>
      </c>
      <c r="F173" s="7">
        <v>1.0</v>
      </c>
      <c r="G173" s="7" t="s">
        <v>121</v>
      </c>
      <c r="H173" s="7" t="s">
        <v>140</v>
      </c>
      <c r="I173" s="7" t="s">
        <v>22</v>
      </c>
    </row>
    <row r="174">
      <c r="A174" s="7" t="s">
        <v>17</v>
      </c>
      <c r="B174" s="7" t="s">
        <v>120</v>
      </c>
      <c r="C174" s="8">
        <f>IFERROR(__xludf.DUMMYFUNCTION("SPLIT(B174,""RM"")"),3600000.0)</f>
        <v>3600000</v>
      </c>
      <c r="D174" s="7" t="s">
        <v>35</v>
      </c>
      <c r="E174" s="7">
        <v>3.0</v>
      </c>
      <c r="F174" s="7">
        <v>2.0</v>
      </c>
      <c r="G174" s="7" t="s">
        <v>312</v>
      </c>
      <c r="H174" s="7" t="s">
        <v>122</v>
      </c>
      <c r="I174" s="7" t="s">
        <v>27</v>
      </c>
    </row>
    <row r="175">
      <c r="A175" s="7" t="s">
        <v>17</v>
      </c>
      <c r="B175" s="7" t="s">
        <v>313</v>
      </c>
      <c r="C175" s="8">
        <f>IFERROR(__xludf.DUMMYFUNCTION("SPLIT(B175,""RM"")"),2900000.0)</f>
        <v>2900000</v>
      </c>
      <c r="D175" s="7" t="s">
        <v>57</v>
      </c>
      <c r="E175" s="7">
        <v>4.0</v>
      </c>
      <c r="F175" s="7">
        <v>3.0</v>
      </c>
      <c r="G175" s="7" t="s">
        <v>83</v>
      </c>
      <c r="H175" s="7" t="s">
        <v>297</v>
      </c>
      <c r="I175" s="7" t="s">
        <v>22</v>
      </c>
    </row>
    <row r="176">
      <c r="A176" s="7" t="s">
        <v>155</v>
      </c>
      <c r="B176" s="7" t="s">
        <v>314</v>
      </c>
      <c r="C176" s="8">
        <f>IFERROR(__xludf.DUMMYFUNCTION("SPLIT(B176,""RM"")"),670000.0)</f>
        <v>670000</v>
      </c>
      <c r="D176" s="7">
        <v>3.0</v>
      </c>
      <c r="E176" s="7">
        <v>2.0</v>
      </c>
      <c r="F176" s="7">
        <v>2.0</v>
      </c>
      <c r="G176" s="7" t="s">
        <v>83</v>
      </c>
      <c r="H176" s="7" t="s">
        <v>315</v>
      </c>
      <c r="I176" s="7" t="s">
        <v>27</v>
      </c>
    </row>
    <row r="177">
      <c r="A177" s="7" t="s">
        <v>32</v>
      </c>
      <c r="B177" s="7" t="s">
        <v>316</v>
      </c>
      <c r="C177" s="8">
        <f>IFERROR(__xludf.DUMMYFUNCTION("SPLIT(B177,""RM"")"),820000.0)</f>
        <v>820000</v>
      </c>
      <c r="E177" s="7">
        <v>4.0</v>
      </c>
      <c r="F177" s="7">
        <v>3.0</v>
      </c>
      <c r="G177" s="7" t="s">
        <v>54</v>
      </c>
      <c r="H177" s="7" t="s">
        <v>211</v>
      </c>
      <c r="I177" s="7" t="s">
        <v>103</v>
      </c>
    </row>
    <row r="178">
      <c r="A178" s="7" t="s">
        <v>77</v>
      </c>
      <c r="B178" s="7" t="s">
        <v>317</v>
      </c>
      <c r="C178" s="8">
        <f>IFERROR(__xludf.DUMMYFUNCTION("SPLIT(B178,""RM"")"),1370000.0)</f>
        <v>1370000</v>
      </c>
      <c r="D178" s="7" t="s">
        <v>57</v>
      </c>
      <c r="E178" s="7">
        <v>3.0</v>
      </c>
      <c r="G178" s="7" t="s">
        <v>83</v>
      </c>
      <c r="H178" s="7" t="s">
        <v>318</v>
      </c>
      <c r="I178" s="7" t="s">
        <v>27</v>
      </c>
    </row>
    <row r="179">
      <c r="A179" s="7" t="s">
        <v>77</v>
      </c>
      <c r="B179" s="7" t="s">
        <v>319</v>
      </c>
      <c r="C179" s="8">
        <f>IFERROR(__xludf.DUMMYFUNCTION("SPLIT(B179,""RM"")"),3480000.0)</f>
        <v>3480000</v>
      </c>
      <c r="D179" s="7" t="s">
        <v>35</v>
      </c>
      <c r="E179" s="7">
        <v>5.0</v>
      </c>
      <c r="G179" s="7" t="s">
        <v>273</v>
      </c>
      <c r="H179" s="7" t="s">
        <v>320</v>
      </c>
      <c r="I179" s="7" t="s">
        <v>27</v>
      </c>
    </row>
    <row r="180">
      <c r="A180" s="7" t="s">
        <v>77</v>
      </c>
      <c r="B180" s="7" t="s">
        <v>243</v>
      </c>
      <c r="C180" s="8">
        <f>IFERROR(__xludf.DUMMYFUNCTION("SPLIT(B180,""RM"")"),1350000.0)</f>
        <v>1350000</v>
      </c>
      <c r="D180" s="7">
        <v>2.0</v>
      </c>
      <c r="E180" s="7">
        <v>2.0</v>
      </c>
      <c r="F180" s="7">
        <v>2.0</v>
      </c>
      <c r="G180" s="7" t="s">
        <v>93</v>
      </c>
      <c r="H180" s="7" t="s">
        <v>321</v>
      </c>
      <c r="I180" s="7" t="s">
        <v>27</v>
      </c>
    </row>
    <row r="181">
      <c r="A181" s="7" t="s">
        <v>17</v>
      </c>
      <c r="B181" s="7" t="s">
        <v>125</v>
      </c>
      <c r="C181" s="8">
        <f>IFERROR(__xludf.DUMMYFUNCTION("SPLIT(B181,""RM"")"),2300000.0)</f>
        <v>2300000</v>
      </c>
      <c r="D181" s="7">
        <v>1.0</v>
      </c>
      <c r="E181" s="7">
        <v>2.0</v>
      </c>
      <c r="F181" s="7">
        <v>1.0</v>
      </c>
      <c r="G181" s="7" t="s">
        <v>20</v>
      </c>
      <c r="H181" s="7" t="s">
        <v>126</v>
      </c>
      <c r="I181" s="7" t="s">
        <v>27</v>
      </c>
    </row>
    <row r="182">
      <c r="A182" s="7" t="s">
        <v>17</v>
      </c>
      <c r="B182" s="7" t="s">
        <v>322</v>
      </c>
      <c r="C182" s="8">
        <f>IFERROR(__xludf.DUMMYFUNCTION("SPLIT(B182,""RM"")"),1900000.0)</f>
        <v>1900000</v>
      </c>
      <c r="D182" s="7">
        <v>2.0</v>
      </c>
      <c r="E182" s="7">
        <v>2.0</v>
      </c>
      <c r="F182" s="7">
        <v>1.0</v>
      </c>
      <c r="G182" s="7" t="s">
        <v>83</v>
      </c>
      <c r="H182" s="7" t="s">
        <v>323</v>
      </c>
      <c r="I182" s="7" t="s">
        <v>27</v>
      </c>
    </row>
    <row r="183">
      <c r="A183" s="7" t="s">
        <v>17</v>
      </c>
      <c r="B183" s="7" t="s">
        <v>85</v>
      </c>
      <c r="C183" s="8">
        <f>IFERROR(__xludf.DUMMYFUNCTION("SPLIT(B183,""RM"")"),1450000.0)</f>
        <v>1450000</v>
      </c>
      <c r="D183" s="7">
        <v>2.0</v>
      </c>
      <c r="E183" s="7">
        <v>2.0</v>
      </c>
      <c r="F183" s="7">
        <v>2.0</v>
      </c>
      <c r="G183" s="7" t="s">
        <v>121</v>
      </c>
      <c r="H183" s="7" t="s">
        <v>324</v>
      </c>
      <c r="I183" s="7" t="s">
        <v>22</v>
      </c>
    </row>
    <row r="184">
      <c r="A184" s="7" t="s">
        <v>17</v>
      </c>
      <c r="B184" s="7" t="s">
        <v>191</v>
      </c>
      <c r="C184" s="8">
        <f>IFERROR(__xludf.DUMMYFUNCTION("SPLIT(B184,""RM"")"),1000000.0)</f>
        <v>1000000</v>
      </c>
      <c r="D184" s="7" t="s">
        <v>325</v>
      </c>
      <c r="E184" s="7">
        <v>1.0</v>
      </c>
      <c r="G184" s="7" t="s">
        <v>326</v>
      </c>
      <c r="H184" s="7" t="s">
        <v>252</v>
      </c>
      <c r="I184" s="7" t="s">
        <v>22</v>
      </c>
    </row>
    <row r="185">
      <c r="A185" s="7" t="s">
        <v>17</v>
      </c>
      <c r="B185" s="7" t="s">
        <v>327</v>
      </c>
      <c r="C185" s="8">
        <f>IFERROR(__xludf.DUMMYFUNCTION("SPLIT(B185,""RM"")"),1300000.0)</f>
        <v>1300000</v>
      </c>
      <c r="D185" s="7">
        <v>1.0</v>
      </c>
      <c r="E185" s="7">
        <v>1.0</v>
      </c>
      <c r="F185" s="7">
        <v>1.0</v>
      </c>
      <c r="G185" s="7" t="s">
        <v>20</v>
      </c>
      <c r="H185" s="7" t="s">
        <v>328</v>
      </c>
      <c r="I185" s="7" t="s">
        <v>27</v>
      </c>
    </row>
    <row r="186">
      <c r="A186" s="7" t="s">
        <v>17</v>
      </c>
      <c r="B186" s="7" t="s">
        <v>120</v>
      </c>
      <c r="C186" s="8">
        <f>IFERROR(__xludf.DUMMYFUNCTION("SPLIT(B186,""RM"")"),3600000.0)</f>
        <v>3600000</v>
      </c>
      <c r="D186" s="7">
        <v>3.0</v>
      </c>
      <c r="E186" s="7">
        <v>4.0</v>
      </c>
      <c r="F186" s="7">
        <v>2.0</v>
      </c>
      <c r="G186" s="7" t="s">
        <v>121</v>
      </c>
      <c r="H186" s="7" t="s">
        <v>122</v>
      </c>
      <c r="I186" s="7" t="s">
        <v>27</v>
      </c>
    </row>
    <row r="187">
      <c r="A187" s="7" t="s">
        <v>37</v>
      </c>
      <c r="B187" s="7" t="s">
        <v>210</v>
      </c>
      <c r="C187" s="8">
        <f>IFERROR(__xludf.DUMMYFUNCTION("SPLIT(B187,""RM"")"),1630000.0)</f>
        <v>1630000</v>
      </c>
      <c r="D187" s="7">
        <v>4.0</v>
      </c>
      <c r="E187" s="7">
        <v>3.0</v>
      </c>
      <c r="F187" s="7">
        <v>2.0</v>
      </c>
      <c r="G187" s="7" t="s">
        <v>54</v>
      </c>
      <c r="H187" s="7" t="s">
        <v>211</v>
      </c>
      <c r="I187" s="7" t="s">
        <v>27</v>
      </c>
    </row>
    <row r="188">
      <c r="A188" s="7" t="s">
        <v>23</v>
      </c>
      <c r="B188" s="7" t="s">
        <v>309</v>
      </c>
      <c r="C188" s="8">
        <f>IFERROR(__xludf.DUMMYFUNCTION("SPLIT(B188,""RM"")"),2100000.0)</f>
        <v>2100000</v>
      </c>
      <c r="D188" s="7">
        <v>4.0</v>
      </c>
      <c r="E188" s="7">
        <v>3.0</v>
      </c>
      <c r="F188" s="7">
        <v>3.0</v>
      </c>
      <c r="G188" s="7" t="s">
        <v>54</v>
      </c>
      <c r="H188" s="7" t="s">
        <v>211</v>
      </c>
    </row>
    <row r="189">
      <c r="A189" s="7" t="s">
        <v>37</v>
      </c>
      <c r="B189" s="7" t="s">
        <v>38</v>
      </c>
      <c r="C189" s="8">
        <f>IFERROR(__xludf.DUMMYFUNCTION("SPLIT(B189,""RM"")"),5350000.0)</f>
        <v>5350000</v>
      </c>
      <c r="D189" s="7">
        <v>6.0</v>
      </c>
      <c r="E189" s="7">
        <v>5.0</v>
      </c>
      <c r="F189" s="7">
        <v>3.0</v>
      </c>
      <c r="G189" s="7" t="s">
        <v>25</v>
      </c>
      <c r="H189" s="7" t="s">
        <v>40</v>
      </c>
      <c r="I189" s="7" t="s">
        <v>27</v>
      </c>
    </row>
    <row r="190">
      <c r="A190" s="7" t="s">
        <v>33</v>
      </c>
      <c r="B190" s="7" t="s">
        <v>229</v>
      </c>
      <c r="C190" s="8">
        <f>IFERROR(__xludf.DUMMYFUNCTION("SPLIT(B190,""RM"")"),1050000.0)</f>
        <v>1050000</v>
      </c>
      <c r="D190" s="7" t="s">
        <v>35</v>
      </c>
      <c r="E190" s="7">
        <v>4.0</v>
      </c>
      <c r="F190" s="7">
        <v>4.0</v>
      </c>
      <c r="G190" s="7" t="s">
        <v>83</v>
      </c>
      <c r="H190" s="7" t="s">
        <v>137</v>
      </c>
      <c r="I190" s="7" t="s">
        <v>27</v>
      </c>
    </row>
    <row r="191">
      <c r="A191" s="7" t="s">
        <v>33</v>
      </c>
      <c r="B191" s="7" t="s">
        <v>329</v>
      </c>
      <c r="C191" s="8">
        <f>IFERROR(__xludf.DUMMYFUNCTION("SPLIT(B191,""RM"")"),1200000.0)</f>
        <v>1200000</v>
      </c>
      <c r="D191" s="7" t="s">
        <v>70</v>
      </c>
      <c r="E191" s="7">
        <v>4.0</v>
      </c>
      <c r="F191" s="7">
        <v>4.0</v>
      </c>
      <c r="G191" s="7" t="s">
        <v>83</v>
      </c>
      <c r="H191" s="7" t="s">
        <v>330</v>
      </c>
      <c r="I191" s="7" t="s">
        <v>27</v>
      </c>
    </row>
    <row r="192">
      <c r="A192" s="7" t="s">
        <v>33</v>
      </c>
      <c r="B192" s="7" t="s">
        <v>34</v>
      </c>
      <c r="C192" s="8">
        <f>IFERROR(__xludf.DUMMYFUNCTION("SPLIT(B192,""RM"")"),900000.0)</f>
        <v>900000</v>
      </c>
      <c r="D192" s="7" t="s">
        <v>35</v>
      </c>
      <c r="E192" s="7">
        <v>3.0</v>
      </c>
      <c r="F192" s="7">
        <v>2.0</v>
      </c>
      <c r="G192" s="7" t="s">
        <v>83</v>
      </c>
      <c r="H192" s="7" t="s">
        <v>36</v>
      </c>
      <c r="I192" s="7" t="s">
        <v>27</v>
      </c>
    </row>
    <row r="193">
      <c r="A193" s="7" t="s">
        <v>23</v>
      </c>
      <c r="B193" s="7" t="s">
        <v>331</v>
      </c>
      <c r="C193" s="8">
        <f>IFERROR(__xludf.DUMMYFUNCTION("SPLIT(B193,""RM"")"),2251800.0)</f>
        <v>2251800</v>
      </c>
      <c r="D193" s="7" t="s">
        <v>19</v>
      </c>
      <c r="E193" s="7">
        <v>4.0</v>
      </c>
      <c r="F193" s="7">
        <v>2.0</v>
      </c>
      <c r="G193" s="7" t="s">
        <v>20</v>
      </c>
      <c r="H193" s="7" t="s">
        <v>99</v>
      </c>
      <c r="I193" s="7" t="s">
        <v>27</v>
      </c>
    </row>
    <row r="194">
      <c r="A194" s="7" t="s">
        <v>33</v>
      </c>
      <c r="B194" s="7" t="s">
        <v>332</v>
      </c>
      <c r="C194" s="8">
        <f>IFERROR(__xludf.DUMMYFUNCTION("SPLIT(B194,""RM"")"),998000.0)</f>
        <v>998000</v>
      </c>
      <c r="D194" s="7" t="s">
        <v>70</v>
      </c>
      <c r="E194" s="7">
        <v>5.0</v>
      </c>
      <c r="F194" s="7">
        <v>4.0</v>
      </c>
      <c r="G194" s="7" t="s">
        <v>282</v>
      </c>
      <c r="H194" s="7" t="s">
        <v>333</v>
      </c>
      <c r="I194" s="7" t="s">
        <v>27</v>
      </c>
    </row>
    <row r="195">
      <c r="A195" s="7" t="s">
        <v>72</v>
      </c>
      <c r="B195" s="7" t="s">
        <v>81</v>
      </c>
      <c r="C195" s="8">
        <f>IFERROR(__xludf.DUMMYFUNCTION("SPLIT(B195,""RM"")"),1550000.0)</f>
        <v>1550000</v>
      </c>
      <c r="D195" s="7" t="s">
        <v>57</v>
      </c>
      <c r="E195" s="7">
        <v>4.0</v>
      </c>
      <c r="F195" s="7">
        <v>2.0</v>
      </c>
      <c r="G195" s="7" t="s">
        <v>83</v>
      </c>
      <c r="H195" s="7" t="s">
        <v>334</v>
      </c>
      <c r="I195" s="7" t="s">
        <v>27</v>
      </c>
    </row>
    <row r="196">
      <c r="A196" s="7" t="s">
        <v>171</v>
      </c>
      <c r="B196" s="7" t="s">
        <v>139</v>
      </c>
      <c r="C196" s="8">
        <f>IFERROR(__xludf.DUMMYFUNCTION("SPLIT(B196,""RM"")"),780000.0)</f>
        <v>780000</v>
      </c>
      <c r="D196" s="7">
        <v>3.0</v>
      </c>
      <c r="E196" s="7">
        <v>3.0</v>
      </c>
      <c r="F196" s="7">
        <v>2.0</v>
      </c>
      <c r="G196" s="7" t="s">
        <v>30</v>
      </c>
      <c r="H196" s="7" t="s">
        <v>335</v>
      </c>
      <c r="I196" s="7" t="s">
        <v>27</v>
      </c>
    </row>
    <row r="197">
      <c r="A197" s="7" t="s">
        <v>77</v>
      </c>
      <c r="B197" s="7" t="s">
        <v>279</v>
      </c>
      <c r="C197" s="8">
        <f>IFERROR(__xludf.DUMMYFUNCTION("SPLIT(B197,""RM"")"),1380000.0)</f>
        <v>1380000</v>
      </c>
      <c r="D197" s="7">
        <v>2.0</v>
      </c>
      <c r="E197" s="7">
        <v>2.0</v>
      </c>
      <c r="F197" s="7">
        <v>2.0</v>
      </c>
      <c r="G197" s="7" t="s">
        <v>93</v>
      </c>
      <c r="H197" s="7" t="s">
        <v>321</v>
      </c>
      <c r="I197" s="7" t="s">
        <v>27</v>
      </c>
    </row>
    <row r="198">
      <c r="A198" s="7" t="s">
        <v>77</v>
      </c>
      <c r="B198" s="7" t="s">
        <v>336</v>
      </c>
      <c r="C198" s="8">
        <f>IFERROR(__xludf.DUMMYFUNCTION("SPLIT(B198,""RM"")"),1798000.0)</f>
        <v>1798000</v>
      </c>
      <c r="D198" s="7" t="s">
        <v>57</v>
      </c>
      <c r="E198" s="7">
        <v>3.0</v>
      </c>
      <c r="F198" s="7">
        <v>2.0</v>
      </c>
      <c r="G198" s="7" t="s">
        <v>90</v>
      </c>
      <c r="H198" s="7" t="s">
        <v>248</v>
      </c>
      <c r="I198" s="7" t="s">
        <v>27</v>
      </c>
    </row>
    <row r="199">
      <c r="A199" s="7" t="s">
        <v>17</v>
      </c>
      <c r="B199" s="7" t="s">
        <v>327</v>
      </c>
      <c r="C199" s="8">
        <f>IFERROR(__xludf.DUMMYFUNCTION("SPLIT(B199,""RM"")"),1300000.0)</f>
        <v>1300000</v>
      </c>
      <c r="D199" s="7">
        <v>1.0</v>
      </c>
      <c r="E199" s="7">
        <v>1.0</v>
      </c>
      <c r="F199" s="7">
        <v>1.0</v>
      </c>
      <c r="G199" s="7" t="s">
        <v>20</v>
      </c>
      <c r="H199" s="7" t="s">
        <v>328</v>
      </c>
    </row>
    <row r="200">
      <c r="A200" s="7" t="s">
        <v>17</v>
      </c>
      <c r="B200" s="7" t="s">
        <v>337</v>
      </c>
      <c r="C200" s="8">
        <f>IFERROR(__xludf.DUMMYFUNCTION("SPLIT(B200,""RM"")"),1268000.0)</f>
        <v>1268000</v>
      </c>
      <c r="D200" s="7">
        <v>3.0</v>
      </c>
      <c r="E200" s="7">
        <v>3.0</v>
      </c>
      <c r="F200" s="7">
        <v>1.0</v>
      </c>
      <c r="G200" s="7" t="s">
        <v>30</v>
      </c>
      <c r="H200" s="7" t="s">
        <v>338</v>
      </c>
      <c r="I200" s="7" t="s">
        <v>22</v>
      </c>
    </row>
    <row r="201">
      <c r="A201" s="7" t="s">
        <v>17</v>
      </c>
      <c r="B201" s="7" t="s">
        <v>42</v>
      </c>
      <c r="C201" s="8">
        <f>IFERROR(__xludf.DUMMYFUNCTION("SPLIT(B201,""RM"")"),2600000.0)</f>
        <v>2600000</v>
      </c>
      <c r="D201" s="7" t="s">
        <v>57</v>
      </c>
      <c r="E201" s="7">
        <v>4.0</v>
      </c>
      <c r="F201" s="7">
        <v>3.0</v>
      </c>
      <c r="G201" s="7" t="s">
        <v>83</v>
      </c>
      <c r="H201" s="7" t="s">
        <v>297</v>
      </c>
      <c r="I201" s="7" t="s">
        <v>22</v>
      </c>
    </row>
    <row r="202">
      <c r="A202" s="7" t="s">
        <v>17</v>
      </c>
      <c r="B202" s="7" t="s">
        <v>127</v>
      </c>
      <c r="C202" s="8">
        <f>IFERROR(__xludf.DUMMYFUNCTION("SPLIT(B202,""RM"")"),4200000.0)</f>
        <v>4200000</v>
      </c>
      <c r="D202" s="7" t="s">
        <v>57</v>
      </c>
      <c r="E202" s="7">
        <v>4.0</v>
      </c>
      <c r="F202" s="7">
        <v>2.0</v>
      </c>
      <c r="G202" s="7" t="s">
        <v>121</v>
      </c>
      <c r="H202" s="7" t="s">
        <v>124</v>
      </c>
      <c r="I202" s="7" t="s">
        <v>27</v>
      </c>
    </row>
    <row r="203">
      <c r="A203" s="7" t="s">
        <v>17</v>
      </c>
      <c r="B203" s="7" t="s">
        <v>339</v>
      </c>
      <c r="C203" s="8">
        <f>IFERROR(__xludf.DUMMYFUNCTION("SPLIT(B203,""RM"")"),3330000.0)</f>
        <v>3330000</v>
      </c>
      <c r="D203" s="7" t="s">
        <v>19</v>
      </c>
      <c r="E203" s="7">
        <v>3.0</v>
      </c>
      <c r="F203" s="7">
        <v>1.0</v>
      </c>
      <c r="G203" s="7" t="s">
        <v>121</v>
      </c>
      <c r="H203" s="7" t="s">
        <v>340</v>
      </c>
      <c r="I203" s="7" t="s">
        <v>22</v>
      </c>
    </row>
    <row r="204">
      <c r="A204" s="7" t="s">
        <v>17</v>
      </c>
      <c r="B204" s="7" t="s">
        <v>42</v>
      </c>
      <c r="C204" s="8">
        <f>IFERROR(__xludf.DUMMYFUNCTION("SPLIT(B204,""RM"")"),2600000.0)</f>
        <v>2600000</v>
      </c>
      <c r="D204" s="7">
        <v>2.0</v>
      </c>
      <c r="E204" s="7">
        <v>2.0</v>
      </c>
      <c r="F204" s="7">
        <v>1.0</v>
      </c>
      <c r="G204" s="7" t="s">
        <v>82</v>
      </c>
      <c r="H204" s="7" t="s">
        <v>341</v>
      </c>
      <c r="I204" s="7" t="s">
        <v>22</v>
      </c>
    </row>
    <row r="205">
      <c r="A205" s="7" t="s">
        <v>17</v>
      </c>
      <c r="B205" s="7" t="s">
        <v>45</v>
      </c>
      <c r="C205" s="8">
        <f>IFERROR(__xludf.DUMMYFUNCTION("SPLIT(B205,""RM"")"),1950000.0)</f>
        <v>1950000</v>
      </c>
      <c r="D205" s="7" t="s">
        <v>197</v>
      </c>
      <c r="E205" s="7">
        <v>2.0</v>
      </c>
      <c r="F205" s="7">
        <v>1.0</v>
      </c>
      <c r="G205" s="7" t="s">
        <v>82</v>
      </c>
      <c r="H205" s="7" t="s">
        <v>342</v>
      </c>
      <c r="I205" s="7" t="s">
        <v>27</v>
      </c>
    </row>
    <row r="206">
      <c r="A206" s="7" t="s">
        <v>37</v>
      </c>
      <c r="B206" s="7" t="s">
        <v>229</v>
      </c>
      <c r="C206" s="8">
        <f>IFERROR(__xludf.DUMMYFUNCTION("SPLIT(B206,""RM"")"),1050000.0)</f>
        <v>1050000</v>
      </c>
      <c r="D206" s="7">
        <v>3.0</v>
      </c>
      <c r="E206" s="7">
        <v>2.0</v>
      </c>
      <c r="F206" s="7">
        <v>2.0</v>
      </c>
      <c r="G206" s="7" t="s">
        <v>343</v>
      </c>
      <c r="H206" s="7" t="s">
        <v>344</v>
      </c>
    </row>
    <row r="207">
      <c r="A207" s="7" t="s">
        <v>155</v>
      </c>
      <c r="B207" s="7" t="s">
        <v>34</v>
      </c>
      <c r="C207" s="8">
        <f>IFERROR(__xludf.DUMMYFUNCTION("SPLIT(B207,""RM"")"),900000.0)</f>
        <v>900000</v>
      </c>
      <c r="D207" s="7" t="s">
        <v>57</v>
      </c>
      <c r="E207" s="7">
        <v>4.0</v>
      </c>
      <c r="F207" s="7">
        <v>3.0</v>
      </c>
      <c r="G207" s="7" t="s">
        <v>83</v>
      </c>
      <c r="H207" s="7" t="s">
        <v>345</v>
      </c>
    </row>
    <row r="208">
      <c r="A208" s="7" t="s">
        <v>104</v>
      </c>
      <c r="B208" s="7" t="s">
        <v>346</v>
      </c>
      <c r="C208" s="8">
        <f>IFERROR(__xludf.DUMMYFUNCTION("SPLIT(B208,""RM"")"),638000.0)</f>
        <v>638000</v>
      </c>
      <c r="D208" s="7" t="s">
        <v>57</v>
      </c>
      <c r="E208" s="7">
        <v>2.0</v>
      </c>
      <c r="F208" s="7">
        <v>4.0</v>
      </c>
      <c r="G208" s="7" t="s">
        <v>347</v>
      </c>
      <c r="H208" s="7" t="s">
        <v>348</v>
      </c>
      <c r="I208" s="7" t="s">
        <v>27</v>
      </c>
    </row>
    <row r="209">
      <c r="A209" s="7" t="s">
        <v>17</v>
      </c>
      <c r="B209" s="7" t="s">
        <v>349</v>
      </c>
      <c r="C209" s="8">
        <f>IFERROR(__xludf.DUMMYFUNCTION("SPLIT(B209,""RM"")"),1400000.0)</f>
        <v>1400000</v>
      </c>
      <c r="D209" s="7">
        <v>2.0</v>
      </c>
      <c r="E209" s="7">
        <v>2.0</v>
      </c>
      <c r="F209" s="7">
        <v>1.0</v>
      </c>
      <c r="G209" s="7" t="s">
        <v>121</v>
      </c>
      <c r="H209" s="7" t="s">
        <v>157</v>
      </c>
      <c r="I209" s="7" t="s">
        <v>22</v>
      </c>
    </row>
    <row r="210">
      <c r="A210" s="7" t="s">
        <v>104</v>
      </c>
      <c r="B210" s="7" t="s">
        <v>156</v>
      </c>
      <c r="C210" s="8">
        <f>IFERROR(__xludf.DUMMYFUNCTION("SPLIT(B210,""RM"")"),850000.0)</f>
        <v>850000</v>
      </c>
      <c r="D210" s="7">
        <v>4.0</v>
      </c>
      <c r="E210" s="7">
        <v>3.0</v>
      </c>
      <c r="F210" s="7">
        <v>2.0</v>
      </c>
      <c r="G210" s="7" t="s">
        <v>54</v>
      </c>
      <c r="H210" s="7" t="s">
        <v>211</v>
      </c>
      <c r="I210" s="7" t="s">
        <v>27</v>
      </c>
    </row>
    <row r="211">
      <c r="A211" s="7" t="s">
        <v>23</v>
      </c>
      <c r="B211" s="7" t="s">
        <v>350</v>
      </c>
      <c r="C211" s="8">
        <f>IFERROR(__xludf.DUMMYFUNCTION("SPLIT(B211,""RM"")"),6500000.0)</f>
        <v>6500000</v>
      </c>
      <c r="D211" s="7">
        <v>6.0</v>
      </c>
      <c r="E211" s="7">
        <v>5.0</v>
      </c>
      <c r="F211" s="7">
        <v>4.0</v>
      </c>
      <c r="G211" s="7" t="s">
        <v>25</v>
      </c>
      <c r="H211" s="7" t="s">
        <v>40</v>
      </c>
      <c r="I211" s="7" t="s">
        <v>27</v>
      </c>
    </row>
    <row r="212">
      <c r="A212" s="7" t="s">
        <v>72</v>
      </c>
      <c r="B212" s="7" t="s">
        <v>144</v>
      </c>
      <c r="C212" s="8">
        <f>IFERROR(__xludf.DUMMYFUNCTION("SPLIT(B212,""RM"")"),1800000.0)</f>
        <v>1800000</v>
      </c>
      <c r="D212" s="7">
        <v>4.0</v>
      </c>
      <c r="E212" s="7">
        <v>4.0</v>
      </c>
      <c r="F212" s="7">
        <v>2.0</v>
      </c>
      <c r="G212" s="7" t="s">
        <v>83</v>
      </c>
      <c r="H212" s="7" t="s">
        <v>74</v>
      </c>
      <c r="I212" s="7" t="s">
        <v>27</v>
      </c>
    </row>
    <row r="213">
      <c r="A213" s="7" t="s">
        <v>177</v>
      </c>
      <c r="B213" s="7" t="s">
        <v>351</v>
      </c>
      <c r="C213" s="8">
        <f>IFERROR(__xludf.DUMMYFUNCTION("SPLIT(B213,""RM"")"),3800000.0)</f>
        <v>3800000</v>
      </c>
      <c r="D213" s="7" t="s">
        <v>35</v>
      </c>
      <c r="E213" s="7">
        <v>5.0</v>
      </c>
      <c r="F213" s="7">
        <v>4.0</v>
      </c>
      <c r="G213" s="7" t="s">
        <v>67</v>
      </c>
      <c r="H213" s="7" t="s">
        <v>352</v>
      </c>
      <c r="I213" s="7" t="s">
        <v>27</v>
      </c>
    </row>
    <row r="214">
      <c r="A214" s="7" t="s">
        <v>86</v>
      </c>
      <c r="B214" s="7" t="s">
        <v>353</v>
      </c>
      <c r="C214" s="8">
        <f>IFERROR(__xludf.DUMMYFUNCTION("SPLIT(B214,""RM"")"),350000.0)</f>
        <v>350000</v>
      </c>
      <c r="D214" s="7">
        <v>1.0</v>
      </c>
      <c r="E214" s="7">
        <v>1.0</v>
      </c>
      <c r="F214" s="7">
        <v>1.0</v>
      </c>
      <c r="G214" s="7" t="s">
        <v>354</v>
      </c>
      <c r="H214" s="7" t="s">
        <v>355</v>
      </c>
    </row>
    <row r="215">
      <c r="A215" s="7" t="s">
        <v>17</v>
      </c>
      <c r="B215" s="7" t="s">
        <v>120</v>
      </c>
      <c r="C215" s="8">
        <f>IFERROR(__xludf.DUMMYFUNCTION("SPLIT(B215,""RM"")"),3600000.0)</f>
        <v>3600000</v>
      </c>
      <c r="D215" s="7" t="s">
        <v>79</v>
      </c>
      <c r="E215" s="7">
        <v>5.0</v>
      </c>
      <c r="F215" s="7">
        <v>2.0</v>
      </c>
      <c r="G215" s="7" t="s">
        <v>312</v>
      </c>
      <c r="H215" s="7" t="s">
        <v>122</v>
      </c>
      <c r="I215" s="7" t="s">
        <v>251</v>
      </c>
    </row>
    <row r="216">
      <c r="A216" s="7" t="s">
        <v>37</v>
      </c>
      <c r="B216" s="7" t="s">
        <v>356</v>
      </c>
      <c r="C216" s="8">
        <f>IFERROR(__xludf.DUMMYFUNCTION("SPLIT(B216,""RM"")"),1790000.0)</f>
        <v>1790000</v>
      </c>
      <c r="D216" s="7">
        <v>4.0</v>
      </c>
      <c r="E216" s="7">
        <v>3.0</v>
      </c>
      <c r="G216" s="7" t="s">
        <v>54</v>
      </c>
      <c r="H216" s="7" t="s">
        <v>357</v>
      </c>
      <c r="I216" s="7" t="s">
        <v>27</v>
      </c>
    </row>
    <row r="217">
      <c r="A217" s="7" t="s">
        <v>358</v>
      </c>
      <c r="B217" s="7" t="s">
        <v>359</v>
      </c>
      <c r="C217" s="8">
        <f>IFERROR(__xludf.DUMMYFUNCTION("SPLIT(B217,""RM"")"),635000.0)</f>
        <v>635000</v>
      </c>
      <c r="D217" s="7" t="s">
        <v>57</v>
      </c>
      <c r="E217" s="7">
        <v>4.0</v>
      </c>
      <c r="F217" s="7">
        <v>2.0</v>
      </c>
      <c r="G217" s="7" t="s">
        <v>30</v>
      </c>
      <c r="H217" s="7" t="s">
        <v>360</v>
      </c>
      <c r="I217" s="7" t="s">
        <v>27</v>
      </c>
    </row>
    <row r="218">
      <c r="A218" s="7" t="s">
        <v>267</v>
      </c>
      <c r="B218" s="7" t="s">
        <v>361</v>
      </c>
      <c r="C218" s="8">
        <f>IFERROR(__xludf.DUMMYFUNCTION("SPLIT(B218,""RM"")"),530000.0)</f>
        <v>530000</v>
      </c>
      <c r="D218" s="7">
        <v>2.0</v>
      </c>
      <c r="E218" s="7">
        <v>2.0</v>
      </c>
      <c r="G218" s="7" t="s">
        <v>20</v>
      </c>
      <c r="H218" s="7" t="s">
        <v>269</v>
      </c>
    </row>
    <row r="219">
      <c r="A219" s="7" t="s">
        <v>17</v>
      </c>
      <c r="B219" s="7" t="s">
        <v>362</v>
      </c>
      <c r="C219" s="8">
        <f>IFERROR(__xludf.DUMMYFUNCTION("SPLIT(B219,""RM"")"),5070000.0)</f>
        <v>5070000</v>
      </c>
      <c r="D219" s="7" t="s">
        <v>57</v>
      </c>
      <c r="E219" s="7">
        <v>4.0</v>
      </c>
      <c r="F219" s="7">
        <v>3.0</v>
      </c>
      <c r="G219" s="7" t="s">
        <v>121</v>
      </c>
      <c r="H219" s="7" t="s">
        <v>363</v>
      </c>
      <c r="I219" s="7" t="s">
        <v>27</v>
      </c>
    </row>
    <row r="220">
      <c r="A220" s="7" t="s">
        <v>143</v>
      </c>
      <c r="B220" s="7" t="s">
        <v>364</v>
      </c>
      <c r="C220" s="8">
        <f>IFERROR(__xludf.DUMMYFUNCTION("SPLIT(B220,""RM"")"),1207000.0)</f>
        <v>1207000</v>
      </c>
      <c r="D220" s="7" t="s">
        <v>325</v>
      </c>
      <c r="E220" s="7">
        <v>1.0</v>
      </c>
      <c r="F220" s="7">
        <v>1.0</v>
      </c>
      <c r="G220" s="7" t="s">
        <v>82</v>
      </c>
      <c r="H220" s="7" t="s">
        <v>365</v>
      </c>
      <c r="I220" s="7" t="s">
        <v>27</v>
      </c>
    </row>
    <row r="221">
      <c r="A221" s="7" t="s">
        <v>143</v>
      </c>
      <c r="B221" s="7" t="s">
        <v>366</v>
      </c>
      <c r="C221" s="8">
        <f>IFERROR(__xludf.DUMMYFUNCTION("SPLIT(B221,""RM"")"),1177000.0)</f>
        <v>1177000</v>
      </c>
      <c r="D221" s="7">
        <v>2.0</v>
      </c>
      <c r="E221" s="7">
        <v>1.0</v>
      </c>
      <c r="F221" s="7">
        <v>1.0</v>
      </c>
      <c r="G221" s="7" t="s">
        <v>82</v>
      </c>
      <c r="H221" s="7" t="s">
        <v>367</v>
      </c>
      <c r="I221" s="7" t="s">
        <v>27</v>
      </c>
    </row>
    <row r="222">
      <c r="A222" s="7" t="s">
        <v>368</v>
      </c>
      <c r="B222" s="7" t="s">
        <v>369</v>
      </c>
      <c r="C222" s="8">
        <f>IFERROR(__xludf.DUMMYFUNCTION("SPLIT(B222,""RM"")"),468000.0)</f>
        <v>468000</v>
      </c>
      <c r="D222" s="7">
        <v>3.0</v>
      </c>
      <c r="E222" s="7">
        <v>2.0</v>
      </c>
      <c r="F222" s="7">
        <v>2.0</v>
      </c>
      <c r="G222" s="7" t="s">
        <v>20</v>
      </c>
      <c r="I222" s="7" t="s">
        <v>27</v>
      </c>
    </row>
    <row r="223">
      <c r="A223" s="7" t="s">
        <v>37</v>
      </c>
      <c r="B223" s="7" t="s">
        <v>174</v>
      </c>
      <c r="C223" s="8">
        <f>IFERROR(__xludf.DUMMYFUNCTION("SPLIT(B223,""RM"")"),3000000.0)</f>
        <v>3000000</v>
      </c>
      <c r="D223" s="7">
        <v>3.0</v>
      </c>
      <c r="E223" s="7">
        <v>2.0</v>
      </c>
      <c r="G223" s="7" t="s">
        <v>343</v>
      </c>
      <c r="H223" s="7" t="s">
        <v>370</v>
      </c>
      <c r="I223" s="7" t="s">
        <v>27</v>
      </c>
    </row>
    <row r="224">
      <c r="A224" s="7" t="s">
        <v>371</v>
      </c>
      <c r="B224" s="7" t="s">
        <v>372</v>
      </c>
      <c r="C224" s="8">
        <f>IFERROR(__xludf.DUMMYFUNCTION("SPLIT(B224,""RM"")"),700000.0)</f>
        <v>700000</v>
      </c>
      <c r="D224" s="7">
        <v>3.0</v>
      </c>
      <c r="E224" s="7">
        <v>2.0</v>
      </c>
      <c r="F224" s="7">
        <v>2.0</v>
      </c>
      <c r="G224" s="7" t="s">
        <v>83</v>
      </c>
      <c r="H224" s="7" t="s">
        <v>373</v>
      </c>
      <c r="I224" s="7" t="s">
        <v>27</v>
      </c>
    </row>
    <row r="225">
      <c r="A225" s="7" t="s">
        <v>52</v>
      </c>
      <c r="B225" s="7" t="s">
        <v>374</v>
      </c>
      <c r="C225" s="8">
        <f>IFERROR(__xludf.DUMMYFUNCTION("SPLIT(B225,""RM"")"),3710000.0)</f>
        <v>3710000</v>
      </c>
      <c r="D225" s="7" t="s">
        <v>35</v>
      </c>
      <c r="E225" s="7">
        <v>5.0</v>
      </c>
      <c r="G225" s="7" t="s">
        <v>83</v>
      </c>
      <c r="H225" s="7" t="s">
        <v>375</v>
      </c>
      <c r="I225" s="7" t="s">
        <v>27</v>
      </c>
    </row>
    <row r="226">
      <c r="A226" s="7" t="s">
        <v>72</v>
      </c>
      <c r="B226" s="7" t="s">
        <v>322</v>
      </c>
      <c r="C226" s="8">
        <f>IFERROR(__xludf.DUMMYFUNCTION("SPLIT(B226,""RM"")"),1900000.0)</f>
        <v>1900000</v>
      </c>
      <c r="D226" s="7" t="s">
        <v>57</v>
      </c>
      <c r="E226" s="7">
        <v>4.0</v>
      </c>
      <c r="G226" s="7" t="s">
        <v>83</v>
      </c>
      <c r="H226" s="7" t="s">
        <v>376</v>
      </c>
      <c r="I226" s="7" t="s">
        <v>22</v>
      </c>
    </row>
    <row r="227">
      <c r="A227" s="7" t="s">
        <v>72</v>
      </c>
      <c r="B227" s="7" t="s">
        <v>377</v>
      </c>
      <c r="C227" s="8">
        <f>IFERROR(__xludf.DUMMYFUNCTION("SPLIT(B227,""RM"")"),3785400.0)</f>
        <v>3785400</v>
      </c>
      <c r="D227" s="7" t="s">
        <v>70</v>
      </c>
      <c r="E227" s="7">
        <v>5.0</v>
      </c>
      <c r="F227" s="7">
        <v>3.0</v>
      </c>
      <c r="G227" s="7" t="s">
        <v>378</v>
      </c>
      <c r="H227" s="7" t="s">
        <v>379</v>
      </c>
      <c r="I227" s="7" t="s">
        <v>27</v>
      </c>
    </row>
    <row r="228">
      <c r="A228" s="7" t="s">
        <v>17</v>
      </c>
      <c r="B228" s="7" t="s">
        <v>327</v>
      </c>
      <c r="C228" s="8">
        <f>IFERROR(__xludf.DUMMYFUNCTION("SPLIT(B228,""RM"")"),1300000.0)</f>
        <v>1300000</v>
      </c>
      <c r="D228" s="7">
        <v>2.0</v>
      </c>
      <c r="E228" s="7">
        <v>2.0</v>
      </c>
      <c r="F228" s="7">
        <v>2.0</v>
      </c>
      <c r="G228" s="7" t="s">
        <v>83</v>
      </c>
      <c r="H228" s="7" t="s">
        <v>380</v>
      </c>
      <c r="I228" s="7" t="s">
        <v>22</v>
      </c>
    </row>
    <row r="229">
      <c r="A229" s="7" t="s">
        <v>155</v>
      </c>
      <c r="B229" s="7" t="s">
        <v>381</v>
      </c>
      <c r="C229" s="8">
        <f>IFERROR(__xludf.DUMMYFUNCTION("SPLIT(B229,""RM"")"),960000.0)</f>
        <v>960000</v>
      </c>
      <c r="D229" s="7" t="s">
        <v>57</v>
      </c>
      <c r="E229" s="7">
        <v>4.0</v>
      </c>
      <c r="F229" s="7">
        <v>2.0</v>
      </c>
      <c r="G229" s="7" t="s">
        <v>30</v>
      </c>
      <c r="H229" s="7" t="s">
        <v>382</v>
      </c>
      <c r="I229" s="7" t="s">
        <v>103</v>
      </c>
    </row>
    <row r="230">
      <c r="A230" s="7" t="s">
        <v>143</v>
      </c>
      <c r="B230" s="7" t="s">
        <v>87</v>
      </c>
      <c r="C230" s="8">
        <f>IFERROR(__xludf.DUMMYFUNCTION("SPLIT(B230,""RM"")"),490000.0)</f>
        <v>490000</v>
      </c>
      <c r="D230" s="7">
        <v>4.0</v>
      </c>
      <c r="E230" s="7">
        <v>2.0</v>
      </c>
      <c r="F230" s="7">
        <v>2.0</v>
      </c>
      <c r="G230" s="7" t="s">
        <v>83</v>
      </c>
      <c r="H230" s="7" t="s">
        <v>383</v>
      </c>
      <c r="I230" s="7" t="s">
        <v>103</v>
      </c>
    </row>
    <row r="231">
      <c r="A231" s="7" t="s">
        <v>72</v>
      </c>
      <c r="B231" s="7" t="s">
        <v>127</v>
      </c>
      <c r="C231" s="8">
        <f>IFERROR(__xludf.DUMMYFUNCTION("SPLIT(B231,""RM"")"),4200000.0)</f>
        <v>4200000</v>
      </c>
      <c r="D231" s="7" t="s">
        <v>70</v>
      </c>
      <c r="E231" s="7">
        <v>5.0</v>
      </c>
      <c r="F231" s="7">
        <v>3.0</v>
      </c>
      <c r="G231" s="7" t="s">
        <v>30</v>
      </c>
      <c r="H231" s="7" t="s">
        <v>384</v>
      </c>
      <c r="I231" s="7" t="s">
        <v>27</v>
      </c>
    </row>
    <row r="232">
      <c r="A232" s="7" t="s">
        <v>17</v>
      </c>
      <c r="B232" s="7" t="s">
        <v>85</v>
      </c>
      <c r="C232" s="8">
        <f>IFERROR(__xludf.DUMMYFUNCTION("SPLIT(B232,""RM"")"),1450000.0)</f>
        <v>1450000</v>
      </c>
      <c r="D232" s="7">
        <v>2.0</v>
      </c>
      <c r="E232" s="7">
        <v>1.0</v>
      </c>
      <c r="F232" s="7">
        <v>1.0</v>
      </c>
      <c r="G232" s="7" t="s">
        <v>385</v>
      </c>
      <c r="H232" s="7" t="s">
        <v>157</v>
      </c>
      <c r="I232" s="7" t="s">
        <v>22</v>
      </c>
    </row>
    <row r="233">
      <c r="A233" s="7" t="s">
        <v>77</v>
      </c>
      <c r="B233" s="7" t="s">
        <v>386</v>
      </c>
      <c r="C233" s="8">
        <f>IFERROR(__xludf.DUMMYFUNCTION("SPLIT(B233,""RM"")"),2380000.0)</f>
        <v>2380000</v>
      </c>
      <c r="D233" s="7" t="s">
        <v>35</v>
      </c>
      <c r="E233" s="7">
        <v>4.0</v>
      </c>
      <c r="F233" s="7">
        <v>3.0</v>
      </c>
      <c r="G233" s="7" t="s">
        <v>30</v>
      </c>
      <c r="H233" s="7" t="s">
        <v>266</v>
      </c>
      <c r="I233" s="7" t="s">
        <v>22</v>
      </c>
    </row>
    <row r="234">
      <c r="A234" s="7" t="s">
        <v>77</v>
      </c>
      <c r="B234" s="7" t="s">
        <v>243</v>
      </c>
      <c r="C234" s="8">
        <f>IFERROR(__xludf.DUMMYFUNCTION("SPLIT(B234,""RM"")"),1350000.0)</f>
        <v>1350000</v>
      </c>
      <c r="D234" s="7" t="s">
        <v>288</v>
      </c>
      <c r="E234" s="7">
        <v>3.0</v>
      </c>
      <c r="F234" s="7">
        <v>2.0</v>
      </c>
      <c r="G234" s="7" t="s">
        <v>30</v>
      </c>
      <c r="H234" s="7" t="s">
        <v>230</v>
      </c>
    </row>
    <row r="235">
      <c r="A235" s="7" t="s">
        <v>17</v>
      </c>
      <c r="B235" s="7" t="s">
        <v>144</v>
      </c>
      <c r="C235" s="8">
        <f>IFERROR(__xludf.DUMMYFUNCTION("SPLIT(B235,""RM"")"),1800000.0)</f>
        <v>1800000</v>
      </c>
      <c r="D235" s="7" t="s">
        <v>35</v>
      </c>
      <c r="E235" s="7">
        <v>5.0</v>
      </c>
      <c r="G235" s="7" t="s">
        <v>83</v>
      </c>
      <c r="H235" s="7" t="s">
        <v>387</v>
      </c>
    </row>
    <row r="236">
      <c r="A236" s="7" t="s">
        <v>33</v>
      </c>
      <c r="B236" s="7" t="s">
        <v>388</v>
      </c>
      <c r="C236" s="8">
        <f>IFERROR(__xludf.DUMMYFUNCTION("SPLIT(B236,""RM"")"),1210000.0)</f>
        <v>1210000</v>
      </c>
      <c r="D236" s="7" t="s">
        <v>70</v>
      </c>
      <c r="E236" s="7">
        <v>6.0</v>
      </c>
      <c r="F236" s="7">
        <v>4.0</v>
      </c>
      <c r="G236" s="7" t="s">
        <v>90</v>
      </c>
      <c r="H236" s="7" t="s">
        <v>220</v>
      </c>
      <c r="I236" s="7" t="s">
        <v>27</v>
      </c>
    </row>
    <row r="237">
      <c r="A237" s="7" t="s">
        <v>37</v>
      </c>
      <c r="B237" s="7" t="s">
        <v>208</v>
      </c>
      <c r="C237" s="8">
        <f>IFERROR(__xludf.DUMMYFUNCTION("SPLIT(B237,""RM"")"),4995000.0)</f>
        <v>4995000</v>
      </c>
      <c r="D237" s="7" t="s">
        <v>70</v>
      </c>
      <c r="E237" s="7">
        <v>7.0</v>
      </c>
      <c r="F237" s="7">
        <v>6.0</v>
      </c>
      <c r="G237" s="7" t="s">
        <v>61</v>
      </c>
      <c r="H237" s="7" t="s">
        <v>209</v>
      </c>
      <c r="I237" s="7" t="s">
        <v>27</v>
      </c>
    </row>
    <row r="238">
      <c r="A238" s="7" t="s">
        <v>72</v>
      </c>
      <c r="B238" s="7" t="s">
        <v>322</v>
      </c>
      <c r="C238" s="8">
        <f>IFERROR(__xludf.DUMMYFUNCTION("SPLIT(B238,""RM"")"),1900000.0)</f>
        <v>1900000</v>
      </c>
      <c r="D238" s="7" t="s">
        <v>35</v>
      </c>
      <c r="E238" s="7">
        <v>4.0</v>
      </c>
      <c r="F238" s="7">
        <v>2.0</v>
      </c>
      <c r="G238" s="7" t="s">
        <v>30</v>
      </c>
      <c r="H238" s="7" t="s">
        <v>74</v>
      </c>
      <c r="I238" s="7" t="s">
        <v>27</v>
      </c>
    </row>
    <row r="239">
      <c r="A239" s="7" t="s">
        <v>17</v>
      </c>
      <c r="B239" s="7" t="s">
        <v>130</v>
      </c>
      <c r="C239" s="8">
        <f>IFERROR(__xludf.DUMMYFUNCTION("SPLIT(B239,""RM"")"),2700000.0)</f>
        <v>2700000</v>
      </c>
      <c r="D239" s="7">
        <v>2.0</v>
      </c>
      <c r="E239" s="7">
        <v>2.0</v>
      </c>
      <c r="F239" s="7">
        <v>2.0</v>
      </c>
      <c r="G239" s="7" t="s">
        <v>20</v>
      </c>
      <c r="H239" s="7" t="s">
        <v>389</v>
      </c>
      <c r="I239" s="7" t="s">
        <v>27</v>
      </c>
    </row>
    <row r="240">
      <c r="A240" s="7" t="s">
        <v>17</v>
      </c>
      <c r="B240" s="7" t="s">
        <v>390</v>
      </c>
      <c r="C240" s="8">
        <f>IFERROR(__xludf.DUMMYFUNCTION("SPLIT(B240,""RM"")"),6300000.0)</f>
        <v>6300000</v>
      </c>
      <c r="D240" s="7" t="s">
        <v>57</v>
      </c>
      <c r="E240" s="7">
        <v>4.0</v>
      </c>
      <c r="F240" s="7">
        <v>2.0</v>
      </c>
      <c r="G240" s="7" t="s">
        <v>121</v>
      </c>
      <c r="H240" s="7" t="s">
        <v>124</v>
      </c>
      <c r="I240" s="7" t="s">
        <v>27</v>
      </c>
    </row>
    <row r="241">
      <c r="A241" s="7" t="s">
        <v>371</v>
      </c>
      <c r="B241" s="7" t="s">
        <v>353</v>
      </c>
      <c r="C241" s="8">
        <f>IFERROR(__xludf.DUMMYFUNCTION("SPLIT(B241,""RM"")"),350000.0)</f>
        <v>350000</v>
      </c>
      <c r="D241" s="7">
        <v>3.0</v>
      </c>
      <c r="E241" s="7">
        <v>2.0</v>
      </c>
      <c r="F241" s="7">
        <v>2.0</v>
      </c>
      <c r="G241" s="7" t="s">
        <v>20</v>
      </c>
      <c r="I241" s="7" t="s">
        <v>27</v>
      </c>
    </row>
    <row r="242">
      <c r="A242" s="7" t="s">
        <v>17</v>
      </c>
      <c r="B242" s="7" t="s">
        <v>322</v>
      </c>
      <c r="C242" s="8">
        <f>IFERROR(__xludf.DUMMYFUNCTION("SPLIT(B242,""RM"")"),1900000.0)</f>
        <v>1900000</v>
      </c>
      <c r="D242" s="7" t="s">
        <v>19</v>
      </c>
      <c r="E242" s="7">
        <v>2.0</v>
      </c>
      <c r="F242" s="7">
        <v>1.0</v>
      </c>
      <c r="G242" s="7" t="s">
        <v>83</v>
      </c>
      <c r="H242" s="7" t="s">
        <v>323</v>
      </c>
      <c r="I242" s="7" t="s">
        <v>22</v>
      </c>
    </row>
    <row r="243">
      <c r="A243" s="7" t="s">
        <v>17</v>
      </c>
      <c r="B243" s="7" t="s">
        <v>174</v>
      </c>
      <c r="C243" s="8">
        <f>IFERROR(__xludf.DUMMYFUNCTION("SPLIT(B243,""RM"")"),3000000.0)</f>
        <v>3000000</v>
      </c>
      <c r="D243" s="7" t="s">
        <v>35</v>
      </c>
      <c r="E243" s="7">
        <v>5.0</v>
      </c>
      <c r="F243" s="7">
        <v>3.0</v>
      </c>
      <c r="G243" s="7" t="s">
        <v>83</v>
      </c>
      <c r="H243" s="7" t="s">
        <v>295</v>
      </c>
      <c r="I243" s="7" t="s">
        <v>27</v>
      </c>
    </row>
    <row r="244">
      <c r="A244" s="7" t="s">
        <v>171</v>
      </c>
      <c r="B244" s="7" t="s">
        <v>391</v>
      </c>
      <c r="C244" s="8">
        <f>IFERROR(__xludf.DUMMYFUNCTION("SPLIT(B244,""RM"")"),240000.0)</f>
        <v>240000</v>
      </c>
      <c r="D244" s="7">
        <v>3.0</v>
      </c>
      <c r="E244" s="7">
        <v>2.0</v>
      </c>
      <c r="F244" s="7">
        <v>1.0</v>
      </c>
      <c r="G244" s="7" t="s">
        <v>83</v>
      </c>
      <c r="H244" s="7" t="s">
        <v>392</v>
      </c>
    </row>
    <row r="245">
      <c r="A245" s="7" t="s">
        <v>17</v>
      </c>
      <c r="B245" s="7" t="s">
        <v>327</v>
      </c>
      <c r="C245" s="8">
        <f>IFERROR(__xludf.DUMMYFUNCTION("SPLIT(B245,""RM"")"),1300000.0)</f>
        <v>1300000</v>
      </c>
      <c r="D245" s="7">
        <v>2.0</v>
      </c>
      <c r="E245" s="7">
        <v>2.0</v>
      </c>
      <c r="G245" s="7" t="s">
        <v>30</v>
      </c>
      <c r="H245" s="7" t="s">
        <v>380</v>
      </c>
      <c r="I245" s="7" t="s">
        <v>22</v>
      </c>
    </row>
    <row r="246">
      <c r="A246" s="7" t="s">
        <v>17</v>
      </c>
      <c r="B246" s="7" t="s">
        <v>191</v>
      </c>
      <c r="C246" s="8">
        <f>IFERROR(__xludf.DUMMYFUNCTION("SPLIT(B246,""RM"")"),1000000.0)</f>
        <v>1000000</v>
      </c>
      <c r="D246" s="7">
        <v>1.0</v>
      </c>
      <c r="E246" s="7">
        <v>1.0</v>
      </c>
      <c r="F246" s="7">
        <v>1.0</v>
      </c>
      <c r="G246" s="7" t="s">
        <v>96</v>
      </c>
      <c r="H246" s="7" t="s">
        <v>393</v>
      </c>
      <c r="I246" s="7" t="s">
        <v>27</v>
      </c>
    </row>
    <row r="247">
      <c r="A247" s="7" t="s">
        <v>17</v>
      </c>
      <c r="B247" s="7" t="s">
        <v>191</v>
      </c>
      <c r="C247" s="8">
        <f>IFERROR(__xludf.DUMMYFUNCTION("SPLIT(B247,""RM"")"),1000000.0)</f>
        <v>1000000</v>
      </c>
      <c r="D247" s="7">
        <v>1.0</v>
      </c>
      <c r="E247" s="7">
        <v>1.0</v>
      </c>
      <c r="F247" s="7">
        <v>1.0</v>
      </c>
      <c r="G247" s="7" t="s">
        <v>96</v>
      </c>
      <c r="H247" s="7" t="s">
        <v>393</v>
      </c>
      <c r="I247" s="7" t="s">
        <v>27</v>
      </c>
    </row>
    <row r="248">
      <c r="A248" s="7" t="s">
        <v>17</v>
      </c>
      <c r="B248" s="7" t="s">
        <v>236</v>
      </c>
      <c r="C248" s="8">
        <f>IFERROR(__xludf.DUMMYFUNCTION("SPLIT(B248,""RM"")"),2000000.0)</f>
        <v>2000000</v>
      </c>
      <c r="D248" s="7" t="s">
        <v>19</v>
      </c>
      <c r="E248" s="7">
        <v>2.0</v>
      </c>
      <c r="F248" s="7">
        <v>1.0</v>
      </c>
      <c r="G248" s="7" t="s">
        <v>121</v>
      </c>
      <c r="H248" s="7" t="s">
        <v>394</v>
      </c>
      <c r="I248" s="7" t="s">
        <v>22</v>
      </c>
    </row>
    <row r="249">
      <c r="A249" s="7" t="s">
        <v>17</v>
      </c>
      <c r="B249" s="7" t="s">
        <v>395</v>
      </c>
      <c r="C249" s="8">
        <f>IFERROR(__xludf.DUMMYFUNCTION("SPLIT(B249,""RM"")"),6380000.0)</f>
        <v>6380000</v>
      </c>
      <c r="D249" s="7" t="s">
        <v>57</v>
      </c>
      <c r="E249" s="7">
        <v>4.0</v>
      </c>
      <c r="F249" s="7">
        <v>2.0</v>
      </c>
      <c r="G249" s="7" t="s">
        <v>121</v>
      </c>
      <c r="H249" s="7" t="s">
        <v>124</v>
      </c>
      <c r="I249" s="7" t="s">
        <v>27</v>
      </c>
    </row>
    <row r="250">
      <c r="A250" s="7" t="s">
        <v>72</v>
      </c>
      <c r="B250" s="7" t="s">
        <v>257</v>
      </c>
      <c r="C250" s="8">
        <f>IFERROR(__xludf.DUMMYFUNCTION("SPLIT(B250,""RM"")"),2480000.0)</f>
        <v>2480000</v>
      </c>
      <c r="D250" s="7" t="s">
        <v>35</v>
      </c>
      <c r="E250" s="7">
        <v>6.0</v>
      </c>
      <c r="G250" s="7" t="s">
        <v>83</v>
      </c>
      <c r="H250" s="7" t="s">
        <v>115</v>
      </c>
      <c r="I250" s="7" t="s">
        <v>27</v>
      </c>
    </row>
    <row r="251">
      <c r="A251" s="7" t="s">
        <v>368</v>
      </c>
      <c r="B251" s="7" t="s">
        <v>396</v>
      </c>
      <c r="C251" s="8">
        <f>IFERROR(__xludf.DUMMYFUNCTION("SPLIT(B251,""RM"")"),676775.0)</f>
        <v>676775</v>
      </c>
      <c r="D251" s="7" t="s">
        <v>57</v>
      </c>
      <c r="E251" s="7">
        <v>3.0</v>
      </c>
      <c r="F251" s="7">
        <v>4.0</v>
      </c>
      <c r="G251" s="7" t="s">
        <v>82</v>
      </c>
      <c r="H251" s="7" t="s">
        <v>397</v>
      </c>
      <c r="I251" s="7" t="s">
        <v>27</v>
      </c>
    </row>
    <row r="252">
      <c r="A252" s="7" t="s">
        <v>72</v>
      </c>
      <c r="B252" s="7" t="s">
        <v>398</v>
      </c>
      <c r="C252" s="8">
        <f>IFERROR(__xludf.DUMMYFUNCTION("SPLIT(B252,""RM"")"),2280000.0)</f>
        <v>2280000</v>
      </c>
      <c r="D252" s="7" t="s">
        <v>35</v>
      </c>
      <c r="E252" s="7">
        <v>5.0</v>
      </c>
      <c r="G252" s="7" t="s">
        <v>83</v>
      </c>
      <c r="H252" s="7" t="s">
        <v>115</v>
      </c>
      <c r="I252" s="7" t="s">
        <v>27</v>
      </c>
    </row>
    <row r="253">
      <c r="A253" s="7" t="s">
        <v>72</v>
      </c>
      <c r="B253" s="7" t="s">
        <v>98</v>
      </c>
      <c r="C253" s="8">
        <f>IFERROR(__xludf.DUMMYFUNCTION("SPLIT(B253,""RM"")"),1830000.0)</f>
        <v>1830000</v>
      </c>
      <c r="D253" s="7" t="s">
        <v>35</v>
      </c>
      <c r="E253" s="7">
        <v>4.0</v>
      </c>
      <c r="F253" s="7">
        <v>2.0</v>
      </c>
      <c r="G253" s="7" t="s">
        <v>30</v>
      </c>
      <c r="H253" s="7" t="s">
        <v>74</v>
      </c>
      <c r="I253" s="7" t="s">
        <v>27</v>
      </c>
    </row>
    <row r="254">
      <c r="A254" s="7" t="s">
        <v>180</v>
      </c>
      <c r="B254" s="7" t="s">
        <v>399</v>
      </c>
      <c r="C254" s="8">
        <f>IFERROR(__xludf.DUMMYFUNCTION("SPLIT(B254,""RM"")"),1750000.0)</f>
        <v>1750000</v>
      </c>
      <c r="D254" s="7" t="s">
        <v>19</v>
      </c>
      <c r="E254" s="7">
        <v>3.0</v>
      </c>
      <c r="F254" s="7">
        <v>1.0</v>
      </c>
      <c r="G254" s="7" t="s">
        <v>20</v>
      </c>
      <c r="H254" s="7" t="s">
        <v>216</v>
      </c>
      <c r="I254" s="7" t="s">
        <v>27</v>
      </c>
    </row>
    <row r="255">
      <c r="A255" s="7" t="s">
        <v>77</v>
      </c>
      <c r="B255" s="7" t="s">
        <v>73</v>
      </c>
      <c r="C255" s="8">
        <f>IFERROR(__xludf.DUMMYFUNCTION("SPLIT(B255,""RM"")"),1780000.0)</f>
        <v>1780000</v>
      </c>
      <c r="D255" s="7" t="s">
        <v>57</v>
      </c>
      <c r="E255" s="7">
        <v>3.0</v>
      </c>
      <c r="F255" s="7">
        <v>2.0</v>
      </c>
      <c r="G255" s="7" t="s">
        <v>54</v>
      </c>
      <c r="H255" s="7" t="s">
        <v>400</v>
      </c>
      <c r="I255" s="7" t="s">
        <v>22</v>
      </c>
    </row>
    <row r="256">
      <c r="A256" s="7" t="s">
        <v>104</v>
      </c>
      <c r="B256" s="7" t="s">
        <v>401</v>
      </c>
      <c r="C256" s="8">
        <f>IFERROR(__xludf.DUMMYFUNCTION("SPLIT(B256,""RM"")"),3380000.0)</f>
        <v>3380000</v>
      </c>
      <c r="D256" s="7">
        <v>5.0</v>
      </c>
      <c r="E256" s="7">
        <v>4.0</v>
      </c>
      <c r="G256" s="7" t="s">
        <v>64</v>
      </c>
      <c r="H256" s="7" t="s">
        <v>402</v>
      </c>
      <c r="I256" s="7" t="s">
        <v>27</v>
      </c>
    </row>
    <row r="257">
      <c r="A257" s="7" t="s">
        <v>33</v>
      </c>
      <c r="B257" s="7" t="s">
        <v>329</v>
      </c>
      <c r="C257" s="8">
        <f>IFERROR(__xludf.DUMMYFUNCTION("SPLIT(B257,""RM"")"),1200000.0)</f>
        <v>1200000</v>
      </c>
      <c r="D257" s="7" t="s">
        <v>70</v>
      </c>
      <c r="E257" s="7">
        <v>4.0</v>
      </c>
      <c r="F257" s="7">
        <v>4.0</v>
      </c>
      <c r="G257" s="7" t="s">
        <v>30</v>
      </c>
      <c r="H257" s="7" t="s">
        <v>330</v>
      </c>
      <c r="I257" s="7" t="s">
        <v>27</v>
      </c>
    </row>
    <row r="258">
      <c r="A258" s="7" t="s">
        <v>17</v>
      </c>
      <c r="B258" s="7" t="s">
        <v>125</v>
      </c>
      <c r="C258" s="8">
        <f>IFERROR(__xludf.DUMMYFUNCTION("SPLIT(B258,""RM"")"),2300000.0)</f>
        <v>2300000</v>
      </c>
      <c r="D258" s="7">
        <v>1.0</v>
      </c>
      <c r="E258" s="7">
        <v>2.0</v>
      </c>
      <c r="F258" s="7">
        <v>1.0</v>
      </c>
      <c r="G258" s="7" t="s">
        <v>20</v>
      </c>
      <c r="H258" s="7" t="s">
        <v>207</v>
      </c>
      <c r="I258" s="7" t="s">
        <v>27</v>
      </c>
    </row>
    <row r="259">
      <c r="A259" s="7" t="s">
        <v>17</v>
      </c>
      <c r="B259" s="7" t="s">
        <v>125</v>
      </c>
      <c r="C259" s="8">
        <f>IFERROR(__xludf.DUMMYFUNCTION("SPLIT(B259,""RM"")"),2300000.0)</f>
        <v>2300000</v>
      </c>
      <c r="D259" s="7">
        <v>1.0</v>
      </c>
      <c r="E259" s="7">
        <v>1.0</v>
      </c>
      <c r="F259" s="7">
        <v>2.0</v>
      </c>
      <c r="G259" s="7" t="s">
        <v>82</v>
      </c>
      <c r="H259" s="7" t="s">
        <v>207</v>
      </c>
      <c r="I259" s="7" t="s">
        <v>27</v>
      </c>
    </row>
    <row r="260">
      <c r="A260" s="7" t="s">
        <v>72</v>
      </c>
      <c r="B260" s="7" t="s">
        <v>403</v>
      </c>
      <c r="C260" s="8">
        <f>IFERROR(__xludf.DUMMYFUNCTION("SPLIT(B260,""RM"")"),1600000.0)</f>
        <v>1600000</v>
      </c>
      <c r="D260" s="7" t="s">
        <v>57</v>
      </c>
      <c r="E260" s="7">
        <v>3.0</v>
      </c>
      <c r="F260" s="7">
        <v>2.0</v>
      </c>
      <c r="G260" s="7" t="s">
        <v>83</v>
      </c>
      <c r="H260" s="7" t="s">
        <v>404</v>
      </c>
      <c r="I260" s="7" t="s">
        <v>27</v>
      </c>
    </row>
    <row r="261">
      <c r="A261" s="7" t="s">
        <v>72</v>
      </c>
      <c r="B261" s="7" t="s">
        <v>405</v>
      </c>
      <c r="C261" s="8">
        <f>IFERROR(__xludf.DUMMYFUNCTION("SPLIT(B261,""RM"")"),1291000.0)</f>
        <v>1291000</v>
      </c>
      <c r="D261" s="7" t="s">
        <v>70</v>
      </c>
      <c r="E261" s="7">
        <v>4.0</v>
      </c>
      <c r="F261" s="7">
        <v>3.0</v>
      </c>
      <c r="G261" s="7" t="s">
        <v>83</v>
      </c>
      <c r="H261" s="7" t="s">
        <v>406</v>
      </c>
      <c r="I261" s="7" t="s">
        <v>27</v>
      </c>
    </row>
    <row r="262">
      <c r="A262" s="7" t="s">
        <v>17</v>
      </c>
      <c r="B262" s="7" t="s">
        <v>407</v>
      </c>
      <c r="C262" s="8">
        <f>IFERROR(__xludf.DUMMYFUNCTION("SPLIT(B262,""RM"")"),880000.0)</f>
        <v>880000</v>
      </c>
      <c r="D262" s="7">
        <v>1.0</v>
      </c>
      <c r="E262" s="7">
        <v>1.0</v>
      </c>
      <c r="F262" s="7">
        <v>1.0</v>
      </c>
      <c r="G262" s="7" t="s">
        <v>20</v>
      </c>
      <c r="H262" s="7" t="s">
        <v>408</v>
      </c>
      <c r="I262" s="7" t="s">
        <v>22</v>
      </c>
    </row>
    <row r="263">
      <c r="A263" s="7" t="s">
        <v>100</v>
      </c>
      <c r="B263" s="7" t="s">
        <v>409</v>
      </c>
      <c r="C263" s="8">
        <f>IFERROR(__xludf.DUMMYFUNCTION("SPLIT(B263,""RM"")"),655000.0)</f>
        <v>655000</v>
      </c>
      <c r="D263" s="7" t="s">
        <v>57</v>
      </c>
      <c r="E263" s="7">
        <v>2.0</v>
      </c>
      <c r="F263" s="7">
        <v>2.0</v>
      </c>
      <c r="G263" s="7" t="s">
        <v>121</v>
      </c>
      <c r="H263" s="7" t="s">
        <v>410</v>
      </c>
      <c r="I263" s="7" t="s">
        <v>27</v>
      </c>
    </row>
    <row r="264">
      <c r="A264" s="7" t="s">
        <v>72</v>
      </c>
      <c r="B264" s="7" t="s">
        <v>411</v>
      </c>
      <c r="C264" s="8">
        <f>IFERROR(__xludf.DUMMYFUNCTION("SPLIT(B264,""RM"")"),2150000.0)</f>
        <v>2150000</v>
      </c>
      <c r="D264" s="7" t="s">
        <v>57</v>
      </c>
      <c r="E264" s="7">
        <v>5.0</v>
      </c>
      <c r="F264" s="7">
        <v>3.0</v>
      </c>
      <c r="G264" s="7" t="s">
        <v>83</v>
      </c>
      <c r="H264" s="7" t="s">
        <v>412</v>
      </c>
    </row>
    <row r="265">
      <c r="A265" s="7" t="s">
        <v>72</v>
      </c>
      <c r="B265" s="7" t="s">
        <v>349</v>
      </c>
      <c r="C265" s="8">
        <f>IFERROR(__xludf.DUMMYFUNCTION("SPLIT(B265,""RM"")"),1400000.0)</f>
        <v>1400000</v>
      </c>
      <c r="D265" s="7" t="s">
        <v>57</v>
      </c>
      <c r="E265" s="7">
        <v>4.0</v>
      </c>
      <c r="F265" s="7">
        <v>2.0</v>
      </c>
      <c r="G265" s="7" t="s">
        <v>83</v>
      </c>
      <c r="H265" s="7" t="s">
        <v>334</v>
      </c>
      <c r="I265" s="7" t="s">
        <v>27</v>
      </c>
    </row>
    <row r="266">
      <c r="A266" s="7" t="s">
        <v>17</v>
      </c>
      <c r="B266" s="7" t="s">
        <v>413</v>
      </c>
      <c r="C266" s="8">
        <f>IFERROR(__xludf.DUMMYFUNCTION("SPLIT(B266,""RM"")"),7975250.0)</f>
        <v>7975250</v>
      </c>
      <c r="D266" s="7" t="s">
        <v>35</v>
      </c>
      <c r="E266" s="7">
        <v>6.0</v>
      </c>
      <c r="F266" s="7">
        <v>2.0</v>
      </c>
      <c r="G266" s="7" t="s">
        <v>312</v>
      </c>
      <c r="H266" s="7" t="s">
        <v>414</v>
      </c>
      <c r="I266" s="7" t="s">
        <v>22</v>
      </c>
    </row>
    <row r="267">
      <c r="A267" s="7" t="s">
        <v>72</v>
      </c>
      <c r="B267" s="7" t="s">
        <v>311</v>
      </c>
      <c r="C267" s="8">
        <f>IFERROR(__xludf.DUMMYFUNCTION("SPLIT(B267,""RM"")"),1100000.0)</f>
        <v>1100000</v>
      </c>
      <c r="D267" s="7">
        <v>3.0</v>
      </c>
      <c r="E267" s="7">
        <v>2.0</v>
      </c>
      <c r="F267" s="7">
        <v>2.0</v>
      </c>
      <c r="G267" s="7" t="s">
        <v>83</v>
      </c>
      <c r="H267" s="7" t="s">
        <v>135</v>
      </c>
      <c r="I267" s="7" t="s">
        <v>27</v>
      </c>
    </row>
    <row r="268">
      <c r="A268" s="7" t="s">
        <v>17</v>
      </c>
      <c r="B268" s="7" t="s">
        <v>415</v>
      </c>
      <c r="C268" s="8">
        <f>IFERROR(__xludf.DUMMYFUNCTION("SPLIT(B268,""RM"")"),1238000.0)</f>
        <v>1238000</v>
      </c>
      <c r="D268" s="7">
        <v>2.0</v>
      </c>
      <c r="E268" s="7">
        <v>2.0</v>
      </c>
      <c r="F268" s="7">
        <v>1.0</v>
      </c>
      <c r="G268" s="7" t="s">
        <v>83</v>
      </c>
      <c r="H268" s="7" t="s">
        <v>240</v>
      </c>
      <c r="I268" s="7" t="s">
        <v>27</v>
      </c>
    </row>
    <row r="269">
      <c r="A269" s="7" t="s">
        <v>86</v>
      </c>
      <c r="B269" s="7" t="s">
        <v>168</v>
      </c>
      <c r="C269" s="8">
        <f>IFERROR(__xludf.DUMMYFUNCTION("SPLIT(B269,""RM"")"),750000.0)</f>
        <v>750000</v>
      </c>
      <c r="D269" s="7">
        <v>2.0</v>
      </c>
      <c r="E269" s="7">
        <v>2.0</v>
      </c>
      <c r="F269" s="7">
        <v>1.0</v>
      </c>
      <c r="G269" s="7" t="s">
        <v>82</v>
      </c>
      <c r="H269" s="7" t="s">
        <v>416</v>
      </c>
      <c r="I269" s="7" t="s">
        <v>27</v>
      </c>
    </row>
    <row r="270">
      <c r="A270" s="7" t="s">
        <v>23</v>
      </c>
      <c r="B270" s="7" t="s">
        <v>309</v>
      </c>
      <c r="C270" s="8">
        <f>IFERROR(__xludf.DUMMYFUNCTION("SPLIT(B270,""RM"")"),2100000.0)</f>
        <v>2100000</v>
      </c>
      <c r="D270" s="7" t="s">
        <v>57</v>
      </c>
      <c r="E270" s="7">
        <v>4.0</v>
      </c>
      <c r="F270" s="7">
        <v>2.0</v>
      </c>
      <c r="G270" s="7" t="s">
        <v>30</v>
      </c>
      <c r="H270" s="7" t="s">
        <v>417</v>
      </c>
      <c r="I270" s="7" t="s">
        <v>27</v>
      </c>
    </row>
    <row r="271">
      <c r="A271" s="7" t="s">
        <v>33</v>
      </c>
      <c r="B271" s="7" t="s">
        <v>34</v>
      </c>
      <c r="C271" s="8">
        <f>IFERROR(__xludf.DUMMYFUNCTION("SPLIT(B271,""RM"")"),900000.0)</f>
        <v>900000</v>
      </c>
      <c r="D271" s="7" t="s">
        <v>35</v>
      </c>
      <c r="E271" s="7">
        <v>4.0</v>
      </c>
      <c r="G271" s="7" t="s">
        <v>83</v>
      </c>
      <c r="H271" s="7" t="s">
        <v>36</v>
      </c>
    </row>
    <row r="272">
      <c r="A272" s="7" t="s">
        <v>72</v>
      </c>
      <c r="B272" s="7" t="s">
        <v>78</v>
      </c>
      <c r="C272" s="8">
        <f>IFERROR(__xludf.DUMMYFUNCTION("SPLIT(B272,""RM"")"),1500000.0)</f>
        <v>1500000</v>
      </c>
      <c r="D272" s="7">
        <v>3.0</v>
      </c>
      <c r="E272" s="7">
        <v>2.0</v>
      </c>
      <c r="F272" s="7">
        <v>2.0</v>
      </c>
      <c r="G272" s="7" t="s">
        <v>83</v>
      </c>
      <c r="H272" s="7" t="s">
        <v>135</v>
      </c>
      <c r="I272" s="7" t="s">
        <v>22</v>
      </c>
    </row>
    <row r="273">
      <c r="A273" s="7" t="s">
        <v>72</v>
      </c>
      <c r="B273" s="7" t="s">
        <v>125</v>
      </c>
      <c r="C273" s="8">
        <f>IFERROR(__xludf.DUMMYFUNCTION("SPLIT(B273,""RM"")"),2300000.0)</f>
        <v>2300000</v>
      </c>
      <c r="D273" s="7" t="s">
        <v>35</v>
      </c>
      <c r="E273" s="7">
        <v>6.0</v>
      </c>
      <c r="F273" s="7">
        <v>3.0</v>
      </c>
      <c r="G273" s="7" t="s">
        <v>30</v>
      </c>
      <c r="H273" s="7" t="s">
        <v>115</v>
      </c>
      <c r="I273" s="7" t="s">
        <v>27</v>
      </c>
    </row>
    <row r="274">
      <c r="A274" s="7" t="s">
        <v>17</v>
      </c>
      <c r="B274" s="7" t="s">
        <v>191</v>
      </c>
      <c r="C274" s="8">
        <f>IFERROR(__xludf.DUMMYFUNCTION("SPLIT(B274,""RM"")"),1000000.0)</f>
        <v>1000000</v>
      </c>
      <c r="D274" s="7" t="s">
        <v>19</v>
      </c>
      <c r="E274" s="7">
        <v>2.0</v>
      </c>
      <c r="G274" s="7" t="s">
        <v>20</v>
      </c>
      <c r="H274" s="7" t="s">
        <v>418</v>
      </c>
      <c r="I274" s="7" t="s">
        <v>27</v>
      </c>
    </row>
    <row r="275">
      <c r="A275" s="7" t="s">
        <v>17</v>
      </c>
      <c r="B275" s="7" t="s">
        <v>419</v>
      </c>
      <c r="C275" s="8">
        <f>IFERROR(__xludf.DUMMYFUNCTION("SPLIT(B275,""RM"")"),990000.0)</f>
        <v>990000</v>
      </c>
      <c r="D275" s="7" t="s">
        <v>288</v>
      </c>
      <c r="E275" s="7">
        <v>3.0</v>
      </c>
      <c r="F275" s="7">
        <v>2.0</v>
      </c>
      <c r="G275" s="7" t="s">
        <v>121</v>
      </c>
      <c r="H275" s="7" t="s">
        <v>192</v>
      </c>
      <c r="I275" s="7" t="s">
        <v>22</v>
      </c>
    </row>
    <row r="276">
      <c r="A276" s="7" t="s">
        <v>17</v>
      </c>
      <c r="B276" s="7" t="s">
        <v>420</v>
      </c>
      <c r="C276" s="8">
        <f>IFERROR(__xludf.DUMMYFUNCTION("SPLIT(B276,""RM"")"),3960000.0)</f>
        <v>3960000</v>
      </c>
      <c r="D276" s="7" t="s">
        <v>57</v>
      </c>
      <c r="E276" s="7">
        <v>4.0</v>
      </c>
      <c r="F276" s="7">
        <v>2.0</v>
      </c>
      <c r="G276" s="7" t="s">
        <v>121</v>
      </c>
      <c r="H276" s="7" t="s">
        <v>124</v>
      </c>
      <c r="I276" s="7" t="s">
        <v>27</v>
      </c>
    </row>
    <row r="277">
      <c r="A277" s="7" t="s">
        <v>17</v>
      </c>
      <c r="B277" s="7" t="s">
        <v>130</v>
      </c>
      <c r="C277" s="8">
        <f>IFERROR(__xludf.DUMMYFUNCTION("SPLIT(B277,""RM"")"),2700000.0)</f>
        <v>2700000</v>
      </c>
      <c r="D277" s="7">
        <v>2.0</v>
      </c>
      <c r="E277" s="7">
        <v>2.0</v>
      </c>
      <c r="F277" s="7">
        <v>2.0</v>
      </c>
      <c r="G277" s="7" t="s">
        <v>121</v>
      </c>
      <c r="H277" s="7" t="s">
        <v>341</v>
      </c>
      <c r="I277" s="7" t="s">
        <v>22</v>
      </c>
    </row>
    <row r="278">
      <c r="A278" s="7" t="s">
        <v>17</v>
      </c>
      <c r="B278" s="7" t="s">
        <v>322</v>
      </c>
      <c r="C278" s="8">
        <f>IFERROR(__xludf.DUMMYFUNCTION("SPLIT(B278,""RM"")"),1900000.0)</f>
        <v>1900000</v>
      </c>
      <c r="D278" s="7" t="s">
        <v>197</v>
      </c>
      <c r="E278" s="7">
        <v>2.0</v>
      </c>
      <c r="F278" s="7">
        <v>1.0</v>
      </c>
      <c r="G278" s="7" t="s">
        <v>82</v>
      </c>
      <c r="H278" s="7" t="s">
        <v>237</v>
      </c>
      <c r="I278" s="7" t="s">
        <v>22</v>
      </c>
    </row>
    <row r="279">
      <c r="A279" s="7" t="s">
        <v>77</v>
      </c>
      <c r="B279" s="7" t="s">
        <v>421</v>
      </c>
      <c r="C279" s="8">
        <f>IFERROR(__xludf.DUMMYFUNCTION("SPLIT(B279,""RM"")"),5460000.0)</f>
        <v>5460000</v>
      </c>
      <c r="D279" s="7" t="s">
        <v>299</v>
      </c>
      <c r="E279" s="7">
        <v>9.0</v>
      </c>
      <c r="F279" s="7">
        <v>6.0</v>
      </c>
      <c r="G279" s="7" t="s">
        <v>300</v>
      </c>
      <c r="H279" s="7" t="s">
        <v>301</v>
      </c>
      <c r="I279" s="7" t="s">
        <v>27</v>
      </c>
    </row>
    <row r="280">
      <c r="A280" s="7" t="s">
        <v>17</v>
      </c>
      <c r="B280" s="7" t="s">
        <v>422</v>
      </c>
      <c r="C280" s="8">
        <f>IFERROR(__xludf.DUMMYFUNCTION("SPLIT(B280,""RM"")"),2050000.0)</f>
        <v>2050000</v>
      </c>
      <c r="D280" s="7" t="s">
        <v>57</v>
      </c>
      <c r="E280" s="7">
        <v>5.0</v>
      </c>
      <c r="F280" s="7">
        <v>2.0</v>
      </c>
      <c r="G280" s="7" t="s">
        <v>83</v>
      </c>
      <c r="H280" s="7" t="s">
        <v>179</v>
      </c>
      <c r="I280" s="7" t="s">
        <v>22</v>
      </c>
    </row>
    <row r="281">
      <c r="A281" s="7" t="s">
        <v>86</v>
      </c>
      <c r="B281" s="7" t="s">
        <v>423</v>
      </c>
      <c r="C281" s="8">
        <f>IFERROR(__xludf.DUMMYFUNCTION("SPLIT(B281,""RM"")"),1121800.0)</f>
        <v>1121800</v>
      </c>
      <c r="D281" s="7" t="s">
        <v>19</v>
      </c>
      <c r="E281" s="7">
        <v>2.0</v>
      </c>
      <c r="F281" s="7">
        <v>1.0</v>
      </c>
      <c r="G281" s="7" t="s">
        <v>20</v>
      </c>
      <c r="H281" s="7" t="s">
        <v>135</v>
      </c>
      <c r="I281" s="7" t="s">
        <v>22</v>
      </c>
    </row>
    <row r="282">
      <c r="A282" s="7" t="s">
        <v>17</v>
      </c>
      <c r="B282" s="7" t="s">
        <v>424</v>
      </c>
      <c r="C282" s="8">
        <f>IFERROR(__xludf.DUMMYFUNCTION("SPLIT(B282,""RM"")"),1506300.0)</f>
        <v>1506300</v>
      </c>
      <c r="D282" s="7">
        <v>2.0</v>
      </c>
      <c r="E282" s="7">
        <v>1.0</v>
      </c>
      <c r="F282" s="7">
        <v>1.0</v>
      </c>
      <c r="G282" s="7" t="s">
        <v>82</v>
      </c>
      <c r="H282" s="7" t="s">
        <v>425</v>
      </c>
      <c r="I282" s="7" t="s">
        <v>22</v>
      </c>
    </row>
    <row r="283">
      <c r="A283" s="7" t="s">
        <v>177</v>
      </c>
      <c r="B283" s="7" t="s">
        <v>426</v>
      </c>
      <c r="C283" s="8">
        <f>IFERROR(__xludf.DUMMYFUNCTION("SPLIT(B283,""RM"")"),1530000.0)</f>
        <v>1530000</v>
      </c>
      <c r="D283" s="7" t="s">
        <v>57</v>
      </c>
      <c r="E283" s="7">
        <v>3.0</v>
      </c>
      <c r="F283" s="7">
        <v>2.0</v>
      </c>
      <c r="G283" s="7" t="s">
        <v>30</v>
      </c>
      <c r="H283" s="7" t="s">
        <v>427</v>
      </c>
      <c r="I283" s="7" t="s">
        <v>22</v>
      </c>
    </row>
    <row r="284">
      <c r="A284" s="7" t="s">
        <v>428</v>
      </c>
      <c r="B284" s="7" t="s">
        <v>429</v>
      </c>
      <c r="C284" s="8">
        <f>IFERROR(__xludf.DUMMYFUNCTION("SPLIT(B284,""RM"")"),3680000.0)</f>
        <v>3680000</v>
      </c>
      <c r="D284" s="7">
        <v>7.0</v>
      </c>
      <c r="E284" s="7">
        <v>8.0</v>
      </c>
      <c r="F284" s="7">
        <v>4.0</v>
      </c>
      <c r="G284" s="7" t="s">
        <v>67</v>
      </c>
      <c r="H284" s="7" t="s">
        <v>430</v>
      </c>
      <c r="I284" s="7" t="s">
        <v>103</v>
      </c>
    </row>
    <row r="285">
      <c r="A285" s="7" t="s">
        <v>17</v>
      </c>
      <c r="B285" s="7" t="s">
        <v>120</v>
      </c>
      <c r="C285" s="8">
        <f>IFERROR(__xludf.DUMMYFUNCTION("SPLIT(B285,""RM"")"),3600000.0)</f>
        <v>3600000</v>
      </c>
      <c r="D285" s="7" t="s">
        <v>57</v>
      </c>
      <c r="E285" s="7">
        <v>5.0</v>
      </c>
      <c r="F285" s="7">
        <v>2.0</v>
      </c>
      <c r="G285" s="7" t="s">
        <v>121</v>
      </c>
      <c r="H285" s="7" t="s">
        <v>122</v>
      </c>
      <c r="I285" s="7" t="s">
        <v>27</v>
      </c>
    </row>
    <row r="286">
      <c r="A286" s="7" t="s">
        <v>72</v>
      </c>
      <c r="B286" s="7" t="s">
        <v>125</v>
      </c>
      <c r="C286" s="8">
        <f>IFERROR(__xludf.DUMMYFUNCTION("SPLIT(B286,""RM"")"),2300000.0)</f>
        <v>2300000</v>
      </c>
      <c r="D286" s="7" t="s">
        <v>35</v>
      </c>
      <c r="E286" s="7">
        <v>5.0</v>
      </c>
      <c r="G286" s="7" t="s">
        <v>83</v>
      </c>
      <c r="H286" s="7" t="s">
        <v>431</v>
      </c>
      <c r="I286" s="7" t="s">
        <v>27</v>
      </c>
    </row>
    <row r="287">
      <c r="A287" s="7" t="s">
        <v>432</v>
      </c>
      <c r="B287" s="7" t="s">
        <v>433</v>
      </c>
      <c r="C287" s="8">
        <f>IFERROR(__xludf.DUMMYFUNCTION("SPLIT(B287,""RM"")"),1.48E7)</f>
        <v>14800000</v>
      </c>
      <c r="D287" s="7" t="s">
        <v>39</v>
      </c>
      <c r="E287" s="7">
        <v>6.0</v>
      </c>
      <c r="F287" s="7">
        <v>4.0</v>
      </c>
      <c r="G287" s="7" t="s">
        <v>25</v>
      </c>
      <c r="H287" s="7" t="s">
        <v>434</v>
      </c>
      <c r="I287" s="7" t="s">
        <v>22</v>
      </c>
    </row>
    <row r="288">
      <c r="A288" s="7" t="s">
        <v>77</v>
      </c>
      <c r="B288" s="7" t="s">
        <v>260</v>
      </c>
      <c r="C288" s="8">
        <f>IFERROR(__xludf.DUMMYFUNCTION("SPLIT(B288,""RM"")"),1480000.0)</f>
        <v>1480000</v>
      </c>
      <c r="D288" s="7" t="s">
        <v>79</v>
      </c>
      <c r="E288" s="7">
        <v>4.0</v>
      </c>
      <c r="F288" s="7">
        <v>2.0</v>
      </c>
      <c r="G288" s="7" t="s">
        <v>30</v>
      </c>
      <c r="H288" s="7" t="s">
        <v>435</v>
      </c>
      <c r="I288" s="7" t="s">
        <v>27</v>
      </c>
    </row>
    <row r="289">
      <c r="A289" s="7" t="s">
        <v>86</v>
      </c>
      <c r="B289" s="7" t="s">
        <v>229</v>
      </c>
      <c r="C289" s="8">
        <f>IFERROR(__xludf.DUMMYFUNCTION("SPLIT(B289,""RM"")"),1050000.0)</f>
        <v>1050000</v>
      </c>
      <c r="D289" s="7">
        <v>3.0</v>
      </c>
      <c r="E289" s="7">
        <v>2.0</v>
      </c>
      <c r="F289" s="7">
        <v>2.0</v>
      </c>
      <c r="G289" s="7" t="s">
        <v>93</v>
      </c>
      <c r="H289" s="7" t="s">
        <v>303</v>
      </c>
      <c r="I289" s="7" t="s">
        <v>22</v>
      </c>
    </row>
    <row r="290">
      <c r="A290" s="7" t="s">
        <v>17</v>
      </c>
      <c r="B290" s="7" t="s">
        <v>436</v>
      </c>
      <c r="C290" s="8">
        <f>IFERROR(__xludf.DUMMYFUNCTION("SPLIT(B290,""RM"")"),1158200.0)</f>
        <v>1158200</v>
      </c>
      <c r="D290" s="7">
        <v>1.0</v>
      </c>
      <c r="E290" s="7">
        <v>1.0</v>
      </c>
      <c r="F290" s="7">
        <v>1.0</v>
      </c>
      <c r="G290" s="7" t="s">
        <v>93</v>
      </c>
      <c r="I290" s="7" t="s">
        <v>27</v>
      </c>
    </row>
    <row r="291">
      <c r="A291" s="7" t="s">
        <v>437</v>
      </c>
      <c r="B291" s="7" t="s">
        <v>438</v>
      </c>
      <c r="C291" s="8">
        <f>IFERROR(__xludf.DUMMYFUNCTION("SPLIT(B291,""RM"")"),1200019.0)</f>
        <v>1200019</v>
      </c>
      <c r="D291" s="7">
        <v>2.0</v>
      </c>
      <c r="E291" s="7">
        <v>2.0</v>
      </c>
      <c r="F291" s="7">
        <v>1.0</v>
      </c>
      <c r="G291" s="7" t="s">
        <v>30</v>
      </c>
      <c r="H291" s="7" t="s">
        <v>439</v>
      </c>
      <c r="I291" s="7" t="s">
        <v>27</v>
      </c>
    </row>
    <row r="292">
      <c r="A292" s="7" t="s">
        <v>32</v>
      </c>
      <c r="B292" s="7" t="s">
        <v>139</v>
      </c>
      <c r="C292" s="8">
        <f>IFERROR(__xludf.DUMMYFUNCTION("SPLIT(B292,""RM"")"),780000.0)</f>
        <v>780000</v>
      </c>
      <c r="D292" s="7" t="s">
        <v>35</v>
      </c>
      <c r="E292" s="7">
        <v>4.0</v>
      </c>
      <c r="G292" s="7" t="s">
        <v>67</v>
      </c>
      <c r="H292" s="7" t="s">
        <v>440</v>
      </c>
    </row>
    <row r="293">
      <c r="A293" s="7" t="s">
        <v>441</v>
      </c>
      <c r="B293" s="7" t="s">
        <v>442</v>
      </c>
      <c r="C293" s="8">
        <f>IFERROR(__xludf.DUMMYFUNCTION("SPLIT(B293,""RM"")"),4988888.0)</f>
        <v>4988888</v>
      </c>
      <c r="D293" s="7" t="s">
        <v>35</v>
      </c>
      <c r="E293" s="7">
        <v>6.0</v>
      </c>
      <c r="F293" s="7">
        <v>3.0</v>
      </c>
      <c r="G293" s="7" t="s">
        <v>443</v>
      </c>
      <c r="H293" s="7" t="s">
        <v>444</v>
      </c>
      <c r="I293" s="7" t="s">
        <v>27</v>
      </c>
    </row>
    <row r="294">
      <c r="A294" s="7" t="s">
        <v>17</v>
      </c>
      <c r="B294" s="7" t="s">
        <v>445</v>
      </c>
      <c r="C294" s="8">
        <f>IFERROR(__xludf.DUMMYFUNCTION("SPLIT(B294,""RM"")"),1999000.0)</f>
        <v>1999000</v>
      </c>
      <c r="D294" s="7">
        <v>2.0</v>
      </c>
      <c r="E294" s="7">
        <v>2.0</v>
      </c>
      <c r="F294" s="7">
        <v>1.0</v>
      </c>
      <c r="G294" s="7" t="s">
        <v>82</v>
      </c>
      <c r="H294" s="7" t="s">
        <v>446</v>
      </c>
    </row>
    <row r="295">
      <c r="A295" s="7" t="s">
        <v>72</v>
      </c>
      <c r="B295" s="7" t="s">
        <v>189</v>
      </c>
      <c r="C295" s="8">
        <f>IFERROR(__xludf.DUMMYFUNCTION("SPLIT(B295,""RM"")"),1820000.0)</f>
        <v>1820000</v>
      </c>
      <c r="D295" s="7" t="s">
        <v>35</v>
      </c>
      <c r="E295" s="7">
        <v>4.0</v>
      </c>
      <c r="F295" s="7">
        <v>2.0</v>
      </c>
      <c r="G295" s="7" t="s">
        <v>30</v>
      </c>
      <c r="H295" s="7" t="s">
        <v>74</v>
      </c>
      <c r="I295" s="7" t="s">
        <v>27</v>
      </c>
    </row>
    <row r="296">
      <c r="A296" s="7" t="s">
        <v>52</v>
      </c>
      <c r="B296" s="7" t="s">
        <v>447</v>
      </c>
      <c r="C296" s="8">
        <f>IFERROR(__xludf.DUMMYFUNCTION("SPLIT(B296,""RM"")"),3700000.0)</f>
        <v>3700000</v>
      </c>
      <c r="D296" s="7" t="s">
        <v>35</v>
      </c>
      <c r="E296" s="7">
        <v>5.0</v>
      </c>
      <c r="F296" s="7">
        <v>2.0</v>
      </c>
      <c r="G296" s="7" t="s">
        <v>30</v>
      </c>
      <c r="H296" s="7" t="s">
        <v>154</v>
      </c>
    </row>
    <row r="297">
      <c r="A297" s="7" t="s">
        <v>72</v>
      </c>
      <c r="B297" s="7" t="s">
        <v>448</v>
      </c>
      <c r="C297" s="8">
        <f>IFERROR(__xludf.DUMMYFUNCTION("SPLIT(B297,""RM"")"),1420000.0)</f>
        <v>1420000</v>
      </c>
      <c r="D297" s="7" t="s">
        <v>57</v>
      </c>
      <c r="E297" s="7">
        <v>4.0</v>
      </c>
      <c r="F297" s="7">
        <v>2.0</v>
      </c>
      <c r="G297" s="7" t="s">
        <v>83</v>
      </c>
      <c r="H297" s="7" t="s">
        <v>449</v>
      </c>
      <c r="I297" s="7" t="s">
        <v>27</v>
      </c>
    </row>
    <row r="298">
      <c r="A298" s="7" t="s">
        <v>72</v>
      </c>
      <c r="B298" s="7" t="s">
        <v>98</v>
      </c>
      <c r="C298" s="8">
        <f>IFERROR(__xludf.DUMMYFUNCTION("SPLIT(B298,""RM"")"),1830000.0)</f>
        <v>1830000</v>
      </c>
      <c r="D298" s="7" t="s">
        <v>35</v>
      </c>
      <c r="E298" s="7">
        <v>4.0</v>
      </c>
      <c r="F298" s="7">
        <v>2.0</v>
      </c>
      <c r="G298" s="7" t="s">
        <v>83</v>
      </c>
      <c r="H298" s="7" t="s">
        <v>450</v>
      </c>
      <c r="I298" s="7" t="s">
        <v>27</v>
      </c>
    </row>
    <row r="299">
      <c r="A299" s="7" t="s">
        <v>441</v>
      </c>
      <c r="B299" s="7" t="s">
        <v>442</v>
      </c>
      <c r="C299" s="8">
        <f>IFERROR(__xludf.DUMMYFUNCTION("SPLIT(B299,""RM"")"),4988888.0)</f>
        <v>4988888</v>
      </c>
      <c r="D299" s="7" t="s">
        <v>70</v>
      </c>
      <c r="E299" s="7">
        <v>6.0</v>
      </c>
      <c r="F299" s="7">
        <v>3.0</v>
      </c>
      <c r="G299" s="7" t="s">
        <v>451</v>
      </c>
      <c r="H299" s="7" t="s">
        <v>444</v>
      </c>
      <c r="I299" s="7" t="s">
        <v>27</v>
      </c>
    </row>
    <row r="300">
      <c r="A300" s="7" t="s">
        <v>17</v>
      </c>
      <c r="B300" s="7" t="s">
        <v>53</v>
      </c>
      <c r="C300" s="8">
        <f>IFERROR(__xludf.DUMMYFUNCTION("SPLIT(B300,""RM"")"),1680000.0)</f>
        <v>1680000</v>
      </c>
      <c r="D300" s="7" t="s">
        <v>57</v>
      </c>
      <c r="E300" s="7">
        <v>2.0</v>
      </c>
      <c r="F300" s="7">
        <v>3.0</v>
      </c>
      <c r="G300" s="7" t="s">
        <v>83</v>
      </c>
      <c r="H300" s="7" t="s">
        <v>190</v>
      </c>
      <c r="I300" s="7" t="s">
        <v>22</v>
      </c>
    </row>
    <row r="301">
      <c r="A301" s="7" t="s">
        <v>17</v>
      </c>
      <c r="B301" s="7" t="s">
        <v>452</v>
      </c>
      <c r="C301" s="8">
        <f>IFERROR(__xludf.DUMMYFUNCTION("SPLIT(B301,""RM"")"),2210000.0)</f>
        <v>2210000</v>
      </c>
      <c r="D301" s="7">
        <v>3.0</v>
      </c>
      <c r="E301" s="7">
        <v>3.0</v>
      </c>
      <c r="F301" s="7">
        <v>2.0</v>
      </c>
      <c r="G301" s="7" t="s">
        <v>83</v>
      </c>
      <c r="H301" s="7" t="s">
        <v>453</v>
      </c>
      <c r="I301" s="7" t="s">
        <v>22</v>
      </c>
    </row>
    <row r="302">
      <c r="A302" s="7" t="s">
        <v>17</v>
      </c>
      <c r="B302" s="7" t="s">
        <v>448</v>
      </c>
      <c r="C302" s="8">
        <f>IFERROR(__xludf.DUMMYFUNCTION("SPLIT(B302,""RM"")"),1420000.0)</f>
        <v>1420000</v>
      </c>
      <c r="D302" s="7">
        <v>2.0</v>
      </c>
      <c r="E302" s="7">
        <v>2.0</v>
      </c>
      <c r="F302" s="7">
        <v>1.0</v>
      </c>
      <c r="G302" s="7" t="s">
        <v>93</v>
      </c>
      <c r="H302" s="7" t="s">
        <v>213</v>
      </c>
      <c r="I302" s="7" t="s">
        <v>22</v>
      </c>
    </row>
    <row r="303">
      <c r="A303" s="7" t="s">
        <v>17</v>
      </c>
      <c r="B303" s="7" t="s">
        <v>120</v>
      </c>
      <c r="C303" s="8">
        <f>IFERROR(__xludf.DUMMYFUNCTION("SPLIT(B303,""RM"")"),3600000.0)</f>
        <v>3600000</v>
      </c>
      <c r="D303" s="7" t="s">
        <v>35</v>
      </c>
      <c r="E303" s="7">
        <v>5.0</v>
      </c>
      <c r="F303" s="7">
        <v>2.0</v>
      </c>
      <c r="G303" s="7" t="s">
        <v>121</v>
      </c>
      <c r="H303" s="7" t="s">
        <v>454</v>
      </c>
      <c r="I303" s="7" t="s">
        <v>27</v>
      </c>
    </row>
    <row r="304">
      <c r="A304" s="7" t="s">
        <v>17</v>
      </c>
      <c r="B304" s="7" t="s">
        <v>415</v>
      </c>
      <c r="C304" s="8">
        <f>IFERROR(__xludf.DUMMYFUNCTION("SPLIT(B304,""RM"")"),1238000.0)</f>
        <v>1238000</v>
      </c>
      <c r="D304" s="7">
        <v>2.0</v>
      </c>
      <c r="E304" s="7">
        <v>2.0</v>
      </c>
      <c r="F304" s="7">
        <v>1.0</v>
      </c>
      <c r="G304" s="7" t="s">
        <v>83</v>
      </c>
      <c r="H304" s="7" t="s">
        <v>240</v>
      </c>
      <c r="I304" s="7" t="s">
        <v>27</v>
      </c>
    </row>
    <row r="305">
      <c r="A305" s="7" t="s">
        <v>72</v>
      </c>
      <c r="B305" s="7" t="s">
        <v>455</v>
      </c>
      <c r="C305" s="8">
        <f>IFERROR(__xludf.DUMMYFUNCTION("SPLIT(B305,""RM"")"),2230000.0)</f>
        <v>2230000</v>
      </c>
      <c r="F305" s="7">
        <v>3.0</v>
      </c>
      <c r="G305" s="7" t="s">
        <v>83</v>
      </c>
      <c r="H305" s="7" t="s">
        <v>456</v>
      </c>
    </row>
    <row r="306">
      <c r="A306" s="7" t="s">
        <v>17</v>
      </c>
      <c r="B306" s="7" t="s">
        <v>448</v>
      </c>
      <c r="C306" s="8">
        <f>IFERROR(__xludf.DUMMYFUNCTION("SPLIT(B306,""RM"")"),1420000.0)</f>
        <v>1420000</v>
      </c>
      <c r="D306" s="7">
        <v>2.0</v>
      </c>
      <c r="E306" s="7">
        <v>2.0</v>
      </c>
      <c r="F306" s="7">
        <v>1.0</v>
      </c>
      <c r="G306" s="7" t="s">
        <v>83</v>
      </c>
    </row>
    <row r="307">
      <c r="A307" s="7" t="s">
        <v>17</v>
      </c>
      <c r="B307" s="7" t="s">
        <v>457</v>
      </c>
      <c r="C307" s="8">
        <f>IFERROR(__xludf.DUMMYFUNCTION("SPLIT(B307,""RM"")"),1139000.0)</f>
        <v>1139000</v>
      </c>
      <c r="D307" s="7">
        <v>1.0</v>
      </c>
      <c r="E307" s="7">
        <v>1.0</v>
      </c>
      <c r="F307" s="7">
        <v>1.0</v>
      </c>
      <c r="G307" s="7" t="s">
        <v>83</v>
      </c>
      <c r="H307" s="7" t="s">
        <v>393</v>
      </c>
      <c r="I307" s="7" t="s">
        <v>27</v>
      </c>
    </row>
    <row r="308">
      <c r="A308" s="7" t="s">
        <v>17</v>
      </c>
      <c r="B308" s="7" t="s">
        <v>458</v>
      </c>
      <c r="C308" s="8">
        <f>IFERROR(__xludf.DUMMYFUNCTION("SPLIT(B308,""RM"")"),2930000.0)</f>
        <v>2930000</v>
      </c>
      <c r="D308" s="7">
        <v>2.0</v>
      </c>
      <c r="E308" s="7">
        <v>2.0</v>
      </c>
      <c r="F308" s="7">
        <v>2.0</v>
      </c>
      <c r="G308" s="7" t="s">
        <v>121</v>
      </c>
      <c r="H308" s="7" t="s">
        <v>459</v>
      </c>
      <c r="I308" s="7" t="s">
        <v>22</v>
      </c>
    </row>
    <row r="309">
      <c r="A309" s="7" t="s">
        <v>77</v>
      </c>
      <c r="B309" s="7" t="s">
        <v>460</v>
      </c>
      <c r="C309" s="8">
        <f>IFERROR(__xludf.DUMMYFUNCTION("SPLIT(B309,""RM"")"),1580000.0)</f>
        <v>1580000</v>
      </c>
      <c r="D309" s="7">
        <v>3.0</v>
      </c>
      <c r="E309" s="7">
        <v>3.0</v>
      </c>
      <c r="G309" s="7" t="s">
        <v>90</v>
      </c>
      <c r="H309" s="7" t="s">
        <v>461</v>
      </c>
      <c r="I309" s="7" t="s">
        <v>27</v>
      </c>
    </row>
    <row r="310">
      <c r="A310" s="7" t="s">
        <v>23</v>
      </c>
      <c r="B310" s="7" t="s">
        <v>462</v>
      </c>
      <c r="C310" s="8">
        <f>IFERROR(__xludf.DUMMYFUNCTION("SPLIT(B310,""RM"")"),1620000.0)</f>
        <v>1620000</v>
      </c>
      <c r="D310" s="7" t="s">
        <v>197</v>
      </c>
      <c r="E310" s="7">
        <v>2.0</v>
      </c>
      <c r="F310" s="7">
        <v>1.0</v>
      </c>
      <c r="G310" s="7" t="s">
        <v>20</v>
      </c>
      <c r="H310" s="7" t="s">
        <v>463</v>
      </c>
      <c r="I310" s="7" t="s">
        <v>27</v>
      </c>
    </row>
    <row r="311">
      <c r="A311" s="7" t="s">
        <v>77</v>
      </c>
      <c r="B311" s="7" t="s">
        <v>327</v>
      </c>
      <c r="C311" s="8">
        <f>IFERROR(__xludf.DUMMYFUNCTION("SPLIT(B311,""RM"")"),1300000.0)</f>
        <v>1300000</v>
      </c>
      <c r="D311" s="7" t="s">
        <v>19</v>
      </c>
      <c r="E311" s="7">
        <v>3.0</v>
      </c>
      <c r="F311" s="7">
        <v>2.0</v>
      </c>
      <c r="G311" s="7" t="s">
        <v>93</v>
      </c>
      <c r="H311" s="7" t="s">
        <v>464</v>
      </c>
      <c r="I311" s="7" t="s">
        <v>27</v>
      </c>
    </row>
    <row r="312">
      <c r="A312" s="7" t="s">
        <v>262</v>
      </c>
      <c r="B312" s="7" t="s">
        <v>465</v>
      </c>
      <c r="C312" s="8">
        <f>IFERROR(__xludf.DUMMYFUNCTION("SPLIT(B312,""RM"")"),8000000.0)</f>
        <v>8000000</v>
      </c>
      <c r="D312" s="7">
        <v>7.0</v>
      </c>
      <c r="E312" s="7">
        <v>7.0</v>
      </c>
      <c r="F312" s="7">
        <v>6.0</v>
      </c>
      <c r="G312" s="7" t="s">
        <v>67</v>
      </c>
      <c r="H312" s="7" t="s">
        <v>466</v>
      </c>
      <c r="I312" s="7" t="s">
        <v>27</v>
      </c>
    </row>
    <row r="313">
      <c r="A313" s="7" t="s">
        <v>23</v>
      </c>
      <c r="B313" s="7" t="s">
        <v>350</v>
      </c>
      <c r="C313" s="8">
        <f>IFERROR(__xludf.DUMMYFUNCTION("SPLIT(B313,""RM"")"),6500000.0)</f>
        <v>6500000</v>
      </c>
      <c r="D313" s="7" t="s">
        <v>70</v>
      </c>
      <c r="E313" s="7">
        <v>4.0</v>
      </c>
      <c r="F313" s="7">
        <v>6.0</v>
      </c>
      <c r="G313" s="7" t="s">
        <v>67</v>
      </c>
      <c r="H313" s="7" t="s">
        <v>467</v>
      </c>
      <c r="I313" s="7" t="s">
        <v>27</v>
      </c>
    </row>
    <row r="314">
      <c r="A314" s="7" t="s">
        <v>77</v>
      </c>
      <c r="B314" s="7" t="s">
        <v>468</v>
      </c>
      <c r="C314" s="8">
        <f>IFERROR(__xludf.DUMMYFUNCTION("SPLIT(B314,""RM"")"),2750000.0)</f>
        <v>2750000</v>
      </c>
      <c r="D314" s="7" t="s">
        <v>57</v>
      </c>
      <c r="E314" s="7">
        <v>4.0</v>
      </c>
      <c r="G314" s="7" t="s">
        <v>54</v>
      </c>
      <c r="H314" s="7" t="s">
        <v>469</v>
      </c>
      <c r="I314" s="7" t="s">
        <v>27</v>
      </c>
    </row>
    <row r="315">
      <c r="A315" s="7" t="s">
        <v>77</v>
      </c>
      <c r="B315" s="7" t="s">
        <v>422</v>
      </c>
      <c r="C315" s="8">
        <f>IFERROR(__xludf.DUMMYFUNCTION("SPLIT(B315,""RM"")"),2050000.0)</f>
        <v>2050000</v>
      </c>
      <c r="D315" s="7" t="s">
        <v>57</v>
      </c>
      <c r="E315" s="7">
        <v>4.0</v>
      </c>
      <c r="G315" s="7" t="s">
        <v>54</v>
      </c>
      <c r="H315" s="7" t="s">
        <v>283</v>
      </c>
      <c r="I315" s="7" t="s">
        <v>27</v>
      </c>
    </row>
    <row r="316">
      <c r="A316" s="7" t="s">
        <v>77</v>
      </c>
      <c r="B316" s="7" t="s">
        <v>329</v>
      </c>
      <c r="C316" s="8">
        <f>IFERROR(__xludf.DUMMYFUNCTION("SPLIT(B316,""RM"")"),1200000.0)</f>
        <v>1200000</v>
      </c>
      <c r="D316" s="7">
        <v>2.0</v>
      </c>
      <c r="E316" s="7">
        <v>2.0</v>
      </c>
      <c r="G316" s="7" t="s">
        <v>470</v>
      </c>
      <c r="H316" s="7" t="s">
        <v>471</v>
      </c>
      <c r="I316" s="7" t="s">
        <v>27</v>
      </c>
    </row>
    <row r="317">
      <c r="A317" s="7" t="s">
        <v>177</v>
      </c>
      <c r="B317" s="7" t="s">
        <v>403</v>
      </c>
      <c r="C317" s="8">
        <f>IFERROR(__xludf.DUMMYFUNCTION("SPLIT(B317,""RM"")"),1600000.0)</f>
        <v>1600000</v>
      </c>
      <c r="D317" s="7">
        <v>3.0</v>
      </c>
      <c r="E317" s="7">
        <v>2.0</v>
      </c>
      <c r="F317" s="7">
        <v>2.0</v>
      </c>
      <c r="G317" s="7" t="s">
        <v>470</v>
      </c>
      <c r="H317" s="7" t="s">
        <v>400</v>
      </c>
      <c r="I317" s="7" t="s">
        <v>27</v>
      </c>
    </row>
    <row r="318">
      <c r="A318" s="7" t="s">
        <v>77</v>
      </c>
      <c r="B318" s="7" t="s">
        <v>472</v>
      </c>
      <c r="C318" s="8">
        <f>IFERROR(__xludf.DUMMYFUNCTION("SPLIT(B318,""RM"")"),1730000.0)</f>
        <v>1730000</v>
      </c>
      <c r="D318" s="7" t="s">
        <v>57</v>
      </c>
      <c r="E318" s="7">
        <v>3.0</v>
      </c>
      <c r="F318" s="7">
        <v>2.0</v>
      </c>
      <c r="G318" s="7" t="s">
        <v>30</v>
      </c>
      <c r="H318" s="7" t="s">
        <v>473</v>
      </c>
      <c r="I318" s="7" t="s">
        <v>22</v>
      </c>
    </row>
    <row r="319">
      <c r="A319" s="7" t="s">
        <v>77</v>
      </c>
      <c r="B319" s="7" t="s">
        <v>78</v>
      </c>
      <c r="C319" s="8">
        <f>IFERROR(__xludf.DUMMYFUNCTION("SPLIT(B319,""RM"")"),1500000.0)</f>
        <v>1500000</v>
      </c>
      <c r="D319" s="7" t="s">
        <v>57</v>
      </c>
      <c r="E319" s="7">
        <v>2.0</v>
      </c>
      <c r="F319" s="7">
        <v>2.0</v>
      </c>
      <c r="G319" s="7" t="s">
        <v>93</v>
      </c>
      <c r="H319" s="7" t="s">
        <v>474</v>
      </c>
      <c r="I319" s="7" t="s">
        <v>22</v>
      </c>
    </row>
    <row r="320">
      <c r="A320" s="7" t="s">
        <v>77</v>
      </c>
      <c r="B320" s="7" t="s">
        <v>475</v>
      </c>
      <c r="C320" s="8">
        <f>IFERROR(__xludf.DUMMYFUNCTION("SPLIT(B320,""RM"")"),2800000.0)</f>
        <v>2800000</v>
      </c>
      <c r="D320" s="7" t="s">
        <v>57</v>
      </c>
      <c r="E320" s="7">
        <v>4.0</v>
      </c>
      <c r="G320" s="7" t="s">
        <v>90</v>
      </c>
      <c r="H320" s="7" t="s">
        <v>476</v>
      </c>
      <c r="I320" s="7" t="s">
        <v>27</v>
      </c>
    </row>
    <row r="321">
      <c r="A321" s="7" t="s">
        <v>77</v>
      </c>
      <c r="B321" s="7" t="s">
        <v>477</v>
      </c>
      <c r="C321" s="8">
        <f>IFERROR(__xludf.DUMMYFUNCTION("SPLIT(B321,""RM"")"),3280000.0)</f>
        <v>3280000</v>
      </c>
      <c r="D321" s="7" t="s">
        <v>35</v>
      </c>
      <c r="E321" s="7">
        <v>4.0</v>
      </c>
      <c r="G321" s="7" t="s">
        <v>61</v>
      </c>
      <c r="H321" s="7" t="s">
        <v>478</v>
      </c>
      <c r="I321" s="7" t="s">
        <v>27</v>
      </c>
    </row>
    <row r="322">
      <c r="A322" s="7" t="s">
        <v>77</v>
      </c>
      <c r="B322" s="7" t="s">
        <v>78</v>
      </c>
      <c r="C322" s="8">
        <f>IFERROR(__xludf.DUMMYFUNCTION("SPLIT(B322,""RM"")"),1500000.0)</f>
        <v>1500000</v>
      </c>
      <c r="D322" s="7" t="s">
        <v>57</v>
      </c>
      <c r="E322" s="7">
        <v>3.0</v>
      </c>
      <c r="F322" s="7">
        <v>2.0</v>
      </c>
      <c r="G322" s="7" t="s">
        <v>93</v>
      </c>
      <c r="H322" s="7" t="s">
        <v>471</v>
      </c>
      <c r="I322" s="7" t="s">
        <v>27</v>
      </c>
    </row>
    <row r="323">
      <c r="A323" s="7" t="s">
        <v>77</v>
      </c>
      <c r="B323" s="7" t="s">
        <v>479</v>
      </c>
      <c r="C323" s="8">
        <f>IFERROR(__xludf.DUMMYFUNCTION("SPLIT(B323,""RM"")"),5500000.0)</f>
        <v>5500000</v>
      </c>
      <c r="D323" s="7" t="s">
        <v>60</v>
      </c>
      <c r="E323" s="7">
        <v>8.0</v>
      </c>
      <c r="G323" s="7" t="s">
        <v>300</v>
      </c>
      <c r="H323" s="7" t="s">
        <v>480</v>
      </c>
      <c r="I323" s="7" t="s">
        <v>27</v>
      </c>
    </row>
    <row r="324">
      <c r="A324" s="7" t="s">
        <v>77</v>
      </c>
      <c r="B324" s="7" t="s">
        <v>214</v>
      </c>
      <c r="C324" s="8">
        <f>IFERROR(__xludf.DUMMYFUNCTION("SPLIT(B324,""RM"")"),1180000.0)</f>
        <v>1180000</v>
      </c>
      <c r="D324" s="7" t="s">
        <v>19</v>
      </c>
      <c r="E324" s="7">
        <v>3.0</v>
      </c>
      <c r="F324" s="7">
        <v>2.0</v>
      </c>
      <c r="G324" s="7" t="s">
        <v>83</v>
      </c>
      <c r="H324" s="7" t="s">
        <v>481</v>
      </c>
      <c r="I324" s="7" t="s">
        <v>27</v>
      </c>
    </row>
    <row r="325">
      <c r="A325" s="7" t="s">
        <v>77</v>
      </c>
      <c r="B325" s="7" t="s">
        <v>125</v>
      </c>
      <c r="C325" s="8">
        <f>IFERROR(__xludf.DUMMYFUNCTION("SPLIT(B325,""RM"")"),2300000.0)</f>
        <v>2300000</v>
      </c>
      <c r="D325" s="7">
        <v>4.0</v>
      </c>
      <c r="E325" s="7">
        <v>3.0</v>
      </c>
      <c r="G325" s="7" t="s">
        <v>54</v>
      </c>
      <c r="H325" s="7" t="s">
        <v>482</v>
      </c>
      <c r="I325" s="7" t="s">
        <v>27</v>
      </c>
    </row>
    <row r="326">
      <c r="A326" s="7" t="s">
        <v>77</v>
      </c>
      <c r="B326" s="7" t="s">
        <v>306</v>
      </c>
      <c r="C326" s="8">
        <f>IFERROR(__xludf.DUMMYFUNCTION("SPLIT(B326,""RM"")"),1990000.0)</f>
        <v>1990000</v>
      </c>
      <c r="D326" s="7" t="s">
        <v>57</v>
      </c>
      <c r="E326" s="7">
        <v>3.0</v>
      </c>
      <c r="G326" s="7" t="s">
        <v>54</v>
      </c>
      <c r="H326" s="7" t="s">
        <v>283</v>
      </c>
      <c r="I326" s="7" t="s">
        <v>27</v>
      </c>
    </row>
    <row r="327">
      <c r="A327" s="7" t="s">
        <v>77</v>
      </c>
      <c r="B327" s="7" t="s">
        <v>45</v>
      </c>
      <c r="C327" s="8">
        <f>IFERROR(__xludf.DUMMYFUNCTION("SPLIT(B327,""RM"")"),1950000.0)</f>
        <v>1950000</v>
      </c>
      <c r="D327" s="7" t="s">
        <v>57</v>
      </c>
      <c r="E327" s="7">
        <v>3.0</v>
      </c>
      <c r="G327" s="7" t="s">
        <v>54</v>
      </c>
      <c r="H327" s="7" t="s">
        <v>483</v>
      </c>
      <c r="I327" s="7" t="s">
        <v>22</v>
      </c>
    </row>
    <row r="328">
      <c r="A328" s="7" t="s">
        <v>17</v>
      </c>
      <c r="B328" s="7" t="s">
        <v>484</v>
      </c>
      <c r="C328" s="8">
        <f>IFERROR(__xludf.DUMMYFUNCTION("SPLIT(B328,""RM"")"),2950000.0)</f>
        <v>2950000</v>
      </c>
      <c r="D328" s="7" t="s">
        <v>57</v>
      </c>
      <c r="E328" s="7">
        <v>4.0</v>
      </c>
      <c r="F328" s="7">
        <v>2.0</v>
      </c>
      <c r="G328" s="7" t="s">
        <v>30</v>
      </c>
      <c r="H328" s="7" t="s">
        <v>485</v>
      </c>
      <c r="I328" s="7" t="s">
        <v>27</v>
      </c>
    </row>
    <row r="329">
      <c r="A329" s="7" t="s">
        <v>86</v>
      </c>
      <c r="B329" s="7" t="s">
        <v>87</v>
      </c>
      <c r="C329" s="8">
        <f>IFERROR(__xludf.DUMMYFUNCTION("SPLIT(B329,""RM"")"),490000.0)</f>
        <v>490000</v>
      </c>
      <c r="D329" s="7">
        <v>1.0</v>
      </c>
      <c r="E329" s="7">
        <v>1.0</v>
      </c>
      <c r="F329" s="7">
        <v>1.0</v>
      </c>
      <c r="G329" s="7" t="s">
        <v>20</v>
      </c>
      <c r="H329" s="7" t="s">
        <v>88</v>
      </c>
      <c r="I329" s="7" t="s">
        <v>22</v>
      </c>
    </row>
    <row r="330">
      <c r="A330" s="7" t="s">
        <v>17</v>
      </c>
      <c r="B330" s="7" t="s">
        <v>486</v>
      </c>
      <c r="C330" s="8">
        <f>IFERROR(__xludf.DUMMYFUNCTION("SPLIT(B330,""RM"")"),3090000.0)</f>
        <v>3090000</v>
      </c>
      <c r="D330" s="7">
        <v>2.0</v>
      </c>
      <c r="E330" s="7">
        <v>2.0</v>
      </c>
      <c r="F330" s="7">
        <v>2.0</v>
      </c>
      <c r="G330" s="7" t="s">
        <v>20</v>
      </c>
      <c r="H330" s="7" t="s">
        <v>318</v>
      </c>
      <c r="I330" s="7" t="s">
        <v>27</v>
      </c>
    </row>
    <row r="331">
      <c r="A331" s="7" t="s">
        <v>77</v>
      </c>
      <c r="B331" s="7" t="s">
        <v>120</v>
      </c>
      <c r="C331" s="8">
        <f>IFERROR(__xludf.DUMMYFUNCTION("SPLIT(B331,""RM"")"),3600000.0)</f>
        <v>3600000</v>
      </c>
      <c r="D331" s="7" t="s">
        <v>70</v>
      </c>
      <c r="E331" s="7">
        <v>6.0</v>
      </c>
      <c r="G331" s="7" t="s">
        <v>487</v>
      </c>
      <c r="H331" s="7" t="s">
        <v>488</v>
      </c>
      <c r="I331" s="7" t="s">
        <v>27</v>
      </c>
    </row>
    <row r="332">
      <c r="A332" s="7" t="s">
        <v>17</v>
      </c>
      <c r="B332" s="7" t="s">
        <v>489</v>
      </c>
      <c r="C332" s="8">
        <f>IFERROR(__xludf.DUMMYFUNCTION("SPLIT(B332,""RM"")"),1230000.0)</f>
        <v>1230000</v>
      </c>
      <c r="D332" s="7" t="s">
        <v>57</v>
      </c>
      <c r="E332" s="7">
        <v>4.0</v>
      </c>
      <c r="F332" s="7">
        <v>2.0</v>
      </c>
      <c r="G332" s="7" t="s">
        <v>121</v>
      </c>
      <c r="H332" s="7" t="s">
        <v>490</v>
      </c>
      <c r="I332" s="7" t="s">
        <v>22</v>
      </c>
    </row>
    <row r="333">
      <c r="A333" s="7" t="s">
        <v>100</v>
      </c>
      <c r="B333" s="7" t="s">
        <v>353</v>
      </c>
      <c r="C333" s="8">
        <f>IFERROR(__xludf.DUMMYFUNCTION("SPLIT(B333,""RM"")"),350000.0)</f>
        <v>350000</v>
      </c>
      <c r="D333" s="7">
        <v>3.0</v>
      </c>
      <c r="E333" s="7">
        <v>2.0</v>
      </c>
      <c r="F333" s="7">
        <v>1.0</v>
      </c>
      <c r="G333" s="7" t="s">
        <v>20</v>
      </c>
      <c r="H333" s="7" t="s">
        <v>491</v>
      </c>
      <c r="I333" s="7" t="s">
        <v>27</v>
      </c>
    </row>
    <row r="334">
      <c r="A334" s="7" t="s">
        <v>17</v>
      </c>
      <c r="B334" s="7" t="s">
        <v>489</v>
      </c>
      <c r="C334" s="8">
        <f>IFERROR(__xludf.DUMMYFUNCTION("SPLIT(B334,""RM"")"),1230000.0)</f>
        <v>1230000</v>
      </c>
      <c r="D334" s="7">
        <v>1.0</v>
      </c>
      <c r="E334" s="7">
        <v>1.0</v>
      </c>
      <c r="F334" s="7">
        <v>1.0</v>
      </c>
      <c r="G334" s="7" t="s">
        <v>82</v>
      </c>
      <c r="H334" s="7" t="s">
        <v>392</v>
      </c>
      <c r="I334" s="7" t="s">
        <v>22</v>
      </c>
    </row>
    <row r="335">
      <c r="A335" s="7" t="s">
        <v>77</v>
      </c>
      <c r="B335" s="7" t="s">
        <v>18</v>
      </c>
      <c r="C335" s="8">
        <f>IFERROR(__xludf.DUMMYFUNCTION("SPLIT(B335,""RM"")"),1250000.0)</f>
        <v>1250000</v>
      </c>
      <c r="D335" s="7" t="s">
        <v>19</v>
      </c>
      <c r="E335" s="7">
        <v>2.0</v>
      </c>
      <c r="F335" s="7">
        <v>2.0</v>
      </c>
      <c r="G335" s="7" t="s">
        <v>93</v>
      </c>
      <c r="H335" s="7" t="s">
        <v>492</v>
      </c>
      <c r="I335" s="7" t="s">
        <v>27</v>
      </c>
    </row>
    <row r="336">
      <c r="A336" s="7" t="s">
        <v>77</v>
      </c>
      <c r="B336" s="7" t="s">
        <v>281</v>
      </c>
      <c r="C336" s="8">
        <f>IFERROR(__xludf.DUMMYFUNCTION("SPLIT(B336,""RM"")"),2500000.0)</f>
        <v>2500000</v>
      </c>
      <c r="D336" s="7" t="s">
        <v>57</v>
      </c>
      <c r="E336" s="7">
        <v>5.0</v>
      </c>
      <c r="F336" s="7">
        <v>3.0</v>
      </c>
      <c r="G336" s="7" t="s">
        <v>282</v>
      </c>
      <c r="H336" s="7" t="s">
        <v>493</v>
      </c>
      <c r="I336" s="7" t="s">
        <v>27</v>
      </c>
    </row>
    <row r="337">
      <c r="A337" s="7" t="s">
        <v>77</v>
      </c>
      <c r="B337" s="7" t="s">
        <v>311</v>
      </c>
      <c r="C337" s="8">
        <f>IFERROR(__xludf.DUMMYFUNCTION("SPLIT(B337,""RM"")"),1100000.0)</f>
        <v>1100000</v>
      </c>
      <c r="D337" s="7" t="s">
        <v>19</v>
      </c>
      <c r="E337" s="7">
        <v>3.0</v>
      </c>
      <c r="F337" s="7">
        <v>2.0</v>
      </c>
      <c r="G337" s="7" t="s">
        <v>93</v>
      </c>
      <c r="H337" s="7" t="s">
        <v>490</v>
      </c>
      <c r="I337" s="7" t="s">
        <v>103</v>
      </c>
    </row>
    <row r="338">
      <c r="A338" s="7" t="s">
        <v>77</v>
      </c>
      <c r="B338" s="7" t="s">
        <v>247</v>
      </c>
      <c r="C338" s="8">
        <f>IFERROR(__xludf.DUMMYFUNCTION("SPLIT(B338,""RM"")"),1980000.0)</f>
        <v>1980000</v>
      </c>
      <c r="D338" s="7" t="s">
        <v>57</v>
      </c>
      <c r="E338" s="7">
        <v>4.0</v>
      </c>
      <c r="F338" s="7">
        <v>3.0</v>
      </c>
      <c r="G338" s="7" t="s">
        <v>54</v>
      </c>
      <c r="H338" s="7" t="s">
        <v>283</v>
      </c>
      <c r="I338" s="7" t="s">
        <v>27</v>
      </c>
    </row>
    <row r="339">
      <c r="A339" s="7" t="s">
        <v>177</v>
      </c>
      <c r="B339" s="7" t="s">
        <v>327</v>
      </c>
      <c r="C339" s="8">
        <f>IFERROR(__xludf.DUMMYFUNCTION("SPLIT(B339,""RM"")"),1300000.0)</f>
        <v>1300000</v>
      </c>
      <c r="D339" s="7">
        <v>3.0</v>
      </c>
      <c r="E339" s="7">
        <v>2.0</v>
      </c>
      <c r="F339" s="7">
        <v>2.0</v>
      </c>
      <c r="G339" s="7" t="s">
        <v>494</v>
      </c>
      <c r="H339" s="7" t="s">
        <v>495</v>
      </c>
      <c r="I339" s="7" t="s">
        <v>27</v>
      </c>
    </row>
    <row r="340">
      <c r="A340" s="7" t="s">
        <v>148</v>
      </c>
      <c r="B340" s="7" t="s">
        <v>475</v>
      </c>
      <c r="C340" s="8">
        <f>IFERROR(__xludf.DUMMYFUNCTION("SPLIT(B340,""RM"")"),2800000.0)</f>
        <v>2800000</v>
      </c>
      <c r="D340" s="7" t="s">
        <v>35</v>
      </c>
      <c r="E340" s="7">
        <v>6.0</v>
      </c>
      <c r="F340" s="7">
        <v>4.0</v>
      </c>
      <c r="G340" s="7" t="s">
        <v>67</v>
      </c>
      <c r="H340" s="7" t="s">
        <v>496</v>
      </c>
      <c r="I340" s="7" t="s">
        <v>27</v>
      </c>
    </row>
    <row r="341">
      <c r="A341" s="7" t="s">
        <v>37</v>
      </c>
      <c r="B341" s="7" t="s">
        <v>229</v>
      </c>
      <c r="C341" s="8">
        <f>IFERROR(__xludf.DUMMYFUNCTION("SPLIT(B341,""RM"")"),1050000.0)</f>
        <v>1050000</v>
      </c>
      <c r="D341" s="7">
        <v>3.0</v>
      </c>
      <c r="E341" s="7">
        <v>2.0</v>
      </c>
      <c r="F341" s="7">
        <v>2.0</v>
      </c>
      <c r="G341" s="7" t="s">
        <v>343</v>
      </c>
      <c r="H341" s="7" t="s">
        <v>344</v>
      </c>
    </row>
    <row r="342">
      <c r="A342" s="7" t="s">
        <v>17</v>
      </c>
      <c r="B342" s="7" t="s">
        <v>120</v>
      </c>
      <c r="C342" s="8">
        <f>IFERROR(__xludf.DUMMYFUNCTION("SPLIT(B342,""RM"")"),3600000.0)</f>
        <v>3600000</v>
      </c>
      <c r="D342" s="7" t="s">
        <v>57</v>
      </c>
      <c r="E342" s="7">
        <v>5.0</v>
      </c>
      <c r="F342" s="7">
        <v>2.0</v>
      </c>
      <c r="G342" s="7" t="s">
        <v>121</v>
      </c>
      <c r="H342" s="7" t="s">
        <v>122</v>
      </c>
      <c r="I342" s="7" t="s">
        <v>27</v>
      </c>
    </row>
    <row r="343">
      <c r="A343" s="7" t="s">
        <v>52</v>
      </c>
      <c r="B343" s="7" t="s">
        <v>497</v>
      </c>
      <c r="C343" s="8">
        <f>IFERROR(__xludf.DUMMYFUNCTION("SPLIT(B343,""RM"")"),5900000.0)</f>
        <v>5900000</v>
      </c>
      <c r="D343" s="7" t="s">
        <v>35</v>
      </c>
      <c r="E343" s="7">
        <v>5.0</v>
      </c>
      <c r="F343" s="7">
        <v>3.0</v>
      </c>
      <c r="G343" s="7" t="s">
        <v>83</v>
      </c>
      <c r="H343" s="7" t="s">
        <v>498</v>
      </c>
    </row>
    <row r="344">
      <c r="A344" s="7" t="s">
        <v>17</v>
      </c>
      <c r="B344" s="7" t="s">
        <v>499</v>
      </c>
      <c r="C344" s="8">
        <f>IFERROR(__xludf.DUMMYFUNCTION("SPLIT(B344,""RM"")"),3900000.0)</f>
        <v>3900000</v>
      </c>
      <c r="D344" s="7">
        <v>2.0</v>
      </c>
      <c r="E344" s="7">
        <v>2.0</v>
      </c>
      <c r="F344" s="7">
        <v>2.0</v>
      </c>
      <c r="G344" s="7" t="s">
        <v>20</v>
      </c>
      <c r="H344" s="7" t="s">
        <v>500</v>
      </c>
      <c r="I344" s="7" t="s">
        <v>27</v>
      </c>
    </row>
    <row r="345">
      <c r="A345" s="7" t="s">
        <v>17</v>
      </c>
      <c r="B345" s="7" t="s">
        <v>327</v>
      </c>
      <c r="C345" s="8">
        <f>IFERROR(__xludf.DUMMYFUNCTION("SPLIT(B345,""RM"")"),1300000.0)</f>
        <v>1300000</v>
      </c>
      <c r="D345" s="7">
        <v>1.0</v>
      </c>
      <c r="E345" s="7">
        <v>1.0</v>
      </c>
      <c r="F345" s="7">
        <v>1.0</v>
      </c>
      <c r="G345" s="7" t="s">
        <v>385</v>
      </c>
      <c r="H345" s="7" t="s">
        <v>328</v>
      </c>
      <c r="I345" s="7" t="s">
        <v>27</v>
      </c>
    </row>
    <row r="346">
      <c r="A346" s="7" t="s">
        <v>17</v>
      </c>
      <c r="B346" s="7" t="s">
        <v>501</v>
      </c>
      <c r="C346" s="8">
        <f>IFERROR(__xludf.DUMMYFUNCTION("SPLIT(B346,""RM"")"),1240000.0)</f>
        <v>1240000</v>
      </c>
      <c r="D346" s="7">
        <v>1.0</v>
      </c>
      <c r="E346" s="7">
        <v>1.0</v>
      </c>
      <c r="G346" s="7" t="s">
        <v>82</v>
      </c>
      <c r="H346" s="7" t="s">
        <v>392</v>
      </c>
      <c r="I346" s="7" t="s">
        <v>22</v>
      </c>
    </row>
    <row r="347">
      <c r="A347" s="7" t="s">
        <v>33</v>
      </c>
      <c r="B347" s="7" t="s">
        <v>502</v>
      </c>
      <c r="C347" s="8">
        <f>IFERROR(__xludf.DUMMYFUNCTION("SPLIT(B347,""RM"")"),438000.0)</f>
        <v>438000</v>
      </c>
      <c r="D347" s="7">
        <v>3.0</v>
      </c>
      <c r="E347" s="7">
        <v>2.0</v>
      </c>
      <c r="F347" s="7">
        <v>1.0</v>
      </c>
      <c r="G347" s="7" t="s">
        <v>503</v>
      </c>
      <c r="H347" s="7" t="s">
        <v>504</v>
      </c>
      <c r="I347" s="7" t="s">
        <v>27</v>
      </c>
    </row>
    <row r="348">
      <c r="A348" s="7" t="s">
        <v>100</v>
      </c>
      <c r="B348" s="7" t="s">
        <v>361</v>
      </c>
      <c r="C348" s="8">
        <f>IFERROR(__xludf.DUMMYFUNCTION("SPLIT(B348,""RM"")"),530000.0)</f>
        <v>530000</v>
      </c>
      <c r="D348" s="7" t="s">
        <v>57</v>
      </c>
      <c r="E348" s="7">
        <v>2.0</v>
      </c>
      <c r="F348" s="7">
        <v>1.0</v>
      </c>
      <c r="G348" s="7" t="s">
        <v>121</v>
      </c>
      <c r="H348" s="7" t="s">
        <v>505</v>
      </c>
      <c r="I348" s="7" t="s">
        <v>27</v>
      </c>
    </row>
    <row r="349">
      <c r="A349" s="7" t="s">
        <v>506</v>
      </c>
      <c r="B349" s="7" t="s">
        <v>507</v>
      </c>
      <c r="C349" s="8">
        <f>IFERROR(__xludf.DUMMYFUNCTION("SPLIT(B349,""RM"")"),590000.0)</f>
        <v>590000</v>
      </c>
      <c r="D349" s="7">
        <v>3.0</v>
      </c>
      <c r="E349" s="7">
        <v>2.0</v>
      </c>
      <c r="F349" s="7">
        <v>2.0</v>
      </c>
      <c r="G349" s="7" t="s">
        <v>93</v>
      </c>
      <c r="H349" s="7" t="s">
        <v>508</v>
      </c>
      <c r="I349" s="7" t="s">
        <v>27</v>
      </c>
    </row>
    <row r="350">
      <c r="A350" s="7" t="s">
        <v>428</v>
      </c>
      <c r="B350" s="7" t="s">
        <v>105</v>
      </c>
      <c r="C350" s="8">
        <f>IFERROR(__xludf.DUMMYFUNCTION("SPLIT(B350,""RM"")"),560000.0)</f>
        <v>560000</v>
      </c>
      <c r="D350" s="7">
        <v>1.0</v>
      </c>
      <c r="E350" s="7">
        <v>1.0</v>
      </c>
      <c r="F350" s="7">
        <v>1.0</v>
      </c>
      <c r="G350" s="7" t="s">
        <v>20</v>
      </c>
      <c r="I350" s="7" t="s">
        <v>27</v>
      </c>
    </row>
    <row r="351">
      <c r="A351" s="7" t="s">
        <v>17</v>
      </c>
      <c r="B351" s="7" t="s">
        <v>191</v>
      </c>
      <c r="C351" s="8">
        <f>IFERROR(__xludf.DUMMYFUNCTION("SPLIT(B351,""RM"")"),1000000.0)</f>
        <v>1000000</v>
      </c>
      <c r="D351" s="7">
        <v>1.0</v>
      </c>
      <c r="E351" s="7">
        <v>1.0</v>
      </c>
      <c r="F351" s="7">
        <v>1.0</v>
      </c>
      <c r="G351" s="7" t="s">
        <v>83</v>
      </c>
      <c r="H351" s="7" t="s">
        <v>393</v>
      </c>
      <c r="I351" s="7" t="s">
        <v>27</v>
      </c>
    </row>
    <row r="352">
      <c r="A352" s="7" t="s">
        <v>17</v>
      </c>
      <c r="B352" s="7" t="s">
        <v>322</v>
      </c>
      <c r="C352" s="8">
        <f>IFERROR(__xludf.DUMMYFUNCTION("SPLIT(B352,""RM"")"),1900000.0)</f>
        <v>1900000</v>
      </c>
      <c r="D352" s="7" t="s">
        <v>19</v>
      </c>
      <c r="E352" s="7">
        <v>2.0</v>
      </c>
      <c r="F352" s="7">
        <v>1.0</v>
      </c>
      <c r="G352" s="7" t="s">
        <v>30</v>
      </c>
      <c r="H352" s="7" t="s">
        <v>323</v>
      </c>
      <c r="I352" s="7" t="s">
        <v>27</v>
      </c>
    </row>
    <row r="353">
      <c r="A353" s="7" t="s">
        <v>17</v>
      </c>
      <c r="B353" s="7" t="s">
        <v>509</v>
      </c>
      <c r="C353" s="8">
        <f>IFERROR(__xludf.DUMMYFUNCTION("SPLIT(B353,""RM"")"),1.1394E7)</f>
        <v>11394000</v>
      </c>
      <c r="D353" s="7" t="s">
        <v>57</v>
      </c>
      <c r="E353" s="7">
        <v>5.0</v>
      </c>
      <c r="F353" s="7">
        <v>4.0</v>
      </c>
      <c r="G353" s="7" t="s">
        <v>312</v>
      </c>
      <c r="I353" s="7" t="s">
        <v>22</v>
      </c>
    </row>
    <row r="354">
      <c r="A354" s="7" t="s">
        <v>17</v>
      </c>
      <c r="B354" s="7" t="s">
        <v>110</v>
      </c>
      <c r="C354" s="8">
        <f>IFERROR(__xludf.DUMMYFUNCTION("SPLIT(B354,""RM"")"),2400000.0)</f>
        <v>2400000</v>
      </c>
      <c r="D354" s="7">
        <v>2.0</v>
      </c>
      <c r="E354" s="7">
        <v>2.0</v>
      </c>
      <c r="F354" s="7">
        <v>1.0</v>
      </c>
      <c r="G354" s="7" t="s">
        <v>20</v>
      </c>
      <c r="H354" s="7" t="s">
        <v>111</v>
      </c>
      <c r="I354" s="7" t="s">
        <v>22</v>
      </c>
    </row>
    <row r="355">
      <c r="A355" s="7" t="s">
        <v>171</v>
      </c>
      <c r="B355" s="7" t="s">
        <v>510</v>
      </c>
      <c r="C355" s="8">
        <f>IFERROR(__xludf.DUMMYFUNCTION("SPLIT(B355,""RM"")"),380000.0)</f>
        <v>380000</v>
      </c>
      <c r="D355" s="7" t="s">
        <v>57</v>
      </c>
      <c r="E355" s="7">
        <v>2.0</v>
      </c>
      <c r="F355" s="7">
        <v>2.0</v>
      </c>
      <c r="G355" s="7" t="s">
        <v>83</v>
      </c>
      <c r="H355" s="7" t="s">
        <v>491</v>
      </c>
      <c r="I355" s="7" t="s">
        <v>103</v>
      </c>
    </row>
    <row r="356">
      <c r="A356" s="7" t="s">
        <v>17</v>
      </c>
      <c r="B356" s="7" t="s">
        <v>511</v>
      </c>
      <c r="C356" s="8">
        <f>IFERROR(__xludf.DUMMYFUNCTION("SPLIT(B356,""RM"")"),1198000.0)</f>
        <v>1198000</v>
      </c>
      <c r="D356" s="7" t="s">
        <v>197</v>
      </c>
      <c r="E356" s="7">
        <v>1.0</v>
      </c>
      <c r="F356" s="7">
        <v>1.0</v>
      </c>
      <c r="G356" s="7" t="s">
        <v>121</v>
      </c>
      <c r="H356" s="7" t="s">
        <v>512</v>
      </c>
      <c r="I356" s="7" t="s">
        <v>22</v>
      </c>
    </row>
    <row r="357">
      <c r="A357" s="7" t="s">
        <v>17</v>
      </c>
      <c r="B357" s="7" t="s">
        <v>191</v>
      </c>
      <c r="C357" s="8">
        <f>IFERROR(__xludf.DUMMYFUNCTION("SPLIT(B357,""RM"")"),1000000.0)</f>
        <v>1000000</v>
      </c>
      <c r="D357" s="7" t="s">
        <v>325</v>
      </c>
      <c r="E357" s="7">
        <v>1.0</v>
      </c>
      <c r="F357" s="7">
        <v>1.0</v>
      </c>
      <c r="G357" s="7" t="s">
        <v>96</v>
      </c>
      <c r="H357" s="7" t="s">
        <v>252</v>
      </c>
      <c r="I357" s="7" t="s">
        <v>27</v>
      </c>
    </row>
    <row r="358">
      <c r="A358" s="7" t="s">
        <v>177</v>
      </c>
      <c r="B358" s="7" t="s">
        <v>513</v>
      </c>
      <c r="C358" s="8">
        <f>IFERROR(__xludf.DUMMYFUNCTION("SPLIT(B358,""RM"")"),1.2E7)</f>
        <v>12000000</v>
      </c>
      <c r="D358" s="7" t="s">
        <v>60</v>
      </c>
      <c r="E358" s="7">
        <v>6.0</v>
      </c>
      <c r="F358" s="7">
        <v>4.0</v>
      </c>
      <c r="G358" s="7" t="s">
        <v>25</v>
      </c>
      <c r="H358" s="7" t="s">
        <v>514</v>
      </c>
      <c r="I358" s="7" t="s">
        <v>27</v>
      </c>
    </row>
    <row r="359">
      <c r="A359" s="7" t="s">
        <v>37</v>
      </c>
      <c r="B359" s="7" t="s">
        <v>239</v>
      </c>
      <c r="C359" s="8">
        <f>IFERROR(__xludf.DUMMYFUNCTION("SPLIT(B359,""RM"")"),1280000.0)</f>
        <v>1280000</v>
      </c>
      <c r="D359" s="7">
        <v>4.0</v>
      </c>
      <c r="E359" s="7">
        <v>3.0</v>
      </c>
      <c r="F359" s="7">
        <v>2.0</v>
      </c>
      <c r="G359" s="7" t="s">
        <v>54</v>
      </c>
      <c r="H359" s="7" t="s">
        <v>47</v>
      </c>
      <c r="I359" s="7" t="s">
        <v>27</v>
      </c>
    </row>
    <row r="360">
      <c r="A360" s="7" t="s">
        <v>17</v>
      </c>
      <c r="B360" s="7" t="s">
        <v>73</v>
      </c>
      <c r="C360" s="8">
        <f>IFERROR(__xludf.DUMMYFUNCTION("SPLIT(B360,""RM"")"),1780000.0)</f>
        <v>1780000</v>
      </c>
      <c r="D360" s="7">
        <v>1.0</v>
      </c>
      <c r="E360" s="7">
        <v>1.0</v>
      </c>
      <c r="F360" s="7">
        <v>1.0</v>
      </c>
      <c r="G360" s="7" t="s">
        <v>20</v>
      </c>
      <c r="H360" s="7" t="s">
        <v>226</v>
      </c>
      <c r="I360" s="7" t="s">
        <v>22</v>
      </c>
    </row>
    <row r="361">
      <c r="A361" s="7" t="s">
        <v>515</v>
      </c>
      <c r="B361" s="7" t="s">
        <v>497</v>
      </c>
      <c r="C361" s="8">
        <f>IFERROR(__xludf.DUMMYFUNCTION("SPLIT(B361,""RM"")"),5900000.0)</f>
        <v>5900000</v>
      </c>
      <c r="D361" s="7" t="s">
        <v>60</v>
      </c>
      <c r="E361" s="7">
        <v>8.0</v>
      </c>
      <c r="G361" s="7" t="s">
        <v>67</v>
      </c>
      <c r="H361" s="7" t="s">
        <v>516</v>
      </c>
      <c r="I361" s="7" t="s">
        <v>27</v>
      </c>
    </row>
    <row r="362">
      <c r="A362" s="7" t="s">
        <v>17</v>
      </c>
      <c r="B362" s="7" t="s">
        <v>125</v>
      </c>
      <c r="C362" s="8">
        <f>IFERROR(__xludf.DUMMYFUNCTION("SPLIT(B362,""RM"")"),2300000.0)</f>
        <v>2300000</v>
      </c>
      <c r="D362" s="7">
        <v>1.0</v>
      </c>
      <c r="E362" s="7">
        <v>1.0</v>
      </c>
      <c r="F362" s="7">
        <v>1.0</v>
      </c>
      <c r="G362" s="7" t="s">
        <v>20</v>
      </c>
      <c r="H362" s="7" t="s">
        <v>126</v>
      </c>
      <c r="I362" s="7" t="s">
        <v>27</v>
      </c>
    </row>
    <row r="363">
      <c r="A363" s="7" t="s">
        <v>89</v>
      </c>
      <c r="B363" s="7" t="s">
        <v>517</v>
      </c>
      <c r="C363" s="8">
        <f>IFERROR(__xludf.DUMMYFUNCTION("SPLIT(B363,""RM"")"),1340000.0)</f>
        <v>1340000</v>
      </c>
      <c r="D363" s="7" t="s">
        <v>35</v>
      </c>
      <c r="E363" s="7">
        <v>6.0</v>
      </c>
      <c r="F363" s="7">
        <v>4.0</v>
      </c>
      <c r="G363" s="7" t="s">
        <v>90</v>
      </c>
      <c r="H363" s="7" t="s">
        <v>344</v>
      </c>
      <c r="I363" s="7" t="s">
        <v>27</v>
      </c>
    </row>
    <row r="364">
      <c r="A364" s="7" t="s">
        <v>89</v>
      </c>
      <c r="B364" s="7" t="s">
        <v>403</v>
      </c>
      <c r="C364" s="8">
        <f>IFERROR(__xludf.DUMMYFUNCTION("SPLIT(B364,""RM"")"),1600000.0)</f>
        <v>1600000</v>
      </c>
      <c r="D364" s="7" t="s">
        <v>35</v>
      </c>
      <c r="E364" s="7">
        <v>6.0</v>
      </c>
      <c r="F364" s="7">
        <v>4.0</v>
      </c>
      <c r="G364" s="7" t="s">
        <v>282</v>
      </c>
      <c r="H364" s="7" t="s">
        <v>518</v>
      </c>
      <c r="I364" s="7" t="s">
        <v>27</v>
      </c>
    </row>
    <row r="365">
      <c r="A365" s="7" t="s">
        <v>17</v>
      </c>
      <c r="B365" s="7" t="s">
        <v>191</v>
      </c>
      <c r="C365" s="8">
        <f>IFERROR(__xludf.DUMMYFUNCTION("SPLIT(B365,""RM"")"),1000000.0)</f>
        <v>1000000</v>
      </c>
      <c r="D365" s="7">
        <v>1.0</v>
      </c>
      <c r="E365" s="7">
        <v>1.0</v>
      </c>
      <c r="F365" s="7">
        <v>1.0</v>
      </c>
      <c r="G365" s="7" t="s">
        <v>83</v>
      </c>
      <c r="H365" s="7" t="s">
        <v>393</v>
      </c>
      <c r="I365" s="7" t="s">
        <v>27</v>
      </c>
    </row>
    <row r="366">
      <c r="A366" s="7" t="s">
        <v>17</v>
      </c>
      <c r="B366" s="7" t="s">
        <v>245</v>
      </c>
      <c r="C366" s="8">
        <f>IFERROR(__xludf.DUMMYFUNCTION("SPLIT(B366,""RM"")"),800000.0)</f>
        <v>800000</v>
      </c>
      <c r="D366" s="7" t="s">
        <v>19</v>
      </c>
      <c r="E366" s="7">
        <v>3.0</v>
      </c>
      <c r="F366" s="7">
        <v>1.0</v>
      </c>
      <c r="G366" s="7" t="s">
        <v>121</v>
      </c>
      <c r="H366" s="7" t="s">
        <v>519</v>
      </c>
      <c r="I366" s="7" t="s">
        <v>22</v>
      </c>
    </row>
    <row r="367">
      <c r="A367" s="7" t="s">
        <v>155</v>
      </c>
      <c r="B367" s="7" t="s">
        <v>520</v>
      </c>
      <c r="C367" s="8">
        <f>IFERROR(__xludf.DUMMYFUNCTION("SPLIT(B367,""RM"")"),320000.0)</f>
        <v>320000</v>
      </c>
      <c r="D367" s="7">
        <v>4.0</v>
      </c>
      <c r="E367" s="7">
        <v>2.0</v>
      </c>
      <c r="F367" s="7">
        <v>2.0</v>
      </c>
      <c r="G367" s="7" t="s">
        <v>121</v>
      </c>
      <c r="H367" s="7" t="s">
        <v>521</v>
      </c>
      <c r="I367" s="7" t="s">
        <v>103</v>
      </c>
    </row>
    <row r="368">
      <c r="A368" s="7" t="s">
        <v>89</v>
      </c>
      <c r="B368" s="7" t="s">
        <v>517</v>
      </c>
      <c r="C368" s="8">
        <f>IFERROR(__xludf.DUMMYFUNCTION("SPLIT(B368,""RM"")"),1340000.0)</f>
        <v>1340000</v>
      </c>
      <c r="D368" s="7" t="s">
        <v>35</v>
      </c>
      <c r="E368" s="7">
        <v>6.0</v>
      </c>
      <c r="G368" s="7" t="s">
        <v>90</v>
      </c>
      <c r="H368" s="7" t="s">
        <v>522</v>
      </c>
      <c r="I368" s="7" t="s">
        <v>103</v>
      </c>
    </row>
    <row r="369">
      <c r="A369" s="7" t="s">
        <v>17</v>
      </c>
      <c r="B369" s="7" t="s">
        <v>120</v>
      </c>
      <c r="C369" s="8">
        <f>IFERROR(__xludf.DUMMYFUNCTION("SPLIT(B369,""RM"")"),3600000.0)</f>
        <v>3600000</v>
      </c>
      <c r="D369" s="7" t="s">
        <v>57</v>
      </c>
      <c r="E369" s="7">
        <v>5.0</v>
      </c>
      <c r="F369" s="7">
        <v>2.0</v>
      </c>
      <c r="G369" s="7" t="s">
        <v>121</v>
      </c>
      <c r="H369" s="7" t="s">
        <v>122</v>
      </c>
      <c r="I369" s="7" t="s">
        <v>27</v>
      </c>
    </row>
    <row r="370">
      <c r="A370" s="7" t="s">
        <v>188</v>
      </c>
      <c r="B370" s="7" t="s">
        <v>523</v>
      </c>
      <c r="C370" s="8">
        <f>IFERROR(__xludf.DUMMYFUNCTION("SPLIT(B370,""RM"")"),6000000.0)</f>
        <v>6000000</v>
      </c>
      <c r="D370" s="7" t="s">
        <v>35</v>
      </c>
      <c r="E370" s="7">
        <v>5.0</v>
      </c>
      <c r="F370" s="7">
        <v>2.0</v>
      </c>
      <c r="G370" s="7" t="s">
        <v>121</v>
      </c>
      <c r="H370" s="7" t="s">
        <v>524</v>
      </c>
      <c r="I370" s="7" t="s">
        <v>27</v>
      </c>
    </row>
    <row r="371">
      <c r="A371" s="7" t="s">
        <v>37</v>
      </c>
      <c r="B371" s="7" t="s">
        <v>525</v>
      </c>
      <c r="C371" s="8">
        <f>IFERROR(__xludf.DUMMYFUNCTION("SPLIT(B371,""RM"")"),1090000.0)</f>
        <v>1090000</v>
      </c>
      <c r="D371" s="7">
        <v>3.0</v>
      </c>
      <c r="E371" s="7">
        <v>2.0</v>
      </c>
      <c r="F371" s="7">
        <v>2.0</v>
      </c>
      <c r="G371" s="7" t="s">
        <v>343</v>
      </c>
      <c r="H371" s="7" t="s">
        <v>344</v>
      </c>
      <c r="I371" s="7" t="s">
        <v>27</v>
      </c>
    </row>
    <row r="372">
      <c r="A372" s="7" t="s">
        <v>17</v>
      </c>
      <c r="B372" s="7" t="s">
        <v>18</v>
      </c>
      <c r="C372" s="8">
        <f>IFERROR(__xludf.DUMMYFUNCTION("SPLIT(B372,""RM"")"),1250000.0)</f>
        <v>1250000</v>
      </c>
      <c r="D372" s="7" t="s">
        <v>57</v>
      </c>
      <c r="E372" s="7">
        <v>4.0</v>
      </c>
      <c r="F372" s="7">
        <v>2.0</v>
      </c>
      <c r="G372" s="7" t="s">
        <v>385</v>
      </c>
      <c r="H372" s="7" t="s">
        <v>490</v>
      </c>
      <c r="I372" s="7" t="s">
        <v>22</v>
      </c>
    </row>
    <row r="373">
      <c r="A373" s="7" t="s">
        <v>17</v>
      </c>
      <c r="B373" s="7" t="s">
        <v>125</v>
      </c>
      <c r="C373" s="8">
        <f>IFERROR(__xludf.DUMMYFUNCTION("SPLIT(B373,""RM"")"),2300000.0)</f>
        <v>2300000</v>
      </c>
      <c r="D373" s="7">
        <v>1.0</v>
      </c>
      <c r="E373" s="7">
        <v>2.0</v>
      </c>
      <c r="F373" s="7">
        <v>1.0</v>
      </c>
      <c r="G373" s="7" t="s">
        <v>20</v>
      </c>
      <c r="H373" s="7" t="s">
        <v>126</v>
      </c>
      <c r="I373" s="7" t="s">
        <v>27</v>
      </c>
    </row>
    <row r="374">
      <c r="A374" s="7" t="s">
        <v>37</v>
      </c>
      <c r="B374" s="7" t="s">
        <v>526</v>
      </c>
      <c r="C374" s="8">
        <f>IFERROR(__xludf.DUMMYFUNCTION("SPLIT(B374,""RM"")"),1330000.0)</f>
        <v>1330000</v>
      </c>
      <c r="D374" s="7" t="s">
        <v>57</v>
      </c>
      <c r="E374" s="7">
        <v>3.0</v>
      </c>
      <c r="F374" s="7">
        <v>2.0</v>
      </c>
      <c r="G374" s="7" t="s">
        <v>54</v>
      </c>
      <c r="H374" s="7" t="s">
        <v>280</v>
      </c>
      <c r="I374" s="7" t="s">
        <v>27</v>
      </c>
    </row>
    <row r="375">
      <c r="A375" s="7" t="s">
        <v>33</v>
      </c>
      <c r="B375" s="7" t="s">
        <v>34</v>
      </c>
      <c r="C375" s="8">
        <f>IFERROR(__xludf.DUMMYFUNCTION("SPLIT(B375,""RM"")"),900000.0)</f>
        <v>900000</v>
      </c>
      <c r="D375" s="7" t="s">
        <v>35</v>
      </c>
      <c r="E375" s="7">
        <v>3.0</v>
      </c>
      <c r="F375" s="7">
        <v>3.0</v>
      </c>
      <c r="G375" s="7" t="s">
        <v>30</v>
      </c>
      <c r="H375" s="7" t="s">
        <v>36</v>
      </c>
      <c r="I375" s="7" t="s">
        <v>27</v>
      </c>
    </row>
    <row r="376">
      <c r="A376" s="7" t="s">
        <v>72</v>
      </c>
      <c r="B376" s="7" t="s">
        <v>158</v>
      </c>
      <c r="C376" s="8">
        <f>IFERROR(__xludf.DUMMYFUNCTION("SPLIT(B376,""RM"")"),1850000.0)</f>
        <v>1850000</v>
      </c>
      <c r="D376" s="7" t="s">
        <v>35</v>
      </c>
      <c r="E376" s="7">
        <v>4.0</v>
      </c>
      <c r="F376" s="7">
        <v>2.0</v>
      </c>
      <c r="G376" s="7" t="s">
        <v>93</v>
      </c>
      <c r="H376" s="7" t="s">
        <v>74</v>
      </c>
      <c r="I376" s="7" t="s">
        <v>27</v>
      </c>
    </row>
    <row r="377">
      <c r="A377" s="7" t="s">
        <v>17</v>
      </c>
      <c r="B377" s="7" t="s">
        <v>110</v>
      </c>
      <c r="C377" s="8">
        <f>IFERROR(__xludf.DUMMYFUNCTION("SPLIT(B377,""RM"")"),2400000.0)</f>
        <v>2400000</v>
      </c>
      <c r="D377" s="7">
        <v>2.0</v>
      </c>
      <c r="E377" s="7">
        <v>2.0</v>
      </c>
      <c r="F377" s="7">
        <v>1.0</v>
      </c>
      <c r="G377" s="7" t="s">
        <v>20</v>
      </c>
      <c r="H377" s="7" t="s">
        <v>111</v>
      </c>
      <c r="I377" s="7" t="s">
        <v>27</v>
      </c>
    </row>
    <row r="378">
      <c r="A378" s="7" t="s">
        <v>371</v>
      </c>
      <c r="B378" s="7" t="s">
        <v>527</v>
      </c>
      <c r="C378" s="8">
        <f>IFERROR(__xludf.DUMMYFUNCTION("SPLIT(B378,""RM"")"),1613300.0)</f>
        <v>1613300</v>
      </c>
      <c r="D378" s="7" t="s">
        <v>57</v>
      </c>
      <c r="E378" s="7">
        <v>5.0</v>
      </c>
      <c r="F378" s="7">
        <v>3.0</v>
      </c>
      <c r="G378" s="7" t="s">
        <v>83</v>
      </c>
      <c r="H378" s="7" t="s">
        <v>528</v>
      </c>
      <c r="I378" s="7" t="s">
        <v>27</v>
      </c>
    </row>
    <row r="379">
      <c r="A379" s="7" t="s">
        <v>17</v>
      </c>
      <c r="B379" s="7" t="s">
        <v>529</v>
      </c>
      <c r="C379" s="8">
        <f>IFERROR(__xludf.DUMMYFUNCTION("SPLIT(B379,""RM"")"),2440000.0)</f>
        <v>2440000</v>
      </c>
      <c r="D379" s="7">
        <v>1.0</v>
      </c>
      <c r="E379" s="7">
        <v>2.0</v>
      </c>
      <c r="F379" s="7">
        <v>1.0</v>
      </c>
      <c r="G379" s="7" t="s">
        <v>121</v>
      </c>
      <c r="H379" s="7" t="s">
        <v>126</v>
      </c>
      <c r="I379" s="7" t="s">
        <v>22</v>
      </c>
    </row>
    <row r="380">
      <c r="A380" s="7" t="s">
        <v>23</v>
      </c>
      <c r="B380" s="7" t="s">
        <v>530</v>
      </c>
      <c r="C380" s="8">
        <f>IFERROR(__xludf.DUMMYFUNCTION("SPLIT(B380,""RM"")"),5000000.0)</f>
        <v>5000000</v>
      </c>
      <c r="D380" s="7" t="s">
        <v>57</v>
      </c>
      <c r="E380" s="7">
        <v>3.0</v>
      </c>
      <c r="F380" s="7">
        <v>4.0</v>
      </c>
      <c r="G380" s="7" t="s">
        <v>67</v>
      </c>
      <c r="H380" s="7" t="s">
        <v>531</v>
      </c>
      <c r="I380" s="7" t="s">
        <v>27</v>
      </c>
    </row>
    <row r="381">
      <c r="A381" s="7" t="s">
        <v>432</v>
      </c>
      <c r="B381" s="7" t="s">
        <v>532</v>
      </c>
      <c r="C381" s="8">
        <f>IFERROR(__xludf.DUMMYFUNCTION("SPLIT(B381,""RM"")"),7300000.0)</f>
        <v>7300000</v>
      </c>
      <c r="D381" s="7">
        <v>6.0</v>
      </c>
      <c r="E381" s="7">
        <v>6.0</v>
      </c>
      <c r="F381" s="7">
        <v>6.0</v>
      </c>
      <c r="G381" s="7" t="s">
        <v>67</v>
      </c>
      <c r="H381" s="7" t="s">
        <v>533</v>
      </c>
      <c r="I381" s="7" t="s">
        <v>27</v>
      </c>
    </row>
    <row r="382">
      <c r="A382" s="7" t="s">
        <v>33</v>
      </c>
      <c r="B382" s="7" t="s">
        <v>361</v>
      </c>
      <c r="C382" s="8">
        <f>IFERROR(__xludf.DUMMYFUNCTION("SPLIT(B382,""RM"")"),530000.0)</f>
        <v>530000</v>
      </c>
      <c r="D382" s="7">
        <v>3.0</v>
      </c>
      <c r="E382" s="7">
        <v>3.0</v>
      </c>
      <c r="F382" s="7">
        <v>2.0</v>
      </c>
      <c r="G382" s="7" t="s">
        <v>93</v>
      </c>
      <c r="I382" s="7" t="s">
        <v>27</v>
      </c>
    </row>
    <row r="383">
      <c r="A383" s="7" t="s">
        <v>17</v>
      </c>
      <c r="B383" s="7" t="s">
        <v>534</v>
      </c>
      <c r="C383" s="8">
        <f>IFERROR(__xludf.DUMMYFUNCTION("SPLIT(B383,""RM"")"),3200000.0)</f>
        <v>3200000</v>
      </c>
      <c r="D383" s="7">
        <v>2.0</v>
      </c>
      <c r="E383" s="7">
        <v>2.0</v>
      </c>
      <c r="F383" s="7">
        <v>1.0</v>
      </c>
      <c r="G383" s="7" t="s">
        <v>20</v>
      </c>
      <c r="H383" s="7" t="s">
        <v>318</v>
      </c>
    </row>
    <row r="384">
      <c r="A384" s="7" t="s">
        <v>72</v>
      </c>
      <c r="B384" s="7" t="s">
        <v>158</v>
      </c>
      <c r="C384" s="8">
        <f>IFERROR(__xludf.DUMMYFUNCTION("SPLIT(B384,""RM"")"),1850000.0)</f>
        <v>1850000</v>
      </c>
      <c r="D384" s="7" t="s">
        <v>35</v>
      </c>
      <c r="E384" s="7">
        <v>4.0</v>
      </c>
      <c r="F384" s="7">
        <v>2.0</v>
      </c>
      <c r="G384" s="7" t="s">
        <v>93</v>
      </c>
      <c r="H384" s="7" t="s">
        <v>74</v>
      </c>
      <c r="I384" s="7" t="s">
        <v>27</v>
      </c>
    </row>
    <row r="385">
      <c r="A385" s="7" t="s">
        <v>164</v>
      </c>
      <c r="B385" s="7" t="s">
        <v>535</v>
      </c>
      <c r="C385" s="8">
        <f>IFERROR(__xludf.DUMMYFUNCTION("SPLIT(B385,""RM"")"),783990.0)</f>
        <v>783990</v>
      </c>
      <c r="D385" s="7">
        <v>1.0</v>
      </c>
      <c r="E385" s="7">
        <v>1.0</v>
      </c>
      <c r="F385" s="7">
        <v>1.0</v>
      </c>
      <c r="G385" s="7" t="s">
        <v>20</v>
      </c>
      <c r="H385" s="7" t="s">
        <v>242</v>
      </c>
      <c r="I385" s="7" t="s">
        <v>27</v>
      </c>
    </row>
    <row r="386">
      <c r="A386" s="7" t="s">
        <v>223</v>
      </c>
      <c r="B386" s="7" t="s">
        <v>536</v>
      </c>
      <c r="C386" s="8">
        <f>IFERROR(__xludf.DUMMYFUNCTION("SPLIT(B386,""RM"")"),495000.0)</f>
        <v>495000</v>
      </c>
      <c r="D386" s="7">
        <v>1.0</v>
      </c>
      <c r="E386" s="7">
        <v>1.0</v>
      </c>
      <c r="G386" s="7" t="s">
        <v>82</v>
      </c>
      <c r="H386" s="7" t="s">
        <v>537</v>
      </c>
      <c r="I386" s="7" t="s">
        <v>22</v>
      </c>
    </row>
    <row r="387">
      <c r="A387" s="7" t="s">
        <v>538</v>
      </c>
      <c r="B387" s="7" t="s">
        <v>539</v>
      </c>
      <c r="C387" s="8">
        <f>IFERROR(__xludf.DUMMYFUNCTION("SPLIT(B387,""RM"")"),569200.0)</f>
        <v>569200</v>
      </c>
      <c r="D387" s="7" t="s">
        <v>197</v>
      </c>
      <c r="E387" s="7">
        <v>2.0</v>
      </c>
      <c r="F387" s="7">
        <v>2.0</v>
      </c>
      <c r="G387" s="7" t="s">
        <v>20</v>
      </c>
      <c r="H387" s="7" t="s">
        <v>540</v>
      </c>
      <c r="I387" s="7" t="s">
        <v>103</v>
      </c>
    </row>
    <row r="388">
      <c r="A388" s="7" t="s">
        <v>32</v>
      </c>
      <c r="B388" s="7" t="s">
        <v>541</v>
      </c>
      <c r="C388" s="8">
        <f>IFERROR(__xludf.DUMMYFUNCTION("SPLIT(B388,""RM"")"),439600.0)</f>
        <v>439600</v>
      </c>
      <c r="D388" s="7">
        <v>3.0</v>
      </c>
      <c r="E388" s="7">
        <v>2.0</v>
      </c>
      <c r="F388" s="7">
        <v>2.0</v>
      </c>
      <c r="G388" s="7" t="s">
        <v>93</v>
      </c>
      <c r="H388" s="7" t="s">
        <v>542</v>
      </c>
      <c r="I388" s="7" t="s">
        <v>27</v>
      </c>
    </row>
    <row r="389">
      <c r="A389" s="7" t="s">
        <v>37</v>
      </c>
      <c r="B389" s="7" t="s">
        <v>134</v>
      </c>
      <c r="C389" s="8">
        <f>IFERROR(__xludf.DUMMYFUNCTION("SPLIT(B389,""RM"")"),1150000.0)</f>
        <v>1150000</v>
      </c>
      <c r="D389" s="7">
        <v>3.0</v>
      </c>
      <c r="E389" s="7">
        <v>2.0</v>
      </c>
      <c r="F389" s="7">
        <v>1.0</v>
      </c>
      <c r="G389" s="7" t="s">
        <v>30</v>
      </c>
      <c r="H389" s="7" t="s">
        <v>276</v>
      </c>
      <c r="I389" s="7" t="s">
        <v>27</v>
      </c>
    </row>
    <row r="390">
      <c r="A390" s="7" t="s">
        <v>33</v>
      </c>
      <c r="B390" s="7" t="s">
        <v>543</v>
      </c>
      <c r="C390" s="8">
        <f>IFERROR(__xludf.DUMMYFUNCTION("SPLIT(B390,""RM"")"),425000.0)</f>
        <v>425000</v>
      </c>
      <c r="D390" s="7">
        <v>4.0</v>
      </c>
      <c r="E390" s="7">
        <v>2.0</v>
      </c>
      <c r="F390" s="7">
        <v>1.0</v>
      </c>
      <c r="G390" s="7" t="s">
        <v>93</v>
      </c>
      <c r="H390" s="7" t="s">
        <v>544</v>
      </c>
      <c r="I390" s="7" t="s">
        <v>27</v>
      </c>
    </row>
    <row r="391">
      <c r="A391" s="7" t="s">
        <v>177</v>
      </c>
      <c r="B391" s="7" t="s">
        <v>545</v>
      </c>
      <c r="C391" s="8">
        <f>IFERROR(__xludf.DUMMYFUNCTION("SPLIT(B391,""RM"")"),1.0E7)</f>
        <v>10000000</v>
      </c>
      <c r="D391" s="7" t="s">
        <v>70</v>
      </c>
      <c r="E391" s="7">
        <v>7.0</v>
      </c>
      <c r="F391" s="7">
        <v>5.0</v>
      </c>
      <c r="G391" s="7" t="s">
        <v>30</v>
      </c>
      <c r="H391" s="7" t="s">
        <v>546</v>
      </c>
      <c r="I391" s="7" t="s">
        <v>27</v>
      </c>
    </row>
    <row r="392">
      <c r="A392" s="7" t="s">
        <v>72</v>
      </c>
      <c r="B392" s="7" t="s">
        <v>144</v>
      </c>
      <c r="C392" s="8">
        <f>IFERROR(__xludf.DUMMYFUNCTION("SPLIT(B392,""RM"")"),1800000.0)</f>
        <v>1800000</v>
      </c>
      <c r="D392" s="7" t="s">
        <v>57</v>
      </c>
      <c r="E392" s="7">
        <v>4.0</v>
      </c>
      <c r="F392" s="7">
        <v>2.0</v>
      </c>
      <c r="G392" s="7" t="s">
        <v>30</v>
      </c>
      <c r="H392" s="7" t="s">
        <v>278</v>
      </c>
      <c r="I392" s="7" t="s">
        <v>27</v>
      </c>
    </row>
    <row r="393">
      <c r="A393" s="7" t="s">
        <v>267</v>
      </c>
      <c r="B393" s="7" t="s">
        <v>260</v>
      </c>
      <c r="C393" s="8">
        <f>IFERROR(__xludf.DUMMYFUNCTION("SPLIT(B393,""RM"")"),1480000.0)</f>
        <v>1480000</v>
      </c>
      <c r="D393" s="7" t="s">
        <v>57</v>
      </c>
      <c r="E393" s="7">
        <v>3.0</v>
      </c>
      <c r="G393" s="7" t="s">
        <v>54</v>
      </c>
      <c r="H393" s="7" t="s">
        <v>547</v>
      </c>
    </row>
    <row r="394">
      <c r="A394" s="7" t="s">
        <v>32</v>
      </c>
      <c r="B394" s="7" t="s">
        <v>541</v>
      </c>
      <c r="C394" s="8">
        <f>IFERROR(__xludf.DUMMYFUNCTION("SPLIT(B394,""RM"")"),439600.0)</f>
        <v>439600</v>
      </c>
      <c r="D394" s="7">
        <v>3.0</v>
      </c>
      <c r="E394" s="7">
        <v>2.0</v>
      </c>
      <c r="F394" s="7">
        <v>2.0</v>
      </c>
      <c r="G394" s="7" t="s">
        <v>83</v>
      </c>
      <c r="H394" s="7" t="s">
        <v>548</v>
      </c>
      <c r="I394" s="7" t="s">
        <v>27</v>
      </c>
    </row>
    <row r="395">
      <c r="A395" s="7" t="s">
        <v>177</v>
      </c>
      <c r="B395" s="7" t="s">
        <v>549</v>
      </c>
      <c r="C395" s="8">
        <f>IFERROR(__xludf.DUMMYFUNCTION("SPLIT(B395,""RM"")"),6670000.0)</f>
        <v>6670000</v>
      </c>
      <c r="D395" s="7" t="s">
        <v>35</v>
      </c>
      <c r="E395" s="7">
        <v>6.0</v>
      </c>
      <c r="G395" s="7" t="s">
        <v>83</v>
      </c>
      <c r="H395" s="7" t="s">
        <v>550</v>
      </c>
      <c r="I395" s="7" t="s">
        <v>27</v>
      </c>
    </row>
    <row r="396">
      <c r="A396" s="7" t="s">
        <v>109</v>
      </c>
      <c r="B396" s="7" t="s">
        <v>172</v>
      </c>
      <c r="C396" s="8">
        <f>IFERROR(__xludf.DUMMYFUNCTION("SPLIT(B396,""RM"")"),580000.0)</f>
        <v>580000</v>
      </c>
      <c r="D396" s="7">
        <v>3.0</v>
      </c>
      <c r="E396" s="7">
        <v>2.0</v>
      </c>
      <c r="F396" s="7">
        <v>1.0</v>
      </c>
      <c r="G396" s="7" t="s">
        <v>30</v>
      </c>
      <c r="H396" s="7" t="s">
        <v>551</v>
      </c>
      <c r="I396" s="7" t="s">
        <v>27</v>
      </c>
    </row>
    <row r="397">
      <c r="A397" s="7" t="s">
        <v>72</v>
      </c>
      <c r="B397" s="7" t="s">
        <v>552</v>
      </c>
      <c r="C397" s="8">
        <f>IFERROR(__xludf.DUMMYFUNCTION("SPLIT(B397,""RM"")"),618000.0)</f>
        <v>618000</v>
      </c>
      <c r="D397" s="7">
        <v>1.0</v>
      </c>
      <c r="E397" s="7">
        <v>1.0</v>
      </c>
      <c r="F397" s="7">
        <v>1.0</v>
      </c>
      <c r="G397" s="7" t="s">
        <v>82</v>
      </c>
      <c r="H397" s="7" t="s">
        <v>553</v>
      </c>
      <c r="I397" s="7" t="s">
        <v>22</v>
      </c>
    </row>
    <row r="398">
      <c r="A398" s="7" t="s">
        <v>72</v>
      </c>
      <c r="B398" s="7" t="s">
        <v>554</v>
      </c>
      <c r="C398" s="8">
        <f>IFERROR(__xludf.DUMMYFUNCTION("SPLIT(B398,""RM"")"),1518000.0)</f>
        <v>1518000</v>
      </c>
      <c r="D398" s="7" t="s">
        <v>57</v>
      </c>
      <c r="E398" s="7">
        <v>3.0</v>
      </c>
      <c r="F398" s="7">
        <v>3.0</v>
      </c>
      <c r="G398" s="7" t="s">
        <v>30</v>
      </c>
      <c r="H398" s="7" t="s">
        <v>555</v>
      </c>
      <c r="I398" s="7" t="s">
        <v>27</v>
      </c>
    </row>
    <row r="399">
      <c r="A399" s="7" t="s">
        <v>72</v>
      </c>
      <c r="B399" s="7" t="s">
        <v>556</v>
      </c>
      <c r="C399" s="8">
        <f>IFERROR(__xludf.DUMMYFUNCTION("SPLIT(B399,""RM"")"),2220000.0)</f>
        <v>2220000</v>
      </c>
      <c r="D399" s="7" t="s">
        <v>35</v>
      </c>
      <c r="E399" s="7">
        <v>4.0</v>
      </c>
      <c r="F399" s="7">
        <v>3.0</v>
      </c>
      <c r="G399" s="7" t="s">
        <v>83</v>
      </c>
      <c r="H399" s="7" t="s">
        <v>456</v>
      </c>
      <c r="I399" s="7" t="s">
        <v>27</v>
      </c>
    </row>
    <row r="400">
      <c r="A400" s="7" t="s">
        <v>17</v>
      </c>
      <c r="B400" s="7" t="s">
        <v>120</v>
      </c>
      <c r="C400" s="8">
        <f>IFERROR(__xludf.DUMMYFUNCTION("SPLIT(B400,""RM"")"),3600000.0)</f>
        <v>3600000</v>
      </c>
      <c r="D400" s="7">
        <v>4.0</v>
      </c>
      <c r="E400" s="7">
        <v>4.0</v>
      </c>
      <c r="F400" s="7">
        <v>2.0</v>
      </c>
      <c r="G400" s="7" t="s">
        <v>121</v>
      </c>
      <c r="H400" s="7" t="s">
        <v>122</v>
      </c>
      <c r="I400" s="7" t="s">
        <v>22</v>
      </c>
    </row>
    <row r="401">
      <c r="A401" s="7" t="s">
        <v>37</v>
      </c>
      <c r="B401" s="7" t="s">
        <v>134</v>
      </c>
      <c r="C401" s="8">
        <f>IFERROR(__xludf.DUMMYFUNCTION("SPLIT(B401,""RM"")"),1150000.0)</f>
        <v>1150000</v>
      </c>
      <c r="D401" s="7">
        <v>3.0</v>
      </c>
      <c r="E401" s="7">
        <v>2.0</v>
      </c>
      <c r="F401" s="7">
        <v>2.0</v>
      </c>
      <c r="G401" s="7" t="s">
        <v>343</v>
      </c>
      <c r="H401" s="7" t="s">
        <v>211</v>
      </c>
      <c r="I401" s="7" t="s">
        <v>27</v>
      </c>
    </row>
    <row r="402">
      <c r="A402" s="7" t="s">
        <v>77</v>
      </c>
      <c r="B402" s="7" t="s">
        <v>475</v>
      </c>
      <c r="C402" s="8">
        <f>IFERROR(__xludf.DUMMYFUNCTION("SPLIT(B402,""RM"")"),2800000.0)</f>
        <v>2800000</v>
      </c>
      <c r="D402" s="7" t="s">
        <v>35</v>
      </c>
      <c r="E402" s="7">
        <v>4.0</v>
      </c>
      <c r="F402" s="7">
        <v>3.0</v>
      </c>
      <c r="G402" s="7" t="s">
        <v>46</v>
      </c>
      <c r="H402" s="7" t="s">
        <v>557</v>
      </c>
      <c r="I402" s="7" t="s">
        <v>27</v>
      </c>
    </row>
    <row r="403">
      <c r="A403" s="7" t="s">
        <v>37</v>
      </c>
      <c r="B403" s="7" t="s">
        <v>63</v>
      </c>
      <c r="C403" s="8">
        <f>IFERROR(__xludf.DUMMYFUNCTION("SPLIT(B403,""RM"")"),3100000.0)</f>
        <v>3100000</v>
      </c>
      <c r="D403" s="7" t="s">
        <v>35</v>
      </c>
      <c r="E403" s="7">
        <v>4.0</v>
      </c>
      <c r="F403" s="7">
        <v>3.0</v>
      </c>
      <c r="G403" s="7" t="s">
        <v>43</v>
      </c>
      <c r="H403" s="7" t="s">
        <v>44</v>
      </c>
      <c r="I403" s="7" t="s">
        <v>27</v>
      </c>
    </row>
    <row r="404">
      <c r="A404" s="7" t="s">
        <v>37</v>
      </c>
      <c r="B404" s="7" t="s">
        <v>279</v>
      </c>
      <c r="C404" s="8">
        <f>IFERROR(__xludf.DUMMYFUNCTION("SPLIT(B404,""RM"")"),1380000.0)</f>
        <v>1380000</v>
      </c>
      <c r="D404" s="7">
        <v>4.0</v>
      </c>
      <c r="E404" s="7">
        <v>3.0</v>
      </c>
      <c r="F404" s="7">
        <v>2.0</v>
      </c>
      <c r="G404" s="7" t="s">
        <v>169</v>
      </c>
      <c r="H404" s="7" t="s">
        <v>558</v>
      </c>
      <c r="I404" s="7" t="s">
        <v>27</v>
      </c>
    </row>
    <row r="405">
      <c r="A405" s="7" t="s">
        <v>37</v>
      </c>
      <c r="B405" s="7" t="s">
        <v>85</v>
      </c>
      <c r="C405" s="8">
        <f>IFERROR(__xludf.DUMMYFUNCTION("SPLIT(B405,""RM"")"),1450000.0)</f>
        <v>1450000</v>
      </c>
      <c r="D405" s="7">
        <v>3.0</v>
      </c>
      <c r="E405" s="7">
        <v>2.0</v>
      </c>
      <c r="F405" s="7">
        <v>2.0</v>
      </c>
      <c r="G405" s="7" t="s">
        <v>343</v>
      </c>
      <c r="H405" s="7" t="s">
        <v>559</v>
      </c>
      <c r="I405" s="7" t="s">
        <v>22</v>
      </c>
    </row>
    <row r="406">
      <c r="A406" s="7" t="s">
        <v>177</v>
      </c>
      <c r="B406" s="7" t="s">
        <v>255</v>
      </c>
      <c r="C406" s="8">
        <f>IFERROR(__xludf.DUMMYFUNCTION("SPLIT(B406,""RM"")"),4900000.0)</f>
        <v>4900000</v>
      </c>
      <c r="D406" s="7">
        <v>7.0</v>
      </c>
      <c r="E406" s="7">
        <v>4.0</v>
      </c>
      <c r="F406" s="7">
        <v>4.0</v>
      </c>
      <c r="G406" s="7" t="s">
        <v>61</v>
      </c>
      <c r="H406" s="7" t="s">
        <v>560</v>
      </c>
      <c r="I406" s="7" t="s">
        <v>27</v>
      </c>
    </row>
    <row r="407">
      <c r="A407" s="7" t="s">
        <v>37</v>
      </c>
      <c r="B407" s="7" t="s">
        <v>53</v>
      </c>
      <c r="C407" s="8">
        <f>IFERROR(__xludf.DUMMYFUNCTION("SPLIT(B407,""RM"")"),1680000.0)</f>
        <v>1680000</v>
      </c>
      <c r="D407" s="7">
        <v>4.0</v>
      </c>
      <c r="E407" s="7">
        <v>3.0</v>
      </c>
      <c r="F407" s="7">
        <v>4.0</v>
      </c>
      <c r="G407" s="7" t="s">
        <v>169</v>
      </c>
      <c r="H407" s="7" t="s">
        <v>280</v>
      </c>
      <c r="I407" s="7" t="s">
        <v>27</v>
      </c>
    </row>
    <row r="408">
      <c r="A408" s="7" t="s">
        <v>23</v>
      </c>
      <c r="B408" s="7" t="s">
        <v>81</v>
      </c>
      <c r="C408" s="8">
        <f>IFERROR(__xludf.DUMMYFUNCTION("SPLIT(B408,""RM"")"),1550000.0)</f>
        <v>1550000</v>
      </c>
      <c r="D408" s="7">
        <v>4.0</v>
      </c>
      <c r="E408" s="7">
        <v>3.0</v>
      </c>
      <c r="F408" s="7">
        <v>2.0</v>
      </c>
      <c r="G408" s="7" t="s">
        <v>54</v>
      </c>
      <c r="H408" s="7" t="s">
        <v>344</v>
      </c>
      <c r="I408" s="7" t="s">
        <v>103</v>
      </c>
    </row>
    <row r="409">
      <c r="A409" s="7" t="s">
        <v>72</v>
      </c>
      <c r="B409" s="7" t="s">
        <v>45</v>
      </c>
      <c r="C409" s="8">
        <f>IFERROR(__xludf.DUMMYFUNCTION("SPLIT(B409,""RM"")"),1950000.0)</f>
        <v>1950000</v>
      </c>
      <c r="D409" s="7" t="s">
        <v>57</v>
      </c>
      <c r="E409" s="7">
        <v>4.0</v>
      </c>
      <c r="F409" s="7">
        <v>3.0</v>
      </c>
      <c r="G409" s="7" t="s">
        <v>83</v>
      </c>
      <c r="H409" s="7" t="s">
        <v>561</v>
      </c>
      <c r="I409" s="7" t="s">
        <v>22</v>
      </c>
    </row>
    <row r="410">
      <c r="A410" s="7" t="s">
        <v>77</v>
      </c>
      <c r="B410" s="7" t="s">
        <v>534</v>
      </c>
      <c r="C410" s="8">
        <f>IFERROR(__xludf.DUMMYFUNCTION("SPLIT(B410,""RM"")"),3200000.0)</f>
        <v>3200000</v>
      </c>
      <c r="D410" s="7" t="s">
        <v>35</v>
      </c>
      <c r="E410" s="7">
        <v>4.0</v>
      </c>
      <c r="G410" s="7" t="s">
        <v>562</v>
      </c>
      <c r="H410" s="7" t="s">
        <v>152</v>
      </c>
      <c r="I410" s="7" t="s">
        <v>27</v>
      </c>
    </row>
    <row r="411">
      <c r="A411" s="7" t="s">
        <v>17</v>
      </c>
      <c r="B411" s="7" t="s">
        <v>120</v>
      </c>
      <c r="C411" s="8">
        <f>IFERROR(__xludf.DUMMYFUNCTION("SPLIT(B411,""RM"")"),3600000.0)</f>
        <v>3600000</v>
      </c>
      <c r="D411" s="7" t="s">
        <v>57</v>
      </c>
      <c r="E411" s="7">
        <v>4.0</v>
      </c>
      <c r="F411" s="7">
        <v>2.0</v>
      </c>
      <c r="G411" s="7" t="s">
        <v>121</v>
      </c>
      <c r="H411" s="7" t="s">
        <v>122</v>
      </c>
      <c r="I411" s="7" t="s">
        <v>27</v>
      </c>
    </row>
    <row r="412">
      <c r="A412" s="7" t="s">
        <v>89</v>
      </c>
      <c r="B412" s="7" t="s">
        <v>563</v>
      </c>
      <c r="C412" s="8">
        <f>IFERROR(__xludf.DUMMYFUNCTION("SPLIT(B412,""RM"")"),600000.0)</f>
        <v>600000</v>
      </c>
      <c r="D412" s="7" t="s">
        <v>19</v>
      </c>
      <c r="E412" s="7">
        <v>2.0</v>
      </c>
      <c r="F412" s="7">
        <v>2.0</v>
      </c>
      <c r="G412" s="7" t="s">
        <v>82</v>
      </c>
      <c r="H412" s="7" t="s">
        <v>564</v>
      </c>
      <c r="I412" s="7" t="s">
        <v>27</v>
      </c>
    </row>
    <row r="413">
      <c r="A413" s="7" t="s">
        <v>180</v>
      </c>
      <c r="B413" s="7" t="s">
        <v>565</v>
      </c>
      <c r="C413" s="8">
        <f>IFERROR(__xludf.DUMMYFUNCTION("SPLIT(B413,""RM"")"),4130000.0)</f>
        <v>4130000</v>
      </c>
      <c r="D413" s="7" t="s">
        <v>35</v>
      </c>
      <c r="E413" s="7">
        <v>5.0</v>
      </c>
      <c r="F413" s="7">
        <v>2.0</v>
      </c>
      <c r="G413" s="7" t="s">
        <v>30</v>
      </c>
      <c r="H413" s="7" t="s">
        <v>182</v>
      </c>
      <c r="I413" s="7" t="s">
        <v>27</v>
      </c>
    </row>
    <row r="414">
      <c r="A414" s="7" t="s">
        <v>164</v>
      </c>
      <c r="B414" s="7" t="s">
        <v>125</v>
      </c>
      <c r="C414" s="8">
        <f>IFERROR(__xludf.DUMMYFUNCTION("SPLIT(B414,""RM"")"),2300000.0)</f>
        <v>2300000</v>
      </c>
      <c r="D414" s="7" t="s">
        <v>57</v>
      </c>
      <c r="E414" s="7">
        <v>4.0</v>
      </c>
      <c r="F414" s="7">
        <v>2.0</v>
      </c>
      <c r="G414" s="7" t="s">
        <v>20</v>
      </c>
      <c r="H414" s="7" t="s">
        <v>566</v>
      </c>
    </row>
    <row r="415">
      <c r="A415" s="7" t="s">
        <v>164</v>
      </c>
      <c r="B415" s="7" t="s">
        <v>567</v>
      </c>
      <c r="C415" s="8">
        <f>IFERROR(__xludf.DUMMYFUNCTION("SPLIT(B415,""RM"")"),5149700.0)</f>
        <v>5149700</v>
      </c>
      <c r="D415" s="7" t="s">
        <v>35</v>
      </c>
      <c r="E415" s="7">
        <v>5.0</v>
      </c>
      <c r="G415" s="7" t="s">
        <v>20</v>
      </c>
      <c r="H415" s="7" t="s">
        <v>568</v>
      </c>
    </row>
    <row r="416">
      <c r="A416" s="7" t="s">
        <v>164</v>
      </c>
      <c r="B416" s="7" t="s">
        <v>569</v>
      </c>
      <c r="C416" s="8">
        <f>IFERROR(__xludf.DUMMYFUNCTION("SPLIT(B416,""RM"")"),5129000.0)</f>
        <v>5129000</v>
      </c>
      <c r="D416" s="7" t="s">
        <v>35</v>
      </c>
      <c r="E416" s="7">
        <v>4.0</v>
      </c>
      <c r="G416" s="7" t="s">
        <v>20</v>
      </c>
      <c r="H416" s="7" t="s">
        <v>570</v>
      </c>
    </row>
    <row r="417">
      <c r="A417" s="7" t="s">
        <v>17</v>
      </c>
      <c r="B417" s="7" t="s">
        <v>73</v>
      </c>
      <c r="C417" s="8">
        <f>IFERROR(__xludf.DUMMYFUNCTION("SPLIT(B417,""RM"")"),1780000.0)</f>
        <v>1780000</v>
      </c>
      <c r="D417" s="7">
        <v>3.0</v>
      </c>
      <c r="E417" s="7">
        <v>3.0</v>
      </c>
      <c r="F417" s="7">
        <v>2.0</v>
      </c>
      <c r="G417" s="7" t="s">
        <v>83</v>
      </c>
      <c r="H417" s="7" t="s">
        <v>202</v>
      </c>
      <c r="I417" s="7" t="s">
        <v>22</v>
      </c>
    </row>
    <row r="418">
      <c r="A418" s="7" t="s">
        <v>33</v>
      </c>
      <c r="B418" s="7" t="s">
        <v>34</v>
      </c>
      <c r="C418" s="8">
        <f>IFERROR(__xludf.DUMMYFUNCTION("SPLIT(B418,""RM"")"),900000.0)</f>
        <v>900000</v>
      </c>
      <c r="D418" s="7" t="s">
        <v>35</v>
      </c>
      <c r="E418" s="7">
        <v>3.0</v>
      </c>
      <c r="F418" s="7">
        <v>3.0</v>
      </c>
      <c r="G418" s="7" t="s">
        <v>30</v>
      </c>
      <c r="H418" s="7" t="s">
        <v>36</v>
      </c>
      <c r="I418" s="7" t="s">
        <v>27</v>
      </c>
    </row>
    <row r="419">
      <c r="A419" s="7" t="s">
        <v>33</v>
      </c>
      <c r="B419" s="7" t="s">
        <v>571</v>
      </c>
      <c r="C419" s="8">
        <f>IFERROR(__xludf.DUMMYFUNCTION("SPLIT(B419,""RM"")"),597000.0)</f>
        <v>597000</v>
      </c>
      <c r="D419" s="7">
        <v>4.0</v>
      </c>
      <c r="E419" s="7">
        <v>2.0</v>
      </c>
      <c r="F419" s="7">
        <v>2.0</v>
      </c>
      <c r="G419" s="7" t="s">
        <v>83</v>
      </c>
      <c r="H419" s="7" t="s">
        <v>173</v>
      </c>
    </row>
    <row r="420">
      <c r="A420" s="7" t="s">
        <v>177</v>
      </c>
      <c r="B420" s="7" t="s">
        <v>395</v>
      </c>
      <c r="C420" s="8">
        <f>IFERROR(__xludf.DUMMYFUNCTION("SPLIT(B420,""RM"")"),6380000.0)</f>
        <v>6380000</v>
      </c>
      <c r="D420" s="7" t="s">
        <v>57</v>
      </c>
      <c r="E420" s="7">
        <v>5.0</v>
      </c>
      <c r="F420" s="7">
        <v>3.0</v>
      </c>
      <c r="G420" s="7" t="s">
        <v>30</v>
      </c>
      <c r="H420" s="7" t="s">
        <v>572</v>
      </c>
      <c r="I420" s="7" t="s">
        <v>27</v>
      </c>
    </row>
    <row r="421">
      <c r="A421" s="7" t="s">
        <v>177</v>
      </c>
      <c r="B421" s="7" t="s">
        <v>573</v>
      </c>
      <c r="C421" s="8">
        <f>IFERROR(__xludf.DUMMYFUNCTION("SPLIT(B421,""RM"")"),6900000.0)</f>
        <v>6900000</v>
      </c>
      <c r="D421" s="7" t="s">
        <v>35</v>
      </c>
      <c r="E421" s="7">
        <v>6.0</v>
      </c>
      <c r="F421" s="7">
        <v>3.0</v>
      </c>
      <c r="G421" s="7" t="s">
        <v>30</v>
      </c>
      <c r="H421" s="7" t="s">
        <v>574</v>
      </c>
      <c r="I421" s="7" t="s">
        <v>27</v>
      </c>
    </row>
    <row r="422">
      <c r="A422" s="7" t="s">
        <v>100</v>
      </c>
      <c r="B422" s="7" t="s">
        <v>575</v>
      </c>
      <c r="C422" s="8">
        <f>IFERROR(__xludf.DUMMYFUNCTION("SPLIT(B422,""RM"")"),660000.0)</f>
        <v>660000</v>
      </c>
      <c r="D422" s="7">
        <v>3.0</v>
      </c>
      <c r="E422" s="7">
        <v>2.0</v>
      </c>
      <c r="F422" s="7">
        <v>2.0</v>
      </c>
      <c r="G422" s="7" t="s">
        <v>30</v>
      </c>
      <c r="H422" s="7" t="s">
        <v>576</v>
      </c>
      <c r="I422" s="7" t="s">
        <v>27</v>
      </c>
    </row>
    <row r="423">
      <c r="A423" s="7" t="s">
        <v>17</v>
      </c>
      <c r="B423" s="7" t="s">
        <v>577</v>
      </c>
      <c r="C423" s="8">
        <f>IFERROR(__xludf.DUMMYFUNCTION("SPLIT(B423,""RM"")"),3125000.0)</f>
        <v>3125000</v>
      </c>
      <c r="D423" s="7" t="s">
        <v>197</v>
      </c>
      <c r="E423" s="7">
        <v>2.0</v>
      </c>
      <c r="F423" s="7">
        <v>2.0</v>
      </c>
      <c r="G423" s="7" t="s">
        <v>82</v>
      </c>
      <c r="H423" s="7" t="s">
        <v>578</v>
      </c>
      <c r="I423" s="7" t="s">
        <v>27</v>
      </c>
    </row>
    <row r="424">
      <c r="A424" s="7" t="s">
        <v>17</v>
      </c>
      <c r="B424" s="7" t="s">
        <v>257</v>
      </c>
      <c r="C424" s="8">
        <f>IFERROR(__xludf.DUMMYFUNCTION("SPLIT(B424,""RM"")"),2480000.0)</f>
        <v>2480000</v>
      </c>
      <c r="D424" s="7">
        <v>1.0</v>
      </c>
      <c r="E424" s="7">
        <v>1.0</v>
      </c>
      <c r="F424" s="7">
        <v>1.0</v>
      </c>
      <c r="G424" s="7" t="s">
        <v>82</v>
      </c>
      <c r="H424" s="7" t="s">
        <v>126</v>
      </c>
      <c r="I424" s="7" t="s">
        <v>27</v>
      </c>
    </row>
    <row r="425">
      <c r="A425" s="7" t="s">
        <v>23</v>
      </c>
      <c r="B425" s="7" t="s">
        <v>149</v>
      </c>
      <c r="C425" s="8">
        <f>IFERROR(__xludf.DUMMYFUNCTION("SPLIT(B425,""RM"")"),4000000.0)</f>
        <v>4000000</v>
      </c>
      <c r="D425" s="7" t="s">
        <v>35</v>
      </c>
      <c r="E425" s="7">
        <v>5.0</v>
      </c>
      <c r="F425" s="7">
        <v>2.0</v>
      </c>
      <c r="G425" s="7" t="s">
        <v>64</v>
      </c>
      <c r="H425" s="7" t="s">
        <v>256</v>
      </c>
      <c r="I425" s="7" t="s">
        <v>27</v>
      </c>
    </row>
    <row r="426">
      <c r="A426" s="7" t="s">
        <v>17</v>
      </c>
      <c r="B426" s="7" t="s">
        <v>229</v>
      </c>
      <c r="C426" s="8">
        <f>IFERROR(__xludf.DUMMYFUNCTION("SPLIT(B426,""RM"")"),1050000.0)</f>
        <v>1050000</v>
      </c>
      <c r="D426" s="7" t="s">
        <v>57</v>
      </c>
      <c r="E426" s="7">
        <v>4.0</v>
      </c>
      <c r="F426" s="7">
        <v>2.0</v>
      </c>
      <c r="G426" s="7" t="s">
        <v>121</v>
      </c>
      <c r="H426" s="7" t="s">
        <v>192</v>
      </c>
      <c r="I426" s="7" t="s">
        <v>27</v>
      </c>
    </row>
    <row r="427">
      <c r="A427" s="7" t="s">
        <v>17</v>
      </c>
      <c r="B427" s="7" t="s">
        <v>579</v>
      </c>
      <c r="C427" s="8">
        <f>IFERROR(__xludf.DUMMYFUNCTION("SPLIT(B427,""RM"")"),1833000.0)</f>
        <v>1833000</v>
      </c>
      <c r="D427" s="7">
        <v>1.0</v>
      </c>
      <c r="E427" s="7">
        <v>1.0</v>
      </c>
      <c r="F427" s="7">
        <v>1.0</v>
      </c>
      <c r="G427" s="7" t="s">
        <v>20</v>
      </c>
      <c r="H427" s="7" t="s">
        <v>328</v>
      </c>
      <c r="I427" s="7" t="s">
        <v>22</v>
      </c>
    </row>
    <row r="428">
      <c r="A428" s="7" t="s">
        <v>580</v>
      </c>
      <c r="B428" s="7" t="s">
        <v>581</v>
      </c>
      <c r="C428" s="8">
        <f>IFERROR(__xludf.DUMMYFUNCTION("SPLIT(B428,""RM"")"),888000.0)</f>
        <v>888000</v>
      </c>
      <c r="D428" s="7" t="s">
        <v>35</v>
      </c>
      <c r="E428" s="7">
        <v>3.0</v>
      </c>
      <c r="G428" s="7" t="s">
        <v>169</v>
      </c>
      <c r="H428" s="7" t="s">
        <v>211</v>
      </c>
      <c r="I428" s="7" t="s">
        <v>103</v>
      </c>
    </row>
    <row r="429">
      <c r="A429" s="7" t="s">
        <v>17</v>
      </c>
      <c r="B429" s="7" t="s">
        <v>582</v>
      </c>
      <c r="C429" s="8">
        <f>IFERROR(__xludf.DUMMYFUNCTION("SPLIT(B429,""RM"")"),2999000.0)</f>
        <v>2999000</v>
      </c>
      <c r="D429" s="7" t="s">
        <v>57</v>
      </c>
      <c r="E429" s="7">
        <v>3.0</v>
      </c>
      <c r="F429" s="7">
        <v>3.0</v>
      </c>
      <c r="G429" s="7" t="s">
        <v>385</v>
      </c>
      <c r="H429" s="7" t="s">
        <v>142</v>
      </c>
      <c r="I429" s="7" t="s">
        <v>22</v>
      </c>
    </row>
    <row r="430">
      <c r="A430" s="7" t="s">
        <v>33</v>
      </c>
      <c r="B430" s="7" t="s">
        <v>346</v>
      </c>
      <c r="C430" s="8">
        <f>IFERROR(__xludf.DUMMYFUNCTION("SPLIT(B430,""RM"")"),638000.0)</f>
        <v>638000</v>
      </c>
      <c r="D430" s="7" t="s">
        <v>197</v>
      </c>
      <c r="E430" s="7">
        <v>1.0</v>
      </c>
      <c r="F430" s="7">
        <v>1.0</v>
      </c>
      <c r="G430" s="7" t="s">
        <v>82</v>
      </c>
      <c r="H430" s="7" t="s">
        <v>583</v>
      </c>
      <c r="I430" s="7" t="s">
        <v>27</v>
      </c>
    </row>
    <row r="431">
      <c r="A431" s="7" t="s">
        <v>177</v>
      </c>
      <c r="B431" s="7" t="s">
        <v>584</v>
      </c>
      <c r="C431" s="8">
        <f>IFERROR(__xludf.DUMMYFUNCTION("SPLIT(B431,""RM"")"),6842500.0)</f>
        <v>6842500</v>
      </c>
      <c r="D431" s="7" t="s">
        <v>57</v>
      </c>
      <c r="E431" s="7">
        <v>5.0</v>
      </c>
      <c r="F431" s="7">
        <v>4.0</v>
      </c>
      <c r="G431" s="7" t="s">
        <v>83</v>
      </c>
      <c r="H431" s="7" t="s">
        <v>572</v>
      </c>
      <c r="I431" s="7" t="s">
        <v>27</v>
      </c>
    </row>
    <row r="432">
      <c r="A432" s="7" t="s">
        <v>177</v>
      </c>
      <c r="B432" s="7" t="s">
        <v>585</v>
      </c>
      <c r="C432" s="8">
        <f>IFERROR(__xludf.DUMMYFUNCTION("SPLIT(B432,""RM"")"),8476050.0)</f>
        <v>8476050</v>
      </c>
      <c r="D432" s="7" t="s">
        <v>35</v>
      </c>
      <c r="E432" s="7">
        <v>5.0</v>
      </c>
      <c r="F432" s="7">
        <v>4.0</v>
      </c>
      <c r="G432" s="7" t="s">
        <v>83</v>
      </c>
      <c r="H432" s="7" t="s">
        <v>586</v>
      </c>
      <c r="I432" s="7" t="s">
        <v>27</v>
      </c>
    </row>
    <row r="433">
      <c r="A433" s="7" t="s">
        <v>23</v>
      </c>
      <c r="B433" s="7" t="s">
        <v>587</v>
      </c>
      <c r="C433" s="8">
        <f>IFERROR(__xludf.DUMMYFUNCTION("SPLIT(B433,""RM"")"),1.4E7)</f>
        <v>14000000</v>
      </c>
      <c r="D433" s="7" t="s">
        <v>60</v>
      </c>
      <c r="E433" s="7">
        <v>6.0</v>
      </c>
      <c r="G433" s="7" t="s">
        <v>25</v>
      </c>
      <c r="H433" s="7" t="s">
        <v>588</v>
      </c>
      <c r="I433" s="7" t="s">
        <v>27</v>
      </c>
    </row>
    <row r="434">
      <c r="A434" s="7" t="s">
        <v>72</v>
      </c>
      <c r="B434" s="7" t="s">
        <v>589</v>
      </c>
      <c r="C434" s="8">
        <f>IFERROR(__xludf.DUMMYFUNCTION("SPLIT(B434,""RM"")"),1415000.0)</f>
        <v>1415000</v>
      </c>
      <c r="D434" s="7" t="s">
        <v>57</v>
      </c>
      <c r="E434" s="7">
        <v>4.0</v>
      </c>
      <c r="F434" s="7">
        <v>2.0</v>
      </c>
      <c r="G434" s="7" t="s">
        <v>83</v>
      </c>
      <c r="H434" s="7" t="s">
        <v>334</v>
      </c>
      <c r="I434" s="7" t="s">
        <v>27</v>
      </c>
    </row>
    <row r="435">
      <c r="A435" s="7" t="s">
        <v>23</v>
      </c>
      <c r="B435" s="7" t="s">
        <v>590</v>
      </c>
      <c r="C435" s="8">
        <f>IFERROR(__xludf.DUMMYFUNCTION("SPLIT(B435,""RM"")"),1.28E7)</f>
        <v>12800000</v>
      </c>
      <c r="D435" s="7" t="s">
        <v>591</v>
      </c>
      <c r="E435" s="7">
        <v>5.0</v>
      </c>
      <c r="G435" s="7" t="s">
        <v>25</v>
      </c>
      <c r="H435" s="7" t="s">
        <v>592</v>
      </c>
      <c r="I435" s="7" t="s">
        <v>27</v>
      </c>
    </row>
    <row r="436">
      <c r="A436" s="7" t="s">
        <v>65</v>
      </c>
      <c r="B436" s="7" t="s">
        <v>573</v>
      </c>
      <c r="C436" s="8">
        <f>IFERROR(__xludf.DUMMYFUNCTION("SPLIT(B436,""RM"")"),6900000.0)</f>
        <v>6900000</v>
      </c>
      <c r="D436" s="7" t="s">
        <v>39</v>
      </c>
      <c r="E436" s="7">
        <v>5.0</v>
      </c>
      <c r="G436" s="7" t="s">
        <v>25</v>
      </c>
      <c r="H436" s="7" t="s">
        <v>593</v>
      </c>
      <c r="I436" s="7" t="s">
        <v>27</v>
      </c>
    </row>
    <row r="437">
      <c r="A437" s="7" t="s">
        <v>17</v>
      </c>
      <c r="B437" s="7" t="s">
        <v>279</v>
      </c>
      <c r="C437" s="8">
        <f>IFERROR(__xludf.DUMMYFUNCTION("SPLIT(B437,""RM"")"),1380000.0)</f>
        <v>1380000</v>
      </c>
      <c r="D437" s="7" t="s">
        <v>57</v>
      </c>
      <c r="E437" s="7">
        <v>4.0</v>
      </c>
      <c r="F437" s="7">
        <v>2.0</v>
      </c>
      <c r="G437" s="7" t="s">
        <v>121</v>
      </c>
      <c r="H437" s="7" t="s">
        <v>594</v>
      </c>
      <c r="I437" s="7" t="s">
        <v>22</v>
      </c>
    </row>
    <row r="438">
      <c r="A438" s="7" t="s">
        <v>17</v>
      </c>
      <c r="B438" s="7" t="s">
        <v>475</v>
      </c>
      <c r="C438" s="8">
        <f>IFERROR(__xludf.DUMMYFUNCTION("SPLIT(B438,""RM"")"),2800000.0)</f>
        <v>2800000</v>
      </c>
      <c r="D438" s="7">
        <v>2.0</v>
      </c>
      <c r="E438" s="7">
        <v>2.0</v>
      </c>
      <c r="G438" s="7" t="s">
        <v>20</v>
      </c>
      <c r="H438" s="7" t="s">
        <v>595</v>
      </c>
      <c r="I438" s="7" t="s">
        <v>22</v>
      </c>
    </row>
    <row r="439">
      <c r="A439" s="7" t="s">
        <v>177</v>
      </c>
      <c r="B439" s="7" t="s">
        <v>596</v>
      </c>
      <c r="C439" s="8">
        <f>IFERROR(__xludf.DUMMYFUNCTION("SPLIT(B439,""RM"")"),8280000.0)</f>
        <v>8280000</v>
      </c>
      <c r="D439" s="7" t="s">
        <v>35</v>
      </c>
      <c r="E439" s="7">
        <v>6.0</v>
      </c>
      <c r="F439" s="7">
        <v>4.0</v>
      </c>
      <c r="G439" s="7" t="s">
        <v>30</v>
      </c>
      <c r="H439" s="7" t="s">
        <v>586</v>
      </c>
      <c r="I439" s="7" t="s">
        <v>27</v>
      </c>
    </row>
    <row r="440">
      <c r="A440" s="7" t="s">
        <v>267</v>
      </c>
      <c r="B440" s="7" t="s">
        <v>597</v>
      </c>
      <c r="C440" s="8">
        <f>IFERROR(__xludf.DUMMYFUNCTION("SPLIT(B440,""RM"")"),3690000.0)</f>
        <v>3690000</v>
      </c>
      <c r="D440" s="7" t="s">
        <v>35</v>
      </c>
      <c r="E440" s="7">
        <v>5.0</v>
      </c>
      <c r="F440" s="7">
        <v>6.0</v>
      </c>
      <c r="G440" s="7" t="s">
        <v>43</v>
      </c>
      <c r="H440" s="7" t="s">
        <v>598</v>
      </c>
      <c r="I440" s="7" t="s">
        <v>103</v>
      </c>
    </row>
    <row r="441">
      <c r="A441" s="7" t="s">
        <v>48</v>
      </c>
      <c r="B441" s="7" t="s">
        <v>599</v>
      </c>
      <c r="C441" s="8">
        <f>IFERROR(__xludf.DUMMYFUNCTION("SPLIT(B441,""RM"")"),950000.0)</f>
        <v>950000</v>
      </c>
      <c r="D441" s="7" t="s">
        <v>35</v>
      </c>
      <c r="E441" s="7">
        <v>3.0</v>
      </c>
      <c r="F441" s="7">
        <v>2.0</v>
      </c>
      <c r="G441" s="7" t="s">
        <v>54</v>
      </c>
      <c r="H441" s="7" t="s">
        <v>333</v>
      </c>
      <c r="I441" s="7" t="s">
        <v>27</v>
      </c>
    </row>
    <row r="442">
      <c r="A442" s="7" t="s">
        <v>33</v>
      </c>
      <c r="B442" s="7" t="s">
        <v>149</v>
      </c>
      <c r="C442" s="8">
        <f>IFERROR(__xludf.DUMMYFUNCTION("SPLIT(B442,""RM"")"),4000000.0)</f>
        <v>4000000</v>
      </c>
      <c r="D442" s="7" t="s">
        <v>60</v>
      </c>
      <c r="E442" s="7">
        <v>7.0</v>
      </c>
      <c r="F442" s="7">
        <v>4.0</v>
      </c>
      <c r="G442" s="7" t="s">
        <v>61</v>
      </c>
      <c r="H442" s="7" t="s">
        <v>600</v>
      </c>
      <c r="I442" s="7" t="s">
        <v>27</v>
      </c>
    </row>
    <row r="443">
      <c r="A443" s="7" t="s">
        <v>177</v>
      </c>
      <c r="B443" s="7" t="s">
        <v>601</v>
      </c>
      <c r="C443" s="8">
        <f>IFERROR(__xludf.DUMMYFUNCTION("SPLIT(B443,""RM"")"),9960000.0)</f>
        <v>9960000</v>
      </c>
      <c r="D443" s="7">
        <v>6.0</v>
      </c>
      <c r="E443" s="7">
        <v>7.0</v>
      </c>
      <c r="F443" s="7">
        <v>6.0</v>
      </c>
      <c r="G443" s="7" t="s">
        <v>83</v>
      </c>
      <c r="H443" s="7" t="s">
        <v>546</v>
      </c>
      <c r="I443" s="7" t="s">
        <v>27</v>
      </c>
    </row>
    <row r="444">
      <c r="A444" s="7" t="s">
        <v>177</v>
      </c>
      <c r="B444" s="7" t="s">
        <v>602</v>
      </c>
      <c r="C444" s="8">
        <f>IFERROR(__xludf.DUMMYFUNCTION("SPLIT(B444,""RM"")"),6660000.0)</f>
        <v>6660000</v>
      </c>
      <c r="D444" s="7">
        <v>4.0</v>
      </c>
      <c r="E444" s="7">
        <v>5.0</v>
      </c>
      <c r="F444" s="7">
        <v>3.0</v>
      </c>
      <c r="G444" s="7" t="s">
        <v>30</v>
      </c>
      <c r="H444" s="7" t="s">
        <v>550</v>
      </c>
      <c r="I444" s="7" t="s">
        <v>27</v>
      </c>
    </row>
    <row r="445">
      <c r="A445" s="7" t="s">
        <v>177</v>
      </c>
      <c r="B445" s="7" t="s">
        <v>390</v>
      </c>
      <c r="C445" s="8">
        <f>IFERROR(__xludf.DUMMYFUNCTION("SPLIT(B445,""RM"")"),6300000.0)</f>
        <v>6300000</v>
      </c>
      <c r="D445" s="7" t="s">
        <v>57</v>
      </c>
      <c r="E445" s="7">
        <v>5.0</v>
      </c>
      <c r="F445" s="7">
        <v>3.0</v>
      </c>
      <c r="G445" s="7" t="s">
        <v>83</v>
      </c>
      <c r="H445" s="7" t="s">
        <v>572</v>
      </c>
      <c r="I445" s="7" t="s">
        <v>27</v>
      </c>
    </row>
    <row r="446">
      <c r="A446" s="7" t="s">
        <v>267</v>
      </c>
      <c r="B446" s="7" t="s">
        <v>603</v>
      </c>
      <c r="C446" s="8">
        <f>IFERROR(__xludf.DUMMYFUNCTION("SPLIT(B446,""RM"")"),628000.0)</f>
        <v>628000</v>
      </c>
      <c r="D446" s="7">
        <v>3.0</v>
      </c>
      <c r="E446" s="7">
        <v>2.0</v>
      </c>
      <c r="F446" s="7">
        <v>1.0</v>
      </c>
      <c r="G446" s="7" t="s">
        <v>93</v>
      </c>
      <c r="H446" s="7" t="s">
        <v>604</v>
      </c>
      <c r="I446" s="7" t="s">
        <v>27</v>
      </c>
    </row>
    <row r="447">
      <c r="A447" s="7" t="s">
        <v>267</v>
      </c>
      <c r="B447" s="7" t="s">
        <v>603</v>
      </c>
      <c r="C447" s="8">
        <f>IFERROR(__xludf.DUMMYFUNCTION("SPLIT(B447,""RM"")"),628000.0)</f>
        <v>628000</v>
      </c>
      <c r="D447" s="7">
        <v>3.0</v>
      </c>
      <c r="E447" s="7">
        <v>2.0</v>
      </c>
      <c r="F447" s="7">
        <v>1.0</v>
      </c>
      <c r="G447" s="7" t="s">
        <v>93</v>
      </c>
      <c r="H447" s="7" t="s">
        <v>604</v>
      </c>
      <c r="I447" s="7" t="s">
        <v>27</v>
      </c>
    </row>
    <row r="448">
      <c r="A448" s="7" t="s">
        <v>72</v>
      </c>
      <c r="B448" s="7" t="s">
        <v>605</v>
      </c>
      <c r="C448" s="8">
        <f>IFERROR(__xludf.DUMMYFUNCTION("SPLIT(B448,""RM"")"),1590000.0)</f>
        <v>1590000</v>
      </c>
      <c r="D448" s="7" t="s">
        <v>57</v>
      </c>
      <c r="E448" s="7">
        <v>4.0</v>
      </c>
      <c r="F448" s="7">
        <v>2.0</v>
      </c>
      <c r="G448" s="7" t="s">
        <v>83</v>
      </c>
      <c r="H448" s="7" t="s">
        <v>404</v>
      </c>
      <c r="I448" s="7" t="s">
        <v>27</v>
      </c>
    </row>
    <row r="449">
      <c r="A449" s="7" t="s">
        <v>17</v>
      </c>
      <c r="B449" s="7" t="s">
        <v>339</v>
      </c>
      <c r="C449" s="8">
        <f>IFERROR(__xludf.DUMMYFUNCTION("SPLIT(B449,""RM"")"),3330000.0)</f>
        <v>3330000</v>
      </c>
      <c r="D449" s="7" t="s">
        <v>19</v>
      </c>
      <c r="E449" s="7">
        <v>3.0</v>
      </c>
      <c r="F449" s="7">
        <v>1.0</v>
      </c>
      <c r="G449" s="7" t="s">
        <v>121</v>
      </c>
      <c r="H449" s="7" t="s">
        <v>340</v>
      </c>
      <c r="I449" s="7" t="s">
        <v>22</v>
      </c>
    </row>
    <row r="450">
      <c r="A450" s="7" t="s">
        <v>171</v>
      </c>
      <c r="B450" s="7" t="s">
        <v>606</v>
      </c>
      <c r="C450" s="8">
        <f>IFERROR(__xludf.DUMMYFUNCTION("SPLIT(B450,""RM"")"),428000.0)</f>
        <v>428000</v>
      </c>
      <c r="D450" s="7" t="s">
        <v>57</v>
      </c>
      <c r="E450" s="7">
        <v>2.0</v>
      </c>
      <c r="F450" s="7">
        <v>2.0</v>
      </c>
      <c r="G450" s="7" t="s">
        <v>20</v>
      </c>
      <c r="H450" s="7" t="s">
        <v>607</v>
      </c>
      <c r="I450" s="7" t="s">
        <v>27</v>
      </c>
    </row>
    <row r="451">
      <c r="A451" s="7" t="s">
        <v>608</v>
      </c>
      <c r="B451" s="7" t="s">
        <v>329</v>
      </c>
      <c r="C451" s="8">
        <f>IFERROR(__xludf.DUMMYFUNCTION("SPLIT(B451,""RM"")"),1200000.0)</f>
        <v>1200000</v>
      </c>
      <c r="G451" s="7" t="s">
        <v>83</v>
      </c>
      <c r="H451" s="7" t="s">
        <v>609</v>
      </c>
    </row>
    <row r="452">
      <c r="A452" s="7" t="s">
        <v>89</v>
      </c>
      <c r="B452" s="7" t="s">
        <v>610</v>
      </c>
      <c r="C452" s="8">
        <f>IFERROR(__xludf.DUMMYFUNCTION("SPLIT(B452,""RM"")"),2250000.0)</f>
        <v>2250000</v>
      </c>
      <c r="D452" s="7">
        <v>6.0</v>
      </c>
      <c r="E452" s="7">
        <v>5.0</v>
      </c>
      <c r="F452" s="7">
        <v>7.0</v>
      </c>
      <c r="G452" s="7" t="s">
        <v>273</v>
      </c>
      <c r="H452" s="7" t="s">
        <v>611</v>
      </c>
      <c r="I452" s="7" t="s">
        <v>27</v>
      </c>
    </row>
    <row r="453">
      <c r="A453" s="7" t="s">
        <v>37</v>
      </c>
      <c r="B453" s="7" t="s">
        <v>151</v>
      </c>
      <c r="C453" s="8">
        <f>IFERROR(__xludf.DUMMYFUNCTION("SPLIT(B453,""RM"")"),4800000.0)</f>
        <v>4800000</v>
      </c>
      <c r="D453" s="7" t="s">
        <v>70</v>
      </c>
      <c r="E453" s="7">
        <v>4.0</v>
      </c>
      <c r="G453" s="7" t="s">
        <v>61</v>
      </c>
      <c r="H453" s="7" t="s">
        <v>612</v>
      </c>
      <c r="I453" s="7" t="s">
        <v>27</v>
      </c>
    </row>
    <row r="454">
      <c r="A454" s="7" t="s">
        <v>37</v>
      </c>
      <c r="B454" s="7" t="s">
        <v>613</v>
      </c>
      <c r="C454" s="8">
        <f>IFERROR(__xludf.DUMMYFUNCTION("SPLIT(B454,""RM"")"),1890000.0)</f>
        <v>1890000</v>
      </c>
      <c r="D454" s="7" t="s">
        <v>79</v>
      </c>
      <c r="E454" s="7">
        <v>2.0</v>
      </c>
      <c r="G454" s="7" t="s">
        <v>54</v>
      </c>
      <c r="H454" s="7" t="s">
        <v>614</v>
      </c>
      <c r="I454" s="7" t="s">
        <v>27</v>
      </c>
    </row>
    <row r="455">
      <c r="A455" s="7" t="s">
        <v>77</v>
      </c>
      <c r="B455" s="7" t="s">
        <v>615</v>
      </c>
      <c r="C455" s="8">
        <f>IFERROR(__xludf.DUMMYFUNCTION("SPLIT(B455,""RM"")"),815000.0)</f>
        <v>815000</v>
      </c>
      <c r="D455" s="7">
        <v>2.0</v>
      </c>
      <c r="E455" s="7">
        <v>2.0</v>
      </c>
      <c r="G455" s="7" t="s">
        <v>83</v>
      </c>
      <c r="H455" s="7" t="s">
        <v>315</v>
      </c>
      <c r="I455" s="7" t="s">
        <v>22</v>
      </c>
    </row>
    <row r="456">
      <c r="A456" s="7" t="s">
        <v>177</v>
      </c>
      <c r="B456" s="7" t="s">
        <v>616</v>
      </c>
      <c r="C456" s="8">
        <f>IFERROR(__xludf.DUMMYFUNCTION("SPLIT(B456,""RM"")"),7500000.0)</f>
        <v>7500000</v>
      </c>
      <c r="D456" s="7" t="s">
        <v>57</v>
      </c>
      <c r="E456" s="7">
        <v>5.0</v>
      </c>
      <c r="F456" s="7">
        <v>4.0</v>
      </c>
      <c r="G456" s="7" t="s">
        <v>83</v>
      </c>
      <c r="H456" s="7" t="s">
        <v>572</v>
      </c>
      <c r="I456" s="7" t="s">
        <v>27</v>
      </c>
    </row>
    <row r="457">
      <c r="A457" s="7" t="s">
        <v>17</v>
      </c>
      <c r="B457" s="7" t="s">
        <v>85</v>
      </c>
      <c r="C457" s="8">
        <f>IFERROR(__xludf.DUMMYFUNCTION("SPLIT(B457,""RM"")"),1450000.0)</f>
        <v>1450000</v>
      </c>
      <c r="D457" s="7">
        <v>2.0</v>
      </c>
      <c r="E457" s="7">
        <v>2.0</v>
      </c>
      <c r="F457" s="7">
        <v>1.0</v>
      </c>
      <c r="G457" s="7" t="s">
        <v>83</v>
      </c>
      <c r="H457" s="7" t="s">
        <v>617</v>
      </c>
      <c r="I457" s="7" t="s">
        <v>22</v>
      </c>
    </row>
    <row r="458">
      <c r="A458" s="7" t="s">
        <v>77</v>
      </c>
      <c r="B458" s="7" t="s">
        <v>484</v>
      </c>
      <c r="C458" s="8">
        <f>IFERROR(__xludf.DUMMYFUNCTION("SPLIT(B458,""RM"")"),2950000.0)</f>
        <v>2950000</v>
      </c>
      <c r="D458" s="7" t="s">
        <v>57</v>
      </c>
      <c r="E458" s="7">
        <v>5.0</v>
      </c>
      <c r="G458" s="7" t="s">
        <v>54</v>
      </c>
      <c r="H458" s="7" t="s">
        <v>618</v>
      </c>
      <c r="I458" s="7" t="s">
        <v>103</v>
      </c>
    </row>
    <row r="459">
      <c r="A459" s="7" t="s">
        <v>17</v>
      </c>
      <c r="B459" s="7" t="s">
        <v>191</v>
      </c>
      <c r="C459" s="8">
        <f>IFERROR(__xludf.DUMMYFUNCTION("SPLIT(B459,""RM"")"),1000000.0)</f>
        <v>1000000</v>
      </c>
      <c r="D459" s="7">
        <v>1.0</v>
      </c>
      <c r="E459" s="7">
        <v>1.0</v>
      </c>
      <c r="F459" s="7">
        <v>1.0</v>
      </c>
      <c r="G459" s="7" t="s">
        <v>83</v>
      </c>
      <c r="H459" s="7" t="s">
        <v>393</v>
      </c>
      <c r="I459" s="7" t="s">
        <v>27</v>
      </c>
    </row>
    <row r="460">
      <c r="A460" s="7" t="s">
        <v>86</v>
      </c>
      <c r="B460" s="7" t="s">
        <v>619</v>
      </c>
      <c r="C460" s="8">
        <f>IFERROR(__xludf.DUMMYFUNCTION("SPLIT(B460,""RM"")"),640000.0)</f>
        <v>640000</v>
      </c>
      <c r="D460" s="7">
        <v>2.0</v>
      </c>
      <c r="E460" s="7">
        <v>2.0</v>
      </c>
      <c r="F460" s="7">
        <v>1.0</v>
      </c>
      <c r="G460" s="7" t="s">
        <v>20</v>
      </c>
      <c r="H460" s="7" t="s">
        <v>416</v>
      </c>
    </row>
    <row r="461">
      <c r="A461" s="7" t="s">
        <v>86</v>
      </c>
      <c r="B461" s="7" t="s">
        <v>620</v>
      </c>
      <c r="C461" s="8">
        <f>IFERROR(__xludf.DUMMYFUNCTION("SPLIT(B461,""RM"")"),840000.0)</f>
        <v>840000</v>
      </c>
      <c r="D461" s="7">
        <v>3.0</v>
      </c>
      <c r="E461" s="7">
        <v>2.0</v>
      </c>
      <c r="F461" s="7">
        <v>1.0</v>
      </c>
      <c r="G461" s="7" t="s">
        <v>20</v>
      </c>
      <c r="H461" s="7" t="s">
        <v>621</v>
      </c>
    </row>
    <row r="462">
      <c r="A462" s="7" t="s">
        <v>72</v>
      </c>
      <c r="B462" s="7" t="s">
        <v>42</v>
      </c>
      <c r="C462" s="8">
        <f>IFERROR(__xludf.DUMMYFUNCTION("SPLIT(B462,""RM"")"),2600000.0)</f>
        <v>2600000</v>
      </c>
      <c r="D462" s="7" t="s">
        <v>35</v>
      </c>
      <c r="E462" s="7">
        <v>5.0</v>
      </c>
      <c r="F462" s="7">
        <v>3.0</v>
      </c>
      <c r="G462" s="7" t="s">
        <v>30</v>
      </c>
      <c r="H462" s="7" t="s">
        <v>622</v>
      </c>
      <c r="I462" s="7" t="s">
        <v>27</v>
      </c>
    </row>
    <row r="463">
      <c r="A463" s="7" t="s">
        <v>37</v>
      </c>
      <c r="B463" s="7" t="s">
        <v>81</v>
      </c>
      <c r="C463" s="8">
        <f>IFERROR(__xludf.DUMMYFUNCTION("SPLIT(B463,""RM"")"),1550000.0)</f>
        <v>1550000</v>
      </c>
      <c r="D463" s="7" t="s">
        <v>19</v>
      </c>
      <c r="E463" s="7">
        <v>3.0</v>
      </c>
      <c r="F463" s="7">
        <v>2.0</v>
      </c>
      <c r="G463" s="7" t="s">
        <v>20</v>
      </c>
      <c r="H463" s="7" t="s">
        <v>623</v>
      </c>
    </row>
    <row r="464">
      <c r="A464" s="7" t="s">
        <v>37</v>
      </c>
      <c r="B464" s="7" t="s">
        <v>468</v>
      </c>
      <c r="C464" s="8">
        <f>IFERROR(__xludf.DUMMYFUNCTION("SPLIT(B464,""RM"")"),2750000.0)</f>
        <v>2750000</v>
      </c>
      <c r="D464" s="7" t="s">
        <v>57</v>
      </c>
      <c r="E464" s="7">
        <v>4.0</v>
      </c>
      <c r="F464" s="7">
        <v>2.0</v>
      </c>
      <c r="G464" s="7" t="s">
        <v>20</v>
      </c>
      <c r="H464" s="7" t="s">
        <v>624</v>
      </c>
      <c r="I464" s="7" t="s">
        <v>27</v>
      </c>
    </row>
    <row r="465">
      <c r="A465" s="7" t="s">
        <v>41</v>
      </c>
      <c r="B465" s="7" t="s">
        <v>479</v>
      </c>
      <c r="C465" s="8">
        <f>IFERROR(__xludf.DUMMYFUNCTION("SPLIT(B465,""RM"")"),5500000.0)</f>
        <v>5500000</v>
      </c>
      <c r="D465" s="7" t="s">
        <v>70</v>
      </c>
      <c r="E465" s="7">
        <v>6.0</v>
      </c>
      <c r="F465" s="7">
        <v>4.0</v>
      </c>
      <c r="G465" s="7" t="s">
        <v>61</v>
      </c>
      <c r="H465" s="7" t="s">
        <v>625</v>
      </c>
      <c r="I465" s="7" t="s">
        <v>22</v>
      </c>
    </row>
    <row r="466">
      <c r="A466" s="7" t="s">
        <v>171</v>
      </c>
      <c r="B466" s="7" t="s">
        <v>606</v>
      </c>
      <c r="C466" s="8">
        <f>IFERROR(__xludf.DUMMYFUNCTION("SPLIT(B466,""RM"")"),428000.0)</f>
        <v>428000</v>
      </c>
      <c r="D466" s="7" t="s">
        <v>57</v>
      </c>
      <c r="E466" s="7">
        <v>2.0</v>
      </c>
      <c r="F466" s="7">
        <v>2.0</v>
      </c>
      <c r="G466" s="7" t="s">
        <v>20</v>
      </c>
      <c r="H466" s="7" t="s">
        <v>607</v>
      </c>
      <c r="I466" s="7" t="s">
        <v>103</v>
      </c>
    </row>
    <row r="467">
      <c r="A467" s="7" t="s">
        <v>65</v>
      </c>
      <c r="B467" s="7" t="s">
        <v>433</v>
      </c>
      <c r="C467" s="8">
        <f>IFERROR(__xludf.DUMMYFUNCTION("SPLIT(B467,""RM"")"),1.48E7)</f>
        <v>14800000</v>
      </c>
      <c r="D467" s="7" t="s">
        <v>299</v>
      </c>
      <c r="E467" s="7">
        <v>9.0</v>
      </c>
      <c r="F467" s="7">
        <v>6.0</v>
      </c>
      <c r="G467" s="7" t="s">
        <v>67</v>
      </c>
      <c r="H467" s="7" t="s">
        <v>593</v>
      </c>
      <c r="I467" s="7" t="s">
        <v>27</v>
      </c>
    </row>
    <row r="468">
      <c r="A468" s="7" t="s">
        <v>17</v>
      </c>
      <c r="B468" s="7" t="s">
        <v>626</v>
      </c>
      <c r="C468" s="8">
        <f>IFERROR(__xludf.DUMMYFUNCTION("SPLIT(B468,""RM"")"),2.8E7)</f>
        <v>28000000</v>
      </c>
      <c r="D468" s="7">
        <v>14.0</v>
      </c>
      <c r="E468" s="7">
        <v>16.0</v>
      </c>
      <c r="F468" s="7">
        <v>10.0</v>
      </c>
      <c r="G468" s="7" t="s">
        <v>25</v>
      </c>
      <c r="H468" s="7" t="s">
        <v>627</v>
      </c>
      <c r="I468" s="7" t="s">
        <v>27</v>
      </c>
    </row>
    <row r="469">
      <c r="A469" s="7" t="s">
        <v>37</v>
      </c>
      <c r="B469" s="7" t="s">
        <v>144</v>
      </c>
      <c r="C469" s="8">
        <f>IFERROR(__xludf.DUMMYFUNCTION("SPLIT(B469,""RM"")"),1800000.0)</f>
        <v>1800000</v>
      </c>
      <c r="D469" s="7" t="s">
        <v>57</v>
      </c>
      <c r="E469" s="7">
        <v>3.0</v>
      </c>
      <c r="F469" s="7">
        <v>3.0</v>
      </c>
      <c r="G469" s="7" t="s">
        <v>169</v>
      </c>
      <c r="H469" s="7" t="s">
        <v>628</v>
      </c>
      <c r="I469" s="7" t="s">
        <v>27</v>
      </c>
    </row>
    <row r="470">
      <c r="A470" s="7" t="s">
        <v>155</v>
      </c>
      <c r="B470" s="7" t="s">
        <v>629</v>
      </c>
      <c r="C470" s="8">
        <f>IFERROR(__xludf.DUMMYFUNCTION("SPLIT(B470,""RM"")"),770000.0)</f>
        <v>770000</v>
      </c>
      <c r="D470" s="7">
        <v>3.0</v>
      </c>
      <c r="E470" s="7">
        <v>3.0</v>
      </c>
      <c r="F470" s="7">
        <v>2.0</v>
      </c>
      <c r="G470" s="7" t="s">
        <v>83</v>
      </c>
      <c r="H470" s="7" t="s">
        <v>630</v>
      </c>
      <c r="I470" s="7" t="s">
        <v>27</v>
      </c>
    </row>
    <row r="471">
      <c r="A471" s="7" t="s">
        <v>37</v>
      </c>
      <c r="B471" s="7" t="s">
        <v>193</v>
      </c>
      <c r="C471" s="8">
        <f>IFERROR(__xludf.DUMMYFUNCTION("SPLIT(B471,""RM"")"),1650000.0)</f>
        <v>1650000</v>
      </c>
      <c r="D471" s="7">
        <v>4.0</v>
      </c>
      <c r="E471" s="7">
        <v>3.0</v>
      </c>
      <c r="F471" s="7">
        <v>2.0</v>
      </c>
      <c r="G471" s="7" t="s">
        <v>169</v>
      </c>
      <c r="H471" s="7" t="s">
        <v>614</v>
      </c>
    </row>
    <row r="472">
      <c r="A472" s="7" t="s">
        <v>23</v>
      </c>
      <c r="B472" s="7" t="s">
        <v>120</v>
      </c>
      <c r="C472" s="8">
        <f>IFERROR(__xludf.DUMMYFUNCTION("SPLIT(B472,""RM"")"),3600000.0)</f>
        <v>3600000</v>
      </c>
      <c r="D472" s="7">
        <v>7.0</v>
      </c>
      <c r="E472" s="7">
        <v>7.0</v>
      </c>
      <c r="F472" s="7">
        <v>5.0</v>
      </c>
      <c r="G472" s="7" t="s">
        <v>25</v>
      </c>
      <c r="H472" s="7" t="s">
        <v>631</v>
      </c>
      <c r="I472" s="7" t="s">
        <v>103</v>
      </c>
    </row>
    <row r="473">
      <c r="A473" s="7" t="s">
        <v>23</v>
      </c>
      <c r="B473" s="7" t="s">
        <v>350</v>
      </c>
      <c r="C473" s="8">
        <f>IFERROR(__xludf.DUMMYFUNCTION("SPLIT(B473,""RM"")"),6500000.0)</f>
        <v>6500000</v>
      </c>
      <c r="D473" s="7">
        <v>6.0</v>
      </c>
      <c r="E473" s="7">
        <v>6.0</v>
      </c>
      <c r="F473" s="7">
        <v>4.0</v>
      </c>
      <c r="G473" s="7" t="s">
        <v>25</v>
      </c>
      <c r="H473" s="7" t="s">
        <v>68</v>
      </c>
    </row>
    <row r="474">
      <c r="A474" s="7" t="s">
        <v>17</v>
      </c>
      <c r="B474" s="7" t="s">
        <v>632</v>
      </c>
      <c r="C474" s="8">
        <f>IFERROR(__xludf.DUMMYFUNCTION("SPLIT(B474,""RM"")"),870000.0)</f>
        <v>870000</v>
      </c>
      <c r="D474" s="7" t="s">
        <v>19</v>
      </c>
      <c r="E474" s="7">
        <v>3.0</v>
      </c>
      <c r="G474" s="7" t="s">
        <v>20</v>
      </c>
      <c r="H474" s="7" t="s">
        <v>519</v>
      </c>
      <c r="I474" s="7" t="s">
        <v>22</v>
      </c>
    </row>
    <row r="475">
      <c r="A475" s="7" t="s">
        <v>17</v>
      </c>
      <c r="B475" s="7" t="s">
        <v>329</v>
      </c>
      <c r="C475" s="8">
        <f>IFERROR(__xludf.DUMMYFUNCTION("SPLIT(B475,""RM"")"),1200000.0)</f>
        <v>1200000</v>
      </c>
      <c r="D475" s="7">
        <v>2.0</v>
      </c>
      <c r="E475" s="7">
        <v>2.0</v>
      </c>
      <c r="F475" s="7">
        <v>1.0</v>
      </c>
      <c r="G475" s="7" t="s">
        <v>93</v>
      </c>
      <c r="H475" s="7" t="s">
        <v>213</v>
      </c>
      <c r="I475" s="7" t="s">
        <v>27</v>
      </c>
    </row>
    <row r="476">
      <c r="A476" s="7" t="s">
        <v>177</v>
      </c>
      <c r="B476" s="7" t="s">
        <v>633</v>
      </c>
      <c r="C476" s="8">
        <f>IFERROR(__xludf.DUMMYFUNCTION("SPLIT(B476,""RM"")"),7600000.0)</f>
        <v>7600000</v>
      </c>
      <c r="D476" s="7" t="s">
        <v>70</v>
      </c>
      <c r="E476" s="7">
        <v>6.0</v>
      </c>
      <c r="G476" s="7" t="s">
        <v>25</v>
      </c>
      <c r="H476" s="7" t="s">
        <v>634</v>
      </c>
      <c r="I476" s="7" t="s">
        <v>22</v>
      </c>
    </row>
    <row r="477">
      <c r="A477" s="7" t="s">
        <v>358</v>
      </c>
      <c r="B477" s="7" t="s">
        <v>635</v>
      </c>
      <c r="C477" s="8">
        <f>IFERROR(__xludf.DUMMYFUNCTION("SPLIT(B477,""RM"")"),720000.0)</f>
        <v>720000</v>
      </c>
      <c r="D477" s="7" t="s">
        <v>57</v>
      </c>
      <c r="E477" s="7">
        <v>3.0</v>
      </c>
      <c r="F477" s="7">
        <v>2.0</v>
      </c>
      <c r="G477" s="7" t="s">
        <v>30</v>
      </c>
      <c r="H477" s="7" t="s">
        <v>636</v>
      </c>
      <c r="I477" s="7" t="s">
        <v>22</v>
      </c>
    </row>
    <row r="478">
      <c r="A478" s="7" t="s">
        <v>33</v>
      </c>
      <c r="B478" s="7" t="s">
        <v>134</v>
      </c>
      <c r="C478" s="8">
        <f>IFERROR(__xludf.DUMMYFUNCTION("SPLIT(B478,""RM"")"),1150000.0)</f>
        <v>1150000</v>
      </c>
      <c r="D478" s="7" t="s">
        <v>70</v>
      </c>
      <c r="E478" s="7">
        <v>3.0</v>
      </c>
      <c r="F478" s="7">
        <v>4.0</v>
      </c>
      <c r="G478" s="7" t="s">
        <v>30</v>
      </c>
      <c r="H478" s="7" t="s">
        <v>137</v>
      </c>
      <c r="I478" s="7" t="s">
        <v>27</v>
      </c>
    </row>
    <row r="479">
      <c r="A479" s="7" t="s">
        <v>33</v>
      </c>
      <c r="B479" s="7" t="s">
        <v>637</v>
      </c>
      <c r="C479" s="8">
        <f>IFERROR(__xludf.DUMMYFUNCTION("SPLIT(B479,""RM"")"),928000.0)</f>
        <v>928000</v>
      </c>
      <c r="D479" s="7">
        <v>4.0</v>
      </c>
      <c r="E479" s="7">
        <v>3.0</v>
      </c>
      <c r="F479" s="7">
        <v>2.0</v>
      </c>
      <c r="G479" s="7" t="s">
        <v>30</v>
      </c>
      <c r="H479" s="7" t="s">
        <v>36</v>
      </c>
      <c r="I479" s="7" t="s">
        <v>27</v>
      </c>
    </row>
    <row r="480">
      <c r="A480" s="7" t="s">
        <v>104</v>
      </c>
      <c r="B480" s="7" t="s">
        <v>53</v>
      </c>
      <c r="C480" s="8">
        <f>IFERROR(__xludf.DUMMYFUNCTION("SPLIT(B480,""RM"")"),1680000.0)</f>
        <v>1680000</v>
      </c>
      <c r="D480" s="7">
        <v>6.0</v>
      </c>
      <c r="E480" s="7">
        <v>4.0</v>
      </c>
      <c r="F480" s="7">
        <v>6.0</v>
      </c>
      <c r="G480" s="7" t="s">
        <v>184</v>
      </c>
      <c r="H480" s="7" t="s">
        <v>638</v>
      </c>
      <c r="I480" s="7" t="s">
        <v>22</v>
      </c>
    </row>
    <row r="481">
      <c r="A481" s="7" t="s">
        <v>17</v>
      </c>
      <c r="B481" s="7" t="s">
        <v>243</v>
      </c>
      <c r="C481" s="8">
        <f>IFERROR(__xludf.DUMMYFUNCTION("SPLIT(B481,""RM"")"),1350000.0)</f>
        <v>1350000</v>
      </c>
      <c r="D481" s="7" t="s">
        <v>197</v>
      </c>
      <c r="E481" s="7">
        <v>2.0</v>
      </c>
      <c r="F481" s="7">
        <v>1.0</v>
      </c>
      <c r="G481" s="7" t="s">
        <v>20</v>
      </c>
      <c r="H481" s="7" t="s">
        <v>505</v>
      </c>
      <c r="I481" s="7" t="s">
        <v>22</v>
      </c>
    </row>
    <row r="482">
      <c r="A482" s="7" t="s">
        <v>100</v>
      </c>
      <c r="B482" s="7" t="s">
        <v>639</v>
      </c>
      <c r="C482" s="8">
        <f>IFERROR(__xludf.DUMMYFUNCTION("SPLIT(B482,""RM"")"),360000.0)</f>
        <v>360000</v>
      </c>
      <c r="D482" s="7">
        <v>3.0</v>
      </c>
      <c r="E482" s="7">
        <v>2.0</v>
      </c>
      <c r="F482" s="7">
        <v>1.0</v>
      </c>
      <c r="G482" s="7" t="s">
        <v>93</v>
      </c>
      <c r="H482" s="7" t="s">
        <v>640</v>
      </c>
      <c r="I482" s="7" t="s">
        <v>27</v>
      </c>
    </row>
    <row r="483">
      <c r="A483" s="7" t="s">
        <v>17</v>
      </c>
      <c r="B483" s="7" t="s">
        <v>191</v>
      </c>
      <c r="C483" s="8">
        <f>IFERROR(__xludf.DUMMYFUNCTION("SPLIT(B483,""RM"")"),1000000.0)</f>
        <v>1000000</v>
      </c>
      <c r="D483" s="7">
        <v>1.0</v>
      </c>
      <c r="E483" s="7">
        <v>1.0</v>
      </c>
      <c r="F483" s="7">
        <v>1.0</v>
      </c>
      <c r="G483" s="7" t="s">
        <v>96</v>
      </c>
      <c r="H483" s="7" t="s">
        <v>393</v>
      </c>
      <c r="I483" s="7" t="s">
        <v>27</v>
      </c>
    </row>
    <row r="484">
      <c r="A484" s="7" t="s">
        <v>17</v>
      </c>
      <c r="B484" s="7" t="s">
        <v>641</v>
      </c>
      <c r="C484" s="8">
        <f>IFERROR(__xludf.DUMMYFUNCTION("SPLIT(B484,""RM"")"),830000.0)</f>
        <v>830000</v>
      </c>
      <c r="D484" s="7" t="s">
        <v>325</v>
      </c>
      <c r="E484" s="7">
        <v>1.0</v>
      </c>
      <c r="G484" s="7" t="s">
        <v>82</v>
      </c>
      <c r="H484" s="7" t="s">
        <v>642</v>
      </c>
      <c r="I484" s="7" t="s">
        <v>22</v>
      </c>
    </row>
    <row r="485">
      <c r="A485" s="7" t="s">
        <v>32</v>
      </c>
      <c r="B485" s="7" t="s">
        <v>643</v>
      </c>
      <c r="C485" s="8">
        <f>IFERROR(__xludf.DUMMYFUNCTION("SPLIT(B485,""RM"")"),868000.0)</f>
        <v>868000</v>
      </c>
      <c r="D485" s="7">
        <v>5.0</v>
      </c>
      <c r="E485" s="7">
        <v>4.0</v>
      </c>
      <c r="F485" s="7">
        <v>2.0</v>
      </c>
      <c r="G485" s="7" t="s">
        <v>54</v>
      </c>
      <c r="H485" s="7" t="s">
        <v>558</v>
      </c>
      <c r="I485" s="7" t="s">
        <v>27</v>
      </c>
    </row>
    <row r="486">
      <c r="A486" s="7" t="s">
        <v>72</v>
      </c>
      <c r="B486" s="7" t="s">
        <v>644</v>
      </c>
      <c r="C486" s="8">
        <f>IFERROR(__xludf.DUMMYFUNCTION("SPLIT(B486,""RM"")"),1865000.0)</f>
        <v>1865000</v>
      </c>
      <c r="D486" s="7" t="s">
        <v>57</v>
      </c>
      <c r="E486" s="7">
        <v>5.0</v>
      </c>
      <c r="F486" s="7">
        <v>3.0</v>
      </c>
      <c r="G486" s="7" t="s">
        <v>30</v>
      </c>
      <c r="H486" s="7" t="s">
        <v>561</v>
      </c>
      <c r="I486" s="7" t="s">
        <v>27</v>
      </c>
    </row>
    <row r="487">
      <c r="A487" s="7" t="s">
        <v>17</v>
      </c>
      <c r="B487" s="7" t="s">
        <v>645</v>
      </c>
      <c r="C487" s="8">
        <f>IFERROR(__xludf.DUMMYFUNCTION("SPLIT(B487,""RM"")"),1308000.0)</f>
        <v>1308000</v>
      </c>
      <c r="D487" s="7" t="s">
        <v>197</v>
      </c>
      <c r="E487" s="7">
        <v>1.0</v>
      </c>
      <c r="F487" s="7">
        <v>1.0</v>
      </c>
      <c r="G487" s="7" t="s">
        <v>30</v>
      </c>
      <c r="H487" s="7" t="s">
        <v>646</v>
      </c>
      <c r="I487" s="7" t="s">
        <v>22</v>
      </c>
    </row>
    <row r="488">
      <c r="A488" s="7" t="s">
        <v>17</v>
      </c>
      <c r="B488" s="7" t="s">
        <v>647</v>
      </c>
      <c r="C488" s="8">
        <f>IFERROR(__xludf.DUMMYFUNCTION("SPLIT(B488,""RM"")"),1760000.0)</f>
        <v>1760000</v>
      </c>
      <c r="D488" s="7" t="s">
        <v>19</v>
      </c>
      <c r="E488" s="7">
        <v>2.0</v>
      </c>
      <c r="F488" s="7">
        <v>2.0</v>
      </c>
      <c r="G488" s="7" t="s">
        <v>30</v>
      </c>
      <c r="H488" s="7" t="s">
        <v>190</v>
      </c>
      <c r="I488" s="7" t="s">
        <v>22</v>
      </c>
    </row>
    <row r="489">
      <c r="A489" s="7" t="s">
        <v>89</v>
      </c>
      <c r="B489" s="7" t="s">
        <v>648</v>
      </c>
      <c r="C489" s="8">
        <f>IFERROR(__xludf.DUMMYFUNCTION("SPLIT(B489,""RM"")"),568000.0)</f>
        <v>568000</v>
      </c>
      <c r="D489" s="7">
        <v>2.0</v>
      </c>
      <c r="E489" s="7">
        <v>2.0</v>
      </c>
      <c r="F489" s="7">
        <v>2.0</v>
      </c>
      <c r="G489" s="7" t="s">
        <v>30</v>
      </c>
      <c r="H489" s="7" t="s">
        <v>51</v>
      </c>
      <c r="I489" s="7" t="s">
        <v>27</v>
      </c>
    </row>
    <row r="490">
      <c r="A490" s="7" t="s">
        <v>17</v>
      </c>
      <c r="B490" s="7" t="s">
        <v>649</v>
      </c>
      <c r="C490" s="8">
        <f>IFERROR(__xludf.DUMMYFUNCTION("SPLIT(B490,""RM"")"),1020000.0)</f>
        <v>1020000</v>
      </c>
      <c r="D490" s="7">
        <v>3.0</v>
      </c>
      <c r="E490" s="7">
        <v>2.0</v>
      </c>
      <c r="F490" s="7">
        <v>1.0</v>
      </c>
      <c r="G490" s="7" t="s">
        <v>121</v>
      </c>
      <c r="H490" s="7" t="s">
        <v>650</v>
      </c>
      <c r="I490" s="7" t="s">
        <v>22</v>
      </c>
    </row>
    <row r="491">
      <c r="A491" s="7" t="s">
        <v>17</v>
      </c>
      <c r="B491" s="7" t="s">
        <v>110</v>
      </c>
      <c r="C491" s="8">
        <f>IFERROR(__xludf.DUMMYFUNCTION("SPLIT(B491,""RM"")"),2400000.0)</f>
        <v>2400000</v>
      </c>
      <c r="D491" s="7">
        <v>2.0</v>
      </c>
      <c r="E491" s="7">
        <v>2.0</v>
      </c>
      <c r="F491" s="7">
        <v>1.0</v>
      </c>
      <c r="G491" s="7" t="s">
        <v>121</v>
      </c>
      <c r="H491" s="7" t="s">
        <v>595</v>
      </c>
      <c r="I491" s="7" t="s">
        <v>22</v>
      </c>
    </row>
    <row r="492">
      <c r="A492" s="7" t="s">
        <v>17</v>
      </c>
      <c r="B492" s="7" t="s">
        <v>651</v>
      </c>
      <c r="C492" s="8">
        <f>IFERROR(__xludf.DUMMYFUNCTION("SPLIT(B492,""RM"")"),1099000.0)</f>
        <v>1099000</v>
      </c>
      <c r="D492" s="7" t="s">
        <v>19</v>
      </c>
      <c r="E492" s="7">
        <v>2.0</v>
      </c>
      <c r="F492" s="7">
        <v>1.0</v>
      </c>
      <c r="G492" s="7" t="s">
        <v>20</v>
      </c>
      <c r="H492" s="7" t="s">
        <v>652</v>
      </c>
      <c r="I492" s="7" t="s">
        <v>22</v>
      </c>
    </row>
    <row r="493">
      <c r="A493" s="7" t="s">
        <v>77</v>
      </c>
      <c r="B493" s="7" t="s">
        <v>158</v>
      </c>
      <c r="C493" s="8">
        <f>IFERROR(__xludf.DUMMYFUNCTION("SPLIT(B493,""RM"")"),1850000.0)</f>
        <v>1850000</v>
      </c>
      <c r="D493" s="7" t="s">
        <v>57</v>
      </c>
      <c r="E493" s="7">
        <v>3.0</v>
      </c>
      <c r="F493" s="7">
        <v>3.0</v>
      </c>
      <c r="G493" s="7" t="s">
        <v>54</v>
      </c>
      <c r="H493" s="7" t="s">
        <v>283</v>
      </c>
      <c r="I493" s="7" t="s">
        <v>27</v>
      </c>
    </row>
    <row r="494">
      <c r="A494" s="7" t="s">
        <v>17</v>
      </c>
      <c r="B494" s="7" t="s">
        <v>81</v>
      </c>
      <c r="C494" s="8">
        <f>IFERROR(__xludf.DUMMYFUNCTION("SPLIT(B494,""RM"")"),1550000.0)</f>
        <v>1550000</v>
      </c>
      <c r="D494" s="7">
        <v>2.0</v>
      </c>
      <c r="E494" s="7">
        <v>2.0</v>
      </c>
      <c r="F494" s="7">
        <v>2.0</v>
      </c>
      <c r="G494" s="7" t="s">
        <v>121</v>
      </c>
      <c r="H494" s="7" t="s">
        <v>653</v>
      </c>
      <c r="I494" s="7" t="s">
        <v>22</v>
      </c>
    </row>
    <row r="495">
      <c r="A495" s="7" t="s">
        <v>72</v>
      </c>
      <c r="B495" s="7" t="s">
        <v>448</v>
      </c>
      <c r="C495" s="8">
        <f>IFERROR(__xludf.DUMMYFUNCTION("SPLIT(B495,""RM"")"),1420000.0)</f>
        <v>1420000</v>
      </c>
      <c r="D495" s="7">
        <v>4.0</v>
      </c>
      <c r="E495" s="7">
        <v>4.0</v>
      </c>
      <c r="F495" s="7">
        <v>2.0</v>
      </c>
      <c r="G495" s="7" t="s">
        <v>83</v>
      </c>
      <c r="H495" s="7" t="s">
        <v>334</v>
      </c>
      <c r="I495" s="7" t="s">
        <v>22</v>
      </c>
    </row>
    <row r="496">
      <c r="A496" s="7" t="s">
        <v>37</v>
      </c>
      <c r="B496" s="7" t="s">
        <v>239</v>
      </c>
      <c r="C496" s="8">
        <f>IFERROR(__xludf.DUMMYFUNCTION("SPLIT(B496,""RM"")"),1280000.0)</f>
        <v>1280000</v>
      </c>
      <c r="D496" s="7" t="s">
        <v>57</v>
      </c>
      <c r="E496" s="7">
        <v>3.0</v>
      </c>
      <c r="F496" s="7">
        <v>2.0</v>
      </c>
      <c r="G496" s="7" t="s">
        <v>54</v>
      </c>
      <c r="H496" s="7" t="s">
        <v>280</v>
      </c>
      <c r="I496" s="7" t="s">
        <v>27</v>
      </c>
    </row>
    <row r="497">
      <c r="A497" s="7" t="s">
        <v>72</v>
      </c>
      <c r="B497" s="7" t="s">
        <v>411</v>
      </c>
      <c r="C497" s="8">
        <f>IFERROR(__xludf.DUMMYFUNCTION("SPLIT(B497,""RM"")"),2150000.0)</f>
        <v>2150000</v>
      </c>
      <c r="D497" s="7" t="s">
        <v>57</v>
      </c>
      <c r="E497" s="7">
        <v>4.0</v>
      </c>
      <c r="G497" s="7" t="s">
        <v>30</v>
      </c>
      <c r="H497" s="7" t="s">
        <v>654</v>
      </c>
      <c r="I497" s="7" t="s">
        <v>27</v>
      </c>
    </row>
    <row r="498">
      <c r="A498" s="7" t="s">
        <v>37</v>
      </c>
      <c r="B498" s="7" t="s">
        <v>284</v>
      </c>
      <c r="C498" s="8">
        <f>IFERROR(__xludf.DUMMYFUNCTION("SPLIT(B498,""RM"")"),1060000.0)</f>
        <v>1060000</v>
      </c>
      <c r="D498" s="7">
        <v>3.0</v>
      </c>
      <c r="E498" s="7">
        <v>2.0</v>
      </c>
      <c r="F498" s="7">
        <v>2.0</v>
      </c>
      <c r="G498" s="7" t="s">
        <v>343</v>
      </c>
      <c r="H498" s="7" t="s">
        <v>344</v>
      </c>
      <c r="I498" s="7" t="s">
        <v>103</v>
      </c>
    </row>
    <row r="499">
      <c r="A499" s="7" t="s">
        <v>72</v>
      </c>
      <c r="B499" s="7" t="s">
        <v>655</v>
      </c>
      <c r="C499" s="8">
        <f>IFERROR(__xludf.DUMMYFUNCTION("SPLIT(B499,""RM"")"),2550000.0)</f>
        <v>2550000</v>
      </c>
      <c r="D499" s="7" t="s">
        <v>35</v>
      </c>
      <c r="E499" s="7">
        <v>5.0</v>
      </c>
      <c r="F499" s="7">
        <v>2.0</v>
      </c>
      <c r="G499" s="7" t="s">
        <v>83</v>
      </c>
      <c r="H499" s="7" t="s">
        <v>456</v>
      </c>
      <c r="I499" s="7" t="s">
        <v>27</v>
      </c>
    </row>
    <row r="500">
      <c r="A500" s="7" t="s">
        <v>72</v>
      </c>
      <c r="B500" s="7" t="s">
        <v>158</v>
      </c>
      <c r="C500" s="8">
        <f>IFERROR(__xludf.DUMMYFUNCTION("SPLIT(B500,""RM"")"),1850000.0)</f>
        <v>1850000</v>
      </c>
      <c r="D500" s="7">
        <v>3.0</v>
      </c>
      <c r="E500" s="7">
        <v>3.0</v>
      </c>
      <c r="F500" s="7">
        <v>2.0</v>
      </c>
      <c r="G500" s="7" t="s">
        <v>20</v>
      </c>
      <c r="H500" s="7" t="s">
        <v>656</v>
      </c>
    </row>
    <row r="501">
      <c r="A501" s="7" t="s">
        <v>33</v>
      </c>
      <c r="B501" s="7" t="s">
        <v>657</v>
      </c>
      <c r="C501" s="8">
        <f>IFERROR(__xludf.DUMMYFUNCTION("SPLIT(B501,""RM"")"),980000.0)</f>
        <v>980000</v>
      </c>
      <c r="D501" s="7" t="s">
        <v>35</v>
      </c>
      <c r="E501" s="7">
        <v>3.0</v>
      </c>
      <c r="F501" s="7">
        <v>2.0</v>
      </c>
      <c r="G501" s="7" t="s">
        <v>30</v>
      </c>
      <c r="H501" s="7" t="s">
        <v>36</v>
      </c>
      <c r="I501" s="7" t="s">
        <v>22</v>
      </c>
    </row>
    <row r="502">
      <c r="A502" s="7" t="s">
        <v>23</v>
      </c>
      <c r="B502" s="7" t="s">
        <v>658</v>
      </c>
      <c r="C502" s="8">
        <f>IFERROR(__xludf.DUMMYFUNCTION("SPLIT(B502,""RM"")"),2650000.0)</f>
        <v>2650000</v>
      </c>
      <c r="D502" s="7" t="s">
        <v>57</v>
      </c>
      <c r="E502" s="7">
        <v>5.0</v>
      </c>
      <c r="F502" s="7">
        <v>3.0</v>
      </c>
      <c r="G502" s="7" t="s">
        <v>20</v>
      </c>
      <c r="H502" s="7" t="s">
        <v>659</v>
      </c>
      <c r="I502" s="7" t="s">
        <v>27</v>
      </c>
    </row>
    <row r="503">
      <c r="A503" s="7" t="s">
        <v>23</v>
      </c>
      <c r="B503" s="7" t="s">
        <v>149</v>
      </c>
      <c r="C503" s="8">
        <f>IFERROR(__xludf.DUMMYFUNCTION("SPLIT(B503,""RM"")"),4000000.0)</f>
        <v>4000000</v>
      </c>
      <c r="D503" s="7">
        <v>5.0</v>
      </c>
      <c r="E503" s="7">
        <v>4.0</v>
      </c>
      <c r="G503" s="7" t="s">
        <v>43</v>
      </c>
    </row>
    <row r="504">
      <c r="A504" s="7" t="s">
        <v>17</v>
      </c>
      <c r="B504" s="7" t="s">
        <v>233</v>
      </c>
      <c r="C504" s="8">
        <f>IFERROR(__xludf.DUMMYFUNCTION("SPLIT(B504,""RM"")"),3364000.0)</f>
        <v>3364000</v>
      </c>
      <c r="D504" s="7" t="s">
        <v>19</v>
      </c>
      <c r="E504" s="7">
        <v>2.0</v>
      </c>
      <c r="F504" s="7">
        <v>2.0</v>
      </c>
      <c r="G504" s="7" t="s">
        <v>82</v>
      </c>
      <c r="H504" s="7" t="s">
        <v>234</v>
      </c>
      <c r="I504" s="7" t="s">
        <v>22</v>
      </c>
    </row>
    <row r="505">
      <c r="A505" s="7" t="s">
        <v>17</v>
      </c>
      <c r="B505" s="7" t="s">
        <v>448</v>
      </c>
      <c r="C505" s="8">
        <f>IFERROR(__xludf.DUMMYFUNCTION("SPLIT(B505,""RM"")"),1420000.0)</f>
        <v>1420000</v>
      </c>
      <c r="D505" s="7" t="s">
        <v>19</v>
      </c>
      <c r="E505" s="7">
        <v>2.0</v>
      </c>
      <c r="F505" s="7">
        <v>1.0</v>
      </c>
      <c r="G505" s="7" t="s">
        <v>30</v>
      </c>
      <c r="H505" s="7" t="s">
        <v>213</v>
      </c>
      <c r="I505" s="7" t="s">
        <v>27</v>
      </c>
    </row>
    <row r="506">
      <c r="A506" s="7" t="s">
        <v>17</v>
      </c>
      <c r="B506" s="7" t="s">
        <v>660</v>
      </c>
      <c r="C506" s="8">
        <f>IFERROR(__xludf.DUMMYFUNCTION("SPLIT(B506,""RM"")"),2889000.0)</f>
        <v>2889000</v>
      </c>
      <c r="D506" s="7">
        <v>1.0</v>
      </c>
      <c r="E506" s="7">
        <v>2.0</v>
      </c>
      <c r="F506" s="7">
        <v>1.0</v>
      </c>
      <c r="G506" s="7" t="s">
        <v>82</v>
      </c>
      <c r="H506" s="7" t="s">
        <v>661</v>
      </c>
      <c r="I506" s="7" t="s">
        <v>22</v>
      </c>
    </row>
    <row r="507">
      <c r="A507" s="7" t="s">
        <v>17</v>
      </c>
      <c r="B507" s="7" t="s">
        <v>85</v>
      </c>
      <c r="C507" s="8">
        <f>IFERROR(__xludf.DUMMYFUNCTION("SPLIT(B507,""RM"")"),1450000.0)</f>
        <v>1450000</v>
      </c>
      <c r="D507" s="7">
        <v>1.0</v>
      </c>
      <c r="E507" s="7">
        <v>1.0</v>
      </c>
      <c r="G507" s="7" t="s">
        <v>385</v>
      </c>
      <c r="H507" s="7" t="s">
        <v>157</v>
      </c>
      <c r="I507" s="7" t="s">
        <v>22</v>
      </c>
    </row>
    <row r="508">
      <c r="A508" s="7" t="s">
        <v>52</v>
      </c>
      <c r="B508" s="7" t="s">
        <v>662</v>
      </c>
      <c r="C508" s="8">
        <f>IFERROR(__xludf.DUMMYFUNCTION("SPLIT(B508,""RM"")"),6220000.0)</f>
        <v>6220000</v>
      </c>
      <c r="D508" s="7" t="s">
        <v>35</v>
      </c>
      <c r="E508" s="7">
        <v>6.0</v>
      </c>
      <c r="G508" s="7" t="s">
        <v>83</v>
      </c>
      <c r="H508" s="7" t="s">
        <v>663</v>
      </c>
      <c r="I508" s="7" t="s">
        <v>22</v>
      </c>
    </row>
    <row r="509">
      <c r="A509" s="7" t="s">
        <v>180</v>
      </c>
      <c r="B509" s="7" t="s">
        <v>132</v>
      </c>
      <c r="C509" s="8">
        <f>IFERROR(__xludf.DUMMYFUNCTION("SPLIT(B509,""RM"")"),1080000.0)</f>
        <v>1080000</v>
      </c>
      <c r="D509" s="7">
        <v>2.0</v>
      </c>
      <c r="E509" s="7">
        <v>2.0</v>
      </c>
      <c r="F509" s="7">
        <v>1.0</v>
      </c>
      <c r="G509" s="7" t="s">
        <v>93</v>
      </c>
      <c r="H509" s="7" t="s">
        <v>664</v>
      </c>
      <c r="I509" s="7" t="s">
        <v>27</v>
      </c>
    </row>
    <row r="510">
      <c r="A510" s="7" t="s">
        <v>180</v>
      </c>
      <c r="B510" s="7" t="s">
        <v>665</v>
      </c>
      <c r="C510" s="8">
        <f>IFERROR(__xludf.DUMMYFUNCTION("SPLIT(B510,""RM"")"),916000.0)</f>
        <v>916000</v>
      </c>
      <c r="D510" s="7">
        <v>1.0</v>
      </c>
      <c r="E510" s="7">
        <v>1.0</v>
      </c>
      <c r="F510" s="7">
        <v>1.0</v>
      </c>
      <c r="G510" s="7" t="s">
        <v>83</v>
      </c>
      <c r="H510" s="7" t="s">
        <v>621</v>
      </c>
      <c r="I510" s="7" t="s">
        <v>22</v>
      </c>
    </row>
    <row r="511">
      <c r="A511" s="7" t="s">
        <v>17</v>
      </c>
      <c r="B511" s="7" t="s">
        <v>501</v>
      </c>
      <c r="C511" s="8">
        <f>IFERROR(__xludf.DUMMYFUNCTION("SPLIT(B511,""RM"")"),1240000.0)</f>
        <v>1240000</v>
      </c>
      <c r="D511" s="7" t="s">
        <v>197</v>
      </c>
      <c r="G511" s="7" t="s">
        <v>20</v>
      </c>
      <c r="H511" s="7" t="s">
        <v>392</v>
      </c>
    </row>
    <row r="512">
      <c r="A512" s="7" t="s">
        <v>72</v>
      </c>
      <c r="B512" s="7" t="s">
        <v>281</v>
      </c>
      <c r="C512" s="8">
        <f>IFERROR(__xludf.DUMMYFUNCTION("SPLIT(B512,""RM"")"),2500000.0)</f>
        <v>2500000</v>
      </c>
      <c r="D512" s="7" t="s">
        <v>70</v>
      </c>
      <c r="E512" s="7">
        <v>4.0</v>
      </c>
      <c r="F512" s="7">
        <v>4.0</v>
      </c>
      <c r="G512" s="7" t="s">
        <v>43</v>
      </c>
      <c r="H512" s="7" t="s">
        <v>666</v>
      </c>
      <c r="I512" s="7" t="s">
        <v>27</v>
      </c>
    </row>
    <row r="513">
      <c r="A513" s="7" t="s">
        <v>428</v>
      </c>
      <c r="B513" s="7" t="s">
        <v>239</v>
      </c>
      <c r="C513" s="8">
        <f>IFERROR(__xludf.DUMMYFUNCTION("SPLIT(B513,""RM"")"),1280000.0)</f>
        <v>1280000</v>
      </c>
      <c r="G513" s="7" t="s">
        <v>667</v>
      </c>
      <c r="H513" s="7" t="s">
        <v>668</v>
      </c>
    </row>
    <row r="514">
      <c r="A514" s="7" t="s">
        <v>89</v>
      </c>
      <c r="B514" s="7" t="s">
        <v>277</v>
      </c>
      <c r="C514" s="8">
        <f>IFERROR(__xludf.DUMMYFUNCTION("SPLIT(B514,""RM"")"),2200000.0)</f>
        <v>2200000</v>
      </c>
      <c r="D514" s="7" t="s">
        <v>35</v>
      </c>
      <c r="E514" s="7">
        <v>5.0</v>
      </c>
      <c r="F514" s="7">
        <v>5.0</v>
      </c>
      <c r="G514" s="7" t="s">
        <v>64</v>
      </c>
      <c r="H514" s="7" t="s">
        <v>669</v>
      </c>
      <c r="I514" s="7" t="s">
        <v>27</v>
      </c>
    </row>
    <row r="515">
      <c r="A515" s="7" t="s">
        <v>428</v>
      </c>
      <c r="B515" s="7" t="s">
        <v>120</v>
      </c>
      <c r="C515" s="8">
        <f>IFERROR(__xludf.DUMMYFUNCTION("SPLIT(B515,""RM"")"),3600000.0)</f>
        <v>3600000</v>
      </c>
      <c r="D515" s="7" t="s">
        <v>35</v>
      </c>
      <c r="E515" s="7">
        <v>4.0</v>
      </c>
      <c r="F515" s="7">
        <v>6.0</v>
      </c>
      <c r="G515" s="7" t="s">
        <v>61</v>
      </c>
      <c r="H515" s="7" t="s">
        <v>670</v>
      </c>
      <c r="I515" s="7" t="s">
        <v>103</v>
      </c>
    </row>
    <row r="516">
      <c r="A516" s="7" t="s">
        <v>37</v>
      </c>
      <c r="B516" s="7" t="s">
        <v>530</v>
      </c>
      <c r="C516" s="8">
        <f>IFERROR(__xludf.DUMMYFUNCTION("SPLIT(B516,""RM"")"),5000000.0)</f>
        <v>5000000</v>
      </c>
      <c r="D516" s="7" t="s">
        <v>299</v>
      </c>
      <c r="E516" s="7">
        <v>5.0</v>
      </c>
      <c r="F516" s="7">
        <v>3.0</v>
      </c>
      <c r="G516" s="7" t="s">
        <v>25</v>
      </c>
      <c r="H516" s="7" t="s">
        <v>62</v>
      </c>
      <c r="I516" s="7" t="s">
        <v>22</v>
      </c>
    </row>
    <row r="517">
      <c r="A517" s="7" t="s">
        <v>37</v>
      </c>
      <c r="B517" s="7" t="s">
        <v>671</v>
      </c>
      <c r="C517" s="8">
        <f>IFERROR(__xludf.DUMMYFUNCTION("SPLIT(B517,""RM"")"),2780000.0)</f>
        <v>2780000</v>
      </c>
      <c r="D517" s="7">
        <v>4.0</v>
      </c>
      <c r="E517" s="7">
        <v>3.0</v>
      </c>
      <c r="F517" s="7">
        <v>2.0</v>
      </c>
      <c r="G517" s="7" t="s">
        <v>43</v>
      </c>
      <c r="H517" s="7" t="s">
        <v>672</v>
      </c>
      <c r="I517" s="7" t="s">
        <v>27</v>
      </c>
    </row>
    <row r="518">
      <c r="A518" s="7" t="s">
        <v>86</v>
      </c>
      <c r="B518" s="7" t="s">
        <v>361</v>
      </c>
      <c r="C518" s="8">
        <f>IFERROR(__xludf.DUMMYFUNCTION("SPLIT(B518,""RM"")"),530000.0)</f>
        <v>530000</v>
      </c>
      <c r="D518" s="7">
        <v>1.0</v>
      </c>
      <c r="E518" s="7">
        <v>1.0</v>
      </c>
      <c r="G518" s="7" t="s">
        <v>82</v>
      </c>
      <c r="H518" s="7" t="s">
        <v>673</v>
      </c>
      <c r="I518" s="7" t="s">
        <v>22</v>
      </c>
    </row>
    <row r="519">
      <c r="A519" s="7" t="s">
        <v>32</v>
      </c>
      <c r="B519" s="7" t="s">
        <v>563</v>
      </c>
      <c r="C519" s="8">
        <f>IFERROR(__xludf.DUMMYFUNCTION("SPLIT(B519,""RM"")"),600000.0)</f>
        <v>600000</v>
      </c>
      <c r="D519" s="7">
        <v>4.0</v>
      </c>
      <c r="E519" s="7">
        <v>3.0</v>
      </c>
      <c r="F519" s="7">
        <v>2.0</v>
      </c>
      <c r="G519" s="7" t="s">
        <v>54</v>
      </c>
      <c r="H519" s="7" t="s">
        <v>283</v>
      </c>
      <c r="I519" s="7" t="s">
        <v>103</v>
      </c>
    </row>
    <row r="520">
      <c r="A520" s="7" t="s">
        <v>89</v>
      </c>
      <c r="B520" s="7" t="s">
        <v>191</v>
      </c>
      <c r="C520" s="8">
        <f>IFERROR(__xludf.DUMMYFUNCTION("SPLIT(B520,""RM"")"),1000000.0)</f>
        <v>1000000</v>
      </c>
      <c r="D520" s="7">
        <v>5.0</v>
      </c>
      <c r="E520" s="7">
        <v>4.0</v>
      </c>
      <c r="F520" s="7">
        <v>2.0</v>
      </c>
      <c r="G520" s="7" t="s">
        <v>90</v>
      </c>
      <c r="H520" s="7" t="s">
        <v>674</v>
      </c>
      <c r="I520" s="7" t="s">
        <v>27</v>
      </c>
    </row>
    <row r="521">
      <c r="A521" s="7" t="s">
        <v>164</v>
      </c>
      <c r="B521" s="7" t="s">
        <v>675</v>
      </c>
      <c r="C521" s="8">
        <f>IFERROR(__xludf.DUMMYFUNCTION("SPLIT(B521,""RM"")"),2434900.0)</f>
        <v>2434900</v>
      </c>
      <c r="D521" s="7" t="s">
        <v>57</v>
      </c>
      <c r="E521" s="7">
        <v>4.0</v>
      </c>
      <c r="F521" s="7">
        <v>1.0</v>
      </c>
      <c r="G521" s="7" t="s">
        <v>20</v>
      </c>
      <c r="H521" s="7" t="s">
        <v>676</v>
      </c>
      <c r="I521" s="7" t="s">
        <v>103</v>
      </c>
    </row>
    <row r="522">
      <c r="A522" s="7" t="s">
        <v>23</v>
      </c>
      <c r="B522" s="7" t="s">
        <v>403</v>
      </c>
      <c r="C522" s="8">
        <f>IFERROR(__xludf.DUMMYFUNCTION("SPLIT(B522,""RM"")"),1600000.0)</f>
        <v>1600000</v>
      </c>
      <c r="D522" s="7" t="s">
        <v>197</v>
      </c>
      <c r="E522" s="7">
        <v>2.0</v>
      </c>
      <c r="F522" s="7">
        <v>1.0</v>
      </c>
      <c r="G522" s="7" t="s">
        <v>20</v>
      </c>
      <c r="H522" s="7" t="s">
        <v>373</v>
      </c>
      <c r="I522" s="7" t="s">
        <v>27</v>
      </c>
    </row>
    <row r="523">
      <c r="A523" s="7" t="s">
        <v>148</v>
      </c>
      <c r="B523" s="7" t="s">
        <v>236</v>
      </c>
      <c r="C523" s="8">
        <f>IFERROR(__xludf.DUMMYFUNCTION("SPLIT(B523,""RM"")"),2000000.0)</f>
        <v>2000000</v>
      </c>
      <c r="D523" s="7">
        <v>6.0</v>
      </c>
      <c r="E523" s="7">
        <v>6.0</v>
      </c>
      <c r="F523" s="7">
        <v>3.0</v>
      </c>
      <c r="G523" s="7" t="s">
        <v>64</v>
      </c>
      <c r="H523" s="7" t="s">
        <v>478</v>
      </c>
      <c r="I523" s="7" t="s">
        <v>27</v>
      </c>
    </row>
    <row r="524">
      <c r="A524" s="7" t="s">
        <v>32</v>
      </c>
      <c r="B524" s="7" t="s">
        <v>677</v>
      </c>
      <c r="C524" s="8">
        <f>IFERROR(__xludf.DUMMYFUNCTION("SPLIT(B524,""RM"")"),535000.0)</f>
        <v>535000</v>
      </c>
      <c r="D524" s="7">
        <v>1.0</v>
      </c>
      <c r="E524" s="7">
        <v>1.0</v>
      </c>
      <c r="F524" s="7">
        <v>1.0</v>
      </c>
      <c r="G524" s="7" t="s">
        <v>82</v>
      </c>
      <c r="H524" s="7" t="s">
        <v>678</v>
      </c>
      <c r="I524" s="7" t="s">
        <v>27</v>
      </c>
    </row>
    <row r="525">
      <c r="A525" s="7" t="s">
        <v>17</v>
      </c>
      <c r="B525" s="7" t="s">
        <v>679</v>
      </c>
      <c r="C525" s="8">
        <f>IFERROR(__xludf.DUMMYFUNCTION("SPLIT(B525,""RM"")"),6400000.0)</f>
        <v>6400000</v>
      </c>
      <c r="D525" s="7" t="s">
        <v>57</v>
      </c>
      <c r="E525" s="7">
        <v>4.0</v>
      </c>
      <c r="G525" s="7" t="s">
        <v>83</v>
      </c>
      <c r="H525" s="7" t="s">
        <v>680</v>
      </c>
    </row>
    <row r="526" hidden="1">
      <c r="A526" s="7" t="s">
        <v>89</v>
      </c>
      <c r="C526" s="7" t="str">
        <f>IFERROR(__xludf.DUMMYFUNCTION("SPLIT(B526,""RM"")"),"#VALUE!")</f>
        <v>#VALUE!</v>
      </c>
      <c r="D526" s="7" t="s">
        <v>35</v>
      </c>
      <c r="E526" s="7">
        <v>6.0</v>
      </c>
      <c r="F526" s="7">
        <v>4.0</v>
      </c>
      <c r="G526" s="7" t="s">
        <v>90</v>
      </c>
      <c r="H526" s="7" t="s">
        <v>344</v>
      </c>
      <c r="I526" s="7" t="s">
        <v>27</v>
      </c>
    </row>
    <row r="527">
      <c r="A527" s="7" t="s">
        <v>89</v>
      </c>
      <c r="B527" s="7" t="s">
        <v>327</v>
      </c>
      <c r="C527" s="8">
        <f>IFERROR(__xludf.DUMMYFUNCTION("SPLIT(B527,""RM"")"),1300000.0)</f>
        <v>1300000</v>
      </c>
      <c r="D527" s="7" t="s">
        <v>35</v>
      </c>
      <c r="E527" s="7">
        <v>6.0</v>
      </c>
      <c r="F527" s="7">
        <v>4.0</v>
      </c>
      <c r="G527" s="7" t="s">
        <v>90</v>
      </c>
      <c r="H527" s="7" t="s">
        <v>344</v>
      </c>
      <c r="I527" s="7" t="s">
        <v>27</v>
      </c>
    </row>
    <row r="528">
      <c r="A528" s="7" t="s">
        <v>89</v>
      </c>
      <c r="B528" s="7" t="s">
        <v>29</v>
      </c>
      <c r="C528" s="8">
        <f>IFERROR(__xludf.DUMMYFUNCTION("SPLIT(B528,""RM"")"),1030000.0)</f>
        <v>1030000</v>
      </c>
      <c r="D528" s="7" t="s">
        <v>35</v>
      </c>
      <c r="E528" s="7">
        <v>4.0</v>
      </c>
      <c r="G528" s="7" t="s">
        <v>681</v>
      </c>
      <c r="H528" s="7" t="s">
        <v>91</v>
      </c>
      <c r="I528" s="7" t="s">
        <v>27</v>
      </c>
    </row>
    <row r="529">
      <c r="A529" s="7" t="s">
        <v>17</v>
      </c>
      <c r="B529" s="7" t="s">
        <v>329</v>
      </c>
      <c r="C529" s="8">
        <f>IFERROR(__xludf.DUMMYFUNCTION("SPLIT(B529,""RM"")"),1200000.0)</f>
        <v>1200000</v>
      </c>
      <c r="D529" s="7">
        <v>3.0</v>
      </c>
      <c r="E529" s="7">
        <v>3.0</v>
      </c>
      <c r="F529" s="7">
        <v>2.0</v>
      </c>
      <c r="G529" s="7" t="s">
        <v>20</v>
      </c>
      <c r="H529" s="7" t="s">
        <v>21</v>
      </c>
      <c r="I529" s="7" t="s">
        <v>22</v>
      </c>
    </row>
    <row r="530">
      <c r="A530" s="7" t="s">
        <v>164</v>
      </c>
      <c r="B530" s="7" t="s">
        <v>655</v>
      </c>
      <c r="C530" s="8">
        <f>IFERROR(__xludf.DUMMYFUNCTION("SPLIT(B530,""RM"")"),2550000.0)</f>
        <v>2550000</v>
      </c>
      <c r="D530" s="7" t="s">
        <v>57</v>
      </c>
      <c r="E530" s="7">
        <v>5.0</v>
      </c>
      <c r="F530" s="7">
        <v>2.0</v>
      </c>
      <c r="G530" s="7" t="s">
        <v>121</v>
      </c>
      <c r="H530" s="7" t="s">
        <v>74</v>
      </c>
      <c r="I530" s="7" t="s">
        <v>27</v>
      </c>
    </row>
    <row r="531">
      <c r="A531" s="7" t="s">
        <v>428</v>
      </c>
      <c r="B531" s="7" t="s">
        <v>682</v>
      </c>
      <c r="C531" s="8">
        <f>IFERROR(__xludf.DUMMYFUNCTION("SPLIT(B531,""RM"")"),2590000.0)</f>
        <v>2590000</v>
      </c>
      <c r="D531" s="7" t="s">
        <v>70</v>
      </c>
      <c r="E531" s="7">
        <v>6.0</v>
      </c>
      <c r="F531" s="7">
        <v>2.0</v>
      </c>
      <c r="G531" s="7" t="s">
        <v>61</v>
      </c>
      <c r="H531" s="7" t="s">
        <v>683</v>
      </c>
      <c r="I531" s="7" t="s">
        <v>27</v>
      </c>
    </row>
    <row r="532">
      <c r="A532" s="7" t="s">
        <v>428</v>
      </c>
      <c r="B532" s="7" t="s">
        <v>260</v>
      </c>
      <c r="C532" s="8">
        <f>IFERROR(__xludf.DUMMYFUNCTION("SPLIT(B532,""RM"")"),1480000.0)</f>
        <v>1480000</v>
      </c>
      <c r="D532" s="7" t="s">
        <v>57</v>
      </c>
      <c r="E532" s="7">
        <v>4.0</v>
      </c>
      <c r="F532" s="7">
        <v>2.0</v>
      </c>
      <c r="G532" s="7" t="s">
        <v>93</v>
      </c>
      <c r="H532" s="7" t="s">
        <v>97</v>
      </c>
      <c r="I532" s="7" t="s">
        <v>22</v>
      </c>
    </row>
    <row r="533">
      <c r="A533" s="7" t="s">
        <v>89</v>
      </c>
      <c r="B533" s="7" t="s">
        <v>684</v>
      </c>
      <c r="C533" s="8">
        <f>IFERROR(__xludf.DUMMYFUNCTION("SPLIT(B533,""RM"")"),1348000.0)</f>
        <v>1348000</v>
      </c>
      <c r="D533" s="7">
        <v>5.0</v>
      </c>
      <c r="E533" s="7">
        <v>6.0</v>
      </c>
      <c r="F533" s="7">
        <v>4.0</v>
      </c>
      <c r="G533" s="7" t="s">
        <v>90</v>
      </c>
      <c r="H533" s="7" t="s">
        <v>522</v>
      </c>
      <c r="I533" s="7" t="s">
        <v>103</v>
      </c>
    </row>
    <row r="534">
      <c r="A534" s="7" t="s">
        <v>171</v>
      </c>
      <c r="B534" s="7" t="s">
        <v>606</v>
      </c>
      <c r="C534" s="8">
        <f>IFERROR(__xludf.DUMMYFUNCTION("SPLIT(B534,""RM"")"),428000.0)</f>
        <v>428000</v>
      </c>
      <c r="D534" s="7" t="s">
        <v>57</v>
      </c>
      <c r="E534" s="7">
        <v>2.0</v>
      </c>
      <c r="F534" s="7">
        <v>2.0</v>
      </c>
      <c r="G534" s="7" t="s">
        <v>20</v>
      </c>
      <c r="H534" s="7" t="s">
        <v>607</v>
      </c>
      <c r="I534" s="7" t="s">
        <v>27</v>
      </c>
    </row>
    <row r="535">
      <c r="A535" s="7" t="s">
        <v>72</v>
      </c>
      <c r="B535" s="7" t="s">
        <v>552</v>
      </c>
      <c r="C535" s="8">
        <f>IFERROR(__xludf.DUMMYFUNCTION("SPLIT(B535,""RM"")"),618000.0)</f>
        <v>618000</v>
      </c>
      <c r="D535" s="7">
        <v>1.0</v>
      </c>
      <c r="E535" s="7">
        <v>1.0</v>
      </c>
      <c r="F535" s="7">
        <v>1.0</v>
      </c>
      <c r="G535" s="7" t="s">
        <v>82</v>
      </c>
      <c r="H535" s="7" t="s">
        <v>685</v>
      </c>
      <c r="I535" s="7" t="s">
        <v>22</v>
      </c>
    </row>
    <row r="536">
      <c r="A536" s="7" t="s">
        <v>72</v>
      </c>
      <c r="B536" s="7" t="s">
        <v>605</v>
      </c>
      <c r="C536" s="8">
        <f>IFERROR(__xludf.DUMMYFUNCTION("SPLIT(B536,""RM"")"),1590000.0)</f>
        <v>1590000</v>
      </c>
      <c r="D536" s="7" t="s">
        <v>57</v>
      </c>
      <c r="E536" s="7">
        <v>3.0</v>
      </c>
      <c r="F536" s="7">
        <v>2.0</v>
      </c>
      <c r="G536" s="7" t="s">
        <v>83</v>
      </c>
      <c r="H536" s="7" t="s">
        <v>686</v>
      </c>
      <c r="I536" s="7" t="s">
        <v>27</v>
      </c>
    </row>
    <row r="537">
      <c r="A537" s="7" t="s">
        <v>17</v>
      </c>
      <c r="B537" s="7" t="s">
        <v>34</v>
      </c>
      <c r="C537" s="8">
        <f>IFERROR(__xludf.DUMMYFUNCTION("SPLIT(B537,""RM"")"),900000.0)</f>
        <v>900000</v>
      </c>
      <c r="D537" s="7" t="s">
        <v>19</v>
      </c>
      <c r="E537" s="7">
        <v>2.0</v>
      </c>
      <c r="G537" s="7" t="s">
        <v>20</v>
      </c>
      <c r="H537" s="7" t="s">
        <v>687</v>
      </c>
      <c r="I537" s="7" t="s">
        <v>22</v>
      </c>
    </row>
    <row r="538">
      <c r="A538" s="7" t="s">
        <v>72</v>
      </c>
      <c r="B538" s="7" t="s">
        <v>45</v>
      </c>
      <c r="C538" s="8">
        <f>IFERROR(__xludf.DUMMYFUNCTION("SPLIT(B538,""RM"")"),1950000.0)</f>
        <v>1950000</v>
      </c>
      <c r="D538" s="7" t="s">
        <v>35</v>
      </c>
      <c r="F538" s="7">
        <v>3.0</v>
      </c>
      <c r="G538" s="7" t="s">
        <v>83</v>
      </c>
      <c r="H538" s="7" t="s">
        <v>450</v>
      </c>
      <c r="I538" s="7" t="s">
        <v>27</v>
      </c>
    </row>
    <row r="539">
      <c r="A539" s="7" t="s">
        <v>72</v>
      </c>
      <c r="B539" s="7" t="s">
        <v>56</v>
      </c>
      <c r="C539" s="8">
        <f>IFERROR(__xludf.DUMMYFUNCTION("SPLIT(B539,""RM"")"),1700000.0)</f>
        <v>1700000</v>
      </c>
      <c r="D539" s="7" t="s">
        <v>57</v>
      </c>
      <c r="E539" s="7">
        <v>4.0</v>
      </c>
      <c r="F539" s="7">
        <v>2.0</v>
      </c>
      <c r="G539" s="7" t="s">
        <v>83</v>
      </c>
      <c r="H539" s="7" t="s">
        <v>334</v>
      </c>
      <c r="I539" s="7" t="s">
        <v>22</v>
      </c>
    </row>
    <row r="540">
      <c r="A540" s="7" t="s">
        <v>17</v>
      </c>
      <c r="B540" s="7" t="s">
        <v>191</v>
      </c>
      <c r="C540" s="8">
        <f>IFERROR(__xludf.DUMMYFUNCTION("SPLIT(B540,""RM"")"),1000000.0)</f>
        <v>1000000</v>
      </c>
      <c r="D540" s="7">
        <v>1.0</v>
      </c>
      <c r="E540" s="7">
        <v>1.0</v>
      </c>
      <c r="F540" s="7">
        <v>1.0</v>
      </c>
      <c r="G540" s="7" t="s">
        <v>83</v>
      </c>
      <c r="I540" s="7" t="s">
        <v>22</v>
      </c>
    </row>
    <row r="541">
      <c r="A541" s="7" t="s">
        <v>171</v>
      </c>
      <c r="B541" s="7" t="s">
        <v>639</v>
      </c>
      <c r="C541" s="8">
        <f>IFERROR(__xludf.DUMMYFUNCTION("SPLIT(B541,""RM"")"),360000.0)</f>
        <v>360000</v>
      </c>
      <c r="D541" s="7">
        <v>1.0</v>
      </c>
      <c r="E541" s="7">
        <v>1.0</v>
      </c>
      <c r="G541" s="7" t="s">
        <v>385</v>
      </c>
      <c r="H541" s="7" t="s">
        <v>688</v>
      </c>
      <c r="I541" s="7" t="s">
        <v>27</v>
      </c>
    </row>
    <row r="542">
      <c r="A542" s="7" t="s">
        <v>72</v>
      </c>
      <c r="B542" s="7" t="s">
        <v>45</v>
      </c>
      <c r="C542" s="8">
        <f>IFERROR(__xludf.DUMMYFUNCTION("SPLIT(B542,""RM"")"),1950000.0)</f>
        <v>1950000</v>
      </c>
      <c r="D542" s="7" t="s">
        <v>35</v>
      </c>
      <c r="E542" s="7">
        <v>4.0</v>
      </c>
      <c r="F542" s="7">
        <v>2.0</v>
      </c>
      <c r="G542" s="7" t="s">
        <v>83</v>
      </c>
      <c r="H542" s="7" t="s">
        <v>74</v>
      </c>
      <c r="I542" s="7" t="s">
        <v>27</v>
      </c>
    </row>
    <row r="543">
      <c r="A543" s="7" t="s">
        <v>17</v>
      </c>
      <c r="B543" s="7" t="s">
        <v>125</v>
      </c>
      <c r="C543" s="8">
        <f>IFERROR(__xludf.DUMMYFUNCTION("SPLIT(B543,""RM"")"),2300000.0)</f>
        <v>2300000</v>
      </c>
      <c r="D543" s="7">
        <v>1.0</v>
      </c>
      <c r="E543" s="7">
        <v>1.0</v>
      </c>
      <c r="F543" s="7">
        <v>2.0</v>
      </c>
      <c r="G543" s="7" t="s">
        <v>121</v>
      </c>
      <c r="H543" s="7" t="s">
        <v>126</v>
      </c>
      <c r="I543" s="7" t="s">
        <v>27</v>
      </c>
    </row>
    <row r="544">
      <c r="A544" s="7" t="s">
        <v>17</v>
      </c>
      <c r="B544" s="7" t="s">
        <v>18</v>
      </c>
      <c r="C544" s="8">
        <f>IFERROR(__xludf.DUMMYFUNCTION("SPLIT(B544,""RM"")"),1250000.0)</f>
        <v>1250000</v>
      </c>
      <c r="D544" s="7" t="s">
        <v>19</v>
      </c>
      <c r="E544" s="7">
        <v>3.0</v>
      </c>
      <c r="F544" s="7">
        <v>2.0</v>
      </c>
      <c r="G544" s="7" t="s">
        <v>121</v>
      </c>
      <c r="H544" s="7" t="s">
        <v>21</v>
      </c>
      <c r="I544" s="7" t="s">
        <v>22</v>
      </c>
    </row>
    <row r="545">
      <c r="A545" s="7" t="s">
        <v>17</v>
      </c>
      <c r="B545" s="7" t="s">
        <v>689</v>
      </c>
      <c r="C545" s="8">
        <f>IFERROR(__xludf.DUMMYFUNCTION("SPLIT(B545,""RM"")"),3166000.0)</f>
        <v>3166000</v>
      </c>
      <c r="D545" s="7">
        <v>2.0</v>
      </c>
      <c r="E545" s="7">
        <v>2.0</v>
      </c>
      <c r="F545" s="7">
        <v>1.0</v>
      </c>
      <c r="G545" s="7" t="s">
        <v>82</v>
      </c>
      <c r="H545" s="7" t="s">
        <v>690</v>
      </c>
      <c r="I545" s="7" t="s">
        <v>22</v>
      </c>
    </row>
    <row r="546">
      <c r="A546" s="7" t="s">
        <v>100</v>
      </c>
      <c r="B546" s="7" t="s">
        <v>691</v>
      </c>
      <c r="C546" s="8">
        <f>IFERROR(__xludf.DUMMYFUNCTION("SPLIT(B546,""RM"")"),370000.0)</f>
        <v>370000</v>
      </c>
      <c r="D546" s="7">
        <v>3.0</v>
      </c>
      <c r="E546" s="7">
        <v>2.0</v>
      </c>
      <c r="F546" s="7">
        <v>2.0</v>
      </c>
      <c r="G546" s="7" t="s">
        <v>82</v>
      </c>
      <c r="H546" s="7" t="s">
        <v>491</v>
      </c>
      <c r="I546" s="7" t="s">
        <v>27</v>
      </c>
    </row>
    <row r="547">
      <c r="A547" s="7" t="s">
        <v>692</v>
      </c>
      <c r="B547" s="7" t="s">
        <v>403</v>
      </c>
      <c r="C547" s="8">
        <f>IFERROR(__xludf.DUMMYFUNCTION("SPLIT(B547,""RM"")"),1600000.0)</f>
        <v>1600000</v>
      </c>
      <c r="D547" s="7" t="s">
        <v>70</v>
      </c>
      <c r="E547" s="7">
        <v>5.0</v>
      </c>
      <c r="G547" s="7" t="s">
        <v>203</v>
      </c>
      <c r="H547" s="7" t="s">
        <v>283</v>
      </c>
      <c r="I547" s="7" t="s">
        <v>27</v>
      </c>
    </row>
    <row r="548">
      <c r="A548" s="7" t="s">
        <v>17</v>
      </c>
      <c r="B548" s="7" t="s">
        <v>191</v>
      </c>
      <c r="C548" s="8">
        <f>IFERROR(__xludf.DUMMYFUNCTION("SPLIT(B548,""RM"")"),1000000.0)</f>
        <v>1000000</v>
      </c>
      <c r="D548" s="7">
        <v>1.0</v>
      </c>
      <c r="E548" s="7">
        <v>1.0</v>
      </c>
      <c r="F548" s="7">
        <v>1.0</v>
      </c>
      <c r="G548" s="7" t="s">
        <v>96</v>
      </c>
      <c r="H548" s="7" t="s">
        <v>393</v>
      </c>
      <c r="I548" s="7" t="s">
        <v>22</v>
      </c>
    </row>
    <row r="549">
      <c r="A549" s="7" t="s">
        <v>177</v>
      </c>
      <c r="B549" s="7" t="s">
        <v>693</v>
      </c>
      <c r="C549" s="8">
        <f>IFERROR(__xludf.DUMMYFUNCTION("SPLIT(B549,""RM"")"),6700000.0)</f>
        <v>6700000</v>
      </c>
      <c r="D549" s="7" t="s">
        <v>35</v>
      </c>
      <c r="E549" s="7">
        <v>6.0</v>
      </c>
      <c r="F549" s="7">
        <v>3.0</v>
      </c>
      <c r="G549" s="7" t="s">
        <v>30</v>
      </c>
      <c r="H549" s="7" t="s">
        <v>550</v>
      </c>
    </row>
    <row r="550">
      <c r="A550" s="7" t="s">
        <v>177</v>
      </c>
      <c r="B550" s="7" t="s">
        <v>694</v>
      </c>
      <c r="C550" s="8">
        <f>IFERROR(__xludf.DUMMYFUNCTION("SPLIT(B550,""RM"")"),6600000.0)</f>
        <v>6600000</v>
      </c>
      <c r="D550" s="7" t="s">
        <v>57</v>
      </c>
      <c r="E550" s="7">
        <v>5.0</v>
      </c>
      <c r="F550" s="7">
        <v>3.0</v>
      </c>
      <c r="G550" s="7" t="s">
        <v>30</v>
      </c>
      <c r="H550" s="7" t="s">
        <v>572</v>
      </c>
      <c r="I550" s="7" t="s">
        <v>251</v>
      </c>
    </row>
    <row r="551">
      <c r="A551" s="7" t="s">
        <v>177</v>
      </c>
      <c r="B551" s="7" t="s">
        <v>695</v>
      </c>
      <c r="C551" s="8">
        <f>IFERROR(__xludf.DUMMYFUNCTION("SPLIT(B551,""RM"")"),7400000.0)</f>
        <v>7400000</v>
      </c>
      <c r="D551" s="7" t="s">
        <v>35</v>
      </c>
      <c r="E551" s="7">
        <v>5.0</v>
      </c>
      <c r="F551" s="7">
        <v>5.0</v>
      </c>
      <c r="G551" s="7" t="s">
        <v>83</v>
      </c>
      <c r="H551" s="7" t="s">
        <v>586</v>
      </c>
      <c r="I551" s="7" t="s">
        <v>27</v>
      </c>
    </row>
    <row r="552">
      <c r="A552" s="7" t="s">
        <v>177</v>
      </c>
      <c r="B552" s="7" t="s">
        <v>694</v>
      </c>
      <c r="C552" s="8">
        <f>IFERROR(__xludf.DUMMYFUNCTION("SPLIT(B552,""RM"")"),6600000.0)</f>
        <v>6600000</v>
      </c>
      <c r="D552" s="7" t="s">
        <v>35</v>
      </c>
      <c r="E552" s="7">
        <v>6.0</v>
      </c>
      <c r="G552" s="7" t="s">
        <v>83</v>
      </c>
      <c r="H552" s="7" t="s">
        <v>574</v>
      </c>
      <c r="I552" s="7" t="s">
        <v>27</v>
      </c>
    </row>
    <row r="553">
      <c r="A553" s="7" t="s">
        <v>23</v>
      </c>
      <c r="B553" s="7" t="s">
        <v>590</v>
      </c>
      <c r="C553" s="8">
        <f>IFERROR(__xludf.DUMMYFUNCTION("SPLIT(B553,""RM"")"),1.28E7)</f>
        <v>12800000</v>
      </c>
      <c r="D553" s="7" t="s">
        <v>60</v>
      </c>
      <c r="E553" s="7">
        <v>9.0</v>
      </c>
      <c r="F553" s="7">
        <v>10.0</v>
      </c>
      <c r="G553" s="7" t="s">
        <v>61</v>
      </c>
      <c r="H553" s="7" t="s">
        <v>696</v>
      </c>
      <c r="I553" s="7" t="s">
        <v>22</v>
      </c>
    </row>
    <row r="554">
      <c r="A554" s="7" t="s">
        <v>23</v>
      </c>
      <c r="B554" s="7" t="s">
        <v>69</v>
      </c>
      <c r="C554" s="8">
        <f>IFERROR(__xludf.DUMMYFUNCTION("SPLIT(B554,""RM"")"),4500000.0)</f>
        <v>4500000</v>
      </c>
      <c r="D554" s="7" t="s">
        <v>70</v>
      </c>
      <c r="E554" s="7">
        <v>7.0</v>
      </c>
      <c r="F554" s="7">
        <v>3.0</v>
      </c>
      <c r="G554" s="7" t="s">
        <v>25</v>
      </c>
      <c r="H554" s="7" t="s">
        <v>697</v>
      </c>
      <c r="I554" s="7" t="s">
        <v>27</v>
      </c>
    </row>
    <row r="555">
      <c r="A555" s="7" t="s">
        <v>177</v>
      </c>
      <c r="B555" s="7" t="s">
        <v>24</v>
      </c>
      <c r="C555" s="8">
        <f>IFERROR(__xludf.DUMMYFUNCTION("SPLIT(B555,""RM"")"),6800000.0)</f>
        <v>6800000</v>
      </c>
      <c r="D555" s="7" t="s">
        <v>218</v>
      </c>
      <c r="E555" s="7">
        <v>6.0</v>
      </c>
      <c r="F555" s="7">
        <v>6.0</v>
      </c>
      <c r="G555" s="7" t="s">
        <v>25</v>
      </c>
      <c r="H555" s="7" t="s">
        <v>698</v>
      </c>
      <c r="I555" s="7" t="s">
        <v>27</v>
      </c>
    </row>
    <row r="556">
      <c r="A556" s="7" t="s">
        <v>608</v>
      </c>
      <c r="B556" s="7" t="s">
        <v>699</v>
      </c>
      <c r="C556" s="8">
        <f>IFERROR(__xludf.DUMMYFUNCTION("SPLIT(B556,""RM"")"),1288972.0)</f>
        <v>1288972</v>
      </c>
      <c r="D556" s="7">
        <v>2.0</v>
      </c>
      <c r="E556" s="7">
        <v>2.0</v>
      </c>
      <c r="F556" s="7">
        <v>1.0</v>
      </c>
      <c r="G556" s="7" t="s">
        <v>83</v>
      </c>
      <c r="H556" s="7" t="s">
        <v>342</v>
      </c>
      <c r="I556" s="7" t="s">
        <v>22</v>
      </c>
    </row>
    <row r="557">
      <c r="A557" s="7" t="s">
        <v>164</v>
      </c>
      <c r="B557" s="7" t="s">
        <v>447</v>
      </c>
      <c r="C557" s="8">
        <f>IFERROR(__xludf.DUMMYFUNCTION("SPLIT(B557,""RM"")"),3700000.0)</f>
        <v>3700000</v>
      </c>
      <c r="D557" s="7">
        <v>3.0</v>
      </c>
      <c r="E557" s="7">
        <v>3.0</v>
      </c>
      <c r="F557" s="7">
        <v>1.0</v>
      </c>
      <c r="G557" s="7" t="s">
        <v>20</v>
      </c>
      <c r="H557" s="7" t="s">
        <v>700</v>
      </c>
      <c r="I557" s="7" t="s">
        <v>27</v>
      </c>
    </row>
    <row r="558">
      <c r="A558" s="7" t="s">
        <v>17</v>
      </c>
      <c r="B558" s="7" t="s">
        <v>701</v>
      </c>
      <c r="C558" s="8">
        <f>IFERROR(__xludf.DUMMYFUNCTION("SPLIT(B558,""RM"")"),8400000.0)</f>
        <v>8400000</v>
      </c>
      <c r="D558" s="7">
        <v>3.0</v>
      </c>
      <c r="E558" s="7">
        <v>3.0</v>
      </c>
      <c r="F558" s="7">
        <v>2.0</v>
      </c>
      <c r="G558" s="7" t="s">
        <v>93</v>
      </c>
      <c r="H558" s="7" t="s">
        <v>266</v>
      </c>
    </row>
    <row r="559">
      <c r="A559" s="7" t="s">
        <v>32</v>
      </c>
      <c r="B559" s="7" t="s">
        <v>702</v>
      </c>
      <c r="C559" s="8">
        <f>IFERROR(__xludf.DUMMYFUNCTION("SPLIT(B559,""RM"")"),410000.0)</f>
        <v>410000</v>
      </c>
      <c r="D559" s="7">
        <v>2.0</v>
      </c>
      <c r="E559" s="7">
        <v>2.0</v>
      </c>
      <c r="F559" s="7">
        <v>2.0</v>
      </c>
      <c r="G559" s="7" t="s">
        <v>30</v>
      </c>
      <c r="H559" s="7" t="s">
        <v>703</v>
      </c>
      <c r="I559" s="7" t="s">
        <v>27</v>
      </c>
    </row>
    <row r="560">
      <c r="A560" s="7" t="s">
        <v>37</v>
      </c>
      <c r="B560" s="7" t="s">
        <v>403</v>
      </c>
      <c r="C560" s="8">
        <f>IFERROR(__xludf.DUMMYFUNCTION("SPLIT(B560,""RM"")"),1600000.0)</f>
        <v>1600000</v>
      </c>
      <c r="D560" s="7">
        <v>4.0</v>
      </c>
      <c r="E560" s="7">
        <v>3.0</v>
      </c>
      <c r="F560" s="7">
        <v>2.0</v>
      </c>
      <c r="G560" s="7" t="s">
        <v>169</v>
      </c>
      <c r="H560" s="7" t="s">
        <v>558</v>
      </c>
      <c r="I560" s="7" t="s">
        <v>27</v>
      </c>
    </row>
    <row r="561">
      <c r="A561" s="7" t="s">
        <v>17</v>
      </c>
      <c r="B561" s="7" t="s">
        <v>704</v>
      </c>
      <c r="C561" s="8">
        <f>IFERROR(__xludf.DUMMYFUNCTION("SPLIT(B561,""RM"")"),3360000.0)</f>
        <v>3360000</v>
      </c>
      <c r="D561" s="7" t="s">
        <v>197</v>
      </c>
      <c r="E561" s="7">
        <v>2.0</v>
      </c>
      <c r="F561" s="7">
        <v>2.0</v>
      </c>
      <c r="G561" s="7" t="s">
        <v>20</v>
      </c>
      <c r="H561" s="7" t="s">
        <v>578</v>
      </c>
      <c r="I561" s="7" t="s">
        <v>27</v>
      </c>
    </row>
    <row r="562">
      <c r="A562" s="7" t="s">
        <v>23</v>
      </c>
      <c r="B562" s="7" t="s">
        <v>705</v>
      </c>
      <c r="C562" s="8">
        <f>IFERROR(__xludf.DUMMYFUNCTION("SPLIT(B562,""RM"")"),1770000.0)</f>
        <v>1770000</v>
      </c>
      <c r="D562" s="7" t="s">
        <v>197</v>
      </c>
      <c r="E562" s="7">
        <v>2.0</v>
      </c>
      <c r="F562" s="7">
        <v>1.0</v>
      </c>
      <c r="G562" s="7" t="s">
        <v>20</v>
      </c>
      <c r="H562" s="7" t="s">
        <v>373</v>
      </c>
      <c r="I562" s="7" t="s">
        <v>22</v>
      </c>
    </row>
    <row r="563">
      <c r="A563" s="7" t="s">
        <v>77</v>
      </c>
      <c r="B563" s="7" t="s">
        <v>706</v>
      </c>
      <c r="C563" s="8">
        <f>IFERROR(__xludf.DUMMYFUNCTION("SPLIT(B563,""RM"")"),1849000.0)</f>
        <v>1849000</v>
      </c>
      <c r="D563" s="7">
        <v>4.0</v>
      </c>
      <c r="E563" s="7">
        <v>4.0</v>
      </c>
      <c r="G563" s="7" t="s">
        <v>169</v>
      </c>
      <c r="H563" s="7" t="s">
        <v>91</v>
      </c>
      <c r="I563" s="7" t="s">
        <v>27</v>
      </c>
    </row>
    <row r="564">
      <c r="A564" s="7" t="s">
        <v>72</v>
      </c>
      <c r="B564" s="7" t="s">
        <v>707</v>
      </c>
      <c r="C564" s="8">
        <f>IFERROR(__xludf.DUMMYFUNCTION("SPLIT(B564,""RM"")"),1860000.0)</f>
        <v>1860000</v>
      </c>
      <c r="D564" s="7" t="s">
        <v>57</v>
      </c>
      <c r="E564" s="7">
        <v>4.0</v>
      </c>
      <c r="F564" s="7">
        <v>2.0</v>
      </c>
      <c r="G564" s="7" t="s">
        <v>30</v>
      </c>
      <c r="H564" s="7" t="s">
        <v>708</v>
      </c>
      <c r="I564" s="7" t="s">
        <v>27</v>
      </c>
    </row>
    <row r="565">
      <c r="A565" s="7" t="s">
        <v>17</v>
      </c>
      <c r="B565" s="7" t="s">
        <v>85</v>
      </c>
      <c r="C565" s="8">
        <f>IFERROR(__xludf.DUMMYFUNCTION("SPLIT(B565,""RM"")"),1450000.0)</f>
        <v>1450000</v>
      </c>
      <c r="D565" s="7">
        <v>2.0</v>
      </c>
      <c r="E565" s="7">
        <v>2.0</v>
      </c>
      <c r="F565" s="7">
        <v>1.0</v>
      </c>
      <c r="G565" s="7" t="s">
        <v>121</v>
      </c>
      <c r="H565" s="7" t="s">
        <v>157</v>
      </c>
      <c r="I565" s="7" t="s">
        <v>22</v>
      </c>
    </row>
    <row r="566">
      <c r="A566" s="7" t="s">
        <v>33</v>
      </c>
      <c r="B566" s="7" t="s">
        <v>284</v>
      </c>
      <c r="C566" s="8">
        <f>IFERROR(__xludf.DUMMYFUNCTION("SPLIT(B566,""RM"")"),1060000.0)</f>
        <v>1060000</v>
      </c>
      <c r="D566" s="7" t="s">
        <v>35</v>
      </c>
      <c r="E566" s="7">
        <v>4.0</v>
      </c>
      <c r="F566" s="7">
        <v>4.0</v>
      </c>
      <c r="G566" s="7" t="s">
        <v>30</v>
      </c>
      <c r="H566" s="7" t="s">
        <v>137</v>
      </c>
      <c r="I566" s="7" t="s">
        <v>27</v>
      </c>
    </row>
    <row r="567">
      <c r="A567" s="7" t="s">
        <v>33</v>
      </c>
      <c r="B567" s="7" t="s">
        <v>34</v>
      </c>
      <c r="C567" s="8">
        <f>IFERROR(__xludf.DUMMYFUNCTION("SPLIT(B567,""RM"")"),900000.0)</f>
        <v>900000</v>
      </c>
      <c r="D567" s="7" t="s">
        <v>35</v>
      </c>
      <c r="E567" s="7">
        <v>3.0</v>
      </c>
      <c r="F567" s="7">
        <v>2.0</v>
      </c>
      <c r="G567" s="7" t="s">
        <v>30</v>
      </c>
      <c r="H567" s="7" t="s">
        <v>36</v>
      </c>
      <c r="I567" s="7" t="s">
        <v>27</v>
      </c>
    </row>
    <row r="568">
      <c r="A568" s="7" t="s">
        <v>100</v>
      </c>
      <c r="B568" s="7" t="s">
        <v>132</v>
      </c>
      <c r="C568" s="8">
        <f>IFERROR(__xludf.DUMMYFUNCTION("SPLIT(B568,""RM"")"),1080000.0)</f>
        <v>1080000</v>
      </c>
      <c r="D568" s="7" t="s">
        <v>57</v>
      </c>
      <c r="E568" s="7">
        <v>4.0</v>
      </c>
      <c r="F568" s="7">
        <v>2.0</v>
      </c>
      <c r="G568" s="7" t="s">
        <v>93</v>
      </c>
      <c r="H568" s="7" t="s">
        <v>31</v>
      </c>
      <c r="I568" s="7" t="s">
        <v>27</v>
      </c>
    </row>
    <row r="569">
      <c r="A569" s="7" t="s">
        <v>709</v>
      </c>
      <c r="B569" s="7" t="s">
        <v>710</v>
      </c>
      <c r="C569" s="8">
        <f>IFERROR(__xludf.DUMMYFUNCTION("SPLIT(B569,""RM"")"),570000.0)</f>
        <v>570000</v>
      </c>
      <c r="D569" s="7">
        <v>3.0</v>
      </c>
      <c r="E569" s="7">
        <v>2.0</v>
      </c>
      <c r="F569" s="7">
        <v>1.0</v>
      </c>
      <c r="G569" s="7" t="s">
        <v>30</v>
      </c>
      <c r="H569" s="7" t="s">
        <v>711</v>
      </c>
      <c r="I569" s="7" t="s">
        <v>27</v>
      </c>
    </row>
    <row r="570">
      <c r="A570" s="7" t="s">
        <v>33</v>
      </c>
      <c r="B570" s="7" t="s">
        <v>34</v>
      </c>
      <c r="C570" s="8">
        <f>IFERROR(__xludf.DUMMYFUNCTION("SPLIT(B570,""RM"")"),900000.0)</f>
        <v>900000</v>
      </c>
      <c r="D570" s="7">
        <v>3.0</v>
      </c>
      <c r="E570" s="7">
        <v>2.0</v>
      </c>
      <c r="G570" s="7" t="s">
        <v>20</v>
      </c>
      <c r="I570" s="7" t="s">
        <v>103</v>
      </c>
    </row>
    <row r="571">
      <c r="A571" s="7" t="s">
        <v>72</v>
      </c>
      <c r="B571" s="7" t="s">
        <v>712</v>
      </c>
      <c r="C571" s="8">
        <f>IFERROR(__xludf.DUMMYFUNCTION("SPLIT(B571,""RM"")"),1880000.0)</f>
        <v>1880000</v>
      </c>
      <c r="D571" s="7" t="s">
        <v>57</v>
      </c>
      <c r="E571" s="7">
        <v>3.0</v>
      </c>
      <c r="F571" s="7">
        <v>2.0</v>
      </c>
      <c r="G571" s="7" t="s">
        <v>83</v>
      </c>
      <c r="H571" s="7" t="s">
        <v>278</v>
      </c>
      <c r="I571" s="7" t="s">
        <v>27</v>
      </c>
    </row>
    <row r="572">
      <c r="A572" s="7" t="s">
        <v>72</v>
      </c>
      <c r="B572" s="7" t="s">
        <v>713</v>
      </c>
      <c r="C572" s="8">
        <f>IFERROR(__xludf.DUMMYFUNCTION("SPLIT(B572,""RM"")"),1685000.0)</f>
        <v>1685000</v>
      </c>
      <c r="D572" s="7" t="s">
        <v>57</v>
      </c>
      <c r="E572" s="7">
        <v>3.0</v>
      </c>
      <c r="F572" s="7">
        <v>2.0</v>
      </c>
      <c r="G572" s="7" t="s">
        <v>83</v>
      </c>
      <c r="H572" s="7" t="s">
        <v>714</v>
      </c>
      <c r="I572" s="7" t="s">
        <v>27</v>
      </c>
    </row>
    <row r="573">
      <c r="A573" s="7" t="s">
        <v>33</v>
      </c>
      <c r="B573" s="7" t="s">
        <v>715</v>
      </c>
      <c r="C573" s="8">
        <f>IFERROR(__xludf.DUMMYFUNCTION("SPLIT(B573,""RM"")"),550000.0)</f>
        <v>550000</v>
      </c>
      <c r="D573" s="7">
        <v>3.0</v>
      </c>
      <c r="E573" s="7">
        <v>2.0</v>
      </c>
      <c r="F573" s="7">
        <v>2.0</v>
      </c>
      <c r="G573" s="7" t="s">
        <v>93</v>
      </c>
      <c r="H573" s="7" t="s">
        <v>716</v>
      </c>
      <c r="I573" s="7" t="s">
        <v>27</v>
      </c>
    </row>
    <row r="574">
      <c r="A574" s="7" t="s">
        <v>17</v>
      </c>
      <c r="B574" s="7" t="s">
        <v>191</v>
      </c>
      <c r="C574" s="8">
        <f>IFERROR(__xludf.DUMMYFUNCTION("SPLIT(B574,""RM"")"),1000000.0)</f>
        <v>1000000</v>
      </c>
      <c r="D574" s="7">
        <v>1.0</v>
      </c>
      <c r="E574" s="7">
        <v>1.0</v>
      </c>
      <c r="F574" s="7">
        <v>1.0</v>
      </c>
      <c r="G574" s="7" t="s">
        <v>83</v>
      </c>
      <c r="H574" s="7" t="s">
        <v>393</v>
      </c>
      <c r="I574" s="7" t="s">
        <v>27</v>
      </c>
    </row>
    <row r="575">
      <c r="A575" s="7" t="s">
        <v>104</v>
      </c>
      <c r="B575" s="7" t="s">
        <v>87</v>
      </c>
      <c r="C575" s="8">
        <f>IFERROR(__xludf.DUMMYFUNCTION("SPLIT(B575,""RM"")"),490000.0)</f>
        <v>490000</v>
      </c>
      <c r="D575" s="7">
        <v>5.0</v>
      </c>
      <c r="E575" s="7">
        <v>3.0</v>
      </c>
      <c r="F575" s="7">
        <v>2.0</v>
      </c>
      <c r="G575" s="7" t="s">
        <v>717</v>
      </c>
      <c r="H575" s="7" t="s">
        <v>718</v>
      </c>
      <c r="I575" s="7" t="s">
        <v>27</v>
      </c>
    </row>
    <row r="576">
      <c r="A576" s="7" t="s">
        <v>104</v>
      </c>
      <c r="B576" s="7" t="s">
        <v>18</v>
      </c>
      <c r="C576" s="8">
        <f>IFERROR(__xludf.DUMMYFUNCTION("SPLIT(B576,""RM"")"),1250000.0)</f>
        <v>1250000</v>
      </c>
      <c r="D576" s="7">
        <v>5.0</v>
      </c>
      <c r="E576" s="7">
        <v>5.0</v>
      </c>
      <c r="F576" s="7">
        <v>4.0</v>
      </c>
      <c r="G576" s="7" t="s">
        <v>90</v>
      </c>
      <c r="H576" s="7" t="s">
        <v>719</v>
      </c>
      <c r="I576" s="7" t="s">
        <v>27</v>
      </c>
    </row>
    <row r="577">
      <c r="A577" s="7" t="s">
        <v>77</v>
      </c>
      <c r="B577" s="7" t="s">
        <v>720</v>
      </c>
      <c r="C577" s="8">
        <f>IFERROR(__xludf.DUMMYFUNCTION("SPLIT(B577,""RM"")"),2790000.0)</f>
        <v>2790000</v>
      </c>
      <c r="D577" s="7" t="s">
        <v>57</v>
      </c>
      <c r="E577" s="7">
        <v>4.0</v>
      </c>
      <c r="G577" s="7" t="s">
        <v>169</v>
      </c>
      <c r="H577" s="7" t="s">
        <v>176</v>
      </c>
      <c r="I577" s="7" t="s">
        <v>27</v>
      </c>
    </row>
    <row r="578">
      <c r="A578" s="7" t="s">
        <v>17</v>
      </c>
      <c r="B578" s="7" t="s">
        <v>281</v>
      </c>
      <c r="C578" s="8">
        <f>IFERROR(__xludf.DUMMYFUNCTION("SPLIT(B578,""RM"")"),2500000.0)</f>
        <v>2500000</v>
      </c>
      <c r="D578" s="7">
        <v>1.0</v>
      </c>
      <c r="E578" s="7">
        <v>2.0</v>
      </c>
      <c r="F578" s="7">
        <v>1.0</v>
      </c>
      <c r="G578" s="7" t="s">
        <v>20</v>
      </c>
      <c r="H578" s="7" t="s">
        <v>126</v>
      </c>
      <c r="I578" s="7" t="s">
        <v>27</v>
      </c>
    </row>
    <row r="579">
      <c r="A579" s="7" t="s">
        <v>77</v>
      </c>
      <c r="B579" s="7" t="s">
        <v>277</v>
      </c>
      <c r="C579" s="8">
        <f>IFERROR(__xludf.DUMMYFUNCTION("SPLIT(B579,""RM"")"),2200000.0)</f>
        <v>2200000</v>
      </c>
      <c r="D579" s="7" t="s">
        <v>70</v>
      </c>
      <c r="E579" s="7">
        <v>5.0</v>
      </c>
      <c r="G579" s="7" t="s">
        <v>169</v>
      </c>
      <c r="H579" s="7" t="s">
        <v>721</v>
      </c>
      <c r="I579" s="7" t="s">
        <v>251</v>
      </c>
    </row>
    <row r="580">
      <c r="A580" s="7" t="s">
        <v>17</v>
      </c>
      <c r="B580" s="7" t="s">
        <v>139</v>
      </c>
      <c r="C580" s="8">
        <f>IFERROR(__xludf.DUMMYFUNCTION("SPLIT(B580,""RM"")"),780000.0)</f>
        <v>780000</v>
      </c>
      <c r="D580" s="7" t="s">
        <v>325</v>
      </c>
      <c r="E580" s="7">
        <v>1.0</v>
      </c>
      <c r="G580" s="7" t="s">
        <v>82</v>
      </c>
      <c r="H580" s="7" t="s">
        <v>722</v>
      </c>
      <c r="I580" s="7" t="s">
        <v>22</v>
      </c>
    </row>
    <row r="581">
      <c r="A581" s="7" t="s">
        <v>32</v>
      </c>
      <c r="B581" s="7" t="s">
        <v>332</v>
      </c>
      <c r="C581" s="8">
        <f>IFERROR(__xludf.DUMMYFUNCTION("SPLIT(B581,""RM"")"),998000.0)</f>
        <v>998000</v>
      </c>
      <c r="D581" s="7">
        <v>6.0</v>
      </c>
      <c r="E581" s="7">
        <v>5.0</v>
      </c>
      <c r="G581" s="7" t="s">
        <v>562</v>
      </c>
      <c r="H581" s="7" t="s">
        <v>723</v>
      </c>
      <c r="I581" s="7" t="s">
        <v>27</v>
      </c>
    </row>
    <row r="582">
      <c r="A582" s="7" t="s">
        <v>188</v>
      </c>
      <c r="B582" s="7" t="s">
        <v>724</v>
      </c>
      <c r="C582" s="8">
        <f>IFERROR(__xludf.DUMMYFUNCTION("SPLIT(B582,""RM"")"),2044800.0)</f>
        <v>2044800</v>
      </c>
      <c r="D582" s="7">
        <v>2.0</v>
      </c>
      <c r="E582" s="7">
        <v>2.0</v>
      </c>
      <c r="F582" s="7">
        <v>1.0</v>
      </c>
      <c r="G582" s="7" t="s">
        <v>20</v>
      </c>
      <c r="H582" s="7" t="s">
        <v>725</v>
      </c>
      <c r="I582" s="7" t="s">
        <v>22</v>
      </c>
    </row>
    <row r="583">
      <c r="A583" s="7" t="s">
        <v>33</v>
      </c>
      <c r="B583" s="7" t="s">
        <v>18</v>
      </c>
      <c r="C583" s="8">
        <f>IFERROR(__xludf.DUMMYFUNCTION("SPLIT(B583,""RM"")"),1250000.0)</f>
        <v>1250000</v>
      </c>
      <c r="D583" s="7" t="s">
        <v>57</v>
      </c>
      <c r="E583" s="7">
        <v>4.0</v>
      </c>
      <c r="F583" s="7">
        <v>2.0</v>
      </c>
      <c r="G583" s="7" t="s">
        <v>83</v>
      </c>
      <c r="H583" s="7" t="s">
        <v>726</v>
      </c>
      <c r="I583" s="7" t="s">
        <v>22</v>
      </c>
    </row>
    <row r="584">
      <c r="A584" s="7" t="s">
        <v>17</v>
      </c>
      <c r="B584" s="7" t="s">
        <v>304</v>
      </c>
      <c r="C584" s="8">
        <f>IFERROR(__xludf.DUMMYFUNCTION("SPLIT(B584,""RM"")"),4950000.0)</f>
        <v>4950000</v>
      </c>
      <c r="D584" s="7">
        <v>4.0</v>
      </c>
      <c r="E584" s="7">
        <v>4.0</v>
      </c>
      <c r="F584" s="7">
        <v>2.0</v>
      </c>
      <c r="G584" s="7" t="s">
        <v>312</v>
      </c>
      <c r="H584" s="7" t="s">
        <v>727</v>
      </c>
      <c r="I584" s="7" t="s">
        <v>22</v>
      </c>
    </row>
    <row r="585">
      <c r="A585" s="7" t="s">
        <v>72</v>
      </c>
      <c r="B585" s="7" t="s">
        <v>728</v>
      </c>
      <c r="C585" s="8">
        <f>IFERROR(__xludf.DUMMYFUNCTION("SPLIT(B585,""RM"")"),2340000.0)</f>
        <v>2340000</v>
      </c>
      <c r="D585" s="7" t="s">
        <v>35</v>
      </c>
      <c r="E585" s="7">
        <v>5.0</v>
      </c>
      <c r="F585" s="7">
        <v>3.0</v>
      </c>
      <c r="G585" s="7" t="s">
        <v>83</v>
      </c>
      <c r="H585" s="7" t="s">
        <v>729</v>
      </c>
      <c r="I585" s="7" t="s">
        <v>27</v>
      </c>
    </row>
    <row r="586">
      <c r="A586" s="7" t="s">
        <v>72</v>
      </c>
      <c r="B586" s="7" t="s">
        <v>730</v>
      </c>
      <c r="C586" s="8">
        <f>IFERROR(__xludf.DUMMYFUNCTION("SPLIT(B586,""RM"")"),1698000.0)</f>
        <v>1698000</v>
      </c>
      <c r="D586" s="7" t="s">
        <v>57</v>
      </c>
      <c r="E586" s="7">
        <v>4.0</v>
      </c>
      <c r="F586" s="7">
        <v>2.0</v>
      </c>
      <c r="G586" s="7" t="s">
        <v>83</v>
      </c>
      <c r="H586" s="7" t="s">
        <v>729</v>
      </c>
      <c r="I586" s="7" t="s">
        <v>27</v>
      </c>
    </row>
    <row r="587">
      <c r="A587" s="7" t="s">
        <v>72</v>
      </c>
      <c r="B587" s="7" t="s">
        <v>448</v>
      </c>
      <c r="C587" s="8">
        <f>IFERROR(__xludf.DUMMYFUNCTION("SPLIT(B587,""RM"")"),1420000.0)</f>
        <v>1420000</v>
      </c>
      <c r="D587" s="7" t="s">
        <v>57</v>
      </c>
      <c r="E587" s="7">
        <v>4.0</v>
      </c>
      <c r="F587" s="7">
        <v>2.0</v>
      </c>
      <c r="G587" s="7" t="s">
        <v>83</v>
      </c>
      <c r="H587" s="7" t="s">
        <v>334</v>
      </c>
      <c r="I587" s="7" t="s">
        <v>27</v>
      </c>
    </row>
    <row r="588">
      <c r="A588" s="7" t="s">
        <v>731</v>
      </c>
      <c r="B588" s="7" t="s">
        <v>110</v>
      </c>
      <c r="C588" s="8">
        <f>IFERROR(__xludf.DUMMYFUNCTION("SPLIT(B588,""RM"")"),2400000.0)</f>
        <v>2400000</v>
      </c>
      <c r="D588" s="7" t="s">
        <v>35</v>
      </c>
      <c r="E588" s="7">
        <v>5.0</v>
      </c>
      <c r="G588" s="7" t="s">
        <v>90</v>
      </c>
      <c r="H588" s="7" t="s">
        <v>283</v>
      </c>
      <c r="I588" s="7" t="s">
        <v>27</v>
      </c>
    </row>
    <row r="589">
      <c r="A589" s="7" t="s">
        <v>100</v>
      </c>
      <c r="B589" s="7" t="s">
        <v>637</v>
      </c>
      <c r="C589" s="8">
        <f>IFERROR(__xludf.DUMMYFUNCTION("SPLIT(B589,""RM"")"),928000.0)</f>
        <v>928000</v>
      </c>
      <c r="D589" s="7" t="s">
        <v>288</v>
      </c>
      <c r="E589" s="7">
        <v>2.0</v>
      </c>
      <c r="F589" s="7">
        <v>2.0</v>
      </c>
      <c r="G589" s="7" t="s">
        <v>96</v>
      </c>
      <c r="H589" s="7" t="s">
        <v>732</v>
      </c>
      <c r="I589" s="7" t="s">
        <v>103</v>
      </c>
    </row>
    <row r="590">
      <c r="A590" s="7" t="s">
        <v>33</v>
      </c>
      <c r="B590" s="7" t="s">
        <v>733</v>
      </c>
      <c r="C590" s="8">
        <f>IFERROR(__xludf.DUMMYFUNCTION("SPLIT(B590,""RM"")"),565000.0)</f>
        <v>565000</v>
      </c>
      <c r="D590" s="7">
        <v>3.0</v>
      </c>
      <c r="E590" s="7">
        <v>2.0</v>
      </c>
      <c r="F590" s="7">
        <v>2.0</v>
      </c>
      <c r="G590" s="7" t="s">
        <v>83</v>
      </c>
      <c r="H590" s="7" t="s">
        <v>734</v>
      </c>
      <c r="I590" s="7" t="s">
        <v>27</v>
      </c>
    </row>
    <row r="591">
      <c r="A591" s="7" t="s">
        <v>100</v>
      </c>
      <c r="B591" s="7" t="s">
        <v>81</v>
      </c>
      <c r="C591" s="8">
        <f>IFERROR(__xludf.DUMMYFUNCTION("SPLIT(B591,""RM"")"),1550000.0)</f>
        <v>1550000</v>
      </c>
      <c r="D591" s="7" t="s">
        <v>57</v>
      </c>
      <c r="E591" s="7">
        <v>4.0</v>
      </c>
      <c r="F591" s="7">
        <v>4.0</v>
      </c>
      <c r="G591" s="7" t="s">
        <v>30</v>
      </c>
      <c r="H591" s="7" t="s">
        <v>735</v>
      </c>
      <c r="I591" s="7" t="s">
        <v>27</v>
      </c>
    </row>
    <row r="592">
      <c r="A592" s="7" t="s">
        <v>37</v>
      </c>
      <c r="B592" s="7" t="s">
        <v>144</v>
      </c>
      <c r="C592" s="8">
        <f>IFERROR(__xludf.DUMMYFUNCTION("SPLIT(B592,""RM"")"),1800000.0)</f>
        <v>1800000</v>
      </c>
      <c r="D592" s="7">
        <v>4.0</v>
      </c>
      <c r="E592" s="7">
        <v>3.0</v>
      </c>
      <c r="F592" s="7">
        <v>3.0</v>
      </c>
      <c r="G592" s="7" t="s">
        <v>54</v>
      </c>
      <c r="H592" s="7" t="s">
        <v>47</v>
      </c>
      <c r="I592" s="7" t="s">
        <v>27</v>
      </c>
    </row>
    <row r="593">
      <c r="A593" s="7" t="s">
        <v>23</v>
      </c>
      <c r="B593" s="7" t="s">
        <v>534</v>
      </c>
      <c r="C593" s="8">
        <f>IFERROR(__xludf.DUMMYFUNCTION("SPLIT(B593,""RM"")"),3200000.0)</f>
        <v>3200000</v>
      </c>
      <c r="D593" s="7" t="s">
        <v>35</v>
      </c>
      <c r="E593" s="7">
        <v>5.0</v>
      </c>
      <c r="F593" s="7">
        <v>4.0</v>
      </c>
      <c r="G593" s="7" t="s">
        <v>736</v>
      </c>
      <c r="H593" s="7" t="s">
        <v>737</v>
      </c>
      <c r="I593" s="7" t="s">
        <v>27</v>
      </c>
    </row>
    <row r="594">
      <c r="A594" s="7" t="s">
        <v>100</v>
      </c>
      <c r="B594" s="7" t="s">
        <v>314</v>
      </c>
      <c r="C594" s="8">
        <f>IFERROR(__xludf.DUMMYFUNCTION("SPLIT(B594,""RM"")"),670000.0)</f>
        <v>670000</v>
      </c>
      <c r="D594" s="7">
        <v>3.0</v>
      </c>
      <c r="E594" s="7">
        <v>2.0</v>
      </c>
      <c r="F594" s="7">
        <v>2.0</v>
      </c>
      <c r="G594" s="7" t="s">
        <v>20</v>
      </c>
      <c r="H594" s="7" t="s">
        <v>738</v>
      </c>
      <c r="I594" s="7" t="s">
        <v>22</v>
      </c>
    </row>
    <row r="595">
      <c r="A595" s="7" t="s">
        <v>17</v>
      </c>
      <c r="B595" s="7" t="s">
        <v>191</v>
      </c>
      <c r="C595" s="8">
        <f>IFERROR(__xludf.DUMMYFUNCTION("SPLIT(B595,""RM"")"),1000000.0)</f>
        <v>1000000</v>
      </c>
      <c r="D595" s="7">
        <v>1.0</v>
      </c>
      <c r="E595" s="7">
        <v>1.0</v>
      </c>
      <c r="F595" s="7">
        <v>1.0</v>
      </c>
      <c r="G595" s="7" t="s">
        <v>83</v>
      </c>
      <c r="H595" s="7" t="s">
        <v>252</v>
      </c>
      <c r="I595" s="7" t="s">
        <v>27</v>
      </c>
    </row>
    <row r="596">
      <c r="A596" s="7" t="s">
        <v>180</v>
      </c>
      <c r="B596" s="7" t="s">
        <v>739</v>
      </c>
      <c r="C596" s="8">
        <f>IFERROR(__xludf.DUMMYFUNCTION("SPLIT(B596,""RM"")"),5999000.0)</f>
        <v>5999000</v>
      </c>
      <c r="D596" s="7" t="s">
        <v>57</v>
      </c>
      <c r="E596" s="7">
        <v>4.0</v>
      </c>
      <c r="F596" s="7">
        <v>3.0</v>
      </c>
      <c r="G596" s="7" t="s">
        <v>378</v>
      </c>
      <c r="H596" s="7" t="s">
        <v>740</v>
      </c>
      <c r="I596" s="7" t="s">
        <v>22</v>
      </c>
    </row>
    <row r="597">
      <c r="A597" s="7" t="s">
        <v>100</v>
      </c>
      <c r="B597" s="7" t="s">
        <v>243</v>
      </c>
      <c r="C597" s="8">
        <f>IFERROR(__xludf.DUMMYFUNCTION("SPLIT(B597,""RM"")"),1350000.0)</f>
        <v>1350000</v>
      </c>
      <c r="D597" s="7" t="s">
        <v>79</v>
      </c>
      <c r="E597" s="7">
        <v>4.0</v>
      </c>
      <c r="F597" s="7">
        <v>3.0</v>
      </c>
      <c r="G597" s="7" t="s">
        <v>30</v>
      </c>
      <c r="H597" s="7" t="s">
        <v>741</v>
      </c>
    </row>
    <row r="598">
      <c r="A598" s="7" t="s">
        <v>72</v>
      </c>
      <c r="B598" s="7" t="s">
        <v>455</v>
      </c>
      <c r="C598" s="8">
        <f>IFERROR(__xludf.DUMMYFUNCTION("SPLIT(B598,""RM"")"),2230000.0)</f>
        <v>2230000</v>
      </c>
      <c r="D598" s="7" t="s">
        <v>35</v>
      </c>
      <c r="E598" s="7">
        <v>5.0</v>
      </c>
      <c r="F598" s="7">
        <v>3.0</v>
      </c>
      <c r="G598" s="7" t="s">
        <v>83</v>
      </c>
      <c r="H598" s="7" t="s">
        <v>456</v>
      </c>
      <c r="I598" s="7" t="s">
        <v>27</v>
      </c>
    </row>
    <row r="599">
      <c r="A599" s="7" t="s">
        <v>180</v>
      </c>
      <c r="B599" s="7" t="s">
        <v>641</v>
      </c>
      <c r="C599" s="8">
        <f>IFERROR(__xludf.DUMMYFUNCTION("SPLIT(B599,""RM"")"),830000.0)</f>
        <v>830000</v>
      </c>
      <c r="D599" s="7">
        <v>2.0</v>
      </c>
      <c r="E599" s="7">
        <v>2.0</v>
      </c>
      <c r="F599" s="7">
        <v>1.0</v>
      </c>
      <c r="G599" s="7" t="s">
        <v>93</v>
      </c>
      <c r="H599" s="7" t="s">
        <v>742</v>
      </c>
      <c r="I599" s="7" t="s">
        <v>22</v>
      </c>
    </row>
    <row r="600">
      <c r="A600" s="7" t="s">
        <v>180</v>
      </c>
      <c r="B600" s="7" t="s">
        <v>311</v>
      </c>
      <c r="C600" s="8">
        <f>IFERROR(__xludf.DUMMYFUNCTION("SPLIT(B600,""RM"")"),1100000.0)</f>
        <v>1100000</v>
      </c>
      <c r="D600" s="7" t="s">
        <v>57</v>
      </c>
      <c r="E600" s="7">
        <v>4.0</v>
      </c>
      <c r="F600" s="7">
        <v>2.0</v>
      </c>
      <c r="G600" s="7" t="s">
        <v>93</v>
      </c>
      <c r="H600" s="7" t="s">
        <v>743</v>
      </c>
      <c r="I600" s="7" t="s">
        <v>27</v>
      </c>
    </row>
    <row r="601">
      <c r="A601" s="7" t="s">
        <v>23</v>
      </c>
      <c r="B601" s="7" t="s">
        <v>744</v>
      </c>
      <c r="C601" s="8">
        <f>IFERROR(__xludf.DUMMYFUNCTION("SPLIT(B601,""RM"")"),8300000.0)</f>
        <v>8300000</v>
      </c>
      <c r="D601" s="7" t="s">
        <v>70</v>
      </c>
      <c r="E601" s="7">
        <v>6.0</v>
      </c>
      <c r="F601" s="7">
        <v>4.0</v>
      </c>
      <c r="G601" s="7" t="s">
        <v>61</v>
      </c>
      <c r="H601" s="7" t="s">
        <v>745</v>
      </c>
      <c r="I601" s="7" t="s">
        <v>27</v>
      </c>
    </row>
    <row r="602">
      <c r="A602" s="7" t="s">
        <v>432</v>
      </c>
      <c r="B602" s="7" t="s">
        <v>75</v>
      </c>
      <c r="C602" s="8">
        <f>IFERROR(__xludf.DUMMYFUNCTION("SPLIT(B602,""RM"")"),3450000.0)</f>
        <v>3450000</v>
      </c>
      <c r="D602" s="7" t="s">
        <v>35</v>
      </c>
      <c r="E602" s="7">
        <v>5.0</v>
      </c>
      <c r="F602" s="7">
        <v>3.0</v>
      </c>
      <c r="G602" s="7" t="s">
        <v>61</v>
      </c>
      <c r="H602" s="7" t="s">
        <v>746</v>
      </c>
      <c r="I602" s="7" t="s">
        <v>27</v>
      </c>
    </row>
    <row r="603">
      <c r="A603" s="7" t="s">
        <v>72</v>
      </c>
      <c r="B603" s="7" t="s">
        <v>191</v>
      </c>
      <c r="C603" s="8">
        <f>IFERROR(__xludf.DUMMYFUNCTION("SPLIT(B603,""RM"")"),1000000.0)</f>
        <v>1000000</v>
      </c>
      <c r="D603" s="7">
        <v>2.0</v>
      </c>
      <c r="E603" s="7">
        <v>2.0</v>
      </c>
      <c r="G603" s="7" t="s">
        <v>20</v>
      </c>
      <c r="H603" s="7" t="s">
        <v>747</v>
      </c>
      <c r="I603" s="7" t="s">
        <v>27</v>
      </c>
    </row>
    <row r="604">
      <c r="A604" s="7" t="s">
        <v>17</v>
      </c>
      <c r="B604" s="7" t="s">
        <v>125</v>
      </c>
      <c r="C604" s="8">
        <f>IFERROR(__xludf.DUMMYFUNCTION("SPLIT(B604,""RM"")"),2300000.0)</f>
        <v>2300000</v>
      </c>
      <c r="D604" s="7">
        <v>1.0</v>
      </c>
      <c r="E604" s="7">
        <v>2.0</v>
      </c>
      <c r="F604" s="7">
        <v>1.0</v>
      </c>
      <c r="G604" s="7" t="s">
        <v>20</v>
      </c>
      <c r="H604" s="7" t="s">
        <v>126</v>
      </c>
      <c r="I604" s="7" t="s">
        <v>27</v>
      </c>
    </row>
    <row r="605">
      <c r="A605" s="7" t="s">
        <v>17</v>
      </c>
      <c r="B605" s="7" t="s">
        <v>120</v>
      </c>
      <c r="C605" s="8">
        <f>IFERROR(__xludf.DUMMYFUNCTION("SPLIT(B605,""RM"")"),3600000.0)</f>
        <v>3600000</v>
      </c>
      <c r="D605" s="7" t="s">
        <v>57</v>
      </c>
      <c r="E605" s="7">
        <v>5.0</v>
      </c>
      <c r="F605" s="7">
        <v>2.0</v>
      </c>
      <c r="G605" s="7" t="s">
        <v>121</v>
      </c>
      <c r="H605" s="7" t="s">
        <v>122</v>
      </c>
      <c r="I605" s="7" t="s">
        <v>27</v>
      </c>
    </row>
    <row r="606">
      <c r="A606" s="7" t="s">
        <v>72</v>
      </c>
      <c r="B606" s="7" t="s">
        <v>125</v>
      </c>
      <c r="C606" s="8">
        <f>IFERROR(__xludf.DUMMYFUNCTION("SPLIT(B606,""RM"")"),2300000.0)</f>
        <v>2300000</v>
      </c>
      <c r="D606" s="7" t="s">
        <v>35</v>
      </c>
      <c r="E606" s="7">
        <v>4.0</v>
      </c>
      <c r="F606" s="7">
        <v>2.0</v>
      </c>
      <c r="G606" s="7" t="s">
        <v>83</v>
      </c>
      <c r="H606" s="7" t="s">
        <v>115</v>
      </c>
      <c r="I606" s="7" t="s">
        <v>251</v>
      </c>
    </row>
    <row r="607">
      <c r="A607" s="7" t="s">
        <v>17</v>
      </c>
      <c r="B607" s="7" t="s">
        <v>191</v>
      </c>
      <c r="C607" s="8">
        <f>IFERROR(__xludf.DUMMYFUNCTION("SPLIT(B607,""RM"")"),1000000.0)</f>
        <v>1000000</v>
      </c>
      <c r="D607" s="7">
        <v>1.0</v>
      </c>
      <c r="E607" s="7">
        <v>1.0</v>
      </c>
      <c r="F607" s="7">
        <v>1.0</v>
      </c>
      <c r="G607" s="7" t="s">
        <v>96</v>
      </c>
      <c r="H607" s="7" t="s">
        <v>393</v>
      </c>
      <c r="I607" s="7" t="s">
        <v>27</v>
      </c>
    </row>
    <row r="608">
      <c r="A608" s="7" t="s">
        <v>17</v>
      </c>
      <c r="B608" s="7" t="s">
        <v>748</v>
      </c>
      <c r="C608" s="8">
        <f>IFERROR(__xludf.DUMMYFUNCTION("SPLIT(B608,""RM"")"),4756000.0)</f>
        <v>4756000</v>
      </c>
      <c r="D608" s="7">
        <v>2.0</v>
      </c>
      <c r="E608" s="7">
        <v>2.0</v>
      </c>
      <c r="F608" s="7">
        <v>2.0</v>
      </c>
      <c r="G608" s="7" t="s">
        <v>30</v>
      </c>
      <c r="H608" s="7" t="s">
        <v>234</v>
      </c>
      <c r="I608" s="7" t="s">
        <v>27</v>
      </c>
    </row>
    <row r="609">
      <c r="A609" s="7" t="s">
        <v>72</v>
      </c>
      <c r="B609" s="7" t="s">
        <v>749</v>
      </c>
      <c r="C609" s="8">
        <f>IFERROR(__xludf.DUMMYFUNCTION("SPLIT(B609,""RM"")"),3580000.0)</f>
        <v>3580000</v>
      </c>
      <c r="D609" s="7" t="s">
        <v>39</v>
      </c>
      <c r="F609" s="7">
        <v>4.0</v>
      </c>
      <c r="G609" s="7" t="s">
        <v>43</v>
      </c>
      <c r="H609" s="7" t="s">
        <v>750</v>
      </c>
    </row>
    <row r="610">
      <c r="A610" s="7" t="s">
        <v>72</v>
      </c>
      <c r="B610" s="7" t="s">
        <v>73</v>
      </c>
      <c r="C610" s="8">
        <f>IFERROR(__xludf.DUMMYFUNCTION("SPLIT(B610,""RM"")"),1780000.0)</f>
        <v>1780000</v>
      </c>
      <c r="D610" s="7">
        <v>3.0</v>
      </c>
      <c r="E610" s="7">
        <v>3.0</v>
      </c>
      <c r="F610" s="7">
        <v>2.0</v>
      </c>
      <c r="G610" s="7" t="s">
        <v>121</v>
      </c>
      <c r="H610" s="7" t="s">
        <v>732</v>
      </c>
      <c r="I610" s="7" t="s">
        <v>27</v>
      </c>
    </row>
    <row r="611">
      <c r="A611" s="7" t="s">
        <v>17</v>
      </c>
      <c r="B611" s="7" t="s">
        <v>243</v>
      </c>
      <c r="C611" s="8">
        <f>IFERROR(__xludf.DUMMYFUNCTION("SPLIT(B611,""RM"")"),1350000.0)</f>
        <v>1350000</v>
      </c>
      <c r="D611" s="7" t="s">
        <v>197</v>
      </c>
      <c r="E611" s="7">
        <v>2.0</v>
      </c>
      <c r="F611" s="7">
        <v>1.0</v>
      </c>
      <c r="G611" s="7" t="s">
        <v>20</v>
      </c>
      <c r="H611" s="7" t="s">
        <v>505</v>
      </c>
      <c r="I611" s="7" t="s">
        <v>22</v>
      </c>
    </row>
    <row r="612">
      <c r="A612" s="7" t="s">
        <v>17</v>
      </c>
      <c r="B612" s="7" t="s">
        <v>751</v>
      </c>
      <c r="C612" s="8">
        <f>IFERROR(__xludf.DUMMYFUNCTION("SPLIT(B612,""RM"")"),2270000.0)</f>
        <v>2270000</v>
      </c>
      <c r="D612" s="7" t="s">
        <v>197</v>
      </c>
      <c r="E612" s="7">
        <v>2.0</v>
      </c>
      <c r="G612" s="7" t="s">
        <v>82</v>
      </c>
      <c r="H612" s="7" t="s">
        <v>342</v>
      </c>
      <c r="I612" s="7" t="s">
        <v>27</v>
      </c>
    </row>
    <row r="613">
      <c r="A613" s="7" t="s">
        <v>155</v>
      </c>
      <c r="B613" s="7" t="s">
        <v>752</v>
      </c>
      <c r="C613" s="8">
        <f>IFERROR(__xludf.DUMMYFUNCTION("SPLIT(B613,""RM"")"),375000.0)</f>
        <v>375000</v>
      </c>
      <c r="D613" s="7">
        <v>2.0</v>
      </c>
      <c r="E613" s="7">
        <v>2.0</v>
      </c>
      <c r="F613" s="7">
        <v>1.0</v>
      </c>
      <c r="G613" s="7" t="s">
        <v>20</v>
      </c>
      <c r="H613" s="7" t="s">
        <v>753</v>
      </c>
      <c r="I613" s="7" t="s">
        <v>103</v>
      </c>
    </row>
    <row r="614">
      <c r="A614" s="7" t="s">
        <v>86</v>
      </c>
      <c r="B614" s="7" t="s">
        <v>510</v>
      </c>
      <c r="C614" s="8">
        <f>IFERROR(__xludf.DUMMYFUNCTION("SPLIT(B614,""RM"")"),380000.0)</f>
        <v>380000</v>
      </c>
      <c r="D614" s="7" t="s">
        <v>197</v>
      </c>
      <c r="E614" s="7">
        <v>1.0</v>
      </c>
      <c r="F614" s="7">
        <v>1.0</v>
      </c>
      <c r="G614" s="7" t="s">
        <v>354</v>
      </c>
      <c r="H614" s="7" t="s">
        <v>754</v>
      </c>
      <c r="I614" s="7" t="s">
        <v>27</v>
      </c>
    </row>
    <row r="615">
      <c r="A615" s="7" t="s">
        <v>17</v>
      </c>
      <c r="B615" s="7" t="s">
        <v>755</v>
      </c>
      <c r="C615" s="8">
        <f>IFERROR(__xludf.DUMMYFUNCTION("SPLIT(B615,""RM"")"),970000.0)</f>
        <v>970000</v>
      </c>
      <c r="D615" s="7">
        <v>1.0</v>
      </c>
      <c r="E615" s="7">
        <v>1.0</v>
      </c>
      <c r="F615" s="7">
        <v>1.0</v>
      </c>
      <c r="G615" s="7" t="s">
        <v>82</v>
      </c>
      <c r="H615" s="7" t="s">
        <v>756</v>
      </c>
      <c r="I615" s="7" t="s">
        <v>22</v>
      </c>
    </row>
    <row r="616">
      <c r="A616" s="7" t="s">
        <v>33</v>
      </c>
      <c r="B616" s="7" t="s">
        <v>34</v>
      </c>
      <c r="C616" s="8">
        <f>IFERROR(__xludf.DUMMYFUNCTION("SPLIT(B616,""RM"")"),900000.0)</f>
        <v>900000</v>
      </c>
      <c r="D616" s="7">
        <v>4.0</v>
      </c>
      <c r="E616" s="7">
        <v>3.0</v>
      </c>
      <c r="F616" s="7">
        <v>2.0</v>
      </c>
      <c r="G616" s="7" t="s">
        <v>30</v>
      </c>
      <c r="H616" s="7" t="s">
        <v>36</v>
      </c>
      <c r="I616" s="7" t="s">
        <v>27</v>
      </c>
    </row>
    <row r="617">
      <c r="A617" s="7" t="s">
        <v>33</v>
      </c>
      <c r="B617" s="7" t="s">
        <v>284</v>
      </c>
      <c r="C617" s="8">
        <f>IFERROR(__xludf.DUMMYFUNCTION("SPLIT(B617,""RM"")"),1060000.0)</f>
        <v>1060000</v>
      </c>
      <c r="D617" s="7" t="s">
        <v>35</v>
      </c>
      <c r="E617" s="7">
        <v>4.0</v>
      </c>
      <c r="F617" s="7">
        <v>4.0</v>
      </c>
      <c r="G617" s="7" t="s">
        <v>30</v>
      </c>
      <c r="H617" s="7" t="s">
        <v>137</v>
      </c>
      <c r="I617" s="7" t="s">
        <v>27</v>
      </c>
    </row>
    <row r="618">
      <c r="A618" s="7" t="s">
        <v>17</v>
      </c>
      <c r="B618" s="7" t="s">
        <v>757</v>
      </c>
      <c r="C618" s="8">
        <f>IFERROR(__xludf.DUMMYFUNCTION("SPLIT(B618,""RM"")"),4250000.0)</f>
        <v>4250000</v>
      </c>
      <c r="D618" s="7" t="s">
        <v>35</v>
      </c>
      <c r="E618" s="7">
        <v>6.0</v>
      </c>
      <c r="F618" s="7">
        <v>2.0</v>
      </c>
      <c r="G618" s="7" t="s">
        <v>20</v>
      </c>
      <c r="H618" s="7" t="s">
        <v>727</v>
      </c>
      <c r="I618" s="7" t="s">
        <v>22</v>
      </c>
    </row>
    <row r="619">
      <c r="A619" s="7" t="s">
        <v>17</v>
      </c>
      <c r="B619" s="7" t="s">
        <v>277</v>
      </c>
      <c r="C619" s="8">
        <f>IFERROR(__xludf.DUMMYFUNCTION("SPLIT(B619,""RM"")"),2200000.0)</f>
        <v>2200000</v>
      </c>
      <c r="D619" s="7" t="s">
        <v>57</v>
      </c>
      <c r="E619" s="7">
        <v>3.0</v>
      </c>
      <c r="G619" s="7" t="s">
        <v>20</v>
      </c>
      <c r="H619" s="7" t="s">
        <v>758</v>
      </c>
      <c r="I619" s="7" t="s">
        <v>27</v>
      </c>
    </row>
    <row r="620">
      <c r="A620" s="7" t="s">
        <v>77</v>
      </c>
      <c r="B620" s="7" t="s">
        <v>125</v>
      </c>
      <c r="C620" s="8">
        <f>IFERROR(__xludf.DUMMYFUNCTION("SPLIT(B620,""RM"")"),2300000.0)</f>
        <v>2300000</v>
      </c>
      <c r="D620" s="7" t="s">
        <v>35</v>
      </c>
      <c r="E620" s="7">
        <v>5.0</v>
      </c>
      <c r="F620" s="7">
        <v>3.0</v>
      </c>
      <c r="G620" s="7" t="s">
        <v>30</v>
      </c>
      <c r="H620" s="7" t="s">
        <v>266</v>
      </c>
      <c r="I620" s="7" t="s">
        <v>27</v>
      </c>
    </row>
    <row r="621">
      <c r="A621" s="7" t="s">
        <v>37</v>
      </c>
      <c r="B621" s="7" t="s">
        <v>45</v>
      </c>
      <c r="C621" s="8">
        <f>IFERROR(__xludf.DUMMYFUNCTION("SPLIT(B621,""RM"")"),1950000.0)</f>
        <v>1950000</v>
      </c>
      <c r="D621" s="7">
        <v>4.0</v>
      </c>
      <c r="F621" s="7">
        <v>3.0</v>
      </c>
      <c r="G621" s="7" t="s">
        <v>184</v>
      </c>
      <c r="H621" s="7" t="s">
        <v>256</v>
      </c>
      <c r="I621" s="7" t="s">
        <v>27</v>
      </c>
    </row>
    <row r="622">
      <c r="A622" s="7" t="s">
        <v>171</v>
      </c>
      <c r="B622" s="7" t="s">
        <v>759</v>
      </c>
      <c r="C622" s="8">
        <f>IFERROR(__xludf.DUMMYFUNCTION("SPLIT(B622,""RM"")"),520000.0)</f>
        <v>520000</v>
      </c>
      <c r="D622" s="7">
        <v>4.0</v>
      </c>
      <c r="E622" s="7">
        <v>2.0</v>
      </c>
      <c r="F622" s="7">
        <v>2.0</v>
      </c>
      <c r="G622" s="7" t="s">
        <v>30</v>
      </c>
      <c r="H622" s="7" t="s">
        <v>760</v>
      </c>
      <c r="I622" s="7" t="s">
        <v>27</v>
      </c>
    </row>
    <row r="623">
      <c r="A623" s="7" t="s">
        <v>171</v>
      </c>
      <c r="B623" s="7" t="s">
        <v>761</v>
      </c>
      <c r="C623" s="8">
        <f>IFERROR(__xludf.DUMMYFUNCTION("SPLIT(B623,""RM"")"),480000.0)</f>
        <v>480000</v>
      </c>
      <c r="D623" s="7">
        <v>4.0</v>
      </c>
      <c r="E623" s="7">
        <v>2.0</v>
      </c>
      <c r="F623" s="7">
        <v>1.0</v>
      </c>
      <c r="G623" s="7" t="s">
        <v>83</v>
      </c>
    </row>
    <row r="624">
      <c r="A624" s="7" t="s">
        <v>143</v>
      </c>
      <c r="B624" s="7" t="s">
        <v>448</v>
      </c>
      <c r="C624" s="8">
        <f>IFERROR(__xludf.DUMMYFUNCTION("SPLIT(B624,""RM"")"),1420000.0)</f>
        <v>1420000</v>
      </c>
      <c r="D624" s="7" t="s">
        <v>57</v>
      </c>
      <c r="E624" s="7">
        <v>3.0</v>
      </c>
      <c r="F624" s="7">
        <v>2.0</v>
      </c>
      <c r="G624" s="7" t="s">
        <v>121</v>
      </c>
      <c r="H624" s="7" t="s">
        <v>762</v>
      </c>
      <c r="I624" s="7" t="s">
        <v>22</v>
      </c>
    </row>
    <row r="625">
      <c r="A625" s="7" t="s">
        <v>164</v>
      </c>
      <c r="B625" s="7" t="s">
        <v>763</v>
      </c>
      <c r="C625" s="8">
        <f>IFERROR(__xludf.DUMMYFUNCTION("SPLIT(B625,""RM"")"),1065140.0)</f>
        <v>1065140</v>
      </c>
      <c r="D625" s="7">
        <v>3.0</v>
      </c>
      <c r="E625" s="7">
        <v>3.0</v>
      </c>
      <c r="F625" s="7">
        <v>2.0</v>
      </c>
      <c r="G625" s="7" t="s">
        <v>121</v>
      </c>
      <c r="H625" s="7" t="s">
        <v>764</v>
      </c>
      <c r="I625" s="7" t="s">
        <v>27</v>
      </c>
    </row>
    <row r="626">
      <c r="A626" s="7" t="s">
        <v>77</v>
      </c>
      <c r="B626" s="7" t="s">
        <v>526</v>
      </c>
      <c r="C626" s="8">
        <f>IFERROR(__xludf.DUMMYFUNCTION("SPLIT(B626,""RM"")"),1330000.0)</f>
        <v>1330000</v>
      </c>
      <c r="F626" s="7">
        <v>2.0</v>
      </c>
      <c r="G626" s="7" t="s">
        <v>93</v>
      </c>
      <c r="H626" s="7" t="s">
        <v>321</v>
      </c>
      <c r="I626" s="7" t="s">
        <v>22</v>
      </c>
    </row>
    <row r="627">
      <c r="A627" s="7" t="s">
        <v>17</v>
      </c>
      <c r="B627" s="7" t="s">
        <v>765</v>
      </c>
      <c r="C627" s="8">
        <f>IFERROR(__xludf.DUMMYFUNCTION("SPLIT(B627,""RM"")"),1299000.0)</f>
        <v>1299000</v>
      </c>
      <c r="D627" s="7">
        <v>2.0</v>
      </c>
      <c r="E627" s="7">
        <v>2.0</v>
      </c>
      <c r="F627" s="7">
        <v>1.0</v>
      </c>
      <c r="G627" s="7" t="s">
        <v>121</v>
      </c>
      <c r="H627" s="7" t="s">
        <v>505</v>
      </c>
      <c r="I627" s="7" t="s">
        <v>22</v>
      </c>
    </row>
    <row r="628">
      <c r="A628" s="7" t="s">
        <v>177</v>
      </c>
      <c r="B628" s="7" t="s">
        <v>633</v>
      </c>
      <c r="C628" s="8">
        <f>IFERROR(__xludf.DUMMYFUNCTION("SPLIT(B628,""RM"")"),7600000.0)</f>
        <v>7600000</v>
      </c>
      <c r="D628" s="7" t="s">
        <v>35</v>
      </c>
      <c r="E628" s="7">
        <v>5.0</v>
      </c>
      <c r="F628" s="7">
        <v>3.0</v>
      </c>
      <c r="G628" s="7" t="s">
        <v>30</v>
      </c>
      <c r="H628" s="7" t="s">
        <v>550</v>
      </c>
      <c r="I628" s="7" t="s">
        <v>103</v>
      </c>
    </row>
    <row r="629">
      <c r="A629" s="7" t="s">
        <v>17</v>
      </c>
      <c r="B629" s="7" t="s">
        <v>415</v>
      </c>
      <c r="C629" s="8">
        <f>IFERROR(__xludf.DUMMYFUNCTION("SPLIT(B629,""RM"")"),1238000.0)</f>
        <v>1238000</v>
      </c>
      <c r="D629" s="7">
        <v>2.0</v>
      </c>
      <c r="E629" s="7">
        <v>2.0</v>
      </c>
      <c r="F629" s="7">
        <v>1.0</v>
      </c>
      <c r="G629" s="7" t="s">
        <v>83</v>
      </c>
      <c r="H629" s="7" t="s">
        <v>240</v>
      </c>
      <c r="I629" s="7" t="s">
        <v>27</v>
      </c>
    </row>
    <row r="630">
      <c r="A630" s="7" t="s">
        <v>72</v>
      </c>
      <c r="B630" s="7" t="s">
        <v>766</v>
      </c>
      <c r="C630" s="8">
        <f>IFERROR(__xludf.DUMMYFUNCTION("SPLIT(B630,""RM"")"),2390000.0)</f>
        <v>2390000</v>
      </c>
      <c r="D630" s="7" t="s">
        <v>35</v>
      </c>
      <c r="E630" s="7">
        <v>4.0</v>
      </c>
      <c r="F630" s="7">
        <v>3.0</v>
      </c>
      <c r="G630" s="7" t="s">
        <v>83</v>
      </c>
      <c r="H630" s="7" t="s">
        <v>767</v>
      </c>
      <c r="I630" s="7" t="s">
        <v>103</v>
      </c>
    </row>
    <row r="631">
      <c r="A631" s="7" t="s">
        <v>33</v>
      </c>
      <c r="B631" s="7" t="s">
        <v>156</v>
      </c>
      <c r="C631" s="8">
        <f>IFERROR(__xludf.DUMMYFUNCTION("SPLIT(B631,""RM"")"),850000.0)</f>
        <v>850000</v>
      </c>
      <c r="D631" s="7">
        <v>3.0</v>
      </c>
      <c r="E631" s="7">
        <v>2.0</v>
      </c>
      <c r="F631" s="7">
        <v>2.0</v>
      </c>
      <c r="G631" s="7" t="s">
        <v>83</v>
      </c>
      <c r="H631" s="7" t="s">
        <v>21</v>
      </c>
      <c r="I631" s="7" t="s">
        <v>22</v>
      </c>
    </row>
    <row r="632">
      <c r="A632" s="7" t="s">
        <v>72</v>
      </c>
      <c r="B632" s="7" t="s">
        <v>768</v>
      </c>
      <c r="C632" s="8">
        <f>IFERROR(__xludf.DUMMYFUNCTION("SPLIT(B632,""RM"")"),1.45E7)</f>
        <v>14500000</v>
      </c>
      <c r="D632" s="7" t="s">
        <v>218</v>
      </c>
      <c r="E632" s="7">
        <v>8.0</v>
      </c>
      <c r="F632" s="7">
        <v>5.0</v>
      </c>
      <c r="G632" s="7" t="s">
        <v>25</v>
      </c>
      <c r="H632" s="7" t="s">
        <v>769</v>
      </c>
      <c r="I632" s="7" t="s">
        <v>22</v>
      </c>
    </row>
    <row r="633">
      <c r="A633" s="7" t="s">
        <v>164</v>
      </c>
      <c r="B633" s="7" t="s">
        <v>770</v>
      </c>
      <c r="C633" s="8">
        <f>IFERROR(__xludf.DUMMYFUNCTION("SPLIT(B633,""RM"")"),4718680.0)</f>
        <v>4718680</v>
      </c>
      <c r="D633" s="7" t="s">
        <v>35</v>
      </c>
      <c r="E633" s="7">
        <v>5.0</v>
      </c>
      <c r="F633" s="7">
        <v>4.0</v>
      </c>
      <c r="G633" s="7" t="s">
        <v>312</v>
      </c>
      <c r="H633" s="7" t="s">
        <v>570</v>
      </c>
      <c r="I633" s="7" t="s">
        <v>27</v>
      </c>
    </row>
    <row r="634">
      <c r="A634" s="7" t="s">
        <v>164</v>
      </c>
      <c r="B634" s="7" t="s">
        <v>422</v>
      </c>
      <c r="C634" s="8">
        <f>IFERROR(__xludf.DUMMYFUNCTION("SPLIT(B634,""RM"")"),2050000.0)</f>
        <v>2050000</v>
      </c>
      <c r="D634" s="7" t="s">
        <v>70</v>
      </c>
      <c r="E634" s="7">
        <v>5.0</v>
      </c>
      <c r="G634" s="7" t="s">
        <v>83</v>
      </c>
      <c r="H634" s="7" t="s">
        <v>771</v>
      </c>
      <c r="I634" s="7" t="s">
        <v>22</v>
      </c>
    </row>
    <row r="635">
      <c r="A635" s="7" t="s">
        <v>177</v>
      </c>
      <c r="B635" s="7" t="s">
        <v>433</v>
      </c>
      <c r="C635" s="8">
        <f>IFERROR(__xludf.DUMMYFUNCTION("SPLIT(B635,""RM"")"),1.48E7)</f>
        <v>14800000</v>
      </c>
      <c r="D635" s="7">
        <v>12.0</v>
      </c>
      <c r="E635" s="7">
        <v>8.0</v>
      </c>
      <c r="F635" s="7">
        <v>6.0</v>
      </c>
      <c r="G635" s="7" t="s">
        <v>61</v>
      </c>
      <c r="H635" s="7" t="s">
        <v>772</v>
      </c>
      <c r="I635" s="7" t="s">
        <v>27</v>
      </c>
    </row>
    <row r="636">
      <c r="A636" s="7" t="s">
        <v>72</v>
      </c>
      <c r="B636" s="7" t="s">
        <v>773</v>
      </c>
      <c r="C636" s="8">
        <f>IFERROR(__xludf.DUMMYFUNCTION("SPLIT(B636,""RM"")"),9900000.0)</f>
        <v>9900000</v>
      </c>
      <c r="D636" s="7" t="s">
        <v>60</v>
      </c>
      <c r="E636" s="7">
        <v>8.0</v>
      </c>
      <c r="F636" s="7">
        <v>2.0</v>
      </c>
      <c r="G636" s="7" t="s">
        <v>67</v>
      </c>
      <c r="H636" s="7" t="s">
        <v>774</v>
      </c>
      <c r="I636" s="7" t="s">
        <v>27</v>
      </c>
    </row>
    <row r="637">
      <c r="A637" s="7" t="s">
        <v>177</v>
      </c>
      <c r="B637" s="7" t="s">
        <v>530</v>
      </c>
      <c r="C637" s="8">
        <f>IFERROR(__xludf.DUMMYFUNCTION("SPLIT(B637,""RM"")"),5000000.0)</f>
        <v>5000000</v>
      </c>
      <c r="D637" s="7">
        <v>6.0</v>
      </c>
      <c r="E637" s="7">
        <v>6.0</v>
      </c>
      <c r="F637" s="7">
        <v>4.0</v>
      </c>
      <c r="G637" s="7" t="s">
        <v>43</v>
      </c>
      <c r="H637" s="7" t="s">
        <v>775</v>
      </c>
      <c r="I637" s="7" t="s">
        <v>27</v>
      </c>
    </row>
    <row r="638">
      <c r="A638" s="7" t="s">
        <v>72</v>
      </c>
      <c r="B638" s="7" t="s">
        <v>158</v>
      </c>
      <c r="C638" s="8">
        <f>IFERROR(__xludf.DUMMYFUNCTION("SPLIT(B638,""RM"")"),1850000.0)</f>
        <v>1850000</v>
      </c>
      <c r="D638" s="7" t="s">
        <v>57</v>
      </c>
      <c r="E638" s="7">
        <v>3.0</v>
      </c>
      <c r="F638" s="7">
        <v>2.0</v>
      </c>
      <c r="G638" s="7" t="s">
        <v>83</v>
      </c>
      <c r="H638" s="7" t="s">
        <v>119</v>
      </c>
      <c r="I638" s="7" t="s">
        <v>22</v>
      </c>
    </row>
    <row r="639">
      <c r="A639" s="7" t="s">
        <v>17</v>
      </c>
      <c r="B639" s="7" t="s">
        <v>704</v>
      </c>
      <c r="C639" s="8">
        <f>IFERROR(__xludf.DUMMYFUNCTION("SPLIT(B639,""RM"")"),3360000.0)</f>
        <v>3360000</v>
      </c>
      <c r="D639" s="7">
        <v>2.0</v>
      </c>
      <c r="E639" s="7">
        <v>2.0</v>
      </c>
      <c r="F639" s="7">
        <v>2.0</v>
      </c>
      <c r="G639" s="7" t="s">
        <v>82</v>
      </c>
      <c r="H639" s="7" t="s">
        <v>318</v>
      </c>
      <c r="I639" s="7" t="s">
        <v>27</v>
      </c>
    </row>
    <row r="640">
      <c r="A640" s="7" t="s">
        <v>17</v>
      </c>
      <c r="B640" s="7" t="s">
        <v>191</v>
      </c>
      <c r="C640" s="8">
        <f>IFERROR(__xludf.DUMMYFUNCTION("SPLIT(B640,""RM"")"),1000000.0)</f>
        <v>1000000</v>
      </c>
      <c r="D640" s="7" t="s">
        <v>19</v>
      </c>
      <c r="E640" s="7">
        <v>2.0</v>
      </c>
      <c r="F640" s="7">
        <v>1.0</v>
      </c>
      <c r="G640" s="7" t="s">
        <v>20</v>
      </c>
      <c r="H640" s="7" t="s">
        <v>687</v>
      </c>
      <c r="I640" s="7" t="s">
        <v>22</v>
      </c>
    </row>
    <row r="641">
      <c r="A641" s="7" t="s">
        <v>188</v>
      </c>
      <c r="B641" s="7" t="s">
        <v>191</v>
      </c>
      <c r="C641" s="8">
        <f>IFERROR(__xludf.DUMMYFUNCTION("SPLIT(B641,""RM"")"),1000000.0)</f>
        <v>1000000</v>
      </c>
      <c r="E641" s="7">
        <v>2.0</v>
      </c>
      <c r="F641" s="7">
        <v>1.0</v>
      </c>
      <c r="G641" s="7" t="s">
        <v>20</v>
      </c>
      <c r="H641" s="7" t="s">
        <v>776</v>
      </c>
      <c r="I641" s="7" t="s">
        <v>22</v>
      </c>
    </row>
    <row r="642">
      <c r="A642" s="7" t="s">
        <v>267</v>
      </c>
      <c r="B642" s="7" t="s">
        <v>447</v>
      </c>
      <c r="C642" s="8">
        <f>IFERROR(__xludf.DUMMYFUNCTION("SPLIT(B642,""RM"")"),3700000.0)</f>
        <v>3700000</v>
      </c>
      <c r="D642" s="7" t="s">
        <v>35</v>
      </c>
      <c r="E642" s="7">
        <v>5.0</v>
      </c>
      <c r="F642" s="7">
        <v>6.0</v>
      </c>
      <c r="G642" s="7" t="s">
        <v>64</v>
      </c>
      <c r="H642" s="7" t="s">
        <v>777</v>
      </c>
      <c r="I642" s="7" t="s">
        <v>27</v>
      </c>
    </row>
    <row r="643">
      <c r="A643" s="7" t="s">
        <v>267</v>
      </c>
      <c r="B643" s="7" t="s">
        <v>127</v>
      </c>
      <c r="C643" s="8">
        <f>IFERROR(__xludf.DUMMYFUNCTION("SPLIT(B643,""RM"")"),4200000.0)</f>
        <v>4200000</v>
      </c>
      <c r="D643" s="7" t="s">
        <v>35</v>
      </c>
      <c r="E643" s="7">
        <v>5.0</v>
      </c>
      <c r="F643" s="7">
        <v>4.0</v>
      </c>
      <c r="G643" s="7" t="s">
        <v>61</v>
      </c>
      <c r="H643" s="7" t="s">
        <v>778</v>
      </c>
      <c r="I643" s="7" t="s">
        <v>103</v>
      </c>
    </row>
    <row r="644">
      <c r="A644" s="7" t="s">
        <v>177</v>
      </c>
      <c r="B644" s="7" t="s">
        <v>779</v>
      </c>
      <c r="C644" s="8">
        <f>IFERROR(__xludf.DUMMYFUNCTION("SPLIT(B644,""RM"")"),1.8E7)</f>
        <v>18000000</v>
      </c>
      <c r="D644" s="7">
        <v>6.0</v>
      </c>
      <c r="E644" s="7">
        <v>7.0</v>
      </c>
      <c r="F644" s="7">
        <v>6.0</v>
      </c>
      <c r="G644" s="7" t="s">
        <v>61</v>
      </c>
      <c r="H644" s="7" t="s">
        <v>780</v>
      </c>
      <c r="I644" s="7" t="s">
        <v>27</v>
      </c>
    </row>
    <row r="645">
      <c r="A645" s="7" t="s">
        <v>267</v>
      </c>
      <c r="B645" s="7" t="s">
        <v>781</v>
      </c>
      <c r="C645" s="8">
        <f>IFERROR(__xludf.DUMMYFUNCTION("SPLIT(B645,""RM"")"),2688888.0)</f>
        <v>2688888</v>
      </c>
      <c r="D645" s="7" t="s">
        <v>70</v>
      </c>
      <c r="E645" s="7">
        <v>5.0</v>
      </c>
      <c r="F645" s="7">
        <v>9.0</v>
      </c>
      <c r="G645" s="7" t="s">
        <v>83</v>
      </c>
      <c r="H645" s="7" t="s">
        <v>782</v>
      </c>
      <c r="I645" s="7" t="s">
        <v>27</v>
      </c>
    </row>
    <row r="646">
      <c r="A646" s="7" t="s">
        <v>177</v>
      </c>
      <c r="B646" s="7" t="s">
        <v>783</v>
      </c>
      <c r="C646" s="8">
        <f>IFERROR(__xludf.DUMMYFUNCTION("SPLIT(B646,""RM"")"),8200000.0)</f>
        <v>8200000</v>
      </c>
      <c r="D646" s="7" t="s">
        <v>35</v>
      </c>
      <c r="E646" s="7">
        <v>6.0</v>
      </c>
      <c r="F646" s="7">
        <v>5.0</v>
      </c>
      <c r="G646" s="7" t="s">
        <v>30</v>
      </c>
      <c r="H646" s="7" t="s">
        <v>574</v>
      </c>
      <c r="I646" s="7" t="s">
        <v>27</v>
      </c>
    </row>
    <row r="647">
      <c r="A647" s="7" t="s">
        <v>72</v>
      </c>
      <c r="B647" s="7" t="s">
        <v>390</v>
      </c>
      <c r="C647" s="8">
        <f>IFERROR(__xludf.DUMMYFUNCTION("SPLIT(B647,""RM"")"),6300000.0)</f>
        <v>6300000</v>
      </c>
      <c r="D647" s="7" t="s">
        <v>35</v>
      </c>
      <c r="E647" s="7">
        <v>5.0</v>
      </c>
      <c r="F647" s="7">
        <v>6.0</v>
      </c>
      <c r="G647" s="7" t="s">
        <v>83</v>
      </c>
      <c r="H647" s="7" t="s">
        <v>784</v>
      </c>
      <c r="I647" s="7" t="s">
        <v>27</v>
      </c>
    </row>
    <row r="648">
      <c r="A648" s="7" t="s">
        <v>267</v>
      </c>
      <c r="B648" s="7" t="s">
        <v>479</v>
      </c>
      <c r="C648" s="8">
        <f>IFERROR(__xludf.DUMMYFUNCTION("SPLIT(B648,""RM"")"),5500000.0)</f>
        <v>5500000</v>
      </c>
      <c r="D648" s="7" t="s">
        <v>70</v>
      </c>
      <c r="E648" s="7">
        <v>7.0</v>
      </c>
      <c r="F648" s="7">
        <v>6.0</v>
      </c>
      <c r="G648" s="7" t="s">
        <v>61</v>
      </c>
      <c r="H648" s="7" t="s">
        <v>785</v>
      </c>
      <c r="I648" s="7" t="s">
        <v>103</v>
      </c>
    </row>
    <row r="649">
      <c r="A649" s="7" t="s">
        <v>100</v>
      </c>
      <c r="B649" s="7" t="s">
        <v>715</v>
      </c>
      <c r="C649" s="8">
        <f>IFERROR(__xludf.DUMMYFUNCTION("SPLIT(B649,""RM"")"),550000.0)</f>
        <v>550000</v>
      </c>
      <c r="D649" s="7">
        <v>1.0</v>
      </c>
      <c r="E649" s="7">
        <v>2.0</v>
      </c>
      <c r="F649" s="7">
        <v>1.0</v>
      </c>
      <c r="G649" s="7" t="s">
        <v>82</v>
      </c>
      <c r="H649" s="7" t="s">
        <v>786</v>
      </c>
      <c r="I649" s="7" t="s">
        <v>22</v>
      </c>
    </row>
    <row r="650">
      <c r="A650" s="7" t="s">
        <v>267</v>
      </c>
      <c r="B650" s="7" t="s">
        <v>787</v>
      </c>
      <c r="C650" s="8">
        <f>IFERROR(__xludf.DUMMYFUNCTION("SPLIT(B650,""RM"")"),3688000.0)</f>
        <v>3688000</v>
      </c>
      <c r="D650" s="7" t="s">
        <v>35</v>
      </c>
      <c r="E650" s="7">
        <v>5.0</v>
      </c>
      <c r="F650" s="7">
        <v>5.0</v>
      </c>
      <c r="G650" s="7" t="s">
        <v>788</v>
      </c>
      <c r="H650" s="7" t="s">
        <v>789</v>
      </c>
      <c r="I650" s="7" t="s">
        <v>27</v>
      </c>
    </row>
    <row r="651">
      <c r="A651" s="7" t="s">
        <v>267</v>
      </c>
      <c r="B651" s="7" t="s">
        <v>790</v>
      </c>
      <c r="C651" s="8">
        <f>IFERROR(__xludf.DUMMYFUNCTION("SPLIT(B651,""RM"")"),2680000.0)</f>
        <v>2680000</v>
      </c>
      <c r="D651" s="7" t="s">
        <v>57</v>
      </c>
      <c r="E651" s="7">
        <v>5.0</v>
      </c>
      <c r="F651" s="7">
        <v>4.0</v>
      </c>
      <c r="G651" s="7" t="s">
        <v>90</v>
      </c>
      <c r="H651" s="7" t="s">
        <v>791</v>
      </c>
      <c r="I651" s="7" t="s">
        <v>27</v>
      </c>
    </row>
    <row r="652">
      <c r="A652" s="7" t="s">
        <v>17</v>
      </c>
      <c r="B652" s="7" t="s">
        <v>191</v>
      </c>
      <c r="C652" s="8">
        <f>IFERROR(__xludf.DUMMYFUNCTION("SPLIT(B652,""RM"")"),1000000.0)</f>
        <v>1000000</v>
      </c>
      <c r="D652" s="7" t="s">
        <v>19</v>
      </c>
      <c r="E652" s="7">
        <v>2.0</v>
      </c>
      <c r="F652" s="7">
        <v>1.0</v>
      </c>
      <c r="G652" s="7" t="s">
        <v>82</v>
      </c>
      <c r="H652" s="7" t="s">
        <v>792</v>
      </c>
      <c r="I652" s="7" t="s">
        <v>22</v>
      </c>
    </row>
    <row r="653">
      <c r="A653" s="7" t="s">
        <v>180</v>
      </c>
      <c r="B653" s="7" t="s">
        <v>472</v>
      </c>
      <c r="C653" s="8">
        <f>IFERROR(__xludf.DUMMYFUNCTION("SPLIT(B653,""RM"")"),1730000.0)</f>
        <v>1730000</v>
      </c>
      <c r="D653" s="7" t="s">
        <v>19</v>
      </c>
      <c r="E653" s="7">
        <v>3.0</v>
      </c>
      <c r="F653" s="7">
        <v>1.0</v>
      </c>
      <c r="G653" s="7" t="s">
        <v>121</v>
      </c>
      <c r="H653" s="7" t="s">
        <v>216</v>
      </c>
      <c r="I653" s="7" t="s">
        <v>22</v>
      </c>
    </row>
    <row r="654">
      <c r="A654" s="7" t="s">
        <v>65</v>
      </c>
      <c r="B654" s="7" t="s">
        <v>479</v>
      </c>
      <c r="C654" s="8">
        <f>IFERROR(__xludf.DUMMYFUNCTION("SPLIT(B654,""RM"")"),5500000.0)</f>
        <v>5500000</v>
      </c>
      <c r="D654" s="7">
        <v>5.0</v>
      </c>
      <c r="E654" s="7">
        <v>6.0</v>
      </c>
      <c r="F654" s="7">
        <v>5.0</v>
      </c>
      <c r="G654" s="7" t="s">
        <v>793</v>
      </c>
      <c r="H654" s="7" t="s">
        <v>794</v>
      </c>
      <c r="I654" s="7" t="s">
        <v>27</v>
      </c>
    </row>
    <row r="655">
      <c r="A655" s="7" t="s">
        <v>33</v>
      </c>
      <c r="B655" s="7" t="s">
        <v>34</v>
      </c>
      <c r="C655" s="8">
        <f>IFERROR(__xludf.DUMMYFUNCTION("SPLIT(B655,""RM"")"),900000.0)</f>
        <v>900000</v>
      </c>
      <c r="D655" s="7" t="s">
        <v>35</v>
      </c>
      <c r="E655" s="7">
        <v>3.0</v>
      </c>
      <c r="F655" s="7">
        <v>3.0</v>
      </c>
      <c r="G655" s="7" t="s">
        <v>30</v>
      </c>
      <c r="H655" s="7" t="s">
        <v>36</v>
      </c>
      <c r="I655" s="7" t="s">
        <v>27</v>
      </c>
    </row>
    <row r="656">
      <c r="A656" s="7" t="s">
        <v>33</v>
      </c>
      <c r="B656" s="7" t="s">
        <v>284</v>
      </c>
      <c r="C656" s="8">
        <f>IFERROR(__xludf.DUMMYFUNCTION("SPLIT(B656,""RM"")"),1060000.0)</f>
        <v>1060000</v>
      </c>
      <c r="D656" s="7" t="s">
        <v>35</v>
      </c>
      <c r="E656" s="7">
        <v>4.0</v>
      </c>
      <c r="F656" s="7">
        <v>4.0</v>
      </c>
      <c r="G656" s="7" t="s">
        <v>30</v>
      </c>
      <c r="H656" s="7" t="s">
        <v>137</v>
      </c>
      <c r="I656" s="7" t="s">
        <v>27</v>
      </c>
    </row>
    <row r="657">
      <c r="A657" s="7" t="s">
        <v>89</v>
      </c>
      <c r="B657" s="7" t="s">
        <v>221</v>
      </c>
      <c r="C657" s="8">
        <f>IFERROR(__xludf.DUMMYFUNCTION("SPLIT(B657,""RM"")"),630000.0)</f>
        <v>630000</v>
      </c>
      <c r="D657" s="7" t="s">
        <v>19</v>
      </c>
      <c r="E657" s="7">
        <v>2.0</v>
      </c>
      <c r="F657" s="7">
        <v>2.0</v>
      </c>
      <c r="G657" s="7" t="s">
        <v>20</v>
      </c>
      <c r="H657" s="7" t="s">
        <v>764</v>
      </c>
      <c r="I657" s="7" t="s">
        <v>27</v>
      </c>
    </row>
    <row r="658">
      <c r="A658" s="7" t="s">
        <v>33</v>
      </c>
      <c r="B658" s="7" t="s">
        <v>34</v>
      </c>
      <c r="C658" s="8">
        <f>IFERROR(__xludf.DUMMYFUNCTION("SPLIT(B658,""RM"")"),900000.0)</f>
        <v>900000</v>
      </c>
      <c r="D658" s="7">
        <v>3.0</v>
      </c>
      <c r="E658" s="7">
        <v>2.0</v>
      </c>
      <c r="F658" s="7">
        <v>2.0</v>
      </c>
      <c r="G658" s="7" t="s">
        <v>20</v>
      </c>
      <c r="H658" s="7" t="s">
        <v>795</v>
      </c>
      <c r="I658" s="7" t="s">
        <v>27</v>
      </c>
    </row>
    <row r="659">
      <c r="A659" s="7" t="s">
        <v>171</v>
      </c>
      <c r="B659" s="7" t="s">
        <v>606</v>
      </c>
      <c r="C659" s="8">
        <f>IFERROR(__xludf.DUMMYFUNCTION("SPLIT(B659,""RM"")"),428000.0)</f>
        <v>428000</v>
      </c>
      <c r="D659" s="7">
        <v>3.0</v>
      </c>
      <c r="F659" s="7">
        <v>2.0</v>
      </c>
      <c r="G659" s="7" t="s">
        <v>82</v>
      </c>
      <c r="H659" s="7" t="s">
        <v>607</v>
      </c>
      <c r="I659" s="7" t="s">
        <v>103</v>
      </c>
    </row>
    <row r="660">
      <c r="A660" s="7" t="s">
        <v>89</v>
      </c>
      <c r="B660" s="7" t="s">
        <v>245</v>
      </c>
      <c r="C660" s="8">
        <f>IFERROR(__xludf.DUMMYFUNCTION("SPLIT(B660,""RM"")"),800000.0)</f>
        <v>800000</v>
      </c>
      <c r="D660" s="7">
        <v>3.0</v>
      </c>
      <c r="E660" s="7">
        <v>3.0</v>
      </c>
      <c r="F660" s="7">
        <v>2.0</v>
      </c>
      <c r="G660" s="7" t="s">
        <v>20</v>
      </c>
      <c r="H660" s="7" t="s">
        <v>796</v>
      </c>
      <c r="I660" s="7" t="s">
        <v>27</v>
      </c>
    </row>
    <row r="661">
      <c r="A661" s="7" t="s">
        <v>177</v>
      </c>
      <c r="B661" s="7" t="s">
        <v>66</v>
      </c>
      <c r="C661" s="8">
        <f>IFERROR(__xludf.DUMMYFUNCTION("SPLIT(B661,""RM"")"),9000000.0)</f>
        <v>9000000</v>
      </c>
      <c r="D661" s="7">
        <v>5.0</v>
      </c>
      <c r="E661" s="7">
        <v>6.0</v>
      </c>
      <c r="F661" s="7">
        <v>4.0</v>
      </c>
      <c r="G661" s="7" t="s">
        <v>61</v>
      </c>
      <c r="H661" s="7" t="s">
        <v>696</v>
      </c>
      <c r="I661" s="7" t="s">
        <v>27</v>
      </c>
    </row>
    <row r="662">
      <c r="A662" s="7" t="s">
        <v>23</v>
      </c>
      <c r="B662" s="7" t="s">
        <v>797</v>
      </c>
      <c r="C662" s="8">
        <f>IFERROR(__xludf.DUMMYFUNCTION("SPLIT(B662,""RM"")"),9600000.0)</f>
        <v>9600000</v>
      </c>
      <c r="D662" s="7" t="s">
        <v>299</v>
      </c>
      <c r="E662" s="7">
        <v>9.0</v>
      </c>
      <c r="F662" s="7">
        <v>6.0</v>
      </c>
      <c r="G662" s="7" t="s">
        <v>67</v>
      </c>
      <c r="H662" s="7" t="s">
        <v>798</v>
      </c>
      <c r="I662" s="7" t="s">
        <v>27</v>
      </c>
    </row>
    <row r="663">
      <c r="A663" s="7" t="s">
        <v>143</v>
      </c>
      <c r="B663" s="7" t="s">
        <v>799</v>
      </c>
      <c r="C663" s="8">
        <f>IFERROR(__xludf.DUMMYFUNCTION("SPLIT(B663,""RM"")"),978458.0)</f>
        <v>978458</v>
      </c>
      <c r="D663" s="7">
        <v>1.0</v>
      </c>
      <c r="E663" s="7">
        <v>1.0</v>
      </c>
      <c r="G663" s="7" t="s">
        <v>145</v>
      </c>
      <c r="H663" s="7" t="s">
        <v>800</v>
      </c>
      <c r="I663" s="7" t="s">
        <v>27</v>
      </c>
    </row>
    <row r="664">
      <c r="A664" s="7" t="s">
        <v>33</v>
      </c>
      <c r="B664" s="7" t="s">
        <v>399</v>
      </c>
      <c r="C664" s="8">
        <f>IFERROR(__xludf.DUMMYFUNCTION("SPLIT(B664,""RM"")"),1750000.0)</f>
        <v>1750000</v>
      </c>
      <c r="D664" s="7" t="s">
        <v>35</v>
      </c>
      <c r="E664" s="7">
        <v>5.0</v>
      </c>
      <c r="F664" s="7">
        <v>3.0</v>
      </c>
      <c r="G664" s="7" t="s">
        <v>30</v>
      </c>
      <c r="H664" s="7" t="s">
        <v>412</v>
      </c>
      <c r="I664" s="7" t="s">
        <v>27</v>
      </c>
    </row>
    <row r="665">
      <c r="A665" s="7" t="s">
        <v>72</v>
      </c>
      <c r="B665" s="7" t="s">
        <v>327</v>
      </c>
      <c r="C665" s="8">
        <f>IFERROR(__xludf.DUMMYFUNCTION("SPLIT(B665,""RM"")"),1300000.0)</f>
        <v>1300000</v>
      </c>
      <c r="D665" s="7">
        <v>3.0</v>
      </c>
      <c r="E665" s="7">
        <v>2.0</v>
      </c>
      <c r="G665" s="7" t="s">
        <v>83</v>
      </c>
      <c r="H665" s="7" t="s">
        <v>135</v>
      </c>
      <c r="I665" s="7" t="s">
        <v>27</v>
      </c>
    </row>
    <row r="666">
      <c r="A666" s="7" t="s">
        <v>371</v>
      </c>
      <c r="B666" s="7" t="s">
        <v>527</v>
      </c>
      <c r="C666" s="8">
        <f>IFERROR(__xludf.DUMMYFUNCTION("SPLIT(B666,""RM"")"),1613300.0)</f>
        <v>1613300</v>
      </c>
      <c r="D666" s="7" t="s">
        <v>57</v>
      </c>
      <c r="E666" s="7">
        <v>4.0</v>
      </c>
      <c r="F666" s="7">
        <v>3.0</v>
      </c>
      <c r="G666" s="7" t="s">
        <v>30</v>
      </c>
      <c r="H666" s="7" t="s">
        <v>528</v>
      </c>
      <c r="I666" s="7" t="s">
        <v>27</v>
      </c>
    </row>
    <row r="667">
      <c r="A667" s="7" t="s">
        <v>371</v>
      </c>
      <c r="B667" s="7" t="s">
        <v>268</v>
      </c>
      <c r="C667" s="8">
        <f>IFERROR(__xludf.DUMMYFUNCTION("SPLIT(B667,""RM"")"),500000.0)</f>
        <v>500000</v>
      </c>
      <c r="D667" s="7">
        <v>3.0</v>
      </c>
      <c r="E667" s="7">
        <v>2.0</v>
      </c>
      <c r="F667" s="7">
        <v>1.0</v>
      </c>
      <c r="G667" s="7" t="s">
        <v>54</v>
      </c>
      <c r="H667" s="7" t="s">
        <v>801</v>
      </c>
      <c r="I667" s="7" t="s">
        <v>27</v>
      </c>
    </row>
    <row r="668">
      <c r="A668" s="7" t="s">
        <v>608</v>
      </c>
      <c r="B668" s="7" t="s">
        <v>329</v>
      </c>
      <c r="C668" s="8">
        <f>IFERROR(__xludf.DUMMYFUNCTION("SPLIT(B668,""RM"")"),1200000.0)</f>
        <v>1200000</v>
      </c>
      <c r="D668" s="7">
        <v>2.0</v>
      </c>
      <c r="E668" s="7">
        <v>2.0</v>
      </c>
      <c r="F668" s="7">
        <v>1.0</v>
      </c>
      <c r="G668" s="7" t="s">
        <v>83</v>
      </c>
      <c r="H668" s="7" t="s">
        <v>609</v>
      </c>
      <c r="I668" s="7" t="s">
        <v>27</v>
      </c>
    </row>
    <row r="669">
      <c r="A669" s="7" t="s">
        <v>72</v>
      </c>
      <c r="B669" s="7" t="s">
        <v>802</v>
      </c>
      <c r="C669" s="8">
        <f>IFERROR(__xludf.DUMMYFUNCTION("SPLIT(B669,""RM"")"),2285000.0)</f>
        <v>2285000</v>
      </c>
      <c r="D669" s="7" t="s">
        <v>39</v>
      </c>
      <c r="E669" s="7">
        <v>6.0</v>
      </c>
      <c r="F669" s="7">
        <v>3.0</v>
      </c>
      <c r="G669" s="7" t="s">
        <v>30</v>
      </c>
      <c r="H669" s="7" t="s">
        <v>803</v>
      </c>
      <c r="I669" s="7" t="s">
        <v>27</v>
      </c>
    </row>
    <row r="670">
      <c r="A670" s="7" t="s">
        <v>77</v>
      </c>
      <c r="B670" s="7" t="s">
        <v>127</v>
      </c>
      <c r="C670" s="8">
        <f>IFERROR(__xludf.DUMMYFUNCTION("SPLIT(B670,""RM"")"),4200000.0)</f>
        <v>4200000</v>
      </c>
      <c r="D670" s="7" t="s">
        <v>35</v>
      </c>
      <c r="E670" s="7">
        <v>6.0</v>
      </c>
      <c r="G670" s="7" t="s">
        <v>804</v>
      </c>
      <c r="H670" s="7" t="s">
        <v>805</v>
      </c>
      <c r="I670" s="7" t="s">
        <v>27</v>
      </c>
    </row>
    <row r="671">
      <c r="A671" s="7" t="s">
        <v>77</v>
      </c>
      <c r="B671" s="7" t="s">
        <v>530</v>
      </c>
      <c r="C671" s="8">
        <f>IFERROR(__xludf.DUMMYFUNCTION("SPLIT(B671,""RM"")"),5000000.0)</f>
        <v>5000000</v>
      </c>
      <c r="D671" s="7" t="s">
        <v>299</v>
      </c>
      <c r="E671" s="7">
        <v>9.0</v>
      </c>
      <c r="G671" s="7" t="s">
        <v>300</v>
      </c>
      <c r="H671" s="7" t="s">
        <v>305</v>
      </c>
      <c r="I671" s="7" t="s">
        <v>27</v>
      </c>
    </row>
    <row r="672">
      <c r="A672" s="7" t="s">
        <v>32</v>
      </c>
      <c r="B672" s="7" t="s">
        <v>806</v>
      </c>
      <c r="C672" s="8">
        <f>IFERROR(__xludf.DUMMYFUNCTION("SPLIT(B672,""RM"")"),363000.0)</f>
        <v>363000</v>
      </c>
      <c r="D672" s="7">
        <v>3.0</v>
      </c>
      <c r="E672" s="7">
        <v>2.0</v>
      </c>
      <c r="F672" s="7">
        <v>1.0</v>
      </c>
      <c r="G672" s="7" t="s">
        <v>82</v>
      </c>
      <c r="H672" s="7" t="s">
        <v>491</v>
      </c>
      <c r="I672" s="7" t="s">
        <v>27</v>
      </c>
    </row>
    <row r="673">
      <c r="A673" s="7" t="s">
        <v>100</v>
      </c>
      <c r="B673" s="7" t="s">
        <v>807</v>
      </c>
      <c r="C673" s="8">
        <f>IFERROR(__xludf.DUMMYFUNCTION("SPLIT(B673,""RM"")"),1430000.0)</f>
        <v>1430000</v>
      </c>
      <c r="D673" s="7" t="s">
        <v>57</v>
      </c>
      <c r="E673" s="7">
        <v>4.0</v>
      </c>
      <c r="F673" s="7">
        <v>3.0</v>
      </c>
      <c r="G673" s="7" t="s">
        <v>30</v>
      </c>
      <c r="H673" s="7" t="s">
        <v>735</v>
      </c>
      <c r="I673" s="7" t="s">
        <v>27</v>
      </c>
    </row>
    <row r="674">
      <c r="A674" s="7" t="s">
        <v>358</v>
      </c>
      <c r="B674" s="7" t="s">
        <v>808</v>
      </c>
      <c r="C674" s="8">
        <f>IFERROR(__xludf.DUMMYFUNCTION("SPLIT(B674,""RM"")"),1147000.0)</f>
        <v>1147000</v>
      </c>
      <c r="D674" s="7" t="s">
        <v>70</v>
      </c>
      <c r="E674" s="7">
        <v>5.0</v>
      </c>
      <c r="F674" s="7">
        <v>5.0</v>
      </c>
      <c r="G674" s="7" t="s">
        <v>83</v>
      </c>
      <c r="H674" s="7" t="s">
        <v>307</v>
      </c>
      <c r="I674" s="7" t="s">
        <v>27</v>
      </c>
    </row>
    <row r="675">
      <c r="A675" s="7" t="s">
        <v>17</v>
      </c>
      <c r="B675" s="7" t="s">
        <v>191</v>
      </c>
      <c r="C675" s="8">
        <f>IFERROR(__xludf.DUMMYFUNCTION("SPLIT(B675,""RM"")"),1000000.0)</f>
        <v>1000000</v>
      </c>
      <c r="D675" s="7">
        <v>1.0</v>
      </c>
      <c r="E675" s="7">
        <v>1.0</v>
      </c>
      <c r="F675" s="7">
        <v>1.0</v>
      </c>
      <c r="G675" s="7" t="s">
        <v>83</v>
      </c>
      <c r="H675" s="7" t="s">
        <v>393</v>
      </c>
      <c r="I675" s="7" t="s">
        <v>27</v>
      </c>
    </row>
    <row r="676">
      <c r="A676" s="7" t="s">
        <v>72</v>
      </c>
      <c r="B676" s="7" t="s">
        <v>809</v>
      </c>
      <c r="C676" s="8">
        <f>IFERROR(__xludf.DUMMYFUNCTION("SPLIT(B676,""RM"")"),645000.0)</f>
        <v>645000</v>
      </c>
      <c r="D676" s="7">
        <v>1.0</v>
      </c>
      <c r="E676" s="7">
        <v>1.0</v>
      </c>
      <c r="F676" s="7">
        <v>1.0</v>
      </c>
      <c r="G676" s="7" t="s">
        <v>20</v>
      </c>
      <c r="H676" s="7" t="s">
        <v>810</v>
      </c>
      <c r="I676" s="7" t="s">
        <v>22</v>
      </c>
    </row>
    <row r="677">
      <c r="A677" s="7" t="s">
        <v>77</v>
      </c>
      <c r="B677" s="7" t="s">
        <v>811</v>
      </c>
      <c r="C677" s="8">
        <f>IFERROR(__xludf.DUMMYFUNCTION("SPLIT(B677,""RM"")"),3560000.0)</f>
        <v>3560000</v>
      </c>
      <c r="D677" s="7" t="s">
        <v>57</v>
      </c>
      <c r="E677" s="7">
        <v>5.0</v>
      </c>
      <c r="F677" s="7">
        <v>4.0</v>
      </c>
      <c r="G677" s="7" t="s">
        <v>184</v>
      </c>
      <c r="H677" s="7" t="s">
        <v>812</v>
      </c>
      <c r="I677" s="7" t="s">
        <v>27</v>
      </c>
    </row>
    <row r="678">
      <c r="A678" s="7" t="s">
        <v>17</v>
      </c>
      <c r="B678" s="7" t="s">
        <v>73</v>
      </c>
      <c r="C678" s="8">
        <f>IFERROR(__xludf.DUMMYFUNCTION("SPLIT(B678,""RM"")"),1780000.0)</f>
        <v>1780000</v>
      </c>
      <c r="D678" s="7">
        <v>1.0</v>
      </c>
      <c r="E678" s="7">
        <v>1.0</v>
      </c>
      <c r="F678" s="7">
        <v>1.0</v>
      </c>
      <c r="G678" s="7" t="s">
        <v>20</v>
      </c>
      <c r="H678" s="7" t="s">
        <v>226</v>
      </c>
      <c r="I678" s="7" t="s">
        <v>22</v>
      </c>
    </row>
    <row r="679">
      <c r="A679" s="7" t="s">
        <v>17</v>
      </c>
      <c r="B679" s="7" t="s">
        <v>322</v>
      </c>
      <c r="C679" s="8">
        <f>IFERROR(__xludf.DUMMYFUNCTION("SPLIT(B679,""RM"")"),1900000.0)</f>
        <v>1900000</v>
      </c>
      <c r="D679" s="7" t="s">
        <v>19</v>
      </c>
      <c r="E679" s="7">
        <v>2.0</v>
      </c>
      <c r="F679" s="7">
        <v>1.0</v>
      </c>
      <c r="G679" s="7" t="s">
        <v>83</v>
      </c>
      <c r="H679" s="7" t="s">
        <v>323</v>
      </c>
      <c r="I679" s="7" t="s">
        <v>27</v>
      </c>
    </row>
    <row r="680">
      <c r="A680" s="7" t="s">
        <v>77</v>
      </c>
      <c r="B680" s="7" t="s">
        <v>813</v>
      </c>
      <c r="C680" s="8">
        <f>IFERROR(__xludf.DUMMYFUNCTION("SPLIT(B680,""RM"")"),2290000.0)</f>
        <v>2290000</v>
      </c>
      <c r="D680" s="7" t="s">
        <v>35</v>
      </c>
      <c r="E680" s="7">
        <v>3.0</v>
      </c>
      <c r="G680" s="7" t="s">
        <v>169</v>
      </c>
      <c r="H680" s="7" t="s">
        <v>248</v>
      </c>
      <c r="I680" s="7" t="s">
        <v>27</v>
      </c>
    </row>
    <row r="681">
      <c r="A681" s="7" t="s">
        <v>77</v>
      </c>
      <c r="B681" s="7" t="s">
        <v>814</v>
      </c>
      <c r="C681" s="8">
        <f>IFERROR(__xludf.DUMMYFUNCTION("SPLIT(B681,""RM"")"),1930000.0)</f>
        <v>1930000</v>
      </c>
      <c r="D681" s="7" t="s">
        <v>57</v>
      </c>
      <c r="E681" s="7">
        <v>4.0</v>
      </c>
      <c r="G681" s="7" t="s">
        <v>54</v>
      </c>
      <c r="H681" s="7" t="s">
        <v>91</v>
      </c>
      <c r="I681" s="7" t="s">
        <v>27</v>
      </c>
    </row>
    <row r="682">
      <c r="A682" s="7" t="s">
        <v>17</v>
      </c>
      <c r="B682" s="7" t="s">
        <v>191</v>
      </c>
      <c r="C682" s="8">
        <f>IFERROR(__xludf.DUMMYFUNCTION("SPLIT(B682,""RM"")"),1000000.0)</f>
        <v>1000000</v>
      </c>
      <c r="D682" s="7">
        <v>1.0</v>
      </c>
      <c r="E682" s="7">
        <v>1.0</v>
      </c>
      <c r="F682" s="7">
        <v>1.0</v>
      </c>
      <c r="G682" s="7" t="s">
        <v>96</v>
      </c>
      <c r="H682" s="7" t="s">
        <v>393</v>
      </c>
      <c r="I682" s="7" t="s">
        <v>27</v>
      </c>
    </row>
    <row r="683">
      <c r="A683" s="7" t="s">
        <v>17</v>
      </c>
      <c r="B683" s="7" t="s">
        <v>85</v>
      </c>
      <c r="C683" s="8">
        <f>IFERROR(__xludf.DUMMYFUNCTION("SPLIT(B683,""RM"")"),1450000.0)</f>
        <v>1450000</v>
      </c>
      <c r="D683" s="7">
        <v>2.0</v>
      </c>
      <c r="E683" s="7">
        <v>2.0</v>
      </c>
      <c r="F683" s="7">
        <v>1.0</v>
      </c>
      <c r="G683" s="7" t="s">
        <v>82</v>
      </c>
      <c r="H683" s="7" t="s">
        <v>157</v>
      </c>
      <c r="I683" s="7" t="s">
        <v>22</v>
      </c>
    </row>
    <row r="684">
      <c r="A684" s="7" t="s">
        <v>23</v>
      </c>
      <c r="B684" s="7" t="s">
        <v>779</v>
      </c>
      <c r="C684" s="8">
        <f>IFERROR(__xludf.DUMMYFUNCTION("SPLIT(B684,""RM"")"),1.8E7)</f>
        <v>18000000</v>
      </c>
      <c r="D684" s="7">
        <v>7.0</v>
      </c>
      <c r="E684" s="7">
        <v>7.0</v>
      </c>
      <c r="F684" s="7">
        <v>6.0</v>
      </c>
      <c r="G684" s="7" t="s">
        <v>25</v>
      </c>
      <c r="H684" s="7" t="s">
        <v>815</v>
      </c>
      <c r="I684" s="7" t="s">
        <v>22</v>
      </c>
    </row>
    <row r="685">
      <c r="A685" s="7" t="s">
        <v>77</v>
      </c>
      <c r="B685" s="7" t="s">
        <v>475</v>
      </c>
      <c r="C685" s="8">
        <f>IFERROR(__xludf.DUMMYFUNCTION("SPLIT(B685,""RM"")"),2800000.0)</f>
        <v>2800000</v>
      </c>
      <c r="D685" s="7" t="s">
        <v>35</v>
      </c>
      <c r="E685" s="7">
        <v>4.0</v>
      </c>
      <c r="F685" s="7">
        <v>3.0</v>
      </c>
      <c r="G685" s="7" t="s">
        <v>46</v>
      </c>
      <c r="H685" s="7" t="s">
        <v>816</v>
      </c>
      <c r="I685" s="7" t="s">
        <v>27</v>
      </c>
    </row>
    <row r="686">
      <c r="A686" s="7" t="s">
        <v>77</v>
      </c>
      <c r="B686" s="7" t="s">
        <v>134</v>
      </c>
      <c r="C686" s="8">
        <f>IFERROR(__xludf.DUMMYFUNCTION("SPLIT(B686,""RM"")"),1150000.0)</f>
        <v>1150000</v>
      </c>
      <c r="D686" s="7">
        <v>3.0</v>
      </c>
      <c r="E686" s="7">
        <v>2.0</v>
      </c>
      <c r="F686" s="7">
        <v>2.0</v>
      </c>
      <c r="G686" s="7" t="s">
        <v>30</v>
      </c>
      <c r="H686" s="7" t="s">
        <v>817</v>
      </c>
      <c r="I686" s="7" t="s">
        <v>27</v>
      </c>
    </row>
    <row r="687">
      <c r="A687" s="7" t="s">
        <v>17</v>
      </c>
      <c r="B687" s="7" t="s">
        <v>818</v>
      </c>
      <c r="C687" s="8">
        <f>IFERROR(__xludf.DUMMYFUNCTION("SPLIT(B687,""RM"")"),3354000.0)</f>
        <v>3354000</v>
      </c>
      <c r="D687" s="7">
        <v>2.0</v>
      </c>
      <c r="E687" s="7">
        <v>2.0</v>
      </c>
      <c r="F687" s="7">
        <v>1.0</v>
      </c>
      <c r="G687" s="7" t="s">
        <v>82</v>
      </c>
      <c r="H687" s="7" t="s">
        <v>111</v>
      </c>
      <c r="I687" s="7" t="s">
        <v>22</v>
      </c>
    </row>
    <row r="688">
      <c r="A688" s="7" t="s">
        <v>17</v>
      </c>
      <c r="B688" s="7" t="s">
        <v>73</v>
      </c>
      <c r="C688" s="8">
        <f>IFERROR(__xludf.DUMMYFUNCTION("SPLIT(B688,""RM"")"),1780000.0)</f>
        <v>1780000</v>
      </c>
      <c r="D688" s="7">
        <v>1.0</v>
      </c>
      <c r="E688" s="7">
        <v>1.0</v>
      </c>
      <c r="F688" s="7">
        <v>1.0</v>
      </c>
      <c r="G688" s="7" t="s">
        <v>20</v>
      </c>
      <c r="H688" s="7" t="s">
        <v>226</v>
      </c>
      <c r="I688" s="7" t="s">
        <v>22</v>
      </c>
    </row>
    <row r="689">
      <c r="A689" s="7" t="s">
        <v>77</v>
      </c>
      <c r="B689" s="7" t="s">
        <v>610</v>
      </c>
      <c r="C689" s="8">
        <f>IFERROR(__xludf.DUMMYFUNCTION("SPLIT(B689,""RM"")"),2250000.0)</f>
        <v>2250000</v>
      </c>
      <c r="D689" s="7" t="s">
        <v>57</v>
      </c>
      <c r="E689" s="7">
        <v>5.0</v>
      </c>
      <c r="G689" s="7" t="s">
        <v>54</v>
      </c>
      <c r="H689" s="7" t="s">
        <v>275</v>
      </c>
      <c r="I689" s="7" t="s">
        <v>27</v>
      </c>
    </row>
    <row r="690">
      <c r="A690" s="7" t="s">
        <v>77</v>
      </c>
      <c r="B690" s="7" t="s">
        <v>98</v>
      </c>
      <c r="C690" s="8">
        <f>IFERROR(__xludf.DUMMYFUNCTION("SPLIT(B690,""RM"")"),1830000.0)</f>
        <v>1830000</v>
      </c>
      <c r="D690" s="7" t="s">
        <v>57</v>
      </c>
      <c r="E690" s="7">
        <v>3.0</v>
      </c>
      <c r="F690" s="7">
        <v>2.0</v>
      </c>
      <c r="G690" s="7" t="s">
        <v>54</v>
      </c>
      <c r="H690" s="7" t="s">
        <v>283</v>
      </c>
    </row>
    <row r="691">
      <c r="A691" s="7" t="s">
        <v>17</v>
      </c>
      <c r="B691" s="7" t="s">
        <v>120</v>
      </c>
      <c r="C691" s="8">
        <f>IFERROR(__xludf.DUMMYFUNCTION("SPLIT(B691,""RM"")"),3600000.0)</f>
        <v>3600000</v>
      </c>
      <c r="D691" s="7" t="s">
        <v>57</v>
      </c>
      <c r="E691" s="7">
        <v>5.0</v>
      </c>
      <c r="F691" s="7">
        <v>2.0</v>
      </c>
      <c r="G691" s="7" t="s">
        <v>121</v>
      </c>
      <c r="H691" s="7" t="s">
        <v>122</v>
      </c>
      <c r="I691" s="7" t="s">
        <v>27</v>
      </c>
    </row>
    <row r="692">
      <c r="A692" s="7" t="s">
        <v>188</v>
      </c>
      <c r="B692" s="7" t="s">
        <v>34</v>
      </c>
      <c r="C692" s="8">
        <f>IFERROR(__xludf.DUMMYFUNCTION("SPLIT(B692,""RM"")"),900000.0)</f>
        <v>900000</v>
      </c>
      <c r="D692" s="7">
        <v>3.0</v>
      </c>
      <c r="E692" s="7">
        <v>3.0</v>
      </c>
      <c r="F692" s="7">
        <v>1.0</v>
      </c>
      <c r="G692" s="7" t="s">
        <v>82</v>
      </c>
      <c r="H692" s="7" t="s">
        <v>819</v>
      </c>
      <c r="I692" s="7" t="s">
        <v>22</v>
      </c>
    </row>
    <row r="693">
      <c r="A693" s="7" t="s">
        <v>100</v>
      </c>
      <c r="B693" s="7" t="s">
        <v>820</v>
      </c>
      <c r="C693" s="8">
        <f>IFERROR(__xludf.DUMMYFUNCTION("SPLIT(B693,""RM"")"),938000.0)</f>
        <v>938000</v>
      </c>
      <c r="D693" s="7" t="s">
        <v>19</v>
      </c>
      <c r="E693" s="7">
        <v>3.0</v>
      </c>
      <c r="F693" s="7">
        <v>2.0</v>
      </c>
      <c r="G693" s="7" t="s">
        <v>93</v>
      </c>
      <c r="H693" s="7" t="s">
        <v>732</v>
      </c>
      <c r="I693" s="7" t="s">
        <v>27</v>
      </c>
    </row>
    <row r="694">
      <c r="A694" s="7" t="s">
        <v>177</v>
      </c>
      <c r="B694" s="7" t="s">
        <v>605</v>
      </c>
      <c r="C694" s="8">
        <f>IFERROR(__xludf.DUMMYFUNCTION("SPLIT(B694,""RM"")"),1590000.0)</f>
        <v>1590000</v>
      </c>
      <c r="D694" s="7" t="s">
        <v>35</v>
      </c>
      <c r="E694" s="7">
        <v>3.0</v>
      </c>
      <c r="G694" s="7" t="s">
        <v>54</v>
      </c>
      <c r="H694" s="7" t="s">
        <v>58</v>
      </c>
      <c r="I694" s="7" t="s">
        <v>103</v>
      </c>
    </row>
    <row r="695">
      <c r="A695" s="7" t="s">
        <v>86</v>
      </c>
      <c r="B695" s="7" t="s">
        <v>286</v>
      </c>
      <c r="C695" s="8">
        <f>IFERROR(__xludf.DUMMYFUNCTION("SPLIT(B695,""RM"")"),668000.0)</f>
        <v>668000</v>
      </c>
      <c r="D695" s="7">
        <v>2.0</v>
      </c>
      <c r="E695" s="7">
        <v>1.0</v>
      </c>
      <c r="G695" s="7" t="s">
        <v>20</v>
      </c>
      <c r="H695" s="7" t="s">
        <v>821</v>
      </c>
    </row>
    <row r="696">
      <c r="A696" s="7" t="s">
        <v>72</v>
      </c>
      <c r="B696" s="7" t="s">
        <v>144</v>
      </c>
      <c r="C696" s="8">
        <f>IFERROR(__xludf.DUMMYFUNCTION("SPLIT(B696,""RM"")"),1800000.0)</f>
        <v>1800000</v>
      </c>
      <c r="D696" s="7" t="s">
        <v>57</v>
      </c>
      <c r="E696" s="7">
        <v>4.0</v>
      </c>
      <c r="F696" s="7">
        <v>2.0</v>
      </c>
      <c r="G696" s="7" t="s">
        <v>83</v>
      </c>
      <c r="H696" s="7" t="s">
        <v>714</v>
      </c>
      <c r="I696" s="7" t="s">
        <v>27</v>
      </c>
    </row>
    <row r="697">
      <c r="A697" s="7" t="s">
        <v>188</v>
      </c>
      <c r="B697" s="7" t="s">
        <v>822</v>
      </c>
      <c r="C697" s="8">
        <f>IFERROR(__xludf.DUMMYFUNCTION("SPLIT(B697,""RM"")"),2981550.0)</f>
        <v>2981550</v>
      </c>
      <c r="D697" s="7">
        <v>2.0</v>
      </c>
      <c r="E697" s="7">
        <v>3.0</v>
      </c>
      <c r="G697" s="7" t="s">
        <v>121</v>
      </c>
      <c r="H697" s="7" t="s">
        <v>823</v>
      </c>
      <c r="I697" s="7" t="s">
        <v>27</v>
      </c>
    </row>
    <row r="698">
      <c r="A698" s="7" t="s">
        <v>171</v>
      </c>
      <c r="B698" s="7" t="s">
        <v>510</v>
      </c>
      <c r="C698" s="8">
        <f>IFERROR(__xludf.DUMMYFUNCTION("SPLIT(B698,""RM"")"),380000.0)</f>
        <v>380000</v>
      </c>
      <c r="D698" s="7" t="s">
        <v>57</v>
      </c>
      <c r="E698" s="7">
        <v>2.0</v>
      </c>
      <c r="F698" s="7">
        <v>2.0</v>
      </c>
      <c r="G698" s="7" t="s">
        <v>83</v>
      </c>
      <c r="H698" s="7" t="s">
        <v>491</v>
      </c>
    </row>
    <row r="699">
      <c r="A699" s="7" t="s">
        <v>72</v>
      </c>
      <c r="B699" s="7" t="s">
        <v>85</v>
      </c>
      <c r="C699" s="8">
        <f>IFERROR(__xludf.DUMMYFUNCTION("SPLIT(B699,""RM"")"),1450000.0)</f>
        <v>1450000</v>
      </c>
      <c r="D699" s="7" t="s">
        <v>57</v>
      </c>
      <c r="E699" s="7">
        <v>4.0</v>
      </c>
      <c r="F699" s="7">
        <v>2.0</v>
      </c>
      <c r="G699" s="7" t="s">
        <v>83</v>
      </c>
      <c r="H699" s="7" t="s">
        <v>334</v>
      </c>
      <c r="I699" s="7" t="s">
        <v>27</v>
      </c>
    </row>
    <row r="700">
      <c r="A700" s="7" t="s">
        <v>72</v>
      </c>
      <c r="B700" s="7" t="s">
        <v>329</v>
      </c>
      <c r="C700" s="8">
        <f>IFERROR(__xludf.DUMMYFUNCTION("SPLIT(B700,""RM"")"),1200000.0)</f>
        <v>1200000</v>
      </c>
      <c r="D700" s="7">
        <v>3.0</v>
      </c>
      <c r="E700" s="7">
        <v>2.0</v>
      </c>
      <c r="F700" s="7">
        <v>2.0</v>
      </c>
      <c r="G700" s="7" t="s">
        <v>83</v>
      </c>
      <c r="H700" s="7" t="s">
        <v>135</v>
      </c>
      <c r="I700" s="7" t="s">
        <v>27</v>
      </c>
    </row>
    <row r="701">
      <c r="A701" s="7" t="s">
        <v>72</v>
      </c>
      <c r="B701" s="7" t="s">
        <v>158</v>
      </c>
      <c r="C701" s="8">
        <f>IFERROR(__xludf.DUMMYFUNCTION("SPLIT(B701,""RM"")"),1850000.0)</f>
        <v>1850000</v>
      </c>
      <c r="D701" s="7" t="s">
        <v>57</v>
      </c>
      <c r="E701" s="7">
        <v>4.0</v>
      </c>
      <c r="F701" s="7">
        <v>2.0</v>
      </c>
      <c r="G701" s="7" t="s">
        <v>83</v>
      </c>
      <c r="H701" s="7" t="s">
        <v>714</v>
      </c>
      <c r="I701" s="7" t="s">
        <v>27</v>
      </c>
    </row>
    <row r="702">
      <c r="A702" s="7" t="s">
        <v>33</v>
      </c>
      <c r="B702" s="7" t="s">
        <v>657</v>
      </c>
      <c r="C702" s="8">
        <f>IFERROR(__xludf.DUMMYFUNCTION("SPLIT(B702,""RM"")"),980000.0)</f>
        <v>980000</v>
      </c>
      <c r="D702" s="7" t="s">
        <v>35</v>
      </c>
      <c r="E702" s="7">
        <v>3.0</v>
      </c>
      <c r="F702" s="7">
        <v>2.0</v>
      </c>
      <c r="G702" s="7" t="s">
        <v>83</v>
      </c>
      <c r="H702" s="7" t="s">
        <v>36</v>
      </c>
      <c r="I702" s="7" t="s">
        <v>27</v>
      </c>
    </row>
    <row r="703">
      <c r="A703" s="7" t="s">
        <v>17</v>
      </c>
      <c r="B703" s="7" t="s">
        <v>824</v>
      </c>
      <c r="C703" s="8">
        <f>IFERROR(__xludf.DUMMYFUNCTION("SPLIT(B703,""RM"")"),1377000.0)</f>
        <v>1377000</v>
      </c>
      <c r="D703" s="7">
        <v>2.0</v>
      </c>
      <c r="E703" s="7">
        <v>2.0</v>
      </c>
      <c r="F703" s="7">
        <v>1.0</v>
      </c>
      <c r="G703" s="7" t="s">
        <v>93</v>
      </c>
      <c r="H703" s="7" t="s">
        <v>380</v>
      </c>
      <c r="I703" s="7" t="s">
        <v>27</v>
      </c>
    </row>
    <row r="704">
      <c r="A704" s="7" t="s">
        <v>17</v>
      </c>
      <c r="B704" s="7" t="s">
        <v>825</v>
      </c>
      <c r="C704" s="8">
        <f>IFERROR(__xludf.DUMMYFUNCTION("SPLIT(B704,""RM"")"),1621000.0)</f>
        <v>1621000</v>
      </c>
      <c r="D704" s="7">
        <v>3.0</v>
      </c>
      <c r="E704" s="7">
        <v>2.0</v>
      </c>
      <c r="F704" s="7">
        <v>2.0</v>
      </c>
      <c r="G704" s="7" t="s">
        <v>93</v>
      </c>
      <c r="H704" s="7" t="s">
        <v>826</v>
      </c>
      <c r="I704" s="7" t="s">
        <v>27</v>
      </c>
    </row>
    <row r="705">
      <c r="A705" s="7" t="s">
        <v>17</v>
      </c>
      <c r="B705" s="7" t="s">
        <v>827</v>
      </c>
      <c r="C705" s="8">
        <f>IFERROR(__xludf.DUMMYFUNCTION("SPLIT(B705,""RM"")"),1245000.0)</f>
        <v>1245000</v>
      </c>
      <c r="D705" s="7">
        <v>1.0</v>
      </c>
      <c r="E705" s="7">
        <v>1.0</v>
      </c>
      <c r="F705" s="7">
        <v>2.0</v>
      </c>
      <c r="G705" s="7" t="s">
        <v>82</v>
      </c>
      <c r="H705" s="7" t="s">
        <v>328</v>
      </c>
      <c r="I705" s="7" t="s">
        <v>27</v>
      </c>
    </row>
    <row r="706">
      <c r="A706" s="7" t="s">
        <v>17</v>
      </c>
      <c r="B706" s="7" t="s">
        <v>120</v>
      </c>
      <c r="C706" s="8">
        <f>IFERROR(__xludf.DUMMYFUNCTION("SPLIT(B706,""RM"")"),3600000.0)</f>
        <v>3600000</v>
      </c>
      <c r="D706" s="7" t="s">
        <v>57</v>
      </c>
      <c r="E706" s="7">
        <v>5.0</v>
      </c>
      <c r="F706" s="7">
        <v>2.0</v>
      </c>
      <c r="G706" s="7" t="s">
        <v>121</v>
      </c>
      <c r="H706" s="7" t="s">
        <v>122</v>
      </c>
      <c r="I706" s="7" t="s">
        <v>27</v>
      </c>
    </row>
    <row r="707">
      <c r="A707" s="7" t="s">
        <v>17</v>
      </c>
      <c r="B707" s="7" t="s">
        <v>828</v>
      </c>
      <c r="C707" s="8">
        <f>IFERROR(__xludf.DUMMYFUNCTION("SPLIT(B707,""RM"")"),4958000.0)</f>
        <v>4958000</v>
      </c>
      <c r="D707" s="7">
        <v>4.0</v>
      </c>
      <c r="E707" s="7">
        <v>5.0</v>
      </c>
      <c r="F707" s="7">
        <v>4.0</v>
      </c>
      <c r="G707" s="7" t="s">
        <v>312</v>
      </c>
      <c r="H707" s="7" t="s">
        <v>829</v>
      </c>
      <c r="I707" s="7" t="s">
        <v>22</v>
      </c>
    </row>
    <row r="708">
      <c r="A708" s="7" t="s">
        <v>17</v>
      </c>
      <c r="B708" s="7" t="s">
        <v>98</v>
      </c>
      <c r="C708" s="8">
        <f>IFERROR(__xludf.DUMMYFUNCTION("SPLIT(B708,""RM"")"),1830000.0)</f>
        <v>1830000</v>
      </c>
      <c r="D708" s="7" t="s">
        <v>57</v>
      </c>
      <c r="E708" s="7">
        <v>4.0</v>
      </c>
      <c r="F708" s="7">
        <v>2.0</v>
      </c>
      <c r="G708" s="7" t="s">
        <v>20</v>
      </c>
      <c r="H708" s="7" t="s">
        <v>830</v>
      </c>
      <c r="I708" s="7" t="s">
        <v>22</v>
      </c>
    </row>
    <row r="709">
      <c r="A709" s="7" t="s">
        <v>17</v>
      </c>
      <c r="B709" s="7" t="s">
        <v>831</v>
      </c>
      <c r="C709" s="8">
        <f>IFERROR(__xludf.DUMMYFUNCTION("SPLIT(B709,""RM"")"),2688800.0)</f>
        <v>2688800</v>
      </c>
      <c r="D709" s="7" t="s">
        <v>57</v>
      </c>
      <c r="E709" s="7">
        <v>5.0</v>
      </c>
      <c r="F709" s="7">
        <v>2.0</v>
      </c>
      <c r="G709" s="7" t="s">
        <v>30</v>
      </c>
      <c r="H709" s="7" t="s">
        <v>832</v>
      </c>
      <c r="I709" s="7" t="s">
        <v>22</v>
      </c>
    </row>
    <row r="710">
      <c r="A710" s="7" t="s">
        <v>17</v>
      </c>
      <c r="B710" s="7" t="s">
        <v>749</v>
      </c>
      <c r="C710" s="8">
        <f>IFERROR(__xludf.DUMMYFUNCTION("SPLIT(B710,""RM"")"),3580000.0)</f>
        <v>3580000</v>
      </c>
      <c r="D710" s="7" t="s">
        <v>79</v>
      </c>
      <c r="E710" s="7">
        <v>5.0</v>
      </c>
      <c r="G710" s="7" t="s">
        <v>121</v>
      </c>
      <c r="H710" s="7" t="s">
        <v>122</v>
      </c>
      <c r="I710" s="7" t="s">
        <v>22</v>
      </c>
    </row>
    <row r="711">
      <c r="A711" s="7" t="s">
        <v>17</v>
      </c>
      <c r="B711" s="7" t="s">
        <v>833</v>
      </c>
      <c r="C711" s="8">
        <f>IFERROR(__xludf.DUMMYFUNCTION("SPLIT(B711,""RM"")"),3291600.0)</f>
        <v>3291600</v>
      </c>
      <c r="D711" s="7" t="s">
        <v>19</v>
      </c>
      <c r="E711" s="7">
        <v>3.0</v>
      </c>
      <c r="F711" s="7">
        <v>1.0</v>
      </c>
      <c r="G711" s="7" t="s">
        <v>121</v>
      </c>
      <c r="H711" s="7" t="s">
        <v>834</v>
      </c>
      <c r="I711" s="7" t="s">
        <v>27</v>
      </c>
    </row>
    <row r="712">
      <c r="A712" s="7" t="s">
        <v>177</v>
      </c>
      <c r="B712" s="7" t="s">
        <v>779</v>
      </c>
      <c r="C712" s="8">
        <f>IFERROR(__xludf.DUMMYFUNCTION("SPLIT(B712,""RM"")"),1.8E7)</f>
        <v>18000000</v>
      </c>
      <c r="D712" s="7">
        <v>8.0</v>
      </c>
      <c r="E712" s="7">
        <v>7.0</v>
      </c>
      <c r="G712" s="7" t="s">
        <v>61</v>
      </c>
      <c r="H712" s="7" t="s">
        <v>780</v>
      </c>
      <c r="I712" s="7" t="s">
        <v>27</v>
      </c>
    </row>
    <row r="713">
      <c r="A713" s="7" t="s">
        <v>17</v>
      </c>
      <c r="B713" s="7" t="s">
        <v>530</v>
      </c>
      <c r="C713" s="8">
        <f>IFERROR(__xludf.DUMMYFUNCTION("SPLIT(B713,""RM"")"),5000000.0)</f>
        <v>5000000</v>
      </c>
      <c r="D713" s="7" t="s">
        <v>57</v>
      </c>
      <c r="E713" s="7">
        <v>4.0</v>
      </c>
      <c r="F713" s="7">
        <v>2.0</v>
      </c>
      <c r="G713" s="7" t="s">
        <v>121</v>
      </c>
      <c r="I713" s="7" t="s">
        <v>22</v>
      </c>
    </row>
    <row r="714">
      <c r="A714" s="7" t="s">
        <v>72</v>
      </c>
      <c r="B714" s="7" t="s">
        <v>311</v>
      </c>
      <c r="C714" s="8">
        <f>IFERROR(__xludf.DUMMYFUNCTION("SPLIT(B714,""RM"")"),1100000.0)</f>
        <v>1100000</v>
      </c>
      <c r="D714" s="7">
        <v>3.0</v>
      </c>
      <c r="E714" s="7">
        <v>2.0</v>
      </c>
      <c r="F714" s="7">
        <v>2.0</v>
      </c>
      <c r="G714" s="7" t="s">
        <v>83</v>
      </c>
      <c r="H714" s="7" t="s">
        <v>135</v>
      </c>
      <c r="I714" s="7" t="s">
        <v>27</v>
      </c>
    </row>
    <row r="715">
      <c r="A715" s="7" t="s">
        <v>17</v>
      </c>
      <c r="B715" s="7" t="s">
        <v>835</v>
      </c>
      <c r="C715" s="8">
        <f>IFERROR(__xludf.DUMMYFUNCTION("SPLIT(B715,""RM"")"),1198800.0)</f>
        <v>1198800</v>
      </c>
      <c r="D715" s="7">
        <v>1.0</v>
      </c>
      <c r="E715" s="7">
        <v>1.0</v>
      </c>
      <c r="F715" s="7">
        <v>1.0</v>
      </c>
      <c r="G715" s="7" t="s">
        <v>20</v>
      </c>
      <c r="H715" s="7" t="s">
        <v>836</v>
      </c>
      <c r="I715" s="7" t="s">
        <v>22</v>
      </c>
    </row>
    <row r="716">
      <c r="A716" s="7" t="s">
        <v>17</v>
      </c>
      <c r="B716" s="7" t="s">
        <v>18</v>
      </c>
      <c r="C716" s="8">
        <f>IFERROR(__xludf.DUMMYFUNCTION("SPLIT(B716,""RM"")"),1250000.0)</f>
        <v>1250000</v>
      </c>
      <c r="D716" s="7">
        <v>1.0</v>
      </c>
      <c r="E716" s="7">
        <v>1.0</v>
      </c>
      <c r="F716" s="7">
        <v>1.0</v>
      </c>
      <c r="G716" s="7" t="s">
        <v>121</v>
      </c>
      <c r="H716" s="7" t="s">
        <v>328</v>
      </c>
      <c r="I716" s="7" t="s">
        <v>22</v>
      </c>
    </row>
    <row r="717">
      <c r="A717" s="7" t="s">
        <v>17</v>
      </c>
      <c r="B717" s="7" t="s">
        <v>98</v>
      </c>
      <c r="C717" s="8">
        <f>IFERROR(__xludf.DUMMYFUNCTION("SPLIT(B717,""RM"")"),1830000.0)</f>
        <v>1830000</v>
      </c>
      <c r="D717" s="7" t="s">
        <v>197</v>
      </c>
      <c r="E717" s="7">
        <v>2.0</v>
      </c>
      <c r="F717" s="7">
        <v>1.0</v>
      </c>
      <c r="G717" s="7" t="s">
        <v>20</v>
      </c>
      <c r="H717" s="7" t="s">
        <v>342</v>
      </c>
      <c r="I717" s="7" t="s">
        <v>27</v>
      </c>
    </row>
    <row r="718">
      <c r="A718" s="7" t="s">
        <v>72</v>
      </c>
      <c r="B718" s="7" t="s">
        <v>837</v>
      </c>
      <c r="C718" s="8">
        <f>IFERROR(__xludf.DUMMYFUNCTION("SPLIT(B718,""RM"")"),1840000.0)</f>
        <v>1840000</v>
      </c>
      <c r="D718" s="7" t="s">
        <v>57</v>
      </c>
      <c r="E718" s="7">
        <v>4.0</v>
      </c>
      <c r="F718" s="7">
        <v>3.0</v>
      </c>
      <c r="G718" s="7" t="s">
        <v>30</v>
      </c>
      <c r="H718" s="7" t="s">
        <v>838</v>
      </c>
      <c r="I718" s="7" t="s">
        <v>27</v>
      </c>
    </row>
    <row r="719">
      <c r="A719" s="7" t="s">
        <v>17</v>
      </c>
      <c r="B719" s="7" t="s">
        <v>839</v>
      </c>
      <c r="C719" s="8">
        <f>IFERROR(__xludf.DUMMYFUNCTION("SPLIT(B719,""RM"")"),2449440.0)</f>
        <v>2449440</v>
      </c>
      <c r="D719" s="7" t="s">
        <v>35</v>
      </c>
      <c r="E719" s="7">
        <v>5.0</v>
      </c>
      <c r="G719" s="7" t="s">
        <v>30</v>
      </c>
      <c r="H719" s="7" t="s">
        <v>840</v>
      </c>
      <c r="I719" s="7" t="s">
        <v>22</v>
      </c>
    </row>
    <row r="720">
      <c r="A720" s="7" t="s">
        <v>515</v>
      </c>
      <c r="B720" s="7" t="s">
        <v>841</v>
      </c>
      <c r="C720" s="8">
        <f>IFERROR(__xludf.DUMMYFUNCTION("SPLIT(B720,""RM"")"),2398000.0)</f>
        <v>2398000</v>
      </c>
      <c r="D720" s="7">
        <v>5.0</v>
      </c>
      <c r="E720" s="7">
        <v>3.0</v>
      </c>
      <c r="F720" s="7">
        <v>8.0</v>
      </c>
      <c r="G720" s="7" t="s">
        <v>43</v>
      </c>
      <c r="H720" s="7" t="s">
        <v>631</v>
      </c>
      <c r="I720" s="7" t="s">
        <v>22</v>
      </c>
    </row>
    <row r="721">
      <c r="A721" s="7" t="s">
        <v>177</v>
      </c>
      <c r="B721" s="7" t="s">
        <v>842</v>
      </c>
      <c r="C721" s="8">
        <f>IFERROR(__xludf.DUMMYFUNCTION("SPLIT(B721,""RM"")"),5800000.0)</f>
        <v>5800000</v>
      </c>
      <c r="D721" s="7" t="s">
        <v>70</v>
      </c>
      <c r="E721" s="7">
        <v>6.0</v>
      </c>
      <c r="F721" s="7">
        <v>4.0</v>
      </c>
      <c r="G721" s="7" t="s">
        <v>25</v>
      </c>
      <c r="H721" s="7" t="s">
        <v>843</v>
      </c>
      <c r="I721" s="7" t="s">
        <v>27</v>
      </c>
    </row>
    <row r="722">
      <c r="A722" s="7" t="s">
        <v>100</v>
      </c>
      <c r="B722" s="7" t="s">
        <v>353</v>
      </c>
      <c r="C722" s="8">
        <f>IFERROR(__xludf.DUMMYFUNCTION("SPLIT(B722,""RM"")"),350000.0)</f>
        <v>350000</v>
      </c>
      <c r="D722" s="7">
        <v>3.0</v>
      </c>
      <c r="E722" s="7">
        <v>2.0</v>
      </c>
      <c r="G722" s="7" t="s">
        <v>20</v>
      </c>
      <c r="H722" s="7" t="s">
        <v>491</v>
      </c>
      <c r="I722" s="7" t="s">
        <v>27</v>
      </c>
    </row>
    <row r="723">
      <c r="A723" s="7" t="s">
        <v>72</v>
      </c>
      <c r="B723" s="7" t="s">
        <v>844</v>
      </c>
      <c r="C723" s="8">
        <f>IFERROR(__xludf.DUMMYFUNCTION("SPLIT(B723,""RM"")"),1690000.0)</f>
        <v>1690000</v>
      </c>
      <c r="D723" s="7" t="s">
        <v>57</v>
      </c>
      <c r="E723" s="7">
        <v>4.0</v>
      </c>
      <c r="F723" s="7">
        <v>2.0</v>
      </c>
      <c r="G723" s="7" t="s">
        <v>93</v>
      </c>
      <c r="H723" s="7" t="s">
        <v>119</v>
      </c>
      <c r="I723" s="7" t="s">
        <v>27</v>
      </c>
    </row>
    <row r="724">
      <c r="A724" s="7" t="s">
        <v>164</v>
      </c>
      <c r="B724" s="7" t="s">
        <v>279</v>
      </c>
      <c r="C724" s="8">
        <f>IFERROR(__xludf.DUMMYFUNCTION("SPLIT(B724,""RM"")"),1380000.0)</f>
        <v>1380000</v>
      </c>
      <c r="D724" s="7">
        <v>3.0</v>
      </c>
      <c r="E724" s="7">
        <v>2.0</v>
      </c>
      <c r="F724" s="7">
        <v>1.0</v>
      </c>
      <c r="G724" s="7" t="s">
        <v>83</v>
      </c>
      <c r="H724" s="7" t="s">
        <v>845</v>
      </c>
      <c r="I724" s="7" t="s">
        <v>22</v>
      </c>
    </row>
    <row r="725">
      <c r="A725" s="7" t="s">
        <v>100</v>
      </c>
      <c r="B725" s="7" t="s">
        <v>846</v>
      </c>
      <c r="C725" s="8">
        <f>IFERROR(__xludf.DUMMYFUNCTION("SPLIT(B725,""RM"")"),2126000.0)</f>
        <v>2126000</v>
      </c>
      <c r="D725" s="7" t="s">
        <v>70</v>
      </c>
      <c r="E725" s="7">
        <v>6.0</v>
      </c>
      <c r="F725" s="7">
        <v>6.0</v>
      </c>
      <c r="G725" s="7" t="s">
        <v>83</v>
      </c>
      <c r="H725" s="7" t="s">
        <v>847</v>
      </c>
    </row>
    <row r="726">
      <c r="A726" s="7" t="s">
        <v>177</v>
      </c>
      <c r="B726" s="7" t="s">
        <v>81</v>
      </c>
      <c r="C726" s="8">
        <f>IFERROR(__xludf.DUMMYFUNCTION("SPLIT(B726,""RM"")"),1550000.0)</f>
        <v>1550000</v>
      </c>
      <c r="D726" s="7">
        <v>3.0</v>
      </c>
      <c r="E726" s="7">
        <v>2.0</v>
      </c>
      <c r="F726" s="7">
        <v>2.0</v>
      </c>
      <c r="G726" s="7" t="s">
        <v>494</v>
      </c>
      <c r="H726" s="7" t="s">
        <v>400</v>
      </c>
      <c r="I726" s="7" t="s">
        <v>22</v>
      </c>
    </row>
    <row r="727">
      <c r="A727" s="7" t="s">
        <v>17</v>
      </c>
      <c r="B727" s="7" t="s">
        <v>322</v>
      </c>
      <c r="C727" s="8">
        <f>IFERROR(__xludf.DUMMYFUNCTION("SPLIT(B727,""RM"")"),1900000.0)</f>
        <v>1900000</v>
      </c>
      <c r="D727" s="7" t="s">
        <v>197</v>
      </c>
      <c r="E727" s="7">
        <v>2.0</v>
      </c>
      <c r="F727" s="7">
        <v>1.0</v>
      </c>
      <c r="G727" s="7" t="s">
        <v>82</v>
      </c>
      <c r="H727" s="7" t="s">
        <v>342</v>
      </c>
      <c r="I727" s="7" t="s">
        <v>22</v>
      </c>
    </row>
    <row r="728">
      <c r="A728" s="7" t="s">
        <v>177</v>
      </c>
      <c r="B728" s="7" t="s">
        <v>313</v>
      </c>
      <c r="C728" s="8">
        <f>IFERROR(__xludf.DUMMYFUNCTION("SPLIT(B728,""RM"")"),2900000.0)</f>
        <v>2900000</v>
      </c>
      <c r="D728" s="7" t="s">
        <v>35</v>
      </c>
      <c r="E728" s="7">
        <v>3.0</v>
      </c>
      <c r="F728" s="7">
        <v>4.0</v>
      </c>
      <c r="G728" s="7" t="s">
        <v>46</v>
      </c>
      <c r="H728" s="7" t="s">
        <v>848</v>
      </c>
      <c r="I728" s="7" t="s">
        <v>27</v>
      </c>
    </row>
    <row r="729">
      <c r="A729" s="7" t="s">
        <v>72</v>
      </c>
      <c r="B729" s="7" t="s">
        <v>849</v>
      </c>
      <c r="C729" s="8">
        <f>IFERROR(__xludf.DUMMYFUNCTION("SPLIT(B729,""RM"")"),2890000.0)</f>
        <v>2890000</v>
      </c>
      <c r="D729" s="7" t="s">
        <v>35</v>
      </c>
      <c r="E729" s="7">
        <v>6.0</v>
      </c>
      <c r="F729" s="7">
        <v>3.0</v>
      </c>
      <c r="G729" s="7" t="s">
        <v>30</v>
      </c>
      <c r="H729" s="7" t="s">
        <v>622</v>
      </c>
      <c r="I729" s="7" t="s">
        <v>22</v>
      </c>
    </row>
    <row r="730">
      <c r="A730" s="7" t="s">
        <v>72</v>
      </c>
      <c r="B730" s="7" t="s">
        <v>563</v>
      </c>
      <c r="C730" s="8">
        <f>IFERROR(__xludf.DUMMYFUNCTION("SPLIT(B730,""RM"")"),600000.0)</f>
        <v>600000</v>
      </c>
      <c r="D730" s="7">
        <v>1.0</v>
      </c>
      <c r="E730" s="7">
        <v>1.0</v>
      </c>
      <c r="F730" s="7">
        <v>1.0</v>
      </c>
      <c r="G730" s="7" t="s">
        <v>82</v>
      </c>
      <c r="H730" s="7" t="s">
        <v>850</v>
      </c>
      <c r="I730" s="7" t="s">
        <v>22</v>
      </c>
    </row>
    <row r="731">
      <c r="A731" s="7" t="s">
        <v>17</v>
      </c>
      <c r="B731" s="7" t="s">
        <v>751</v>
      </c>
      <c r="C731" s="8">
        <f>IFERROR(__xludf.DUMMYFUNCTION("SPLIT(B731,""RM"")"),2270000.0)</f>
        <v>2270000</v>
      </c>
      <c r="D731" s="7" t="s">
        <v>197</v>
      </c>
      <c r="E731" s="7">
        <v>2.0</v>
      </c>
      <c r="F731" s="7">
        <v>1.0</v>
      </c>
      <c r="G731" s="7" t="s">
        <v>20</v>
      </c>
      <c r="H731" s="7" t="s">
        <v>237</v>
      </c>
      <c r="I731" s="7" t="s">
        <v>22</v>
      </c>
    </row>
    <row r="732">
      <c r="A732" s="7" t="s">
        <v>171</v>
      </c>
      <c r="B732" s="7" t="s">
        <v>851</v>
      </c>
      <c r="C732" s="8">
        <f>IFERROR(__xludf.DUMMYFUNCTION("SPLIT(B732,""RM"")"),418000.0)</f>
        <v>418000</v>
      </c>
      <c r="D732" s="7">
        <v>2.0</v>
      </c>
      <c r="E732" s="7">
        <v>2.0</v>
      </c>
      <c r="F732" s="7">
        <v>2.0</v>
      </c>
      <c r="G732" s="7" t="s">
        <v>121</v>
      </c>
      <c r="H732" s="7" t="s">
        <v>505</v>
      </c>
      <c r="I732" s="7" t="s">
        <v>27</v>
      </c>
    </row>
    <row r="733">
      <c r="A733" s="7" t="s">
        <v>32</v>
      </c>
      <c r="B733" s="7" t="s">
        <v>852</v>
      </c>
      <c r="C733" s="8">
        <f>IFERROR(__xludf.DUMMYFUNCTION("SPLIT(B733,""RM"")"),318000.0)</f>
        <v>318000</v>
      </c>
      <c r="D733" s="7">
        <v>2.0</v>
      </c>
      <c r="E733" s="7">
        <v>2.0</v>
      </c>
      <c r="F733" s="7">
        <v>1.0</v>
      </c>
      <c r="G733" s="7" t="s">
        <v>93</v>
      </c>
      <c r="H733" s="7" t="s">
        <v>853</v>
      </c>
      <c r="I733" s="7" t="s">
        <v>22</v>
      </c>
    </row>
    <row r="734">
      <c r="A734" s="7" t="s">
        <v>32</v>
      </c>
      <c r="B734" s="7" t="s">
        <v>854</v>
      </c>
      <c r="C734" s="8">
        <f>IFERROR(__xludf.DUMMYFUNCTION("SPLIT(B734,""RM"")"),690000.0)</f>
        <v>690000</v>
      </c>
      <c r="D734" s="7">
        <v>4.0</v>
      </c>
      <c r="E734" s="7">
        <v>3.0</v>
      </c>
      <c r="F734" s="7">
        <v>2.0</v>
      </c>
      <c r="G734" s="7" t="s">
        <v>54</v>
      </c>
      <c r="H734" s="7" t="s">
        <v>855</v>
      </c>
      <c r="I734" s="7" t="s">
        <v>27</v>
      </c>
    </row>
    <row r="735">
      <c r="A735" s="7" t="s">
        <v>17</v>
      </c>
      <c r="B735" s="7" t="s">
        <v>191</v>
      </c>
      <c r="C735" s="8">
        <f>IFERROR(__xludf.DUMMYFUNCTION("SPLIT(B735,""RM"")"),1000000.0)</f>
        <v>1000000</v>
      </c>
      <c r="D735" s="7">
        <v>1.0</v>
      </c>
      <c r="E735" s="7">
        <v>1.0</v>
      </c>
      <c r="F735" s="7">
        <v>1.0</v>
      </c>
      <c r="G735" s="7" t="s">
        <v>83</v>
      </c>
      <c r="H735" s="7" t="s">
        <v>252</v>
      </c>
      <c r="I735" s="7" t="s">
        <v>27</v>
      </c>
    </row>
    <row r="736">
      <c r="A736" s="7" t="s">
        <v>432</v>
      </c>
      <c r="B736" s="7" t="s">
        <v>66</v>
      </c>
      <c r="C736" s="8">
        <f>IFERROR(__xludf.DUMMYFUNCTION("SPLIT(B736,""RM"")"),9000000.0)</f>
        <v>9000000</v>
      </c>
      <c r="D736" s="7" t="s">
        <v>70</v>
      </c>
      <c r="E736" s="7">
        <v>6.0</v>
      </c>
      <c r="G736" s="7" t="s">
        <v>25</v>
      </c>
      <c r="H736" s="7" t="s">
        <v>856</v>
      </c>
      <c r="I736" s="7" t="s">
        <v>27</v>
      </c>
    </row>
    <row r="737">
      <c r="A737" s="7" t="s">
        <v>432</v>
      </c>
      <c r="B737" s="7" t="s">
        <v>513</v>
      </c>
      <c r="C737" s="8">
        <f>IFERROR(__xludf.DUMMYFUNCTION("SPLIT(B737,""RM"")"),1.2E7)</f>
        <v>12000000</v>
      </c>
      <c r="D737" s="7" t="s">
        <v>299</v>
      </c>
      <c r="E737" s="7">
        <v>8.0</v>
      </c>
      <c r="G737" s="7" t="s">
        <v>25</v>
      </c>
      <c r="H737" s="7" t="s">
        <v>857</v>
      </c>
      <c r="I737" s="7" t="s">
        <v>27</v>
      </c>
    </row>
    <row r="738">
      <c r="A738" s="7" t="s">
        <v>432</v>
      </c>
      <c r="B738" s="7" t="s">
        <v>858</v>
      </c>
      <c r="C738" s="8">
        <f>IFERROR(__xludf.DUMMYFUNCTION("SPLIT(B738,""RM"")"),1.05E7)</f>
        <v>10500000</v>
      </c>
      <c r="D738" s="7" t="s">
        <v>299</v>
      </c>
      <c r="E738" s="7">
        <v>8.0</v>
      </c>
      <c r="G738" s="7" t="s">
        <v>25</v>
      </c>
      <c r="H738" s="7" t="s">
        <v>859</v>
      </c>
      <c r="I738" s="7" t="s">
        <v>27</v>
      </c>
    </row>
    <row r="739">
      <c r="A739" s="7" t="s">
        <v>48</v>
      </c>
      <c r="B739" s="7" t="s">
        <v>110</v>
      </c>
      <c r="C739" s="8">
        <f>IFERROR(__xludf.DUMMYFUNCTION("SPLIT(B739,""RM"")"),2400000.0)</f>
        <v>2400000</v>
      </c>
      <c r="D739" s="7">
        <v>5.0</v>
      </c>
      <c r="E739" s="7">
        <v>5.0</v>
      </c>
      <c r="F739" s="7">
        <v>6.0</v>
      </c>
      <c r="G739" s="7" t="s">
        <v>64</v>
      </c>
      <c r="H739" s="7" t="s">
        <v>860</v>
      </c>
      <c r="I739" s="7" t="s">
        <v>27</v>
      </c>
    </row>
    <row r="740">
      <c r="A740" s="7" t="s">
        <v>608</v>
      </c>
      <c r="B740" s="7" t="s">
        <v>139</v>
      </c>
      <c r="C740" s="8">
        <f>IFERROR(__xludf.DUMMYFUNCTION("SPLIT(B740,""RM"")"),780000.0)</f>
        <v>780000</v>
      </c>
      <c r="D740" s="7">
        <v>1.0</v>
      </c>
      <c r="E740" s="7">
        <v>1.0</v>
      </c>
      <c r="F740" s="7">
        <v>1.0</v>
      </c>
      <c r="G740" s="7" t="s">
        <v>83</v>
      </c>
      <c r="H740" s="7" t="s">
        <v>252</v>
      </c>
      <c r="I740" s="7" t="s">
        <v>27</v>
      </c>
    </row>
    <row r="741">
      <c r="A741" s="7" t="s">
        <v>241</v>
      </c>
      <c r="B741" s="7" t="s">
        <v>372</v>
      </c>
      <c r="C741" s="8">
        <f>IFERROR(__xludf.DUMMYFUNCTION("SPLIT(B741,""RM"")"),700000.0)</f>
        <v>700000</v>
      </c>
      <c r="D741" s="7" t="s">
        <v>57</v>
      </c>
      <c r="E741" s="7">
        <v>3.0</v>
      </c>
      <c r="F741" s="7">
        <v>2.0</v>
      </c>
      <c r="G741" s="7" t="s">
        <v>93</v>
      </c>
      <c r="H741" s="7" t="s">
        <v>334</v>
      </c>
      <c r="I741" s="7" t="s">
        <v>27</v>
      </c>
    </row>
    <row r="742">
      <c r="A742" s="7" t="s">
        <v>33</v>
      </c>
      <c r="B742" s="7" t="s">
        <v>861</v>
      </c>
      <c r="C742" s="8">
        <f>IFERROR(__xludf.DUMMYFUNCTION("SPLIT(B742,""RM"")"),1068000.0)</f>
        <v>1068000</v>
      </c>
      <c r="D742" s="7" t="s">
        <v>35</v>
      </c>
      <c r="E742" s="7">
        <v>3.0</v>
      </c>
      <c r="F742" s="7">
        <v>4.0</v>
      </c>
      <c r="G742" s="7" t="s">
        <v>30</v>
      </c>
      <c r="H742" s="7" t="s">
        <v>137</v>
      </c>
      <c r="I742" s="7" t="s">
        <v>27</v>
      </c>
    </row>
    <row r="743">
      <c r="A743" s="7" t="s">
        <v>77</v>
      </c>
      <c r="B743" s="7" t="s">
        <v>862</v>
      </c>
      <c r="C743" s="8">
        <f>IFERROR(__xludf.DUMMYFUNCTION("SPLIT(B743,""RM"")"),3790000.0)</f>
        <v>3790000</v>
      </c>
      <c r="D743" s="7">
        <v>8.0</v>
      </c>
      <c r="E743" s="7">
        <v>6.0</v>
      </c>
      <c r="G743" s="7" t="s">
        <v>487</v>
      </c>
      <c r="H743" s="7" t="s">
        <v>863</v>
      </c>
      <c r="I743" s="7" t="s">
        <v>27</v>
      </c>
    </row>
    <row r="744">
      <c r="A744" s="7" t="s">
        <v>77</v>
      </c>
      <c r="B744" s="7" t="s">
        <v>864</v>
      </c>
      <c r="C744" s="8">
        <f>IFERROR(__xludf.DUMMYFUNCTION("SPLIT(B744,""RM"")"),2370000.0)</f>
        <v>2370000</v>
      </c>
      <c r="D744" s="7" t="s">
        <v>35</v>
      </c>
      <c r="E744" s="7">
        <v>5.0</v>
      </c>
      <c r="G744" s="7" t="s">
        <v>90</v>
      </c>
      <c r="H744" s="7" t="s">
        <v>865</v>
      </c>
      <c r="I744" s="7" t="s">
        <v>27</v>
      </c>
    </row>
    <row r="745">
      <c r="A745" s="7" t="s">
        <v>17</v>
      </c>
      <c r="B745" s="7" t="s">
        <v>448</v>
      </c>
      <c r="C745" s="8">
        <f>IFERROR(__xludf.DUMMYFUNCTION("SPLIT(B745,""RM"")"),1420000.0)</f>
        <v>1420000</v>
      </c>
      <c r="D745" s="7">
        <v>2.0</v>
      </c>
      <c r="E745" s="7">
        <v>2.0</v>
      </c>
      <c r="F745" s="7">
        <v>1.0</v>
      </c>
      <c r="G745" s="7" t="s">
        <v>93</v>
      </c>
      <c r="H745" s="7" t="s">
        <v>213</v>
      </c>
      <c r="I745" s="7" t="s">
        <v>27</v>
      </c>
    </row>
    <row r="746">
      <c r="A746" s="7" t="s">
        <v>72</v>
      </c>
      <c r="B746" s="7" t="s">
        <v>866</v>
      </c>
      <c r="C746" s="8">
        <f>IFERROR(__xludf.DUMMYFUNCTION("SPLIT(B746,""RM"")"),2330000.0)</f>
        <v>2330000</v>
      </c>
      <c r="D746" s="7" t="s">
        <v>35</v>
      </c>
      <c r="E746" s="7">
        <v>5.0</v>
      </c>
      <c r="F746" s="7">
        <v>3.0</v>
      </c>
      <c r="G746" s="7" t="s">
        <v>30</v>
      </c>
      <c r="H746" s="7" t="s">
        <v>115</v>
      </c>
      <c r="I746" s="7" t="s">
        <v>27</v>
      </c>
    </row>
    <row r="747">
      <c r="A747" s="7" t="s">
        <v>77</v>
      </c>
      <c r="B747" s="7" t="s">
        <v>165</v>
      </c>
      <c r="C747" s="8">
        <f>IFERROR(__xludf.DUMMYFUNCTION("SPLIT(B747,""RM"")"),3500000.0)</f>
        <v>3500000</v>
      </c>
      <c r="D747" s="7" t="s">
        <v>70</v>
      </c>
      <c r="E747" s="7">
        <v>4.0</v>
      </c>
      <c r="G747" s="7" t="s">
        <v>90</v>
      </c>
      <c r="H747" s="7" t="s">
        <v>293</v>
      </c>
      <c r="I747" s="7" t="s">
        <v>27</v>
      </c>
    </row>
    <row r="748">
      <c r="A748" s="7" t="s">
        <v>72</v>
      </c>
      <c r="B748" s="7" t="s">
        <v>73</v>
      </c>
      <c r="C748" s="8">
        <f>IFERROR(__xludf.DUMMYFUNCTION("SPLIT(B748,""RM"")"),1780000.0)</f>
        <v>1780000</v>
      </c>
      <c r="D748" s="7" t="s">
        <v>57</v>
      </c>
      <c r="E748" s="7">
        <v>4.0</v>
      </c>
      <c r="F748" s="7">
        <v>2.0</v>
      </c>
      <c r="G748" s="7" t="s">
        <v>30</v>
      </c>
      <c r="H748" s="7" t="s">
        <v>867</v>
      </c>
      <c r="I748" s="7" t="s">
        <v>27</v>
      </c>
    </row>
    <row r="749">
      <c r="A749" s="7" t="s">
        <v>17</v>
      </c>
      <c r="B749" s="7" t="s">
        <v>229</v>
      </c>
      <c r="C749" s="8">
        <f>IFERROR(__xludf.DUMMYFUNCTION("SPLIT(B749,""RM"")"),1050000.0)</f>
        <v>1050000</v>
      </c>
      <c r="D749" s="7">
        <v>1.0</v>
      </c>
      <c r="E749" s="7">
        <v>1.0</v>
      </c>
      <c r="F749" s="7">
        <v>1.0</v>
      </c>
      <c r="G749" s="7" t="s">
        <v>93</v>
      </c>
      <c r="H749" s="7" t="s">
        <v>393</v>
      </c>
      <c r="I749" s="7" t="s">
        <v>22</v>
      </c>
    </row>
    <row r="750">
      <c r="A750" s="7" t="s">
        <v>33</v>
      </c>
      <c r="B750" s="7" t="s">
        <v>221</v>
      </c>
      <c r="C750" s="8">
        <f>IFERROR(__xludf.DUMMYFUNCTION("SPLIT(B750,""RM"")"),630000.0)</f>
        <v>630000</v>
      </c>
      <c r="D750" s="7">
        <v>3.0</v>
      </c>
      <c r="F750" s="7">
        <v>2.0</v>
      </c>
      <c r="G750" s="7" t="s">
        <v>30</v>
      </c>
      <c r="H750" s="7" t="s">
        <v>868</v>
      </c>
      <c r="I750" s="7" t="s">
        <v>27</v>
      </c>
    </row>
    <row r="751">
      <c r="A751" s="7" t="s">
        <v>32</v>
      </c>
      <c r="B751" s="7" t="s">
        <v>361</v>
      </c>
      <c r="C751" s="8">
        <f>IFERROR(__xludf.DUMMYFUNCTION("SPLIT(B751,""RM"")"),530000.0)</f>
        <v>530000</v>
      </c>
      <c r="D751" s="7" t="s">
        <v>57</v>
      </c>
      <c r="E751" s="7">
        <v>2.0</v>
      </c>
      <c r="F751" s="7">
        <v>1.0</v>
      </c>
      <c r="G751" s="7" t="s">
        <v>93</v>
      </c>
      <c r="H751" s="7" t="s">
        <v>869</v>
      </c>
      <c r="I751" s="7" t="s">
        <v>103</v>
      </c>
    </row>
    <row r="752">
      <c r="A752" s="7" t="s">
        <v>77</v>
      </c>
      <c r="B752" s="7" t="s">
        <v>306</v>
      </c>
      <c r="C752" s="8">
        <f>IFERROR(__xludf.DUMMYFUNCTION("SPLIT(B752,""RM"")"),1990000.0)</f>
        <v>1990000</v>
      </c>
      <c r="D752" s="7" t="s">
        <v>57</v>
      </c>
      <c r="E752" s="7">
        <v>4.0</v>
      </c>
      <c r="G752" s="7" t="s">
        <v>54</v>
      </c>
      <c r="H752" s="7" t="s">
        <v>333</v>
      </c>
      <c r="I752" s="7" t="s">
        <v>27</v>
      </c>
    </row>
    <row r="753">
      <c r="A753" s="7" t="s">
        <v>17</v>
      </c>
      <c r="B753" s="7" t="s">
        <v>870</v>
      </c>
      <c r="C753" s="8">
        <f>IFERROR(__xludf.DUMMYFUNCTION("SPLIT(B753,""RM"")"),1637500.0)</f>
        <v>1637500</v>
      </c>
      <c r="D753" s="7">
        <v>2.0</v>
      </c>
      <c r="E753" s="7">
        <v>2.0</v>
      </c>
      <c r="F753" s="7">
        <v>1.0</v>
      </c>
      <c r="G753" s="7" t="s">
        <v>83</v>
      </c>
      <c r="H753" s="7" t="s">
        <v>213</v>
      </c>
      <c r="I753" s="7" t="s">
        <v>22</v>
      </c>
    </row>
    <row r="754">
      <c r="A754" s="7" t="s">
        <v>17</v>
      </c>
      <c r="B754" s="7" t="s">
        <v>413</v>
      </c>
      <c r="C754" s="8">
        <f>IFERROR(__xludf.DUMMYFUNCTION("SPLIT(B754,""RM"")"),7975250.0)</f>
        <v>7975250</v>
      </c>
      <c r="D754" s="7" t="s">
        <v>35</v>
      </c>
      <c r="E754" s="7">
        <v>6.0</v>
      </c>
      <c r="F754" s="7">
        <v>2.0</v>
      </c>
      <c r="G754" s="7" t="s">
        <v>312</v>
      </c>
      <c r="H754" s="7" t="s">
        <v>414</v>
      </c>
    </row>
    <row r="755">
      <c r="A755" s="7" t="s">
        <v>100</v>
      </c>
      <c r="B755" s="7" t="s">
        <v>871</v>
      </c>
      <c r="C755" s="8">
        <f>IFERROR(__xludf.DUMMYFUNCTION("SPLIT(B755,""RM"")"),669000.0)</f>
        <v>669000</v>
      </c>
      <c r="D755" s="7" t="s">
        <v>57</v>
      </c>
      <c r="E755" s="7">
        <v>2.0</v>
      </c>
      <c r="F755" s="7">
        <v>2.0</v>
      </c>
      <c r="G755" s="7" t="s">
        <v>82</v>
      </c>
      <c r="H755" s="7" t="s">
        <v>410</v>
      </c>
      <c r="I755" s="7" t="s">
        <v>103</v>
      </c>
    </row>
    <row r="756">
      <c r="A756" s="7" t="s">
        <v>77</v>
      </c>
      <c r="B756" s="7" t="s">
        <v>872</v>
      </c>
      <c r="C756" s="8">
        <f>IFERROR(__xludf.DUMMYFUNCTION("SPLIT(B756,""RM"")"),2895000.0)</f>
        <v>2895000</v>
      </c>
      <c r="D756" s="7" t="s">
        <v>35</v>
      </c>
      <c r="E756" s="7">
        <v>4.0</v>
      </c>
      <c r="G756" s="7" t="s">
        <v>46</v>
      </c>
      <c r="H756" s="7" t="s">
        <v>274</v>
      </c>
      <c r="I756" s="7" t="s">
        <v>27</v>
      </c>
    </row>
    <row r="757">
      <c r="A757" s="7" t="s">
        <v>100</v>
      </c>
      <c r="B757" s="7" t="s">
        <v>116</v>
      </c>
      <c r="C757" s="8">
        <f>IFERROR(__xludf.DUMMYFUNCTION("SPLIT(B757,""RM"")"),1438000.0)</f>
        <v>1438000</v>
      </c>
      <c r="D757" s="7" t="s">
        <v>57</v>
      </c>
      <c r="E757" s="7">
        <v>4.0</v>
      </c>
      <c r="F757" s="7">
        <v>4.0</v>
      </c>
      <c r="G757" s="7" t="s">
        <v>93</v>
      </c>
      <c r="H757" s="7" t="s">
        <v>117</v>
      </c>
      <c r="I757" s="7" t="s">
        <v>103</v>
      </c>
    </row>
    <row r="758">
      <c r="A758" s="7" t="s">
        <v>100</v>
      </c>
      <c r="B758" s="7" t="s">
        <v>239</v>
      </c>
      <c r="C758" s="8">
        <f>IFERROR(__xludf.DUMMYFUNCTION("SPLIT(B758,""RM"")"),1280000.0)</f>
        <v>1280000</v>
      </c>
      <c r="D758" s="7" t="s">
        <v>79</v>
      </c>
      <c r="E758" s="7">
        <v>4.0</v>
      </c>
      <c r="F758" s="7">
        <v>3.0</v>
      </c>
      <c r="G758" s="7" t="s">
        <v>93</v>
      </c>
      <c r="H758" s="7" t="s">
        <v>741</v>
      </c>
      <c r="I758" s="7" t="s">
        <v>22</v>
      </c>
    </row>
    <row r="759">
      <c r="A759" s="7" t="s">
        <v>17</v>
      </c>
      <c r="B759" s="7" t="s">
        <v>191</v>
      </c>
      <c r="C759" s="8">
        <f>IFERROR(__xludf.DUMMYFUNCTION("SPLIT(B759,""RM"")"),1000000.0)</f>
        <v>1000000</v>
      </c>
      <c r="D759" s="7" t="s">
        <v>288</v>
      </c>
      <c r="E759" s="7">
        <v>3.0</v>
      </c>
      <c r="F759" s="7">
        <v>2.0</v>
      </c>
      <c r="G759" s="7" t="s">
        <v>20</v>
      </c>
      <c r="H759" s="7" t="s">
        <v>192</v>
      </c>
      <c r="I759" s="7" t="s">
        <v>22</v>
      </c>
    </row>
    <row r="760">
      <c r="A760" s="7" t="s">
        <v>104</v>
      </c>
      <c r="B760" s="7" t="s">
        <v>311</v>
      </c>
      <c r="C760" s="8">
        <f>IFERROR(__xludf.DUMMYFUNCTION("SPLIT(B760,""RM"")"),1100000.0)</f>
        <v>1100000</v>
      </c>
      <c r="D760" s="7" t="s">
        <v>35</v>
      </c>
      <c r="E760" s="7">
        <v>5.0</v>
      </c>
      <c r="F760" s="7">
        <v>4.0</v>
      </c>
      <c r="G760" s="7" t="s">
        <v>43</v>
      </c>
      <c r="H760" s="7" t="s">
        <v>873</v>
      </c>
      <c r="I760" s="7" t="s">
        <v>103</v>
      </c>
    </row>
    <row r="761">
      <c r="A761" s="7" t="s">
        <v>100</v>
      </c>
      <c r="B761" s="7" t="s">
        <v>874</v>
      </c>
      <c r="C761" s="8">
        <f>IFERROR(__xludf.DUMMYFUNCTION("SPLIT(B761,""RM"")"),945000.0)</f>
        <v>945000</v>
      </c>
      <c r="D761" s="7" t="s">
        <v>19</v>
      </c>
      <c r="E761" s="7">
        <v>3.0</v>
      </c>
      <c r="F761" s="7">
        <v>2.0</v>
      </c>
      <c r="G761" s="7" t="s">
        <v>93</v>
      </c>
      <c r="H761" s="7" t="s">
        <v>732</v>
      </c>
      <c r="I761" s="7" t="s">
        <v>27</v>
      </c>
    </row>
    <row r="762">
      <c r="A762" s="7" t="s">
        <v>37</v>
      </c>
      <c r="B762" s="7" t="s">
        <v>229</v>
      </c>
      <c r="C762" s="8">
        <f>IFERROR(__xludf.DUMMYFUNCTION("SPLIT(B762,""RM"")"),1050000.0)</f>
        <v>1050000</v>
      </c>
      <c r="D762" s="7">
        <v>3.0</v>
      </c>
      <c r="E762" s="7">
        <v>2.0</v>
      </c>
      <c r="F762" s="7">
        <v>2.0</v>
      </c>
      <c r="G762" s="7" t="s">
        <v>343</v>
      </c>
      <c r="H762" s="7" t="s">
        <v>344</v>
      </c>
      <c r="I762" s="7" t="s">
        <v>27</v>
      </c>
    </row>
    <row r="763">
      <c r="A763" s="7" t="s">
        <v>17</v>
      </c>
      <c r="B763" s="7" t="s">
        <v>81</v>
      </c>
      <c r="C763" s="8">
        <f>IFERROR(__xludf.DUMMYFUNCTION("SPLIT(B763,""RM"")"),1550000.0)</f>
        <v>1550000</v>
      </c>
      <c r="D763" s="7" t="s">
        <v>197</v>
      </c>
      <c r="E763" s="7">
        <v>2.0</v>
      </c>
      <c r="F763" s="7">
        <v>1.0</v>
      </c>
      <c r="G763" s="7" t="s">
        <v>20</v>
      </c>
      <c r="H763" s="7" t="s">
        <v>875</v>
      </c>
      <c r="I763" s="7" t="s">
        <v>27</v>
      </c>
    </row>
    <row r="764">
      <c r="A764" s="7" t="s">
        <v>17</v>
      </c>
      <c r="B764" s="7" t="s">
        <v>63</v>
      </c>
      <c r="C764" s="8">
        <f>IFERROR(__xludf.DUMMYFUNCTION("SPLIT(B764,""RM"")"),3100000.0)</f>
        <v>3100000</v>
      </c>
      <c r="D764" s="7">
        <v>2.0</v>
      </c>
      <c r="E764" s="7">
        <v>2.0</v>
      </c>
      <c r="F764" s="7">
        <v>2.0</v>
      </c>
      <c r="G764" s="7" t="s">
        <v>121</v>
      </c>
      <c r="H764" s="7" t="s">
        <v>318</v>
      </c>
      <c r="I764" s="7" t="s">
        <v>27</v>
      </c>
    </row>
    <row r="765">
      <c r="A765" s="7" t="s">
        <v>177</v>
      </c>
      <c r="B765" s="7" t="s">
        <v>313</v>
      </c>
      <c r="C765" s="8">
        <f>IFERROR(__xludf.DUMMYFUNCTION("SPLIT(B765,""RM"")"),2900000.0)</f>
        <v>2900000</v>
      </c>
      <c r="D765" s="7" t="s">
        <v>218</v>
      </c>
      <c r="E765" s="7">
        <v>3.0</v>
      </c>
      <c r="F765" s="7">
        <v>4.0</v>
      </c>
      <c r="G765" s="7" t="s">
        <v>46</v>
      </c>
      <c r="H765" s="7" t="s">
        <v>876</v>
      </c>
      <c r="I765" s="7" t="s">
        <v>27</v>
      </c>
    </row>
    <row r="766">
      <c r="A766" s="7" t="s">
        <v>17</v>
      </c>
      <c r="B766" s="7" t="s">
        <v>877</v>
      </c>
      <c r="C766" s="8">
        <f>IFERROR(__xludf.DUMMYFUNCTION("SPLIT(B766,""RM"")"),2670000.0)</f>
        <v>2670000</v>
      </c>
      <c r="D766" s="7">
        <v>2.0</v>
      </c>
      <c r="E766" s="7">
        <v>2.0</v>
      </c>
      <c r="F766" s="7">
        <v>1.0</v>
      </c>
      <c r="G766" s="7" t="s">
        <v>20</v>
      </c>
      <c r="H766" s="7" t="s">
        <v>459</v>
      </c>
      <c r="I766" s="7" t="s">
        <v>22</v>
      </c>
    </row>
    <row r="767">
      <c r="A767" s="7" t="s">
        <v>72</v>
      </c>
      <c r="B767" s="7" t="s">
        <v>878</v>
      </c>
      <c r="C767" s="8">
        <f>IFERROR(__xludf.DUMMYFUNCTION("SPLIT(B767,""RM"")"),908000.0)</f>
        <v>908000</v>
      </c>
      <c r="D767" s="7">
        <v>2.0</v>
      </c>
      <c r="E767" s="7">
        <v>2.0</v>
      </c>
      <c r="F767" s="7">
        <v>1.0</v>
      </c>
      <c r="G767" s="7" t="s">
        <v>20</v>
      </c>
      <c r="H767" s="7" t="s">
        <v>879</v>
      </c>
      <c r="I767" s="7" t="s">
        <v>27</v>
      </c>
    </row>
    <row r="768">
      <c r="A768" s="7" t="s">
        <v>72</v>
      </c>
      <c r="B768" s="7" t="s">
        <v>134</v>
      </c>
      <c r="C768" s="8">
        <f>IFERROR(__xludf.DUMMYFUNCTION("SPLIT(B768,""RM"")"),1150000.0)</f>
        <v>1150000</v>
      </c>
      <c r="D768" s="7">
        <v>2.0</v>
      </c>
      <c r="E768" s="7">
        <v>2.0</v>
      </c>
      <c r="F768" s="7">
        <v>1.0</v>
      </c>
      <c r="G768" s="7" t="s">
        <v>20</v>
      </c>
      <c r="H768" s="7" t="s">
        <v>880</v>
      </c>
      <c r="I768" s="7" t="s">
        <v>27</v>
      </c>
    </row>
    <row r="769">
      <c r="A769" s="7" t="s">
        <v>72</v>
      </c>
      <c r="B769" s="7" t="s">
        <v>311</v>
      </c>
      <c r="C769" s="8">
        <f>IFERROR(__xludf.DUMMYFUNCTION("SPLIT(B769,""RM"")"),1100000.0)</f>
        <v>1100000</v>
      </c>
      <c r="D769" s="7">
        <v>2.0</v>
      </c>
      <c r="E769" s="7">
        <v>2.0</v>
      </c>
      <c r="F769" s="7">
        <v>1.0</v>
      </c>
      <c r="G769" s="7" t="s">
        <v>20</v>
      </c>
      <c r="H769" s="7" t="s">
        <v>738</v>
      </c>
      <c r="I769" s="7" t="s">
        <v>22</v>
      </c>
    </row>
    <row r="770">
      <c r="A770" s="7" t="s">
        <v>23</v>
      </c>
      <c r="B770" s="7" t="s">
        <v>881</v>
      </c>
      <c r="C770" s="8">
        <f>IFERROR(__xludf.DUMMYFUNCTION("SPLIT(B770,""RM"")"),5400000.0)</f>
        <v>5400000</v>
      </c>
      <c r="D770" s="7">
        <v>5.0</v>
      </c>
      <c r="E770" s="7">
        <v>4.0</v>
      </c>
      <c r="F770" s="7">
        <v>6.0</v>
      </c>
      <c r="G770" s="7" t="s">
        <v>25</v>
      </c>
      <c r="H770" s="7" t="s">
        <v>882</v>
      </c>
    </row>
    <row r="771">
      <c r="A771" s="7" t="s">
        <v>89</v>
      </c>
      <c r="B771" s="7" t="s">
        <v>883</v>
      </c>
      <c r="C771" s="8">
        <f>IFERROR(__xludf.DUMMYFUNCTION("SPLIT(B771,""RM"")"),664000.0)</f>
        <v>664000</v>
      </c>
      <c r="D771" s="7">
        <v>3.0</v>
      </c>
      <c r="E771" s="7">
        <v>2.0</v>
      </c>
      <c r="F771" s="7">
        <v>2.0</v>
      </c>
      <c r="G771" s="7" t="s">
        <v>30</v>
      </c>
      <c r="H771" s="7" t="s">
        <v>884</v>
      </c>
      <c r="I771" s="7" t="s">
        <v>27</v>
      </c>
    </row>
    <row r="772">
      <c r="A772" s="7" t="s">
        <v>371</v>
      </c>
      <c r="B772" s="7" t="s">
        <v>885</v>
      </c>
      <c r="C772" s="8">
        <f>IFERROR(__xludf.DUMMYFUNCTION("SPLIT(B772,""RM"")"),609000.0)</f>
        <v>609000</v>
      </c>
      <c r="D772" s="7" t="s">
        <v>19</v>
      </c>
      <c r="E772" s="7">
        <v>2.0</v>
      </c>
      <c r="F772" s="7">
        <v>1.0</v>
      </c>
      <c r="G772" s="7" t="s">
        <v>93</v>
      </c>
      <c r="I772" s="7" t="s">
        <v>103</v>
      </c>
    </row>
    <row r="773">
      <c r="A773" s="7" t="s">
        <v>17</v>
      </c>
      <c r="B773" s="7" t="s">
        <v>229</v>
      </c>
      <c r="C773" s="8">
        <f>IFERROR(__xludf.DUMMYFUNCTION("SPLIT(B773,""RM"")"),1050000.0)</f>
        <v>1050000</v>
      </c>
      <c r="D773" s="7">
        <v>1.0</v>
      </c>
      <c r="E773" s="7">
        <v>1.0</v>
      </c>
      <c r="F773" s="7">
        <v>1.0</v>
      </c>
      <c r="G773" s="7" t="s">
        <v>96</v>
      </c>
      <c r="H773" s="7" t="s">
        <v>393</v>
      </c>
      <c r="I773" s="7" t="s">
        <v>27</v>
      </c>
    </row>
    <row r="774">
      <c r="A774" s="7" t="s">
        <v>17</v>
      </c>
      <c r="B774" s="7" t="s">
        <v>419</v>
      </c>
      <c r="C774" s="8">
        <f>IFERROR(__xludf.DUMMYFUNCTION("SPLIT(B774,""RM"")"),990000.0)</f>
        <v>990000</v>
      </c>
      <c r="D774" s="7">
        <v>1.0</v>
      </c>
      <c r="E774" s="7">
        <v>1.0</v>
      </c>
      <c r="F774" s="7">
        <v>1.0</v>
      </c>
      <c r="G774" s="7" t="s">
        <v>83</v>
      </c>
      <c r="H774" s="7" t="s">
        <v>252</v>
      </c>
      <c r="I774" s="7" t="s">
        <v>27</v>
      </c>
    </row>
    <row r="775">
      <c r="A775" s="7" t="s">
        <v>143</v>
      </c>
      <c r="B775" s="7" t="s">
        <v>886</v>
      </c>
      <c r="C775" s="8">
        <f>IFERROR(__xludf.DUMMYFUNCTION("SPLIT(B775,""RM"")"),768000.0)</f>
        <v>768000</v>
      </c>
      <c r="D775" s="7" t="s">
        <v>325</v>
      </c>
      <c r="E775" s="7">
        <v>1.0</v>
      </c>
      <c r="F775" s="7">
        <v>1.0</v>
      </c>
      <c r="G775" s="7" t="s">
        <v>121</v>
      </c>
      <c r="H775" s="7" t="s">
        <v>887</v>
      </c>
      <c r="I775" s="7" t="s">
        <v>22</v>
      </c>
    </row>
    <row r="776">
      <c r="A776" s="7" t="s">
        <v>72</v>
      </c>
      <c r="B776" s="7" t="s">
        <v>85</v>
      </c>
      <c r="C776" s="8">
        <f>IFERROR(__xludf.DUMMYFUNCTION("SPLIT(B776,""RM"")"),1450000.0)</f>
        <v>1450000</v>
      </c>
      <c r="D776" s="7" t="s">
        <v>57</v>
      </c>
      <c r="E776" s="7">
        <v>4.0</v>
      </c>
      <c r="F776" s="7">
        <v>2.0</v>
      </c>
      <c r="G776" s="7" t="s">
        <v>93</v>
      </c>
      <c r="H776" s="7" t="s">
        <v>334</v>
      </c>
      <c r="I776" s="7" t="s">
        <v>27</v>
      </c>
    </row>
    <row r="777">
      <c r="A777" s="7" t="s">
        <v>17</v>
      </c>
      <c r="B777" s="7" t="s">
        <v>489</v>
      </c>
      <c r="C777" s="8">
        <f>IFERROR(__xludf.DUMMYFUNCTION("SPLIT(B777,""RM"")"),1230000.0)</f>
        <v>1230000</v>
      </c>
      <c r="D777" s="7">
        <v>1.0</v>
      </c>
      <c r="E777" s="7">
        <v>1.0</v>
      </c>
      <c r="F777" s="7">
        <v>1.0</v>
      </c>
      <c r="G777" s="7" t="s">
        <v>82</v>
      </c>
      <c r="H777" s="7" t="s">
        <v>392</v>
      </c>
      <c r="I777" s="7" t="s">
        <v>22</v>
      </c>
    </row>
    <row r="778">
      <c r="A778" s="7" t="s">
        <v>17</v>
      </c>
      <c r="B778" s="7" t="s">
        <v>191</v>
      </c>
      <c r="C778" s="8">
        <f>IFERROR(__xludf.DUMMYFUNCTION("SPLIT(B778,""RM"")"),1000000.0)</f>
        <v>1000000</v>
      </c>
      <c r="D778" s="7">
        <v>1.0</v>
      </c>
      <c r="E778" s="7">
        <v>1.0</v>
      </c>
      <c r="F778" s="7">
        <v>1.0</v>
      </c>
      <c r="G778" s="7" t="s">
        <v>93</v>
      </c>
      <c r="H778" s="7" t="s">
        <v>252</v>
      </c>
      <c r="I778" s="7" t="s">
        <v>27</v>
      </c>
    </row>
    <row r="779">
      <c r="A779" s="7" t="s">
        <v>72</v>
      </c>
      <c r="B779" s="7" t="s">
        <v>713</v>
      </c>
      <c r="C779" s="8">
        <f>IFERROR(__xludf.DUMMYFUNCTION("SPLIT(B779,""RM"")"),1685000.0)</f>
        <v>1685000</v>
      </c>
      <c r="D779" s="7" t="s">
        <v>57</v>
      </c>
      <c r="E779" s="7">
        <v>4.0</v>
      </c>
      <c r="F779" s="7">
        <v>2.0</v>
      </c>
      <c r="G779" s="7" t="s">
        <v>30</v>
      </c>
      <c r="H779" s="7" t="s">
        <v>714</v>
      </c>
      <c r="I779" s="7" t="s">
        <v>27</v>
      </c>
    </row>
    <row r="780">
      <c r="A780" s="7" t="s">
        <v>171</v>
      </c>
      <c r="B780" s="7" t="s">
        <v>824</v>
      </c>
      <c r="C780" s="8">
        <f>IFERROR(__xludf.DUMMYFUNCTION("SPLIT(B780,""RM"")"),1377000.0)</f>
        <v>1377000</v>
      </c>
      <c r="D780" s="7" t="s">
        <v>35</v>
      </c>
      <c r="E780" s="7">
        <v>5.0</v>
      </c>
      <c r="G780" s="7" t="s">
        <v>83</v>
      </c>
      <c r="H780" s="7" t="s">
        <v>888</v>
      </c>
      <c r="I780" s="7" t="s">
        <v>103</v>
      </c>
    </row>
    <row r="781">
      <c r="A781" s="7" t="s">
        <v>72</v>
      </c>
      <c r="B781" s="7" t="s">
        <v>475</v>
      </c>
      <c r="C781" s="8">
        <f>IFERROR(__xludf.DUMMYFUNCTION("SPLIT(B781,""RM"")"),2800000.0)</f>
        <v>2800000</v>
      </c>
      <c r="D781" s="7" t="s">
        <v>35</v>
      </c>
      <c r="E781" s="7">
        <v>5.0</v>
      </c>
      <c r="F781" s="7">
        <v>3.0</v>
      </c>
      <c r="G781" s="7" t="s">
        <v>83</v>
      </c>
      <c r="H781" s="7" t="s">
        <v>231</v>
      </c>
      <c r="I781" s="7" t="s">
        <v>22</v>
      </c>
    </row>
    <row r="782">
      <c r="A782" s="7" t="s">
        <v>72</v>
      </c>
      <c r="B782" s="7" t="s">
        <v>403</v>
      </c>
      <c r="C782" s="8">
        <f>IFERROR(__xludf.DUMMYFUNCTION("SPLIT(B782,""RM"")"),1600000.0)</f>
        <v>1600000</v>
      </c>
      <c r="D782" s="7">
        <v>4.0</v>
      </c>
      <c r="E782" s="7">
        <v>4.0</v>
      </c>
      <c r="F782" s="7">
        <v>2.0</v>
      </c>
      <c r="G782" s="7" t="s">
        <v>83</v>
      </c>
    </row>
    <row r="783">
      <c r="A783" s="7" t="s">
        <v>72</v>
      </c>
      <c r="B783" s="7" t="s">
        <v>399</v>
      </c>
      <c r="C783" s="8">
        <f>IFERROR(__xludf.DUMMYFUNCTION("SPLIT(B783,""RM"")"),1750000.0)</f>
        <v>1750000</v>
      </c>
      <c r="D783" s="7" t="s">
        <v>57</v>
      </c>
      <c r="E783" s="7">
        <v>4.0</v>
      </c>
      <c r="G783" s="7" t="s">
        <v>83</v>
      </c>
      <c r="H783" s="7" t="s">
        <v>867</v>
      </c>
    </row>
    <row r="784">
      <c r="A784" s="7" t="s">
        <v>23</v>
      </c>
      <c r="B784" s="7" t="s">
        <v>42</v>
      </c>
      <c r="C784" s="8">
        <f>IFERROR(__xludf.DUMMYFUNCTION("SPLIT(B784,""RM"")"),2600000.0)</f>
        <v>2600000</v>
      </c>
      <c r="D784" s="7" t="s">
        <v>57</v>
      </c>
      <c r="E784" s="7">
        <v>4.0</v>
      </c>
      <c r="F784" s="7">
        <v>2.0</v>
      </c>
      <c r="G784" s="7" t="s">
        <v>20</v>
      </c>
      <c r="H784" s="7" t="s">
        <v>889</v>
      </c>
      <c r="I784" s="7" t="s">
        <v>27</v>
      </c>
    </row>
    <row r="785">
      <c r="A785" s="7" t="s">
        <v>17</v>
      </c>
      <c r="B785" s="7" t="s">
        <v>120</v>
      </c>
      <c r="C785" s="8">
        <f>IFERROR(__xludf.DUMMYFUNCTION("SPLIT(B785,""RM"")"),3600000.0)</f>
        <v>3600000</v>
      </c>
      <c r="D785" s="7" t="s">
        <v>57</v>
      </c>
      <c r="E785" s="7">
        <v>4.0</v>
      </c>
      <c r="F785" s="7">
        <v>2.0</v>
      </c>
      <c r="G785" s="7" t="s">
        <v>121</v>
      </c>
      <c r="H785" s="7" t="s">
        <v>122</v>
      </c>
      <c r="I785" s="7" t="s">
        <v>103</v>
      </c>
    </row>
    <row r="786">
      <c r="A786" s="7" t="s">
        <v>23</v>
      </c>
      <c r="B786" s="7" t="s">
        <v>349</v>
      </c>
      <c r="C786" s="8">
        <f>IFERROR(__xludf.DUMMYFUNCTION("SPLIT(B786,""RM"")"),1400000.0)</f>
        <v>1400000</v>
      </c>
      <c r="D786" s="7">
        <v>1.0</v>
      </c>
      <c r="E786" s="7">
        <v>1.0</v>
      </c>
      <c r="F786" s="7">
        <v>1.0</v>
      </c>
      <c r="G786" s="7" t="s">
        <v>20</v>
      </c>
      <c r="H786" s="7" t="s">
        <v>51</v>
      </c>
      <c r="I786" s="7" t="s">
        <v>27</v>
      </c>
    </row>
    <row r="787">
      <c r="A787" s="7" t="s">
        <v>17</v>
      </c>
      <c r="B787" s="7" t="s">
        <v>191</v>
      </c>
      <c r="C787" s="8">
        <f>IFERROR(__xludf.DUMMYFUNCTION("SPLIT(B787,""RM"")"),1000000.0)</f>
        <v>1000000</v>
      </c>
      <c r="D787" s="7">
        <v>1.0</v>
      </c>
      <c r="E787" s="7">
        <v>1.0</v>
      </c>
      <c r="F787" s="7">
        <v>1.0</v>
      </c>
      <c r="G787" s="7" t="s">
        <v>83</v>
      </c>
      <c r="H787" s="7" t="s">
        <v>393</v>
      </c>
      <c r="I787" s="7" t="s">
        <v>27</v>
      </c>
    </row>
    <row r="788">
      <c r="A788" s="7" t="s">
        <v>17</v>
      </c>
      <c r="B788" s="7" t="s">
        <v>362</v>
      </c>
      <c r="C788" s="8">
        <f>IFERROR(__xludf.DUMMYFUNCTION("SPLIT(B788,""RM"")"),5070000.0)</f>
        <v>5070000</v>
      </c>
      <c r="D788" s="7">
        <v>3.0</v>
      </c>
      <c r="E788" s="7">
        <v>3.0</v>
      </c>
      <c r="F788" s="7">
        <v>3.0</v>
      </c>
      <c r="G788" s="7" t="s">
        <v>20</v>
      </c>
      <c r="H788" s="7" t="s">
        <v>363</v>
      </c>
      <c r="I788" s="7" t="s">
        <v>27</v>
      </c>
    </row>
    <row r="789">
      <c r="A789" s="7" t="s">
        <v>32</v>
      </c>
      <c r="B789" s="7" t="s">
        <v>890</v>
      </c>
      <c r="C789" s="8">
        <f>IFERROR(__xludf.DUMMYFUNCTION("SPLIT(B789,""RM"")"),450000.0)</f>
        <v>450000</v>
      </c>
      <c r="D789" s="7">
        <v>3.0</v>
      </c>
      <c r="E789" s="7">
        <v>2.0</v>
      </c>
      <c r="F789" s="7">
        <v>2.0</v>
      </c>
      <c r="G789" s="7" t="s">
        <v>83</v>
      </c>
      <c r="H789" s="7" t="s">
        <v>504</v>
      </c>
      <c r="I789" s="7" t="s">
        <v>103</v>
      </c>
    </row>
    <row r="790">
      <c r="A790" s="7" t="s">
        <v>23</v>
      </c>
      <c r="B790" s="7" t="s">
        <v>351</v>
      </c>
      <c r="C790" s="8">
        <f>IFERROR(__xludf.DUMMYFUNCTION("SPLIT(B790,""RM"")"),3800000.0)</f>
        <v>3800000</v>
      </c>
      <c r="D790" s="7" t="s">
        <v>60</v>
      </c>
      <c r="E790" s="7">
        <v>6.0</v>
      </c>
      <c r="F790" s="7">
        <v>4.0</v>
      </c>
      <c r="G790" s="7" t="s">
        <v>25</v>
      </c>
      <c r="H790" s="7" t="s">
        <v>631</v>
      </c>
      <c r="I790" s="7" t="s">
        <v>27</v>
      </c>
    </row>
    <row r="791">
      <c r="A791" s="7" t="s">
        <v>17</v>
      </c>
      <c r="B791" s="7" t="s">
        <v>891</v>
      </c>
      <c r="C791" s="8">
        <f>IFERROR(__xludf.DUMMYFUNCTION("SPLIT(B791,""RM"")"),3843000.0)</f>
        <v>3843000</v>
      </c>
      <c r="D791" s="7" t="s">
        <v>197</v>
      </c>
      <c r="E791" s="7">
        <v>2.0</v>
      </c>
      <c r="F791" s="7">
        <v>1.0</v>
      </c>
      <c r="G791" s="7" t="s">
        <v>30</v>
      </c>
      <c r="H791" s="7" t="s">
        <v>892</v>
      </c>
      <c r="I791" s="7" t="s">
        <v>27</v>
      </c>
    </row>
    <row r="792">
      <c r="A792" s="7" t="s">
        <v>177</v>
      </c>
      <c r="B792" s="7" t="s">
        <v>893</v>
      </c>
      <c r="C792" s="8">
        <f>IFERROR(__xludf.DUMMYFUNCTION("SPLIT(B792,""RM"")"),7000000.0)</f>
        <v>7000000</v>
      </c>
      <c r="D792" s="7" t="s">
        <v>70</v>
      </c>
      <c r="E792" s="7">
        <v>6.0</v>
      </c>
      <c r="F792" s="7">
        <v>4.0</v>
      </c>
      <c r="G792" s="7" t="s">
        <v>67</v>
      </c>
      <c r="H792" s="7" t="s">
        <v>894</v>
      </c>
      <c r="I792" s="7" t="s">
        <v>27</v>
      </c>
    </row>
    <row r="793">
      <c r="A793" s="7" t="s">
        <v>65</v>
      </c>
      <c r="B793" s="7" t="s">
        <v>433</v>
      </c>
      <c r="C793" s="8">
        <f>IFERROR(__xludf.DUMMYFUNCTION("SPLIT(B793,""RM"")"),1.48E7)</f>
        <v>14800000</v>
      </c>
      <c r="D793" s="7" t="s">
        <v>299</v>
      </c>
      <c r="E793" s="7">
        <v>8.0</v>
      </c>
      <c r="F793" s="7">
        <v>6.0</v>
      </c>
      <c r="G793" s="7" t="s">
        <v>67</v>
      </c>
      <c r="H793" s="7" t="s">
        <v>593</v>
      </c>
      <c r="I793" s="7" t="s">
        <v>27</v>
      </c>
    </row>
    <row r="794">
      <c r="A794" s="7" t="s">
        <v>432</v>
      </c>
      <c r="B794" s="7" t="s">
        <v>433</v>
      </c>
      <c r="C794" s="8">
        <f>IFERROR(__xludf.DUMMYFUNCTION("SPLIT(B794,""RM"")"),1.48E7)</f>
        <v>14800000</v>
      </c>
      <c r="D794" s="7" t="s">
        <v>218</v>
      </c>
      <c r="E794" s="7">
        <v>7.0</v>
      </c>
      <c r="F794" s="7">
        <v>5.0</v>
      </c>
      <c r="G794" s="7" t="s">
        <v>67</v>
      </c>
      <c r="H794" s="7" t="s">
        <v>895</v>
      </c>
      <c r="I794" s="7" t="s">
        <v>22</v>
      </c>
    </row>
    <row r="795">
      <c r="A795" s="7" t="s">
        <v>608</v>
      </c>
      <c r="B795" s="7" t="s">
        <v>896</v>
      </c>
      <c r="C795" s="8">
        <f>IFERROR(__xludf.DUMMYFUNCTION("SPLIT(B795,""RM"")"),1061100.0)</f>
        <v>1061100</v>
      </c>
      <c r="D795" s="7" t="s">
        <v>197</v>
      </c>
      <c r="E795" s="7">
        <v>1.0</v>
      </c>
      <c r="F795" s="7">
        <v>1.0</v>
      </c>
      <c r="G795" s="7" t="s">
        <v>83</v>
      </c>
      <c r="H795" s="7" t="s">
        <v>897</v>
      </c>
      <c r="I795" s="7" t="s">
        <v>27</v>
      </c>
    </row>
    <row r="796">
      <c r="A796" s="7" t="s">
        <v>608</v>
      </c>
      <c r="B796" s="7" t="s">
        <v>34</v>
      </c>
      <c r="C796" s="8">
        <f>IFERROR(__xludf.DUMMYFUNCTION("SPLIT(B796,""RM"")"),900000.0)</f>
        <v>900000</v>
      </c>
      <c r="D796" s="7">
        <v>1.0</v>
      </c>
      <c r="E796" s="7">
        <v>1.0</v>
      </c>
      <c r="F796" s="7">
        <v>1.0</v>
      </c>
      <c r="G796" s="7" t="s">
        <v>83</v>
      </c>
      <c r="H796" s="7" t="s">
        <v>252</v>
      </c>
      <c r="I796" s="7" t="s">
        <v>22</v>
      </c>
    </row>
    <row r="797">
      <c r="A797" s="7" t="s">
        <v>104</v>
      </c>
      <c r="B797" s="7" t="s">
        <v>898</v>
      </c>
      <c r="C797" s="8">
        <f>IFERROR(__xludf.DUMMYFUNCTION("SPLIT(B797,""RM"")"),485000.0)</f>
        <v>485000</v>
      </c>
      <c r="D797" s="7">
        <v>3.0</v>
      </c>
      <c r="E797" s="7">
        <v>2.0</v>
      </c>
      <c r="F797" s="7">
        <v>1.0</v>
      </c>
      <c r="G797" s="7" t="s">
        <v>83</v>
      </c>
      <c r="H797" s="7" t="s">
        <v>491</v>
      </c>
      <c r="I797" s="7" t="s">
        <v>22</v>
      </c>
    </row>
    <row r="798">
      <c r="A798" s="7" t="s">
        <v>77</v>
      </c>
      <c r="B798" s="7" t="s">
        <v>899</v>
      </c>
      <c r="C798" s="8">
        <f>IFERROR(__xludf.DUMMYFUNCTION("SPLIT(B798,""RM"")"),1160000.0)</f>
        <v>1160000</v>
      </c>
      <c r="D798" s="7">
        <v>3.0</v>
      </c>
      <c r="E798" s="7">
        <v>2.0</v>
      </c>
      <c r="F798" s="7">
        <v>2.0</v>
      </c>
      <c r="G798" s="7" t="s">
        <v>93</v>
      </c>
      <c r="H798" s="7" t="s">
        <v>230</v>
      </c>
      <c r="I798" s="7" t="s">
        <v>27</v>
      </c>
    </row>
    <row r="799">
      <c r="A799" s="7" t="s">
        <v>77</v>
      </c>
      <c r="B799" s="7" t="s">
        <v>900</v>
      </c>
      <c r="C799" s="8">
        <f>IFERROR(__xludf.DUMMYFUNCTION("SPLIT(B799,""RM"")"),3550000.0)</f>
        <v>3550000</v>
      </c>
      <c r="D799" s="7" t="s">
        <v>35</v>
      </c>
      <c r="E799" s="7">
        <v>5.0</v>
      </c>
      <c r="F799" s="7">
        <v>4.0</v>
      </c>
      <c r="G799" s="7" t="s">
        <v>90</v>
      </c>
      <c r="H799" s="7" t="s">
        <v>291</v>
      </c>
      <c r="I799" s="7" t="s">
        <v>103</v>
      </c>
    </row>
    <row r="800">
      <c r="A800" s="7" t="s">
        <v>23</v>
      </c>
      <c r="B800" s="7" t="s">
        <v>881</v>
      </c>
      <c r="C800" s="8">
        <f>IFERROR(__xludf.DUMMYFUNCTION("SPLIT(B800,""RM"")"),5400000.0)</f>
        <v>5400000</v>
      </c>
      <c r="D800" s="7" t="s">
        <v>35</v>
      </c>
      <c r="E800" s="7">
        <v>4.0</v>
      </c>
      <c r="F800" s="7">
        <v>6.0</v>
      </c>
      <c r="G800" s="7" t="s">
        <v>67</v>
      </c>
      <c r="H800" s="7" t="s">
        <v>533</v>
      </c>
      <c r="I800" s="7" t="s">
        <v>27</v>
      </c>
    </row>
    <row r="801">
      <c r="A801" s="7" t="s">
        <v>72</v>
      </c>
      <c r="B801" s="7" t="s">
        <v>657</v>
      </c>
      <c r="C801" s="8">
        <f>IFERROR(__xludf.DUMMYFUNCTION("SPLIT(B801,""RM"")"),980000.0)</f>
        <v>980000</v>
      </c>
      <c r="D801" s="7">
        <v>2.0</v>
      </c>
      <c r="E801" s="7">
        <v>2.0</v>
      </c>
      <c r="F801" s="7">
        <v>1.0</v>
      </c>
      <c r="G801" s="7" t="s">
        <v>20</v>
      </c>
      <c r="H801" s="7" t="s">
        <v>901</v>
      </c>
    </row>
    <row r="802">
      <c r="A802" s="7" t="s">
        <v>17</v>
      </c>
      <c r="B802" s="7" t="s">
        <v>327</v>
      </c>
      <c r="C802" s="8">
        <f>IFERROR(__xludf.DUMMYFUNCTION("SPLIT(B802,""RM"")"),1300000.0)</f>
        <v>1300000</v>
      </c>
      <c r="D802" s="7">
        <v>1.0</v>
      </c>
      <c r="E802" s="7">
        <v>1.0</v>
      </c>
      <c r="F802" s="7">
        <v>2.0</v>
      </c>
      <c r="G802" s="7" t="s">
        <v>20</v>
      </c>
      <c r="H802" s="7" t="s">
        <v>328</v>
      </c>
      <c r="I802" s="7" t="s">
        <v>27</v>
      </c>
    </row>
    <row r="803">
      <c r="A803" s="7" t="s">
        <v>33</v>
      </c>
      <c r="B803" s="7" t="s">
        <v>138</v>
      </c>
      <c r="C803" s="8">
        <f>IFERROR(__xludf.DUMMYFUNCTION("SPLIT(B803,""RM"")"),930000.0)</f>
        <v>930000</v>
      </c>
      <c r="D803" s="7" t="s">
        <v>35</v>
      </c>
      <c r="G803" s="7" t="s">
        <v>83</v>
      </c>
      <c r="H803" s="7" t="s">
        <v>36</v>
      </c>
    </row>
    <row r="804">
      <c r="A804" s="7" t="s">
        <v>72</v>
      </c>
      <c r="B804" s="7" t="s">
        <v>902</v>
      </c>
      <c r="C804" s="8">
        <f>IFERROR(__xludf.DUMMYFUNCTION("SPLIT(B804,""RM"")"),710000.0)</f>
        <v>710000</v>
      </c>
      <c r="D804" s="7">
        <v>1.0</v>
      </c>
      <c r="E804" s="7">
        <v>1.0</v>
      </c>
      <c r="G804" s="7" t="s">
        <v>20</v>
      </c>
      <c r="H804" s="7" t="s">
        <v>903</v>
      </c>
      <c r="I804" s="7" t="s">
        <v>27</v>
      </c>
    </row>
    <row r="805">
      <c r="A805" s="7" t="s">
        <v>371</v>
      </c>
      <c r="B805" s="7" t="s">
        <v>904</v>
      </c>
      <c r="C805" s="8">
        <f>IFERROR(__xludf.DUMMYFUNCTION("SPLIT(B805,""RM"")"),1174338.0)</f>
        <v>1174338</v>
      </c>
      <c r="D805" s="7" t="s">
        <v>35</v>
      </c>
      <c r="E805" s="7">
        <v>5.0</v>
      </c>
      <c r="F805" s="7">
        <v>3.0</v>
      </c>
      <c r="G805" s="7" t="s">
        <v>30</v>
      </c>
      <c r="H805" s="7" t="s">
        <v>905</v>
      </c>
      <c r="I805" s="7" t="s">
        <v>27</v>
      </c>
    </row>
    <row r="806">
      <c r="A806" s="7" t="s">
        <v>72</v>
      </c>
      <c r="B806" s="7" t="s">
        <v>403</v>
      </c>
      <c r="C806" s="8">
        <f>IFERROR(__xludf.DUMMYFUNCTION("SPLIT(B806,""RM"")"),1600000.0)</f>
        <v>1600000</v>
      </c>
      <c r="D806" s="7" t="s">
        <v>57</v>
      </c>
      <c r="E806" s="7">
        <v>4.0</v>
      </c>
      <c r="F806" s="7">
        <v>2.0</v>
      </c>
      <c r="G806" s="7" t="s">
        <v>83</v>
      </c>
      <c r="H806" s="7" t="s">
        <v>334</v>
      </c>
      <c r="I806" s="7" t="s">
        <v>27</v>
      </c>
    </row>
    <row r="807">
      <c r="A807" s="7" t="s">
        <v>17</v>
      </c>
      <c r="B807" s="7" t="s">
        <v>18</v>
      </c>
      <c r="C807" s="8">
        <f>IFERROR(__xludf.DUMMYFUNCTION("SPLIT(B807,""RM"")"),1250000.0)</f>
        <v>1250000</v>
      </c>
      <c r="D807" s="7">
        <v>2.0</v>
      </c>
      <c r="E807" s="7">
        <v>2.0</v>
      </c>
      <c r="F807" s="7">
        <v>1.0</v>
      </c>
      <c r="G807" s="7" t="s">
        <v>83</v>
      </c>
      <c r="H807" s="7" t="s">
        <v>240</v>
      </c>
      <c r="I807" s="7" t="s">
        <v>27</v>
      </c>
    </row>
    <row r="808">
      <c r="A808" s="7" t="s">
        <v>100</v>
      </c>
      <c r="B808" s="7" t="s">
        <v>906</v>
      </c>
      <c r="C808" s="8">
        <f>IFERROR(__xludf.DUMMYFUNCTION("SPLIT(B808,""RM"")"),648888.0)</f>
        <v>648888</v>
      </c>
      <c r="D808" s="7" t="s">
        <v>57</v>
      </c>
      <c r="E808" s="7">
        <v>2.0</v>
      </c>
      <c r="F808" s="7">
        <v>2.0</v>
      </c>
      <c r="G808" s="7" t="s">
        <v>20</v>
      </c>
      <c r="I808" s="7" t="s">
        <v>103</v>
      </c>
    </row>
    <row r="809">
      <c r="A809" s="7" t="s">
        <v>77</v>
      </c>
      <c r="B809" s="7" t="s">
        <v>98</v>
      </c>
      <c r="C809" s="8">
        <f>IFERROR(__xludf.DUMMYFUNCTION("SPLIT(B809,""RM"")"),1830000.0)</f>
        <v>1830000</v>
      </c>
      <c r="D809" s="7" t="s">
        <v>57</v>
      </c>
      <c r="E809" s="7">
        <v>3.0</v>
      </c>
      <c r="G809" s="7" t="s">
        <v>54</v>
      </c>
      <c r="H809" s="7" t="s">
        <v>333</v>
      </c>
      <c r="I809" s="7" t="s">
        <v>27</v>
      </c>
    </row>
    <row r="810">
      <c r="A810" s="7" t="s">
        <v>104</v>
      </c>
      <c r="B810" s="7" t="s">
        <v>309</v>
      </c>
      <c r="C810" s="8">
        <f>IFERROR(__xludf.DUMMYFUNCTION("SPLIT(B810,""RM"")"),2100000.0)</f>
        <v>2100000</v>
      </c>
      <c r="D810" s="7">
        <v>6.0</v>
      </c>
      <c r="E810" s="7">
        <v>6.0</v>
      </c>
      <c r="F810" s="7">
        <v>4.0</v>
      </c>
      <c r="G810" s="7" t="s">
        <v>43</v>
      </c>
      <c r="H810" s="7" t="s">
        <v>907</v>
      </c>
    </row>
    <row r="811">
      <c r="A811" s="7" t="s">
        <v>72</v>
      </c>
      <c r="B811" s="7" t="s">
        <v>613</v>
      </c>
      <c r="C811" s="8">
        <f>IFERROR(__xludf.DUMMYFUNCTION("SPLIT(B811,""RM"")"),1890000.0)</f>
        <v>1890000</v>
      </c>
      <c r="D811" s="7" t="s">
        <v>70</v>
      </c>
      <c r="E811" s="7">
        <v>8.0</v>
      </c>
      <c r="F811" s="7">
        <v>5.0</v>
      </c>
      <c r="G811" s="7" t="s">
        <v>90</v>
      </c>
      <c r="H811" s="7" t="s">
        <v>908</v>
      </c>
      <c r="I811" s="7" t="s">
        <v>103</v>
      </c>
    </row>
    <row r="812">
      <c r="A812" s="7" t="s">
        <v>164</v>
      </c>
      <c r="B812" s="7" t="s">
        <v>909</v>
      </c>
      <c r="C812" s="8">
        <f>IFERROR(__xludf.DUMMYFUNCTION("SPLIT(B812,""RM"")"),1049888.0)</f>
        <v>1049888</v>
      </c>
      <c r="D812" s="7">
        <v>2.0</v>
      </c>
      <c r="E812" s="7">
        <v>2.0</v>
      </c>
      <c r="F812" s="7">
        <v>2.0</v>
      </c>
      <c r="G812" s="7" t="s">
        <v>20</v>
      </c>
      <c r="H812" s="7" t="s">
        <v>910</v>
      </c>
      <c r="I812" s="7" t="s">
        <v>27</v>
      </c>
    </row>
    <row r="813">
      <c r="A813" s="7" t="s">
        <v>72</v>
      </c>
      <c r="B813" s="7" t="s">
        <v>158</v>
      </c>
      <c r="C813" s="8">
        <f>IFERROR(__xludf.DUMMYFUNCTION("SPLIT(B813,""RM"")"),1850000.0)</f>
        <v>1850000</v>
      </c>
      <c r="D813" s="7" t="s">
        <v>79</v>
      </c>
      <c r="E813" s="7">
        <v>4.0</v>
      </c>
      <c r="F813" s="7">
        <v>2.0</v>
      </c>
      <c r="G813" s="7" t="s">
        <v>30</v>
      </c>
      <c r="H813" s="7" t="s">
        <v>74</v>
      </c>
      <c r="I813" s="7" t="s">
        <v>27</v>
      </c>
    </row>
    <row r="814">
      <c r="A814" s="7" t="s">
        <v>77</v>
      </c>
      <c r="B814" s="7" t="s">
        <v>277</v>
      </c>
      <c r="C814" s="8">
        <f>IFERROR(__xludf.DUMMYFUNCTION("SPLIT(B814,""RM"")"),2200000.0)</f>
        <v>2200000</v>
      </c>
      <c r="D814" s="7" t="s">
        <v>35</v>
      </c>
      <c r="E814" s="7">
        <v>4.0</v>
      </c>
      <c r="F814" s="7">
        <v>3.0</v>
      </c>
      <c r="G814" s="7" t="s">
        <v>54</v>
      </c>
      <c r="H814" s="7" t="s">
        <v>911</v>
      </c>
      <c r="I814" s="7" t="s">
        <v>27</v>
      </c>
    </row>
    <row r="815">
      <c r="A815" s="7" t="s">
        <v>77</v>
      </c>
      <c r="B815" s="7" t="s">
        <v>101</v>
      </c>
      <c r="C815" s="8">
        <f>IFERROR(__xludf.DUMMYFUNCTION("SPLIT(B815,""RM"")"),3300000.0)</f>
        <v>3300000</v>
      </c>
      <c r="D815" s="7">
        <v>5.0</v>
      </c>
      <c r="E815" s="7">
        <v>5.0</v>
      </c>
      <c r="F815" s="7">
        <v>4.0</v>
      </c>
      <c r="G815" s="7" t="s">
        <v>61</v>
      </c>
      <c r="H815" s="7" t="s">
        <v>912</v>
      </c>
      <c r="I815" s="7" t="s">
        <v>27</v>
      </c>
    </row>
    <row r="816">
      <c r="A816" s="7" t="s">
        <v>77</v>
      </c>
      <c r="B816" s="7" t="s">
        <v>913</v>
      </c>
      <c r="C816" s="8">
        <f>IFERROR(__xludf.DUMMYFUNCTION("SPLIT(B816,""RM"")"),3890000.0)</f>
        <v>3890000</v>
      </c>
      <c r="D816" s="7" t="s">
        <v>299</v>
      </c>
      <c r="E816" s="7">
        <v>6.0</v>
      </c>
      <c r="F816" s="7">
        <v>4.0</v>
      </c>
      <c r="G816" s="7" t="s">
        <v>736</v>
      </c>
      <c r="H816" s="7" t="s">
        <v>912</v>
      </c>
      <c r="I816" s="7" t="s">
        <v>27</v>
      </c>
    </row>
    <row r="817">
      <c r="A817" s="7" t="s">
        <v>72</v>
      </c>
      <c r="B817" s="7" t="s">
        <v>914</v>
      </c>
      <c r="C817" s="8">
        <f>IFERROR(__xludf.DUMMYFUNCTION("SPLIT(B817,""RM"")"),1470000.0)</f>
        <v>1470000</v>
      </c>
      <c r="D817" s="7">
        <v>3.0</v>
      </c>
      <c r="E817" s="7">
        <v>2.0</v>
      </c>
      <c r="F817" s="7">
        <v>2.0</v>
      </c>
      <c r="G817" s="7" t="s">
        <v>30</v>
      </c>
      <c r="H817" s="7" t="s">
        <v>711</v>
      </c>
      <c r="I817" s="7" t="s">
        <v>22</v>
      </c>
    </row>
    <row r="818">
      <c r="A818" s="7" t="s">
        <v>37</v>
      </c>
      <c r="B818" s="7" t="s">
        <v>85</v>
      </c>
      <c r="C818" s="8">
        <f>IFERROR(__xludf.DUMMYFUNCTION("SPLIT(B818,""RM"")"),1450000.0)</f>
        <v>1450000</v>
      </c>
      <c r="D818" s="7">
        <v>3.0</v>
      </c>
      <c r="E818" s="7">
        <v>2.0</v>
      </c>
      <c r="F818" s="7">
        <v>2.0</v>
      </c>
      <c r="G818" s="7" t="s">
        <v>343</v>
      </c>
      <c r="H818" s="7" t="s">
        <v>344</v>
      </c>
      <c r="I818" s="7" t="s">
        <v>22</v>
      </c>
    </row>
    <row r="819">
      <c r="A819" s="7" t="s">
        <v>89</v>
      </c>
      <c r="B819" s="7" t="s">
        <v>236</v>
      </c>
      <c r="C819" s="8">
        <f>IFERROR(__xludf.DUMMYFUNCTION("SPLIT(B819,""RM"")"),2000000.0)</f>
        <v>2000000</v>
      </c>
      <c r="D819" s="7" t="s">
        <v>35</v>
      </c>
      <c r="E819" s="7">
        <v>6.0</v>
      </c>
      <c r="F819" s="7">
        <v>6.0</v>
      </c>
      <c r="G819" s="7" t="s">
        <v>487</v>
      </c>
      <c r="H819" s="7" t="s">
        <v>915</v>
      </c>
      <c r="I819" s="7" t="s">
        <v>27</v>
      </c>
    </row>
    <row r="820">
      <c r="A820" s="7" t="s">
        <v>33</v>
      </c>
      <c r="B820" s="7" t="s">
        <v>206</v>
      </c>
      <c r="C820" s="8">
        <f>IFERROR(__xludf.DUMMYFUNCTION("SPLIT(B820,""RM"")"),920000.0)</f>
        <v>920000</v>
      </c>
      <c r="D820" s="7" t="s">
        <v>35</v>
      </c>
      <c r="E820" s="7">
        <v>3.0</v>
      </c>
      <c r="F820" s="7">
        <v>2.0</v>
      </c>
      <c r="G820" s="7" t="s">
        <v>83</v>
      </c>
      <c r="H820" s="7" t="s">
        <v>36</v>
      </c>
      <c r="I820" s="7" t="s">
        <v>27</v>
      </c>
    </row>
    <row r="821">
      <c r="A821" s="7" t="s">
        <v>17</v>
      </c>
      <c r="B821" s="7" t="s">
        <v>191</v>
      </c>
      <c r="C821" s="8">
        <f>IFERROR(__xludf.DUMMYFUNCTION("SPLIT(B821,""RM"")"),1000000.0)</f>
        <v>1000000</v>
      </c>
      <c r="D821" s="7">
        <v>1.0</v>
      </c>
      <c r="E821" s="7">
        <v>1.0</v>
      </c>
      <c r="F821" s="7">
        <v>1.0</v>
      </c>
      <c r="G821" s="7" t="s">
        <v>96</v>
      </c>
      <c r="H821" s="7" t="s">
        <v>393</v>
      </c>
      <c r="I821" s="7" t="s">
        <v>27</v>
      </c>
    </row>
    <row r="822">
      <c r="A822" s="7" t="s">
        <v>23</v>
      </c>
      <c r="B822" s="7" t="s">
        <v>916</v>
      </c>
      <c r="C822" s="8">
        <f>IFERROR(__xludf.DUMMYFUNCTION("SPLIT(B822,""RM"")"),7612600.0)</f>
        <v>7612600</v>
      </c>
      <c r="D822" s="7" t="s">
        <v>39</v>
      </c>
      <c r="E822" s="7">
        <v>4.0</v>
      </c>
      <c r="F822" s="7">
        <v>3.0</v>
      </c>
      <c r="G822" s="7" t="s">
        <v>145</v>
      </c>
      <c r="H822" s="7" t="s">
        <v>917</v>
      </c>
      <c r="I822" s="7" t="s">
        <v>27</v>
      </c>
    </row>
    <row r="823">
      <c r="A823" s="7" t="s">
        <v>33</v>
      </c>
      <c r="B823" s="7" t="s">
        <v>34</v>
      </c>
      <c r="C823" s="8">
        <f>IFERROR(__xludf.DUMMYFUNCTION("SPLIT(B823,""RM"")"),900000.0)</f>
        <v>900000</v>
      </c>
      <c r="D823" s="7" t="s">
        <v>35</v>
      </c>
      <c r="E823" s="7">
        <v>3.0</v>
      </c>
      <c r="F823" s="7">
        <v>2.0</v>
      </c>
      <c r="G823" s="7" t="s">
        <v>30</v>
      </c>
      <c r="H823" s="7" t="s">
        <v>36</v>
      </c>
      <c r="I823" s="7" t="s">
        <v>27</v>
      </c>
    </row>
    <row r="824">
      <c r="A824" s="7" t="s">
        <v>33</v>
      </c>
      <c r="B824" s="7" t="s">
        <v>284</v>
      </c>
      <c r="C824" s="8">
        <f>IFERROR(__xludf.DUMMYFUNCTION("SPLIT(B824,""RM"")"),1060000.0)</f>
        <v>1060000</v>
      </c>
      <c r="D824" s="7" t="s">
        <v>35</v>
      </c>
      <c r="E824" s="7">
        <v>3.0</v>
      </c>
      <c r="F824" s="7">
        <v>4.0</v>
      </c>
      <c r="G824" s="7" t="s">
        <v>30</v>
      </c>
      <c r="H824" s="7" t="s">
        <v>137</v>
      </c>
      <c r="I824" s="7" t="s">
        <v>27</v>
      </c>
    </row>
    <row r="825">
      <c r="A825" s="7" t="s">
        <v>100</v>
      </c>
      <c r="B825" s="7" t="s">
        <v>918</v>
      </c>
      <c r="C825" s="8">
        <f>IFERROR(__xludf.DUMMYFUNCTION("SPLIT(B825,""RM"")"),738000.0)</f>
        <v>738000</v>
      </c>
      <c r="D825" s="7">
        <v>4.0</v>
      </c>
      <c r="E825" s="7">
        <v>2.0</v>
      </c>
      <c r="F825" s="7">
        <v>2.0</v>
      </c>
      <c r="G825" s="7" t="s">
        <v>96</v>
      </c>
      <c r="H825" s="7" t="s">
        <v>919</v>
      </c>
      <c r="I825" s="7" t="s">
        <v>27</v>
      </c>
    </row>
    <row r="826">
      <c r="A826" s="7" t="s">
        <v>37</v>
      </c>
      <c r="B826" s="7" t="s">
        <v>239</v>
      </c>
      <c r="C826" s="8">
        <f>IFERROR(__xludf.DUMMYFUNCTION("SPLIT(B826,""RM"")"),1280000.0)</f>
        <v>1280000</v>
      </c>
      <c r="D826" s="7">
        <v>4.0</v>
      </c>
      <c r="E826" s="7">
        <v>3.0</v>
      </c>
      <c r="G826" s="7" t="s">
        <v>54</v>
      </c>
      <c r="H826" s="7" t="s">
        <v>47</v>
      </c>
      <c r="I826" s="7" t="s">
        <v>27</v>
      </c>
    </row>
    <row r="827">
      <c r="A827" s="7" t="s">
        <v>37</v>
      </c>
      <c r="B827" s="7" t="s">
        <v>38</v>
      </c>
      <c r="C827" s="8">
        <f>IFERROR(__xludf.DUMMYFUNCTION("SPLIT(B827,""RM"")"),5350000.0)</f>
        <v>5350000</v>
      </c>
      <c r="D827" s="7" t="s">
        <v>218</v>
      </c>
      <c r="E827" s="7">
        <v>4.0</v>
      </c>
      <c r="G827" s="7" t="s">
        <v>61</v>
      </c>
      <c r="H827" s="7" t="s">
        <v>40</v>
      </c>
      <c r="I827" s="7" t="s">
        <v>27</v>
      </c>
    </row>
    <row r="828">
      <c r="A828" s="7" t="s">
        <v>77</v>
      </c>
      <c r="B828" s="7" t="s">
        <v>920</v>
      </c>
      <c r="C828" s="8">
        <f>IFERROR(__xludf.DUMMYFUNCTION("SPLIT(B828,""RM"")"),3650000.0)</f>
        <v>3650000</v>
      </c>
      <c r="D828" s="7" t="s">
        <v>35</v>
      </c>
      <c r="E828" s="7">
        <v>6.0</v>
      </c>
      <c r="F828" s="7">
        <v>4.0</v>
      </c>
      <c r="G828" s="7" t="s">
        <v>90</v>
      </c>
      <c r="H828" s="7" t="s">
        <v>719</v>
      </c>
      <c r="I828" s="7" t="s">
        <v>22</v>
      </c>
    </row>
    <row r="829">
      <c r="A829" s="7" t="s">
        <v>77</v>
      </c>
      <c r="B829" s="7" t="s">
        <v>403</v>
      </c>
      <c r="C829" s="8">
        <f>IFERROR(__xludf.DUMMYFUNCTION("SPLIT(B829,""RM"")"),1600000.0)</f>
        <v>1600000</v>
      </c>
      <c r="D829" s="7" t="s">
        <v>70</v>
      </c>
      <c r="E829" s="7">
        <v>4.0</v>
      </c>
      <c r="G829" s="7" t="s">
        <v>681</v>
      </c>
      <c r="H829" s="7" t="s">
        <v>283</v>
      </c>
      <c r="I829" s="7" t="s">
        <v>27</v>
      </c>
    </row>
    <row r="830">
      <c r="A830" s="7" t="s">
        <v>17</v>
      </c>
      <c r="B830" s="7" t="s">
        <v>85</v>
      </c>
      <c r="C830" s="8">
        <f>IFERROR(__xludf.DUMMYFUNCTION("SPLIT(B830,""RM"")"),1450000.0)</f>
        <v>1450000</v>
      </c>
      <c r="D830" s="7">
        <v>2.0</v>
      </c>
      <c r="E830" s="7">
        <v>2.0</v>
      </c>
      <c r="F830" s="7">
        <v>1.0</v>
      </c>
      <c r="G830" s="7" t="s">
        <v>83</v>
      </c>
      <c r="H830" s="7" t="s">
        <v>617</v>
      </c>
      <c r="I830" s="7" t="s">
        <v>22</v>
      </c>
    </row>
    <row r="831">
      <c r="A831" s="7" t="s">
        <v>72</v>
      </c>
      <c r="B831" s="7" t="s">
        <v>56</v>
      </c>
      <c r="C831" s="8">
        <f>IFERROR(__xludf.DUMMYFUNCTION("SPLIT(B831,""RM"")"),1700000.0)</f>
        <v>1700000</v>
      </c>
      <c r="D831" s="7" t="s">
        <v>57</v>
      </c>
      <c r="E831" s="7">
        <v>4.0</v>
      </c>
      <c r="G831" s="7" t="s">
        <v>30</v>
      </c>
      <c r="H831" s="7" t="s">
        <v>714</v>
      </c>
      <c r="I831" s="7" t="s">
        <v>27</v>
      </c>
    </row>
    <row r="832">
      <c r="A832" s="7" t="s">
        <v>164</v>
      </c>
      <c r="B832" s="7" t="s">
        <v>134</v>
      </c>
      <c r="C832" s="8">
        <f>IFERROR(__xludf.DUMMYFUNCTION("SPLIT(B832,""RM"")"),1150000.0)</f>
        <v>1150000</v>
      </c>
      <c r="D832" s="7" t="s">
        <v>288</v>
      </c>
      <c r="E832" s="7">
        <v>1.0</v>
      </c>
      <c r="G832" s="7" t="s">
        <v>83</v>
      </c>
      <c r="H832" s="7" t="s">
        <v>621</v>
      </c>
      <c r="I832" s="7" t="s">
        <v>22</v>
      </c>
    </row>
    <row r="833">
      <c r="A833" s="7" t="s">
        <v>164</v>
      </c>
      <c r="B833" s="7" t="s">
        <v>78</v>
      </c>
      <c r="C833" s="8">
        <f>IFERROR(__xludf.DUMMYFUNCTION("SPLIT(B833,""RM"")"),1500000.0)</f>
        <v>1500000</v>
      </c>
      <c r="D833" s="7" t="s">
        <v>57</v>
      </c>
      <c r="E833" s="7">
        <v>3.0</v>
      </c>
      <c r="G833" s="7" t="s">
        <v>30</v>
      </c>
      <c r="H833" s="7" t="s">
        <v>261</v>
      </c>
      <c r="I833" s="7" t="s">
        <v>27</v>
      </c>
    </row>
    <row r="834">
      <c r="A834" s="7" t="s">
        <v>177</v>
      </c>
      <c r="B834" s="7" t="s">
        <v>921</v>
      </c>
      <c r="C834" s="8">
        <f>IFERROR(__xludf.DUMMYFUNCTION("SPLIT(B834,""RM"")"),2990000.0)</f>
        <v>2990000</v>
      </c>
      <c r="D834" s="7" t="s">
        <v>35</v>
      </c>
      <c r="E834" s="7">
        <v>3.0</v>
      </c>
      <c r="F834" s="7">
        <v>3.0</v>
      </c>
      <c r="G834" s="7" t="s">
        <v>46</v>
      </c>
      <c r="H834" s="7" t="s">
        <v>922</v>
      </c>
      <c r="I834" s="7" t="s">
        <v>27</v>
      </c>
    </row>
    <row r="835">
      <c r="A835" s="7" t="s">
        <v>32</v>
      </c>
      <c r="B835" s="7" t="s">
        <v>923</v>
      </c>
      <c r="C835" s="8">
        <f>IFERROR(__xludf.DUMMYFUNCTION("SPLIT(B835,""RM"")"),715000.0)</f>
        <v>715000</v>
      </c>
      <c r="D835" s="7">
        <v>3.0</v>
      </c>
      <c r="E835" s="7">
        <v>2.0</v>
      </c>
      <c r="F835" s="7">
        <v>1.0</v>
      </c>
      <c r="G835" s="7" t="s">
        <v>93</v>
      </c>
      <c r="H835" s="7" t="s">
        <v>924</v>
      </c>
      <c r="I835" s="7" t="s">
        <v>22</v>
      </c>
    </row>
    <row r="836">
      <c r="A836" s="7" t="s">
        <v>371</v>
      </c>
      <c r="B836" s="7" t="s">
        <v>599</v>
      </c>
      <c r="C836" s="8">
        <f>IFERROR(__xludf.DUMMYFUNCTION("SPLIT(B836,""RM"")"),950000.0)</f>
        <v>950000</v>
      </c>
      <c r="D836" s="7">
        <v>3.0</v>
      </c>
      <c r="E836" s="7">
        <v>3.0</v>
      </c>
      <c r="F836" s="7">
        <v>2.0</v>
      </c>
      <c r="G836" s="7" t="s">
        <v>83</v>
      </c>
      <c r="H836" s="7" t="s">
        <v>925</v>
      </c>
      <c r="I836" s="7" t="s">
        <v>27</v>
      </c>
    </row>
    <row r="837">
      <c r="A837" s="7" t="s">
        <v>72</v>
      </c>
      <c r="B837" s="7" t="s">
        <v>658</v>
      </c>
      <c r="C837" s="8">
        <f>IFERROR(__xludf.DUMMYFUNCTION("SPLIT(B837,""RM"")"),2650000.0)</f>
        <v>2650000</v>
      </c>
      <c r="D837" s="7">
        <v>5.0</v>
      </c>
      <c r="E837" s="7">
        <v>5.0</v>
      </c>
      <c r="G837" s="7" t="s">
        <v>93</v>
      </c>
      <c r="H837" s="7" t="s">
        <v>926</v>
      </c>
      <c r="I837" s="7" t="s">
        <v>22</v>
      </c>
    </row>
    <row r="838">
      <c r="A838" s="7" t="s">
        <v>23</v>
      </c>
      <c r="B838" s="7" t="s">
        <v>281</v>
      </c>
      <c r="C838" s="8">
        <f>IFERROR(__xludf.DUMMYFUNCTION("SPLIT(B838,""RM"")"),2500000.0)</f>
        <v>2500000</v>
      </c>
      <c r="D838" s="7">
        <v>4.0</v>
      </c>
      <c r="E838" s="7">
        <v>3.0</v>
      </c>
      <c r="F838" s="7">
        <v>3.0</v>
      </c>
      <c r="G838" s="7" t="s">
        <v>184</v>
      </c>
      <c r="H838" s="7" t="s">
        <v>927</v>
      </c>
      <c r="I838" s="7" t="s">
        <v>27</v>
      </c>
    </row>
    <row r="839">
      <c r="A839" s="7" t="s">
        <v>23</v>
      </c>
      <c r="B839" s="7" t="s">
        <v>174</v>
      </c>
      <c r="C839" s="8">
        <f>IFERROR(__xludf.DUMMYFUNCTION("SPLIT(B839,""RM"")"),3000000.0)</f>
        <v>3000000</v>
      </c>
      <c r="D839" s="7">
        <v>5.0</v>
      </c>
      <c r="E839" s="7">
        <v>4.0</v>
      </c>
      <c r="F839" s="7">
        <v>4.0</v>
      </c>
      <c r="G839" s="7" t="s">
        <v>43</v>
      </c>
      <c r="H839" s="7" t="s">
        <v>928</v>
      </c>
      <c r="I839" s="7" t="s">
        <v>27</v>
      </c>
    </row>
    <row r="840">
      <c r="A840" s="7" t="s">
        <v>23</v>
      </c>
      <c r="B840" s="7" t="s">
        <v>429</v>
      </c>
      <c r="C840" s="8">
        <f>IFERROR(__xludf.DUMMYFUNCTION("SPLIT(B840,""RM"")"),3680000.0)</f>
        <v>3680000</v>
      </c>
      <c r="D840" s="7">
        <v>7.0</v>
      </c>
      <c r="E840" s="7">
        <v>6.0</v>
      </c>
      <c r="F840" s="7">
        <v>6.0</v>
      </c>
      <c r="G840" s="7" t="s">
        <v>25</v>
      </c>
      <c r="H840" s="7" t="s">
        <v>430</v>
      </c>
    </row>
    <row r="841">
      <c r="A841" s="7" t="s">
        <v>77</v>
      </c>
      <c r="B841" s="7" t="s">
        <v>110</v>
      </c>
      <c r="C841" s="8">
        <f>IFERROR(__xludf.DUMMYFUNCTION("SPLIT(B841,""RM"")"),2400000.0)</f>
        <v>2400000</v>
      </c>
      <c r="D841" s="7">
        <v>6.0</v>
      </c>
      <c r="E841" s="7">
        <v>5.0</v>
      </c>
      <c r="F841" s="7">
        <v>5.0</v>
      </c>
      <c r="G841" s="7" t="s">
        <v>562</v>
      </c>
      <c r="H841" s="7" t="s">
        <v>211</v>
      </c>
      <c r="I841" s="7" t="s">
        <v>27</v>
      </c>
    </row>
    <row r="842">
      <c r="A842" s="7" t="s">
        <v>77</v>
      </c>
      <c r="B842" s="7" t="s">
        <v>306</v>
      </c>
      <c r="C842" s="8">
        <f>IFERROR(__xludf.DUMMYFUNCTION("SPLIT(B842,""RM"")"),1990000.0)</f>
        <v>1990000</v>
      </c>
      <c r="D842" s="7" t="s">
        <v>70</v>
      </c>
      <c r="E842" s="7">
        <v>6.0</v>
      </c>
      <c r="F842" s="7">
        <v>2.0</v>
      </c>
      <c r="G842" s="7" t="s">
        <v>169</v>
      </c>
      <c r="H842" s="7" t="s">
        <v>911</v>
      </c>
      <c r="I842" s="7" t="s">
        <v>22</v>
      </c>
    </row>
    <row r="843">
      <c r="A843" s="7" t="s">
        <v>77</v>
      </c>
      <c r="B843" s="7" t="s">
        <v>399</v>
      </c>
      <c r="C843" s="8">
        <f>IFERROR(__xludf.DUMMYFUNCTION("SPLIT(B843,""RM"")"),1750000.0)</f>
        <v>1750000</v>
      </c>
      <c r="D843" s="7" t="s">
        <v>57</v>
      </c>
      <c r="E843" s="7">
        <v>3.0</v>
      </c>
      <c r="F843" s="7">
        <v>2.0</v>
      </c>
      <c r="G843" s="7" t="s">
        <v>54</v>
      </c>
      <c r="H843" s="7" t="s">
        <v>283</v>
      </c>
    </row>
    <row r="844">
      <c r="A844" s="7" t="s">
        <v>33</v>
      </c>
      <c r="B844" s="7" t="s">
        <v>34</v>
      </c>
      <c r="C844" s="8">
        <f>IFERROR(__xludf.DUMMYFUNCTION("SPLIT(B844,""RM"")"),900000.0)</f>
        <v>900000</v>
      </c>
      <c r="D844" s="7" t="s">
        <v>35</v>
      </c>
      <c r="E844" s="7">
        <v>3.0</v>
      </c>
      <c r="F844" s="7">
        <v>3.0</v>
      </c>
      <c r="G844" s="7" t="s">
        <v>30</v>
      </c>
      <c r="H844" s="7" t="s">
        <v>36</v>
      </c>
      <c r="I844" s="7" t="s">
        <v>27</v>
      </c>
    </row>
    <row r="845">
      <c r="A845" s="7" t="s">
        <v>17</v>
      </c>
      <c r="B845" s="7" t="s">
        <v>18</v>
      </c>
      <c r="C845" s="8">
        <f>IFERROR(__xludf.DUMMYFUNCTION("SPLIT(B845,""RM"")"),1250000.0)</f>
        <v>1250000</v>
      </c>
      <c r="D845" s="7" t="s">
        <v>197</v>
      </c>
      <c r="E845" s="7">
        <v>1.0</v>
      </c>
      <c r="F845" s="7">
        <v>1.0</v>
      </c>
      <c r="G845" s="7" t="s">
        <v>121</v>
      </c>
      <c r="H845" s="7" t="s">
        <v>140</v>
      </c>
      <c r="I845" s="7" t="s">
        <v>22</v>
      </c>
    </row>
    <row r="846">
      <c r="A846" s="7" t="s">
        <v>33</v>
      </c>
      <c r="B846" s="7" t="s">
        <v>229</v>
      </c>
      <c r="C846" s="8">
        <f>IFERROR(__xludf.DUMMYFUNCTION("SPLIT(B846,""RM"")"),1050000.0)</f>
        <v>1050000</v>
      </c>
      <c r="D846" s="7" t="s">
        <v>35</v>
      </c>
      <c r="E846" s="7">
        <v>3.0</v>
      </c>
      <c r="F846" s="7">
        <v>4.0</v>
      </c>
      <c r="G846" s="7" t="s">
        <v>30</v>
      </c>
      <c r="H846" s="7" t="s">
        <v>137</v>
      </c>
      <c r="I846" s="7" t="s">
        <v>27</v>
      </c>
    </row>
    <row r="847">
      <c r="A847" s="7" t="s">
        <v>37</v>
      </c>
      <c r="B847" s="7" t="s">
        <v>523</v>
      </c>
      <c r="C847" s="8">
        <f>IFERROR(__xludf.DUMMYFUNCTION("SPLIT(B847,""RM"")"),6000000.0)</f>
        <v>6000000</v>
      </c>
      <c r="D847" s="7">
        <v>5.0</v>
      </c>
      <c r="E847" s="7">
        <v>4.0</v>
      </c>
      <c r="G847" s="7" t="s">
        <v>25</v>
      </c>
      <c r="H847" s="7" t="s">
        <v>696</v>
      </c>
      <c r="I847" s="7" t="s">
        <v>27</v>
      </c>
    </row>
    <row r="848">
      <c r="A848" s="7" t="s">
        <v>32</v>
      </c>
      <c r="B848" s="7" t="s">
        <v>139</v>
      </c>
      <c r="C848" s="8">
        <f>IFERROR(__xludf.DUMMYFUNCTION("SPLIT(B848,""RM"")"),780000.0)</f>
        <v>780000</v>
      </c>
      <c r="D848" s="7">
        <v>1.0</v>
      </c>
      <c r="E848" s="7">
        <v>1.0</v>
      </c>
      <c r="F848" s="7">
        <v>1.0</v>
      </c>
      <c r="G848" s="7" t="s">
        <v>50</v>
      </c>
      <c r="H848" s="7" t="s">
        <v>929</v>
      </c>
      <c r="I848" s="7" t="s">
        <v>22</v>
      </c>
    </row>
    <row r="849">
      <c r="A849" s="7" t="s">
        <v>17</v>
      </c>
      <c r="B849" s="7" t="s">
        <v>243</v>
      </c>
      <c r="C849" s="8">
        <f>IFERROR(__xludf.DUMMYFUNCTION("SPLIT(B849,""RM"")"),1350000.0)</f>
        <v>1350000</v>
      </c>
      <c r="D849" s="7">
        <v>2.0</v>
      </c>
      <c r="E849" s="7">
        <v>2.0</v>
      </c>
      <c r="F849" s="7">
        <v>2.0</v>
      </c>
      <c r="G849" s="7" t="s">
        <v>30</v>
      </c>
      <c r="H849" s="7" t="s">
        <v>930</v>
      </c>
      <c r="I849" s="7" t="s">
        <v>22</v>
      </c>
    </row>
    <row r="850">
      <c r="A850" s="7" t="s">
        <v>23</v>
      </c>
      <c r="B850" s="7" t="s">
        <v>658</v>
      </c>
      <c r="C850" s="8">
        <f>IFERROR(__xludf.DUMMYFUNCTION("SPLIT(B850,""RM"")"),2650000.0)</f>
        <v>2650000</v>
      </c>
      <c r="D850" s="7" t="s">
        <v>57</v>
      </c>
      <c r="E850" s="7">
        <v>4.0</v>
      </c>
      <c r="F850" s="7">
        <v>3.0</v>
      </c>
      <c r="G850" s="7" t="s">
        <v>20</v>
      </c>
      <c r="H850" s="7" t="s">
        <v>659</v>
      </c>
      <c r="I850" s="7" t="s">
        <v>27</v>
      </c>
    </row>
    <row r="851">
      <c r="A851" s="7" t="s">
        <v>155</v>
      </c>
      <c r="B851" s="7" t="s">
        <v>520</v>
      </c>
      <c r="C851" s="8">
        <f>IFERROR(__xludf.DUMMYFUNCTION("SPLIT(B851,""RM"")"),320000.0)</f>
        <v>320000</v>
      </c>
      <c r="D851" s="7">
        <v>4.0</v>
      </c>
      <c r="E851" s="7">
        <v>2.0</v>
      </c>
      <c r="F851" s="7">
        <v>2.0</v>
      </c>
      <c r="G851" s="7" t="s">
        <v>20</v>
      </c>
      <c r="I851" s="7" t="s">
        <v>27</v>
      </c>
    </row>
    <row r="852">
      <c r="A852" s="7" t="s">
        <v>72</v>
      </c>
      <c r="B852" s="7" t="s">
        <v>931</v>
      </c>
      <c r="C852" s="8">
        <f>IFERROR(__xludf.DUMMYFUNCTION("SPLIT(B852,""RM"")"),2450000.0)</f>
        <v>2450000</v>
      </c>
      <c r="D852" s="7" t="s">
        <v>35</v>
      </c>
      <c r="E852" s="7">
        <v>4.0</v>
      </c>
      <c r="F852" s="7">
        <v>3.0</v>
      </c>
      <c r="G852" s="7" t="s">
        <v>30</v>
      </c>
      <c r="H852" s="7" t="s">
        <v>176</v>
      </c>
      <c r="I852" s="7" t="s">
        <v>27</v>
      </c>
    </row>
    <row r="853">
      <c r="A853" s="7" t="s">
        <v>23</v>
      </c>
      <c r="B853" s="7" t="s">
        <v>513</v>
      </c>
      <c r="C853" s="8">
        <f>IFERROR(__xludf.DUMMYFUNCTION("SPLIT(B853,""RM"")"),1.2E7)</f>
        <v>12000000</v>
      </c>
      <c r="D853" s="7">
        <v>6.0</v>
      </c>
      <c r="E853" s="7">
        <v>7.0</v>
      </c>
      <c r="G853" s="7" t="s">
        <v>25</v>
      </c>
      <c r="H853" s="7" t="s">
        <v>932</v>
      </c>
    </row>
    <row r="854">
      <c r="A854" s="7" t="s">
        <v>17</v>
      </c>
      <c r="B854" s="7" t="s">
        <v>311</v>
      </c>
      <c r="C854" s="8">
        <f>IFERROR(__xludf.DUMMYFUNCTION("SPLIT(B854,""RM"")"),1100000.0)</f>
        <v>1100000</v>
      </c>
      <c r="D854" s="7" t="s">
        <v>19</v>
      </c>
      <c r="E854" s="7">
        <v>2.0</v>
      </c>
      <c r="G854" s="7" t="s">
        <v>121</v>
      </c>
      <c r="H854" s="7" t="s">
        <v>687</v>
      </c>
      <c r="I854" s="7" t="s">
        <v>22</v>
      </c>
    </row>
    <row r="855">
      <c r="A855" s="7" t="s">
        <v>72</v>
      </c>
      <c r="B855" s="7" t="s">
        <v>655</v>
      </c>
      <c r="C855" s="8">
        <f>IFERROR(__xludf.DUMMYFUNCTION("SPLIT(B855,""RM"")"),2550000.0)</f>
        <v>2550000</v>
      </c>
      <c r="D855" s="7" t="s">
        <v>35</v>
      </c>
      <c r="E855" s="7">
        <v>6.0</v>
      </c>
      <c r="F855" s="7">
        <v>3.0</v>
      </c>
      <c r="G855" s="7" t="s">
        <v>83</v>
      </c>
      <c r="H855" s="7" t="s">
        <v>933</v>
      </c>
      <c r="I855" s="7" t="s">
        <v>27</v>
      </c>
    </row>
    <row r="856">
      <c r="A856" s="7" t="s">
        <v>89</v>
      </c>
      <c r="B856" s="7" t="s">
        <v>243</v>
      </c>
      <c r="C856" s="8">
        <f>IFERROR(__xludf.DUMMYFUNCTION("SPLIT(B856,""RM"")"),1350000.0)</f>
        <v>1350000</v>
      </c>
      <c r="D856" s="7">
        <v>6.0</v>
      </c>
      <c r="E856" s="7">
        <v>5.0</v>
      </c>
      <c r="F856" s="7">
        <v>2.0</v>
      </c>
      <c r="G856" s="7" t="s">
        <v>90</v>
      </c>
      <c r="H856" s="7" t="s">
        <v>129</v>
      </c>
      <c r="I856" s="7" t="s">
        <v>22</v>
      </c>
    </row>
    <row r="857">
      <c r="A857" s="7" t="s">
        <v>37</v>
      </c>
      <c r="B857" s="7" t="s">
        <v>78</v>
      </c>
      <c r="C857" s="8">
        <f>IFERROR(__xludf.DUMMYFUNCTION("SPLIT(B857,""RM"")"),1500000.0)</f>
        <v>1500000</v>
      </c>
      <c r="D857" s="7">
        <v>4.0</v>
      </c>
      <c r="E857" s="7">
        <v>3.0</v>
      </c>
      <c r="F857" s="7">
        <v>3.0</v>
      </c>
      <c r="G857" s="7" t="s">
        <v>54</v>
      </c>
      <c r="H857" s="7" t="s">
        <v>280</v>
      </c>
      <c r="I857" s="7" t="s">
        <v>27</v>
      </c>
    </row>
    <row r="858">
      <c r="A858" s="7" t="s">
        <v>33</v>
      </c>
      <c r="B858" s="7" t="s">
        <v>138</v>
      </c>
      <c r="C858" s="8">
        <f>IFERROR(__xludf.DUMMYFUNCTION("SPLIT(B858,""RM"")"),930000.0)</f>
        <v>930000</v>
      </c>
      <c r="D858" s="7" t="s">
        <v>35</v>
      </c>
      <c r="E858" s="7">
        <v>4.0</v>
      </c>
      <c r="F858" s="7">
        <v>2.0</v>
      </c>
      <c r="G858" s="7" t="s">
        <v>83</v>
      </c>
      <c r="H858" s="7" t="s">
        <v>36</v>
      </c>
      <c r="I858" s="7" t="s">
        <v>27</v>
      </c>
    </row>
    <row r="859">
      <c r="A859" s="7" t="s">
        <v>32</v>
      </c>
      <c r="B859" s="7" t="s">
        <v>677</v>
      </c>
      <c r="C859" s="8">
        <f>IFERROR(__xludf.DUMMYFUNCTION("SPLIT(B859,""RM"")"),535000.0)</f>
        <v>535000</v>
      </c>
      <c r="D859" s="7">
        <v>1.0</v>
      </c>
      <c r="E859" s="7">
        <v>1.0</v>
      </c>
      <c r="F859" s="7">
        <v>1.0</v>
      </c>
      <c r="G859" s="7" t="s">
        <v>82</v>
      </c>
      <c r="H859" s="7" t="s">
        <v>678</v>
      </c>
      <c r="I859" s="7" t="s">
        <v>27</v>
      </c>
    </row>
    <row r="860">
      <c r="A860" s="7" t="s">
        <v>17</v>
      </c>
      <c r="B860" s="7" t="s">
        <v>110</v>
      </c>
      <c r="C860" s="8">
        <f>IFERROR(__xludf.DUMMYFUNCTION("SPLIT(B860,""RM"")"),2400000.0)</f>
        <v>2400000</v>
      </c>
      <c r="D860" s="7">
        <v>2.0</v>
      </c>
      <c r="E860" s="7">
        <v>2.0</v>
      </c>
      <c r="F860" s="7">
        <v>1.0</v>
      </c>
      <c r="G860" s="7" t="s">
        <v>82</v>
      </c>
      <c r="H860" s="7" t="s">
        <v>111</v>
      </c>
      <c r="I860" s="7" t="s">
        <v>22</v>
      </c>
    </row>
    <row r="861">
      <c r="A861" s="7" t="s">
        <v>262</v>
      </c>
      <c r="B861" s="7" t="s">
        <v>934</v>
      </c>
      <c r="C861" s="8">
        <f>IFERROR(__xludf.DUMMYFUNCTION("SPLIT(B861,""RM"")"),1.18E7)</f>
        <v>11800000</v>
      </c>
      <c r="D861" s="7">
        <v>7.0</v>
      </c>
      <c r="E861" s="7">
        <v>8.0</v>
      </c>
      <c r="F861" s="7">
        <v>6.0</v>
      </c>
      <c r="G861" s="7" t="s">
        <v>67</v>
      </c>
      <c r="H861" s="7" t="s">
        <v>935</v>
      </c>
      <c r="I861" s="7" t="s">
        <v>22</v>
      </c>
    </row>
    <row r="862">
      <c r="A862" s="7" t="s">
        <v>17</v>
      </c>
      <c r="B862" s="7" t="s">
        <v>18</v>
      </c>
      <c r="C862" s="8">
        <f>IFERROR(__xludf.DUMMYFUNCTION("SPLIT(B862,""RM"")"),1250000.0)</f>
        <v>1250000</v>
      </c>
      <c r="D862" s="7">
        <v>1.0</v>
      </c>
      <c r="E862" s="7">
        <v>1.0</v>
      </c>
      <c r="F862" s="7">
        <v>1.0</v>
      </c>
      <c r="G862" s="7" t="s">
        <v>20</v>
      </c>
      <c r="H862" s="7" t="s">
        <v>392</v>
      </c>
      <c r="I862" s="7" t="s">
        <v>22</v>
      </c>
    </row>
    <row r="863">
      <c r="A863" s="7" t="s">
        <v>33</v>
      </c>
      <c r="B863" s="7" t="s">
        <v>132</v>
      </c>
      <c r="C863" s="8">
        <f>IFERROR(__xludf.DUMMYFUNCTION("SPLIT(B863,""RM"")"),1080000.0)</f>
        <v>1080000</v>
      </c>
      <c r="D863" s="7" t="s">
        <v>35</v>
      </c>
      <c r="E863" s="7">
        <v>3.0</v>
      </c>
      <c r="G863" s="7" t="s">
        <v>83</v>
      </c>
      <c r="H863" s="7" t="s">
        <v>137</v>
      </c>
    </row>
    <row r="864">
      <c r="A864" s="7" t="s">
        <v>72</v>
      </c>
      <c r="B864" s="7" t="s">
        <v>85</v>
      </c>
      <c r="C864" s="8">
        <f>IFERROR(__xludf.DUMMYFUNCTION("SPLIT(B864,""RM"")"),1450000.0)</f>
        <v>1450000</v>
      </c>
      <c r="D864" s="7" t="s">
        <v>57</v>
      </c>
      <c r="E864" s="7">
        <v>4.0</v>
      </c>
      <c r="F864" s="7">
        <v>2.0</v>
      </c>
      <c r="G864" s="7" t="s">
        <v>30</v>
      </c>
      <c r="H864" s="7" t="s">
        <v>334</v>
      </c>
      <c r="I864" s="7" t="s">
        <v>27</v>
      </c>
    </row>
    <row r="865">
      <c r="A865" s="7" t="s">
        <v>33</v>
      </c>
      <c r="B865" s="7" t="s">
        <v>936</v>
      </c>
      <c r="C865" s="8">
        <f>IFERROR(__xludf.DUMMYFUNCTION("SPLIT(B865,""RM"")"),940000.0)</f>
        <v>940000</v>
      </c>
      <c r="D865" s="7" t="s">
        <v>35</v>
      </c>
      <c r="E865" s="7">
        <v>3.0</v>
      </c>
      <c r="F865" s="7">
        <v>3.0</v>
      </c>
      <c r="G865" s="7" t="s">
        <v>30</v>
      </c>
      <c r="H865" s="7" t="s">
        <v>36</v>
      </c>
      <c r="I865" s="7" t="s">
        <v>27</v>
      </c>
    </row>
    <row r="866">
      <c r="A866" s="7" t="s">
        <v>28</v>
      </c>
      <c r="B866" s="7" t="s">
        <v>134</v>
      </c>
      <c r="C866" s="8">
        <f>IFERROR(__xludf.DUMMYFUNCTION("SPLIT(B866,""RM"")"),1150000.0)</f>
        <v>1150000</v>
      </c>
      <c r="D866" s="7">
        <v>2.0</v>
      </c>
      <c r="E866" s="7">
        <v>2.0</v>
      </c>
      <c r="F866" s="7">
        <v>1.0</v>
      </c>
      <c r="G866" s="7" t="s">
        <v>20</v>
      </c>
      <c r="H866" s="7" t="s">
        <v>937</v>
      </c>
      <c r="I866" s="7" t="s">
        <v>22</v>
      </c>
    </row>
    <row r="867">
      <c r="A867" s="7" t="s">
        <v>72</v>
      </c>
      <c r="B867" s="7" t="s">
        <v>172</v>
      </c>
      <c r="C867" s="8">
        <f>IFERROR(__xludf.DUMMYFUNCTION("SPLIT(B867,""RM"")"),580000.0)</f>
        <v>580000</v>
      </c>
      <c r="D867" s="7" t="s">
        <v>325</v>
      </c>
      <c r="E867" s="7">
        <v>1.0</v>
      </c>
      <c r="F867" s="7">
        <v>1.0</v>
      </c>
      <c r="G867" s="7" t="s">
        <v>20</v>
      </c>
      <c r="H867" s="7" t="s">
        <v>685</v>
      </c>
    </row>
    <row r="868">
      <c r="A868" s="7" t="s">
        <v>72</v>
      </c>
      <c r="B868" s="7" t="s">
        <v>603</v>
      </c>
      <c r="C868" s="8">
        <f>IFERROR(__xludf.DUMMYFUNCTION("SPLIT(B868,""RM"")"),628000.0)</f>
        <v>628000</v>
      </c>
      <c r="D868" s="7">
        <v>1.0</v>
      </c>
      <c r="E868" s="7">
        <v>1.0</v>
      </c>
      <c r="F868" s="7">
        <v>1.0</v>
      </c>
      <c r="G868" s="7" t="s">
        <v>938</v>
      </c>
      <c r="H868" s="7" t="s">
        <v>939</v>
      </c>
    </row>
    <row r="869">
      <c r="A869" s="7" t="s">
        <v>23</v>
      </c>
      <c r="B869" s="7" t="s">
        <v>940</v>
      </c>
      <c r="C869" s="8">
        <f>IFERROR(__xludf.DUMMYFUNCTION("SPLIT(B869,""RM"")"),4300000.0)</f>
        <v>4300000</v>
      </c>
      <c r="F869" s="7">
        <v>3.0</v>
      </c>
      <c r="G869" s="7" t="s">
        <v>43</v>
      </c>
      <c r="H869" s="7" t="s">
        <v>941</v>
      </c>
      <c r="I869" s="7" t="s">
        <v>27</v>
      </c>
    </row>
    <row r="870">
      <c r="A870" s="7" t="s">
        <v>177</v>
      </c>
      <c r="B870" s="7" t="s">
        <v>309</v>
      </c>
      <c r="C870" s="8">
        <f>IFERROR(__xludf.DUMMYFUNCTION("SPLIT(B870,""RM"")"),2100000.0)</f>
        <v>2100000</v>
      </c>
      <c r="D870" s="7" t="s">
        <v>35</v>
      </c>
      <c r="E870" s="7">
        <v>3.0</v>
      </c>
      <c r="F870" s="7">
        <v>2.0</v>
      </c>
      <c r="G870" s="7" t="s">
        <v>54</v>
      </c>
      <c r="H870" s="7" t="s">
        <v>942</v>
      </c>
      <c r="I870" s="7" t="s">
        <v>27</v>
      </c>
    </row>
    <row r="871">
      <c r="A871" s="7" t="s">
        <v>23</v>
      </c>
      <c r="B871" s="7" t="s">
        <v>943</v>
      </c>
      <c r="C871" s="8">
        <f>IFERROR(__xludf.DUMMYFUNCTION("SPLIT(B871,""RM"")"),4680000.0)</f>
        <v>4680000</v>
      </c>
      <c r="D871" s="7" t="s">
        <v>39</v>
      </c>
      <c r="E871" s="7">
        <v>4.0</v>
      </c>
      <c r="F871" s="7">
        <v>4.0</v>
      </c>
      <c r="G871" s="7" t="s">
        <v>43</v>
      </c>
      <c r="H871" s="7" t="s">
        <v>944</v>
      </c>
      <c r="I871" s="7" t="s">
        <v>27</v>
      </c>
    </row>
    <row r="872">
      <c r="A872" s="7" t="s">
        <v>17</v>
      </c>
      <c r="B872" s="7" t="s">
        <v>945</v>
      </c>
      <c r="C872" s="8">
        <f>IFERROR(__xludf.DUMMYFUNCTION("SPLIT(B872,""RM"")"),2761000.0)</f>
        <v>2761000</v>
      </c>
      <c r="D872" s="7">
        <v>1.0</v>
      </c>
      <c r="E872" s="7">
        <v>2.0</v>
      </c>
      <c r="F872" s="7">
        <v>1.0</v>
      </c>
      <c r="G872" s="7" t="s">
        <v>20</v>
      </c>
      <c r="H872" s="7" t="s">
        <v>126</v>
      </c>
      <c r="I872" s="7" t="s">
        <v>27</v>
      </c>
    </row>
    <row r="873">
      <c r="A873" s="7" t="s">
        <v>72</v>
      </c>
      <c r="B873" s="7" t="s">
        <v>311</v>
      </c>
      <c r="C873" s="8">
        <f>IFERROR(__xludf.DUMMYFUNCTION("SPLIT(B873,""RM"")"),1100000.0)</f>
        <v>1100000</v>
      </c>
      <c r="D873" s="7" t="s">
        <v>57</v>
      </c>
      <c r="E873" s="7">
        <v>3.0</v>
      </c>
      <c r="F873" s="7">
        <v>2.0</v>
      </c>
      <c r="G873" s="7" t="s">
        <v>83</v>
      </c>
      <c r="H873" s="7" t="s">
        <v>135</v>
      </c>
      <c r="I873" s="7" t="s">
        <v>27</v>
      </c>
    </row>
    <row r="874">
      <c r="A874" s="7" t="s">
        <v>33</v>
      </c>
      <c r="B874" s="7" t="s">
        <v>534</v>
      </c>
      <c r="C874" s="8">
        <f>IFERROR(__xludf.DUMMYFUNCTION("SPLIT(B874,""RM"")"),3200000.0)</f>
        <v>3200000</v>
      </c>
      <c r="D874" s="7" t="s">
        <v>60</v>
      </c>
      <c r="E874" s="7">
        <v>7.0</v>
      </c>
      <c r="F874" s="7">
        <v>5.0</v>
      </c>
      <c r="G874" s="7" t="s">
        <v>61</v>
      </c>
      <c r="H874" s="7" t="s">
        <v>946</v>
      </c>
      <c r="I874" s="7" t="s">
        <v>27</v>
      </c>
    </row>
    <row r="875">
      <c r="A875" s="7" t="s">
        <v>104</v>
      </c>
      <c r="B875" s="7" t="s">
        <v>947</v>
      </c>
      <c r="C875" s="8">
        <f>IFERROR(__xludf.DUMMYFUNCTION("SPLIT(B875,""RM"")"),528000.0)</f>
        <v>528000</v>
      </c>
      <c r="D875" s="7">
        <v>3.0</v>
      </c>
      <c r="E875" s="7">
        <v>2.0</v>
      </c>
      <c r="F875" s="7">
        <v>2.0</v>
      </c>
      <c r="G875" s="7" t="s">
        <v>96</v>
      </c>
      <c r="H875" s="7" t="s">
        <v>948</v>
      </c>
      <c r="I875" s="7" t="s">
        <v>27</v>
      </c>
    </row>
    <row r="876">
      <c r="A876" s="7" t="s">
        <v>17</v>
      </c>
      <c r="B876" s="7" t="s">
        <v>214</v>
      </c>
      <c r="C876" s="8">
        <f>IFERROR(__xludf.DUMMYFUNCTION("SPLIT(B876,""RM"")"),1180000.0)</f>
        <v>1180000</v>
      </c>
      <c r="D876" s="7" t="s">
        <v>197</v>
      </c>
      <c r="E876" s="7">
        <v>1.0</v>
      </c>
      <c r="G876" s="7" t="s">
        <v>20</v>
      </c>
      <c r="H876" s="7" t="s">
        <v>949</v>
      </c>
      <c r="I876" s="7" t="s">
        <v>22</v>
      </c>
    </row>
    <row r="877">
      <c r="A877" s="7" t="s">
        <v>33</v>
      </c>
      <c r="B877" s="7" t="s">
        <v>637</v>
      </c>
      <c r="C877" s="8">
        <f>IFERROR(__xludf.DUMMYFUNCTION("SPLIT(B877,""RM"")"),928000.0)</f>
        <v>928000</v>
      </c>
      <c r="D877" s="7" t="s">
        <v>35</v>
      </c>
      <c r="E877" s="7">
        <v>3.0</v>
      </c>
      <c r="F877" s="7">
        <v>2.0</v>
      </c>
      <c r="G877" s="7" t="s">
        <v>93</v>
      </c>
      <c r="H877" s="7" t="s">
        <v>36</v>
      </c>
      <c r="I877" s="7" t="s">
        <v>27</v>
      </c>
    </row>
    <row r="878">
      <c r="A878" s="7" t="s">
        <v>33</v>
      </c>
      <c r="B878" s="7" t="s">
        <v>311</v>
      </c>
      <c r="C878" s="8">
        <f>IFERROR(__xludf.DUMMYFUNCTION("SPLIT(B878,""RM"")"),1100000.0)</f>
        <v>1100000</v>
      </c>
      <c r="D878" s="7" t="s">
        <v>35</v>
      </c>
      <c r="E878" s="7">
        <v>4.0</v>
      </c>
      <c r="F878" s="7">
        <v>4.0</v>
      </c>
      <c r="G878" s="7" t="s">
        <v>30</v>
      </c>
      <c r="H878" s="7" t="s">
        <v>137</v>
      </c>
      <c r="I878" s="7" t="s">
        <v>27</v>
      </c>
    </row>
    <row r="879">
      <c r="A879" s="7" t="s">
        <v>100</v>
      </c>
      <c r="B879" s="7" t="s">
        <v>289</v>
      </c>
      <c r="C879" s="8">
        <f>IFERROR(__xludf.DUMMYFUNCTION("SPLIT(B879,""RM"")"),509000.0)</f>
        <v>509000</v>
      </c>
      <c r="D879" s="7">
        <v>2.0</v>
      </c>
      <c r="E879" s="7">
        <v>2.0</v>
      </c>
      <c r="F879" s="7">
        <v>1.0</v>
      </c>
      <c r="G879" s="7" t="s">
        <v>20</v>
      </c>
      <c r="H879" s="7" t="s">
        <v>198</v>
      </c>
    </row>
    <row r="880">
      <c r="A880" s="7" t="s">
        <v>72</v>
      </c>
      <c r="B880" s="7" t="s">
        <v>950</v>
      </c>
      <c r="C880" s="8">
        <f>IFERROR(__xludf.DUMMYFUNCTION("SPLIT(B880,""RM"")"),1668000.0)</f>
        <v>1668000</v>
      </c>
      <c r="D880" s="7">
        <v>4.0</v>
      </c>
      <c r="E880" s="7">
        <v>4.0</v>
      </c>
      <c r="F880" s="7">
        <v>2.0</v>
      </c>
      <c r="G880" s="7" t="s">
        <v>30</v>
      </c>
      <c r="H880" s="7" t="s">
        <v>99</v>
      </c>
      <c r="I880" s="7" t="s">
        <v>27</v>
      </c>
    </row>
    <row r="881">
      <c r="A881" s="7" t="s">
        <v>104</v>
      </c>
      <c r="B881" s="7" t="s">
        <v>951</v>
      </c>
      <c r="C881" s="8">
        <f>IFERROR(__xludf.DUMMYFUNCTION("SPLIT(B881,""RM"")"),415000.0)</f>
        <v>415000</v>
      </c>
      <c r="D881" s="7">
        <v>4.0</v>
      </c>
      <c r="E881" s="7">
        <v>2.0</v>
      </c>
      <c r="F881" s="7">
        <v>2.0</v>
      </c>
      <c r="G881" s="7" t="s">
        <v>93</v>
      </c>
      <c r="H881" s="7" t="s">
        <v>901</v>
      </c>
      <c r="I881" s="7" t="s">
        <v>103</v>
      </c>
    </row>
    <row r="882">
      <c r="A882" s="7" t="s">
        <v>37</v>
      </c>
      <c r="B882" s="7" t="s">
        <v>42</v>
      </c>
      <c r="C882" s="8">
        <f>IFERROR(__xludf.DUMMYFUNCTION("SPLIT(B882,""RM"")"),2600000.0)</f>
        <v>2600000</v>
      </c>
      <c r="D882" s="7" t="s">
        <v>35</v>
      </c>
      <c r="E882" s="7">
        <v>3.0</v>
      </c>
      <c r="F882" s="7">
        <v>3.0</v>
      </c>
      <c r="G882" s="7" t="s">
        <v>64</v>
      </c>
      <c r="H882" s="7" t="s">
        <v>44</v>
      </c>
      <c r="I882" s="7" t="s">
        <v>27</v>
      </c>
    </row>
    <row r="883">
      <c r="A883" s="7" t="s">
        <v>155</v>
      </c>
      <c r="B883" s="7" t="s">
        <v>372</v>
      </c>
      <c r="C883" s="8">
        <f>IFERROR(__xludf.DUMMYFUNCTION("SPLIT(B883,""RM"")"),700000.0)</f>
        <v>700000</v>
      </c>
      <c r="D883" s="7" t="s">
        <v>19</v>
      </c>
      <c r="E883" s="7">
        <v>3.0</v>
      </c>
      <c r="F883" s="7">
        <v>2.0</v>
      </c>
      <c r="G883" s="7" t="s">
        <v>83</v>
      </c>
      <c r="H883" s="7" t="s">
        <v>952</v>
      </c>
      <c r="I883" s="7" t="s">
        <v>27</v>
      </c>
    </row>
    <row r="884">
      <c r="A884" s="7" t="s">
        <v>100</v>
      </c>
      <c r="B884" s="7" t="s">
        <v>752</v>
      </c>
      <c r="C884" s="8">
        <f>IFERROR(__xludf.DUMMYFUNCTION("SPLIT(B884,""RM"")"),375000.0)</f>
        <v>375000</v>
      </c>
      <c r="D884" s="7">
        <v>1.0</v>
      </c>
      <c r="E884" s="7">
        <v>2.0</v>
      </c>
      <c r="F884" s="7">
        <v>1.0</v>
      </c>
      <c r="G884" s="7" t="s">
        <v>20</v>
      </c>
      <c r="H884" s="7" t="s">
        <v>786</v>
      </c>
      <c r="I884" s="7" t="s">
        <v>22</v>
      </c>
    </row>
    <row r="885">
      <c r="A885" s="7" t="s">
        <v>171</v>
      </c>
      <c r="B885" s="7" t="s">
        <v>510</v>
      </c>
      <c r="C885" s="8">
        <f>IFERROR(__xludf.DUMMYFUNCTION("SPLIT(B885,""RM"")"),380000.0)</f>
        <v>380000</v>
      </c>
      <c r="D885" s="7">
        <v>2.0</v>
      </c>
      <c r="E885" s="7">
        <v>2.0</v>
      </c>
      <c r="F885" s="7">
        <v>1.0</v>
      </c>
      <c r="G885" s="7" t="s">
        <v>20</v>
      </c>
      <c r="H885" s="7" t="s">
        <v>505</v>
      </c>
    </row>
    <row r="886">
      <c r="A886" s="7" t="s">
        <v>371</v>
      </c>
      <c r="B886" s="7" t="s">
        <v>543</v>
      </c>
      <c r="C886" s="8">
        <f>IFERROR(__xludf.DUMMYFUNCTION("SPLIT(B886,""RM"")"),425000.0)</f>
        <v>425000</v>
      </c>
      <c r="D886" s="7">
        <v>3.0</v>
      </c>
      <c r="E886" s="7">
        <v>2.0</v>
      </c>
      <c r="F886" s="7">
        <v>2.0</v>
      </c>
      <c r="G886" s="7" t="s">
        <v>20</v>
      </c>
      <c r="H886" s="7" t="s">
        <v>140</v>
      </c>
      <c r="I886" s="7" t="s">
        <v>27</v>
      </c>
    </row>
    <row r="887">
      <c r="A887" s="7" t="s">
        <v>72</v>
      </c>
      <c r="B887" s="7" t="s">
        <v>42</v>
      </c>
      <c r="C887" s="8">
        <f>IFERROR(__xludf.DUMMYFUNCTION("SPLIT(B887,""RM"")"),2600000.0)</f>
        <v>2600000</v>
      </c>
      <c r="D887" s="7" t="s">
        <v>35</v>
      </c>
      <c r="E887" s="7">
        <v>4.0</v>
      </c>
      <c r="F887" s="7">
        <v>3.0</v>
      </c>
      <c r="G887" s="7" t="s">
        <v>83</v>
      </c>
      <c r="H887" s="7" t="s">
        <v>231</v>
      </c>
      <c r="I887" s="7" t="s">
        <v>22</v>
      </c>
    </row>
    <row r="888">
      <c r="A888" s="7" t="s">
        <v>368</v>
      </c>
      <c r="B888" s="7" t="s">
        <v>953</v>
      </c>
      <c r="C888" s="8">
        <f>IFERROR(__xludf.DUMMYFUNCTION("SPLIT(B888,""RM"")"),730000.0)</f>
        <v>730000</v>
      </c>
      <c r="D888" s="7">
        <v>3.0</v>
      </c>
      <c r="E888" s="7">
        <v>2.0</v>
      </c>
      <c r="F888" s="7">
        <v>2.0</v>
      </c>
      <c r="G888" s="7" t="s">
        <v>82</v>
      </c>
      <c r="H888" s="7" t="s">
        <v>161</v>
      </c>
      <c r="I888" s="7" t="s">
        <v>27</v>
      </c>
    </row>
    <row r="889">
      <c r="A889" s="7" t="s">
        <v>32</v>
      </c>
      <c r="B889" s="7" t="s">
        <v>761</v>
      </c>
      <c r="C889" s="8">
        <f>IFERROR(__xludf.DUMMYFUNCTION("SPLIT(B889,""RM"")"),480000.0)</f>
        <v>480000</v>
      </c>
      <c r="D889" s="7">
        <v>3.0</v>
      </c>
      <c r="E889" s="7">
        <v>2.0</v>
      </c>
      <c r="F889" s="7">
        <v>2.0</v>
      </c>
      <c r="G889" s="7" t="s">
        <v>83</v>
      </c>
      <c r="H889" s="7" t="s">
        <v>246</v>
      </c>
      <c r="I889" s="7" t="s">
        <v>27</v>
      </c>
    </row>
    <row r="890">
      <c r="A890" s="7" t="s">
        <v>17</v>
      </c>
      <c r="B890" s="7" t="s">
        <v>98</v>
      </c>
      <c r="C890" s="8">
        <f>IFERROR(__xludf.DUMMYFUNCTION("SPLIT(B890,""RM"")"),1830000.0)</f>
        <v>1830000</v>
      </c>
      <c r="D890" s="7" t="s">
        <v>57</v>
      </c>
      <c r="E890" s="7">
        <v>3.0</v>
      </c>
      <c r="F890" s="7">
        <v>2.0</v>
      </c>
      <c r="G890" s="7" t="s">
        <v>121</v>
      </c>
      <c r="I890" s="7" t="s">
        <v>22</v>
      </c>
    </row>
    <row r="891">
      <c r="A891" s="7" t="s">
        <v>17</v>
      </c>
      <c r="B891" s="7" t="s">
        <v>85</v>
      </c>
      <c r="C891" s="8">
        <f>IFERROR(__xludf.DUMMYFUNCTION("SPLIT(B891,""RM"")"),1450000.0)</f>
        <v>1450000</v>
      </c>
      <c r="D891" s="7">
        <v>2.0</v>
      </c>
      <c r="E891" s="7">
        <v>2.0</v>
      </c>
      <c r="F891" s="7">
        <v>1.0</v>
      </c>
      <c r="G891" s="7" t="s">
        <v>20</v>
      </c>
      <c r="H891" s="7" t="s">
        <v>157</v>
      </c>
      <c r="I891" s="7" t="s">
        <v>22</v>
      </c>
    </row>
    <row r="892">
      <c r="A892" s="7" t="s">
        <v>104</v>
      </c>
      <c r="B892" s="7" t="s">
        <v>168</v>
      </c>
      <c r="C892" s="8">
        <f>IFERROR(__xludf.DUMMYFUNCTION("SPLIT(B892,""RM"")"),750000.0)</f>
        <v>750000</v>
      </c>
      <c r="D892" s="7">
        <v>4.0</v>
      </c>
      <c r="E892" s="7">
        <v>3.0</v>
      </c>
      <c r="G892" s="7" t="s">
        <v>54</v>
      </c>
      <c r="H892" s="7" t="s">
        <v>211</v>
      </c>
    </row>
    <row r="893">
      <c r="A893" s="7" t="s">
        <v>17</v>
      </c>
      <c r="B893" s="7" t="s">
        <v>120</v>
      </c>
      <c r="C893" s="8">
        <f>IFERROR(__xludf.DUMMYFUNCTION("SPLIT(B893,""RM"")"),3600000.0)</f>
        <v>3600000</v>
      </c>
      <c r="D893" s="7" t="s">
        <v>19</v>
      </c>
      <c r="E893" s="7">
        <v>3.0</v>
      </c>
      <c r="F893" s="7">
        <v>2.0</v>
      </c>
      <c r="G893" s="7" t="s">
        <v>82</v>
      </c>
      <c r="H893" s="7" t="s">
        <v>99</v>
      </c>
      <c r="I893" s="7" t="s">
        <v>27</v>
      </c>
    </row>
    <row r="894">
      <c r="A894" s="7" t="s">
        <v>432</v>
      </c>
      <c r="B894" s="7" t="s">
        <v>433</v>
      </c>
      <c r="C894" s="8">
        <f>IFERROR(__xludf.DUMMYFUNCTION("SPLIT(B894,""RM"")"),1.48E7)</f>
        <v>14800000</v>
      </c>
      <c r="D894" s="7" t="s">
        <v>218</v>
      </c>
      <c r="E894" s="7">
        <v>7.0</v>
      </c>
      <c r="G894" s="7" t="s">
        <v>25</v>
      </c>
      <c r="H894" s="7" t="s">
        <v>769</v>
      </c>
      <c r="I894" s="7" t="s">
        <v>22</v>
      </c>
    </row>
    <row r="895">
      <c r="A895" s="7" t="s">
        <v>267</v>
      </c>
      <c r="B895" s="7" t="s">
        <v>563</v>
      </c>
      <c r="C895" s="8">
        <f>IFERROR(__xludf.DUMMYFUNCTION("SPLIT(B895,""RM"")"),600000.0)</f>
        <v>600000</v>
      </c>
      <c r="D895" s="7">
        <v>3.0</v>
      </c>
      <c r="E895" s="7">
        <v>2.0</v>
      </c>
      <c r="F895" s="7">
        <v>1.0</v>
      </c>
      <c r="G895" s="7" t="s">
        <v>20</v>
      </c>
      <c r="H895" s="7" t="s">
        <v>954</v>
      </c>
      <c r="I895" s="7" t="s">
        <v>22</v>
      </c>
    </row>
    <row r="896">
      <c r="A896" s="7" t="s">
        <v>267</v>
      </c>
      <c r="B896" s="7" t="s">
        <v>201</v>
      </c>
      <c r="C896" s="8">
        <f>IFERROR(__xludf.DUMMYFUNCTION("SPLIT(B896,""RM"")"),620000.0)</f>
        <v>620000</v>
      </c>
      <c r="D896" s="7">
        <v>3.0</v>
      </c>
      <c r="E896" s="7">
        <v>2.0</v>
      </c>
      <c r="F896" s="7">
        <v>1.0</v>
      </c>
      <c r="G896" s="7" t="s">
        <v>20</v>
      </c>
      <c r="H896" s="7" t="s">
        <v>954</v>
      </c>
      <c r="I896" s="7" t="s">
        <v>103</v>
      </c>
    </row>
    <row r="897">
      <c r="A897" s="7" t="s">
        <v>267</v>
      </c>
      <c r="B897" s="7" t="s">
        <v>955</v>
      </c>
      <c r="C897" s="8">
        <f>IFERROR(__xludf.DUMMYFUNCTION("SPLIT(B897,""RM"")"),498000.0)</f>
        <v>498000</v>
      </c>
      <c r="D897" s="7">
        <v>2.0</v>
      </c>
      <c r="E897" s="7">
        <v>2.0</v>
      </c>
      <c r="F897" s="7">
        <v>1.0</v>
      </c>
      <c r="G897" s="7" t="s">
        <v>20</v>
      </c>
      <c r="H897" s="7" t="s">
        <v>269</v>
      </c>
      <c r="I897" s="7" t="s">
        <v>27</v>
      </c>
    </row>
    <row r="898">
      <c r="A898" s="7" t="s">
        <v>33</v>
      </c>
      <c r="B898" s="7" t="s">
        <v>956</v>
      </c>
      <c r="C898" s="8">
        <f>IFERROR(__xludf.DUMMYFUNCTION("SPLIT(B898,""RM"")"),860000.0)</f>
        <v>860000</v>
      </c>
      <c r="D898" s="7" t="s">
        <v>197</v>
      </c>
      <c r="E898" s="7">
        <v>1.0</v>
      </c>
      <c r="F898" s="7">
        <v>1.0</v>
      </c>
      <c r="G898" s="7" t="s">
        <v>121</v>
      </c>
      <c r="H898" s="7" t="s">
        <v>957</v>
      </c>
      <c r="I898" s="7" t="s">
        <v>27</v>
      </c>
    </row>
    <row r="899">
      <c r="A899" s="7" t="s">
        <v>33</v>
      </c>
      <c r="B899" s="7" t="s">
        <v>243</v>
      </c>
      <c r="C899" s="8">
        <f>IFERROR(__xludf.DUMMYFUNCTION("SPLIT(B899,""RM"")"),1350000.0)</f>
        <v>1350000</v>
      </c>
      <c r="D899" s="7" t="s">
        <v>57</v>
      </c>
      <c r="E899" s="7">
        <v>3.0</v>
      </c>
      <c r="F899" s="7">
        <v>3.0</v>
      </c>
      <c r="G899" s="7" t="s">
        <v>312</v>
      </c>
      <c r="H899" s="7" t="s">
        <v>958</v>
      </c>
      <c r="I899" s="7" t="s">
        <v>27</v>
      </c>
    </row>
    <row r="900">
      <c r="A900" s="7" t="s">
        <v>33</v>
      </c>
      <c r="B900" s="7" t="s">
        <v>168</v>
      </c>
      <c r="C900" s="8">
        <f>IFERROR(__xludf.DUMMYFUNCTION("SPLIT(B900,""RM"")"),750000.0)</f>
        <v>750000</v>
      </c>
      <c r="D900" s="7" t="s">
        <v>197</v>
      </c>
      <c r="E900" s="7">
        <v>2.0</v>
      </c>
      <c r="F900" s="7">
        <v>1.0</v>
      </c>
      <c r="G900" s="7" t="s">
        <v>121</v>
      </c>
      <c r="H900" s="7" t="s">
        <v>924</v>
      </c>
      <c r="I900" s="7" t="s">
        <v>27</v>
      </c>
    </row>
    <row r="901">
      <c r="A901" s="7" t="s">
        <v>72</v>
      </c>
      <c r="B901" s="7" t="s">
        <v>144</v>
      </c>
      <c r="C901" s="8">
        <f>IFERROR(__xludf.DUMMYFUNCTION("SPLIT(B901,""RM"")"),1800000.0)</f>
        <v>1800000</v>
      </c>
      <c r="D901" s="7" t="s">
        <v>35</v>
      </c>
      <c r="E901" s="7">
        <v>4.0</v>
      </c>
      <c r="F901" s="7">
        <v>2.0</v>
      </c>
      <c r="G901" s="7" t="s">
        <v>83</v>
      </c>
      <c r="H901" s="7" t="s">
        <v>74</v>
      </c>
    </row>
    <row r="902">
      <c r="A902" s="7" t="s">
        <v>72</v>
      </c>
      <c r="B902" s="7" t="s">
        <v>144</v>
      </c>
      <c r="C902" s="8">
        <f>IFERROR(__xludf.DUMMYFUNCTION("SPLIT(B902,""RM"")"),1800000.0)</f>
        <v>1800000</v>
      </c>
      <c r="D902" s="7" t="s">
        <v>57</v>
      </c>
      <c r="E902" s="7">
        <v>3.0</v>
      </c>
      <c r="F902" s="7">
        <v>2.0</v>
      </c>
      <c r="G902" s="7" t="s">
        <v>83</v>
      </c>
      <c r="H902" s="7" t="s">
        <v>74</v>
      </c>
    </row>
    <row r="903">
      <c r="A903" s="7" t="s">
        <v>72</v>
      </c>
      <c r="B903" s="7" t="s">
        <v>399</v>
      </c>
      <c r="C903" s="8">
        <f>IFERROR(__xludf.DUMMYFUNCTION("SPLIT(B903,""RM"")"),1750000.0)</f>
        <v>1750000</v>
      </c>
      <c r="D903" s="7" t="s">
        <v>57</v>
      </c>
      <c r="E903" s="7">
        <v>3.0</v>
      </c>
      <c r="G903" s="7" t="s">
        <v>83</v>
      </c>
      <c r="H903" s="7" t="s">
        <v>74</v>
      </c>
    </row>
    <row r="904">
      <c r="A904" s="7" t="s">
        <v>89</v>
      </c>
      <c r="B904" s="7" t="s">
        <v>316</v>
      </c>
      <c r="C904" s="8">
        <f>IFERROR(__xludf.DUMMYFUNCTION("SPLIT(B904,""RM"")"),820000.0)</f>
        <v>820000</v>
      </c>
      <c r="D904" s="7">
        <v>2.0</v>
      </c>
      <c r="E904" s="7">
        <v>2.0</v>
      </c>
      <c r="F904" s="7">
        <v>2.0</v>
      </c>
      <c r="G904" s="7" t="s">
        <v>20</v>
      </c>
      <c r="H904" s="7" t="s">
        <v>959</v>
      </c>
    </row>
    <row r="905">
      <c r="A905" s="7" t="s">
        <v>17</v>
      </c>
      <c r="B905" s="7" t="s">
        <v>960</v>
      </c>
      <c r="C905" s="8">
        <f>IFERROR(__xludf.DUMMYFUNCTION("SPLIT(B905,""RM"")"),3609950.0)</f>
        <v>3609950</v>
      </c>
      <c r="D905" s="7">
        <v>3.0</v>
      </c>
      <c r="E905" s="7">
        <v>3.0</v>
      </c>
      <c r="F905" s="7">
        <v>1.0</v>
      </c>
      <c r="G905" s="7" t="s">
        <v>20</v>
      </c>
      <c r="H905" s="7" t="s">
        <v>276</v>
      </c>
      <c r="I905" s="7" t="s">
        <v>22</v>
      </c>
    </row>
    <row r="906">
      <c r="A906" s="7" t="s">
        <v>177</v>
      </c>
      <c r="B906" s="7" t="s">
        <v>361</v>
      </c>
      <c r="C906" s="8">
        <f>IFERROR(__xludf.DUMMYFUNCTION("SPLIT(B906,""RM"")"),530000.0)</f>
        <v>530000</v>
      </c>
      <c r="D906" s="7" t="s">
        <v>197</v>
      </c>
      <c r="E906" s="7">
        <v>1.0</v>
      </c>
      <c r="F906" s="7">
        <v>1.0</v>
      </c>
      <c r="G906" s="7" t="s">
        <v>93</v>
      </c>
      <c r="H906" s="7" t="s">
        <v>961</v>
      </c>
      <c r="I906" s="7" t="s">
        <v>22</v>
      </c>
    </row>
    <row r="907">
      <c r="A907" s="7" t="s">
        <v>188</v>
      </c>
      <c r="B907" s="7" t="s">
        <v>78</v>
      </c>
      <c r="C907" s="8">
        <f>IFERROR(__xludf.DUMMYFUNCTION("SPLIT(B907,""RM"")"),1500000.0)</f>
        <v>1500000</v>
      </c>
      <c r="D907" s="7">
        <v>3.0</v>
      </c>
      <c r="E907" s="7">
        <v>2.0</v>
      </c>
      <c r="G907" s="7" t="s">
        <v>83</v>
      </c>
      <c r="H907" s="7" t="s">
        <v>135</v>
      </c>
    </row>
    <row r="908">
      <c r="A908" s="7" t="s">
        <v>188</v>
      </c>
      <c r="B908" s="7" t="s">
        <v>329</v>
      </c>
      <c r="C908" s="8">
        <f>IFERROR(__xludf.DUMMYFUNCTION("SPLIT(B908,""RM"")"),1200000.0)</f>
        <v>1200000</v>
      </c>
      <c r="D908" s="7">
        <v>3.0</v>
      </c>
      <c r="E908" s="7">
        <v>2.0</v>
      </c>
      <c r="G908" s="7" t="s">
        <v>83</v>
      </c>
      <c r="H908" s="7" t="s">
        <v>135</v>
      </c>
    </row>
    <row r="909">
      <c r="A909" s="7" t="s">
        <v>17</v>
      </c>
      <c r="B909" s="7" t="s">
        <v>136</v>
      </c>
      <c r="C909" s="8">
        <f>IFERROR(__xludf.DUMMYFUNCTION("SPLIT(B909,""RM"")"),1070000.0)</f>
        <v>1070000</v>
      </c>
      <c r="D909" s="7">
        <v>2.0</v>
      </c>
      <c r="E909" s="7">
        <v>1.0</v>
      </c>
      <c r="F909" s="7">
        <v>1.0</v>
      </c>
      <c r="G909" s="7" t="s">
        <v>83</v>
      </c>
    </row>
    <row r="910">
      <c r="A910" s="7" t="s">
        <v>17</v>
      </c>
      <c r="B910" s="7" t="s">
        <v>962</v>
      </c>
      <c r="C910" s="8">
        <f>IFERROR(__xludf.DUMMYFUNCTION("SPLIT(B910,""RM"")"),1399000.0)</f>
        <v>1399000</v>
      </c>
      <c r="D910" s="7">
        <v>2.0</v>
      </c>
      <c r="E910" s="7">
        <v>2.0</v>
      </c>
      <c r="F910" s="7">
        <v>2.0</v>
      </c>
      <c r="G910" s="7" t="s">
        <v>83</v>
      </c>
      <c r="H910" s="7" t="s">
        <v>930</v>
      </c>
    </row>
    <row r="911">
      <c r="A911" s="7" t="s">
        <v>155</v>
      </c>
      <c r="B911" s="7" t="s">
        <v>963</v>
      </c>
      <c r="C911" s="8">
        <f>IFERROR(__xludf.DUMMYFUNCTION("SPLIT(B911,""RM"")"),848000.0)</f>
        <v>848000</v>
      </c>
      <c r="D911" s="7" t="s">
        <v>57</v>
      </c>
      <c r="E911" s="7">
        <v>3.0</v>
      </c>
      <c r="F911" s="7">
        <v>2.0</v>
      </c>
      <c r="G911" s="7" t="s">
        <v>83</v>
      </c>
      <c r="H911" s="7" t="s">
        <v>345</v>
      </c>
      <c r="I911" s="7" t="s">
        <v>27</v>
      </c>
    </row>
    <row r="912">
      <c r="A912" s="7" t="s">
        <v>72</v>
      </c>
      <c r="B912" s="7" t="s">
        <v>239</v>
      </c>
      <c r="C912" s="8">
        <f>IFERROR(__xludf.DUMMYFUNCTION("SPLIT(B912,""RM"")"),1280000.0)</f>
        <v>1280000</v>
      </c>
      <c r="D912" s="7">
        <v>2.0</v>
      </c>
      <c r="E912" s="7">
        <v>2.0</v>
      </c>
      <c r="G912" s="7" t="s">
        <v>20</v>
      </c>
      <c r="H912" s="7" t="s">
        <v>964</v>
      </c>
      <c r="I912" s="7" t="s">
        <v>22</v>
      </c>
    </row>
    <row r="913">
      <c r="A913" s="7" t="s">
        <v>155</v>
      </c>
      <c r="B913" s="7" t="s">
        <v>965</v>
      </c>
      <c r="C913" s="8">
        <f>IFERROR(__xludf.DUMMYFUNCTION("SPLIT(B913,""RM"")"),695000.0)</f>
        <v>695000</v>
      </c>
      <c r="D913" s="7">
        <v>2.0</v>
      </c>
      <c r="E913" s="7">
        <v>2.0</v>
      </c>
      <c r="F913" s="7">
        <v>2.0</v>
      </c>
      <c r="G913" s="7" t="s">
        <v>83</v>
      </c>
      <c r="H913" s="7" t="s">
        <v>952</v>
      </c>
      <c r="I913" s="7" t="s">
        <v>27</v>
      </c>
    </row>
    <row r="914">
      <c r="A914" s="7" t="s">
        <v>104</v>
      </c>
      <c r="B914" s="7" t="s">
        <v>966</v>
      </c>
      <c r="C914" s="8">
        <f>IFERROR(__xludf.DUMMYFUNCTION("SPLIT(B914,""RM"")"),688000.0)</f>
        <v>688000</v>
      </c>
      <c r="D914" s="7">
        <v>3.0</v>
      </c>
      <c r="E914" s="7">
        <v>2.0</v>
      </c>
      <c r="G914" s="7" t="s">
        <v>343</v>
      </c>
      <c r="H914" s="7" t="s">
        <v>718</v>
      </c>
      <c r="I914" s="7" t="s">
        <v>27</v>
      </c>
    </row>
    <row r="915">
      <c r="A915" s="7" t="s">
        <v>104</v>
      </c>
      <c r="B915" s="7" t="s">
        <v>967</v>
      </c>
      <c r="C915" s="8">
        <f>IFERROR(__xludf.DUMMYFUNCTION("SPLIT(B915,""RM"")"),680000.0)</f>
        <v>680000</v>
      </c>
      <c r="D915" s="7">
        <v>3.0</v>
      </c>
      <c r="E915" s="7">
        <v>3.0</v>
      </c>
      <c r="G915" s="7" t="s">
        <v>54</v>
      </c>
      <c r="H915" s="7" t="s">
        <v>968</v>
      </c>
      <c r="I915" s="7" t="s">
        <v>103</v>
      </c>
    </row>
    <row r="916">
      <c r="A916" s="7" t="s">
        <v>580</v>
      </c>
      <c r="B916" s="7" t="s">
        <v>969</v>
      </c>
      <c r="C916" s="8">
        <f>IFERROR(__xludf.DUMMYFUNCTION("SPLIT(B916,""RM"")"),430000.0)</f>
        <v>430000</v>
      </c>
      <c r="D916" s="7">
        <v>3.0</v>
      </c>
      <c r="E916" s="7">
        <v>2.0</v>
      </c>
      <c r="F916" s="7">
        <v>2.0</v>
      </c>
      <c r="G916" s="7" t="s">
        <v>93</v>
      </c>
      <c r="H916" s="7" t="s">
        <v>342</v>
      </c>
      <c r="I916" s="7" t="s">
        <v>103</v>
      </c>
    </row>
    <row r="917">
      <c r="A917" s="7" t="s">
        <v>177</v>
      </c>
      <c r="B917" s="7" t="s">
        <v>18</v>
      </c>
      <c r="C917" s="8">
        <f>IFERROR(__xludf.DUMMYFUNCTION("SPLIT(B917,""RM"")"),1250000.0)</f>
        <v>1250000</v>
      </c>
      <c r="D917" s="7">
        <v>3.0</v>
      </c>
      <c r="E917" s="7">
        <v>2.0</v>
      </c>
      <c r="F917" s="7">
        <v>2.0</v>
      </c>
      <c r="G917" s="7" t="s">
        <v>343</v>
      </c>
      <c r="H917" s="7" t="s">
        <v>211</v>
      </c>
      <c r="I917" s="7" t="s">
        <v>27</v>
      </c>
    </row>
    <row r="918">
      <c r="A918" s="7" t="s">
        <v>177</v>
      </c>
      <c r="B918" s="7" t="s">
        <v>970</v>
      </c>
      <c r="C918" s="8">
        <f>IFERROR(__xludf.DUMMYFUNCTION("SPLIT(B918,""RM"")"),5200000.0)</f>
        <v>5200000</v>
      </c>
      <c r="D918" s="7">
        <v>5.0</v>
      </c>
      <c r="E918" s="7">
        <v>5.0</v>
      </c>
      <c r="F918" s="7">
        <v>8.0</v>
      </c>
      <c r="G918" s="7" t="s">
        <v>25</v>
      </c>
      <c r="H918" s="7" t="s">
        <v>971</v>
      </c>
      <c r="I918" s="7" t="s">
        <v>27</v>
      </c>
    </row>
    <row r="919">
      <c r="A919" s="7" t="s">
        <v>32</v>
      </c>
      <c r="B919" s="7" t="s">
        <v>972</v>
      </c>
      <c r="C919" s="8">
        <f>IFERROR(__xludf.DUMMYFUNCTION("SPLIT(B919,""RM"")"),285000.0)</f>
        <v>285000</v>
      </c>
      <c r="D919" s="7">
        <v>3.0</v>
      </c>
      <c r="E919" s="7">
        <v>2.0</v>
      </c>
      <c r="F919" s="7">
        <v>1.0</v>
      </c>
      <c r="G919" s="7" t="s">
        <v>354</v>
      </c>
      <c r="H919" s="7" t="s">
        <v>973</v>
      </c>
      <c r="I919" s="7" t="s">
        <v>27</v>
      </c>
    </row>
    <row r="920">
      <c r="A920" s="7" t="s">
        <v>32</v>
      </c>
      <c r="B920" s="7" t="s">
        <v>974</v>
      </c>
      <c r="C920" s="8">
        <f>IFERROR(__xludf.DUMMYFUNCTION("SPLIT(B920,""RM"")"),488000.0)</f>
        <v>488000</v>
      </c>
      <c r="D920" s="7">
        <v>4.0</v>
      </c>
      <c r="E920" s="7">
        <v>3.0</v>
      </c>
      <c r="F920" s="7">
        <v>4.0</v>
      </c>
      <c r="G920" s="7" t="s">
        <v>169</v>
      </c>
      <c r="H920" s="7" t="s">
        <v>968</v>
      </c>
    </row>
    <row r="921">
      <c r="A921" s="7" t="s">
        <v>32</v>
      </c>
      <c r="B921" s="7" t="s">
        <v>975</v>
      </c>
      <c r="C921" s="8">
        <f>IFERROR(__xludf.DUMMYFUNCTION("SPLIT(B921,""RM"")"),400000.0)</f>
        <v>400000</v>
      </c>
      <c r="D921" s="7">
        <v>3.0</v>
      </c>
      <c r="E921" s="7">
        <v>2.0</v>
      </c>
      <c r="F921" s="7">
        <v>1.0</v>
      </c>
      <c r="G921" s="7" t="s">
        <v>30</v>
      </c>
      <c r="H921" s="7" t="s">
        <v>976</v>
      </c>
      <c r="I921" s="7" t="s">
        <v>22</v>
      </c>
    </row>
    <row r="922">
      <c r="A922" s="7" t="s">
        <v>41</v>
      </c>
      <c r="B922" s="7" t="s">
        <v>977</v>
      </c>
      <c r="C922" s="8">
        <f>IFERROR(__xludf.DUMMYFUNCTION("SPLIT(B922,""RM"")"),543353.0)</f>
        <v>543353</v>
      </c>
      <c r="D922" s="7">
        <v>1.0</v>
      </c>
      <c r="E922" s="7">
        <v>1.0</v>
      </c>
      <c r="F922" s="7">
        <v>1.0</v>
      </c>
      <c r="G922" s="7" t="s">
        <v>30</v>
      </c>
      <c r="H922" s="7" t="s">
        <v>978</v>
      </c>
      <c r="I922" s="7" t="s">
        <v>27</v>
      </c>
    </row>
    <row r="923">
      <c r="A923" s="7" t="s">
        <v>33</v>
      </c>
      <c r="B923" s="7" t="s">
        <v>759</v>
      </c>
      <c r="C923" s="8">
        <f>IFERROR(__xludf.DUMMYFUNCTION("SPLIT(B923,""RM"")"),520000.0)</f>
        <v>520000</v>
      </c>
      <c r="D923" s="7">
        <v>3.0</v>
      </c>
      <c r="E923" s="7">
        <v>2.0</v>
      </c>
      <c r="F923" s="7">
        <v>2.0</v>
      </c>
      <c r="G923" s="7" t="s">
        <v>83</v>
      </c>
      <c r="H923" s="7" t="s">
        <v>734</v>
      </c>
      <c r="I923" s="7" t="s">
        <v>27</v>
      </c>
    </row>
    <row r="924">
      <c r="A924" s="7" t="s">
        <v>17</v>
      </c>
      <c r="B924" s="7" t="s">
        <v>979</v>
      </c>
      <c r="C924" s="8">
        <f>IFERROR(__xludf.DUMMYFUNCTION("SPLIT(B924,""RM"")"),1800.0)</f>
        <v>1800</v>
      </c>
      <c r="D924" s="7" t="s">
        <v>325</v>
      </c>
      <c r="E924" s="7">
        <v>1.0</v>
      </c>
      <c r="G924" s="7" t="s">
        <v>82</v>
      </c>
      <c r="H924" s="7" t="s">
        <v>980</v>
      </c>
      <c r="I924" s="7" t="s">
        <v>27</v>
      </c>
    </row>
    <row r="925">
      <c r="A925" s="7" t="s">
        <v>17</v>
      </c>
      <c r="B925" s="7" t="s">
        <v>979</v>
      </c>
      <c r="C925" s="8">
        <f>IFERROR(__xludf.DUMMYFUNCTION("SPLIT(B925,""RM"")"),1800.0)</f>
        <v>1800</v>
      </c>
      <c r="D925" s="7" t="s">
        <v>325</v>
      </c>
      <c r="E925" s="7">
        <v>1.0</v>
      </c>
      <c r="G925" s="7" t="s">
        <v>82</v>
      </c>
      <c r="H925" s="7" t="s">
        <v>980</v>
      </c>
      <c r="I925" s="7" t="s">
        <v>27</v>
      </c>
    </row>
    <row r="926">
      <c r="A926" s="7" t="s">
        <v>17</v>
      </c>
      <c r="B926" s="7" t="s">
        <v>322</v>
      </c>
      <c r="C926" s="8">
        <f>IFERROR(__xludf.DUMMYFUNCTION("SPLIT(B926,""RM"")"),1900000.0)</f>
        <v>1900000</v>
      </c>
      <c r="D926" s="7" t="s">
        <v>197</v>
      </c>
      <c r="E926" s="7">
        <v>2.0</v>
      </c>
      <c r="F926" s="7">
        <v>1.0</v>
      </c>
      <c r="G926" s="7" t="s">
        <v>82</v>
      </c>
      <c r="H926" s="7" t="s">
        <v>342</v>
      </c>
      <c r="I926" s="7" t="s">
        <v>27</v>
      </c>
    </row>
    <row r="927">
      <c r="A927" s="7" t="s">
        <v>17</v>
      </c>
      <c r="B927" s="7" t="s">
        <v>322</v>
      </c>
      <c r="C927" s="8">
        <f>IFERROR(__xludf.DUMMYFUNCTION("SPLIT(B927,""RM"")"),1900000.0)</f>
        <v>1900000</v>
      </c>
      <c r="D927" s="7" t="s">
        <v>197</v>
      </c>
      <c r="E927" s="7">
        <v>2.0</v>
      </c>
      <c r="F927" s="7">
        <v>1.0</v>
      </c>
      <c r="G927" s="7" t="s">
        <v>82</v>
      </c>
      <c r="H927" s="7" t="s">
        <v>342</v>
      </c>
      <c r="I927" s="7" t="s">
        <v>27</v>
      </c>
    </row>
    <row r="928">
      <c r="A928" s="7" t="s">
        <v>17</v>
      </c>
      <c r="B928" s="7" t="s">
        <v>411</v>
      </c>
      <c r="C928" s="8">
        <f>IFERROR(__xludf.DUMMYFUNCTION("SPLIT(B928,""RM"")"),2150000.0)</f>
        <v>2150000</v>
      </c>
      <c r="D928" s="7" t="s">
        <v>197</v>
      </c>
      <c r="E928" s="7">
        <v>2.0</v>
      </c>
      <c r="F928" s="7">
        <v>1.0</v>
      </c>
      <c r="G928" s="7" t="s">
        <v>82</v>
      </c>
      <c r="H928" s="7" t="s">
        <v>981</v>
      </c>
      <c r="I928" s="7" t="s">
        <v>27</v>
      </c>
    </row>
    <row r="929">
      <c r="A929" s="7" t="s">
        <v>17</v>
      </c>
      <c r="B929" s="7" t="s">
        <v>123</v>
      </c>
      <c r="C929" s="8">
        <f>IFERROR(__xludf.DUMMYFUNCTION("SPLIT(B929,""RM"")"),4280000.0)</f>
        <v>4280000</v>
      </c>
      <c r="D929" s="7" t="s">
        <v>57</v>
      </c>
      <c r="E929" s="7">
        <v>5.0</v>
      </c>
      <c r="F929" s="7">
        <v>2.0</v>
      </c>
      <c r="G929" s="7" t="s">
        <v>121</v>
      </c>
      <c r="H929" s="7" t="s">
        <v>124</v>
      </c>
      <c r="I929" s="7" t="s">
        <v>27</v>
      </c>
    </row>
    <row r="930">
      <c r="A930" s="7" t="s">
        <v>72</v>
      </c>
      <c r="B930" s="7" t="s">
        <v>34</v>
      </c>
      <c r="C930" s="8">
        <f>IFERROR(__xludf.DUMMYFUNCTION("SPLIT(B930,""RM"")"),900000.0)</f>
        <v>900000</v>
      </c>
      <c r="D930" s="7">
        <v>3.0</v>
      </c>
      <c r="E930" s="7">
        <v>2.0</v>
      </c>
      <c r="F930" s="7">
        <v>1.0</v>
      </c>
      <c r="G930" s="7" t="s">
        <v>83</v>
      </c>
      <c r="H930" s="7" t="s">
        <v>982</v>
      </c>
      <c r="I930" s="7" t="s">
        <v>22</v>
      </c>
    </row>
    <row r="931">
      <c r="A931" s="7" t="s">
        <v>143</v>
      </c>
      <c r="B931" s="7" t="s">
        <v>983</v>
      </c>
      <c r="C931" s="8">
        <f>IFERROR(__xludf.DUMMYFUNCTION("SPLIT(B931,""RM"")"),440000.0)</f>
        <v>440000</v>
      </c>
      <c r="D931" s="7" t="s">
        <v>57</v>
      </c>
      <c r="E931" s="7">
        <v>2.0</v>
      </c>
      <c r="F931" s="7">
        <v>2.0</v>
      </c>
      <c r="G931" s="7" t="s">
        <v>83</v>
      </c>
      <c r="H931" s="7" t="s">
        <v>383</v>
      </c>
      <c r="I931" s="7" t="s">
        <v>27</v>
      </c>
    </row>
    <row r="932">
      <c r="A932" s="7" t="s">
        <v>72</v>
      </c>
      <c r="B932" s="7" t="s">
        <v>813</v>
      </c>
      <c r="C932" s="8">
        <f>IFERROR(__xludf.DUMMYFUNCTION("SPLIT(B932,""RM"")"),2290000.0)</f>
        <v>2290000</v>
      </c>
      <c r="D932" s="7" t="s">
        <v>35</v>
      </c>
      <c r="E932" s="7">
        <v>5.0</v>
      </c>
      <c r="F932" s="7">
        <v>3.0</v>
      </c>
      <c r="G932" s="7" t="s">
        <v>30</v>
      </c>
      <c r="H932" s="7" t="s">
        <v>113</v>
      </c>
      <c r="I932" s="7" t="s">
        <v>27</v>
      </c>
    </row>
    <row r="933">
      <c r="A933" s="7" t="s">
        <v>72</v>
      </c>
      <c r="B933" s="7" t="s">
        <v>984</v>
      </c>
      <c r="C933" s="8">
        <f>IFERROR(__xludf.DUMMYFUNCTION("SPLIT(B933,""RM"")"),1120000.0)</f>
        <v>1120000</v>
      </c>
      <c r="D933" s="7">
        <v>2.0</v>
      </c>
      <c r="E933" s="7">
        <v>2.0</v>
      </c>
      <c r="G933" s="7" t="s">
        <v>20</v>
      </c>
      <c r="H933" s="7" t="s">
        <v>880</v>
      </c>
      <c r="I933" s="7" t="s">
        <v>27</v>
      </c>
    </row>
    <row r="934">
      <c r="A934" s="7" t="s">
        <v>72</v>
      </c>
      <c r="B934" s="7" t="s">
        <v>985</v>
      </c>
      <c r="C934" s="8">
        <f>IFERROR(__xludf.DUMMYFUNCTION("SPLIT(B934,""RM"")"),2253000.0)</f>
        <v>2253000</v>
      </c>
      <c r="D934" s="7" t="s">
        <v>35</v>
      </c>
      <c r="E934" s="7">
        <v>6.0</v>
      </c>
      <c r="F934" s="7">
        <v>3.0</v>
      </c>
      <c r="G934" s="7" t="s">
        <v>30</v>
      </c>
      <c r="H934" s="7" t="s">
        <v>115</v>
      </c>
      <c r="I934" s="7" t="s">
        <v>27</v>
      </c>
    </row>
    <row r="935">
      <c r="A935" s="7" t="s">
        <v>72</v>
      </c>
      <c r="B935" s="7" t="s">
        <v>229</v>
      </c>
      <c r="C935" s="8">
        <f>IFERROR(__xludf.DUMMYFUNCTION("SPLIT(B935,""RM"")"),1050000.0)</f>
        <v>1050000</v>
      </c>
      <c r="D935" s="7">
        <v>2.0</v>
      </c>
      <c r="E935" s="7">
        <v>2.0</v>
      </c>
      <c r="G935" s="7" t="s">
        <v>20</v>
      </c>
      <c r="H935" s="7" t="s">
        <v>133</v>
      </c>
      <c r="I935" s="7" t="s">
        <v>27</v>
      </c>
    </row>
    <row r="936">
      <c r="A936" s="7" t="s">
        <v>72</v>
      </c>
      <c r="B936" s="7" t="s">
        <v>455</v>
      </c>
      <c r="C936" s="8">
        <f>IFERROR(__xludf.DUMMYFUNCTION("SPLIT(B936,""RM"")"),2230000.0)</f>
        <v>2230000</v>
      </c>
      <c r="D936" s="7" t="s">
        <v>35</v>
      </c>
      <c r="E936" s="7">
        <v>5.0</v>
      </c>
      <c r="G936" s="7" t="s">
        <v>30</v>
      </c>
      <c r="H936" s="7" t="s">
        <v>456</v>
      </c>
      <c r="I936" s="7" t="s">
        <v>27</v>
      </c>
    </row>
    <row r="937">
      <c r="A937" s="7" t="s">
        <v>72</v>
      </c>
      <c r="B937" s="7" t="s">
        <v>712</v>
      </c>
      <c r="C937" s="8">
        <f>IFERROR(__xludf.DUMMYFUNCTION("SPLIT(B937,""RM"")"),1880000.0)</f>
        <v>1880000</v>
      </c>
      <c r="D937" s="7" t="s">
        <v>57</v>
      </c>
      <c r="E937" s="7">
        <v>5.0</v>
      </c>
      <c r="G937" s="7" t="s">
        <v>30</v>
      </c>
      <c r="H937" s="7" t="s">
        <v>278</v>
      </c>
      <c r="I937" s="7" t="s">
        <v>22</v>
      </c>
    </row>
    <row r="938">
      <c r="A938" s="7" t="s">
        <v>72</v>
      </c>
      <c r="B938" s="7" t="s">
        <v>986</v>
      </c>
      <c r="C938" s="8">
        <f>IFERROR(__xludf.DUMMYFUNCTION("SPLIT(B938,""RM"")"),3270600.0)</f>
        <v>3270600</v>
      </c>
      <c r="D938" s="7" t="s">
        <v>70</v>
      </c>
      <c r="E938" s="7">
        <v>6.0</v>
      </c>
      <c r="G938" s="7" t="s">
        <v>83</v>
      </c>
      <c r="H938" s="7" t="s">
        <v>987</v>
      </c>
      <c r="I938" s="7" t="s">
        <v>27</v>
      </c>
    </row>
    <row r="939">
      <c r="A939" s="7" t="s">
        <v>72</v>
      </c>
      <c r="B939" s="7" t="s">
        <v>988</v>
      </c>
      <c r="C939" s="8">
        <f>IFERROR(__xludf.DUMMYFUNCTION("SPLIT(B939,""RM"")"),1660000.0)</f>
        <v>1660000</v>
      </c>
      <c r="D939" s="7">
        <v>3.0</v>
      </c>
      <c r="E939" s="7">
        <v>4.0</v>
      </c>
      <c r="F939" s="7">
        <v>2.0</v>
      </c>
      <c r="G939" s="7" t="s">
        <v>83</v>
      </c>
      <c r="H939" s="7" t="s">
        <v>404</v>
      </c>
      <c r="I939" s="7" t="s">
        <v>103</v>
      </c>
    </row>
    <row r="940">
      <c r="A940" s="7" t="s">
        <v>72</v>
      </c>
      <c r="B940" s="7" t="s">
        <v>534</v>
      </c>
      <c r="C940" s="8">
        <f>IFERROR(__xludf.DUMMYFUNCTION("SPLIT(B940,""RM"")"),3200000.0)</f>
        <v>3200000</v>
      </c>
      <c r="D940" s="7" t="s">
        <v>35</v>
      </c>
      <c r="E940" s="7">
        <v>5.0</v>
      </c>
      <c r="G940" s="7" t="s">
        <v>30</v>
      </c>
      <c r="H940" s="7" t="s">
        <v>989</v>
      </c>
      <c r="I940" s="7" t="s">
        <v>27</v>
      </c>
    </row>
    <row r="941">
      <c r="A941" s="7" t="s">
        <v>432</v>
      </c>
      <c r="B941" s="7" t="s">
        <v>513</v>
      </c>
      <c r="C941" s="8">
        <f>IFERROR(__xludf.DUMMYFUNCTION("SPLIT(B941,""RM"")"),1.2E7)</f>
        <v>12000000</v>
      </c>
      <c r="D941" s="7" t="s">
        <v>990</v>
      </c>
      <c r="E941" s="7">
        <v>9.0</v>
      </c>
      <c r="G941" s="7" t="s">
        <v>67</v>
      </c>
      <c r="H941" s="7" t="s">
        <v>991</v>
      </c>
      <c r="I941" s="7" t="s">
        <v>27</v>
      </c>
    </row>
    <row r="942">
      <c r="A942" s="7" t="s">
        <v>72</v>
      </c>
      <c r="B942" s="7" t="s">
        <v>69</v>
      </c>
      <c r="C942" s="8">
        <f>IFERROR(__xludf.DUMMYFUNCTION("SPLIT(B942,""RM"")"),4500000.0)</f>
        <v>4500000</v>
      </c>
      <c r="D942" s="7" t="s">
        <v>35</v>
      </c>
      <c r="E942" s="7">
        <v>5.0</v>
      </c>
      <c r="G942" s="7" t="s">
        <v>30</v>
      </c>
      <c r="H942" s="7" t="s">
        <v>992</v>
      </c>
      <c r="I942" s="7" t="s">
        <v>27</v>
      </c>
    </row>
    <row r="943">
      <c r="A943" s="7" t="s">
        <v>72</v>
      </c>
      <c r="B943" s="7" t="s">
        <v>447</v>
      </c>
      <c r="C943" s="8">
        <f>IFERROR(__xludf.DUMMYFUNCTION("SPLIT(B943,""RM"")"),3700000.0)</f>
        <v>3700000</v>
      </c>
      <c r="D943" s="7" t="s">
        <v>35</v>
      </c>
      <c r="E943" s="7">
        <v>5.0</v>
      </c>
      <c r="G943" s="7" t="s">
        <v>30</v>
      </c>
      <c r="H943" s="7" t="s">
        <v>147</v>
      </c>
      <c r="I943" s="7" t="s">
        <v>27</v>
      </c>
    </row>
    <row r="944">
      <c r="A944" s="7" t="s">
        <v>72</v>
      </c>
      <c r="B944" s="7" t="s">
        <v>993</v>
      </c>
      <c r="C944" s="8">
        <f>IFERROR(__xludf.DUMMYFUNCTION("SPLIT(B944,""RM"")"),2980000.0)</f>
        <v>2980000</v>
      </c>
      <c r="D944" s="7" t="s">
        <v>35</v>
      </c>
      <c r="E944" s="7">
        <v>6.0</v>
      </c>
      <c r="F944" s="7">
        <v>3.0</v>
      </c>
      <c r="G944" s="7" t="s">
        <v>30</v>
      </c>
      <c r="H944" s="7" t="s">
        <v>994</v>
      </c>
      <c r="I944" s="7" t="s">
        <v>27</v>
      </c>
    </row>
    <row r="945">
      <c r="A945" s="7" t="s">
        <v>72</v>
      </c>
      <c r="B945" s="7" t="s">
        <v>486</v>
      </c>
      <c r="C945" s="8">
        <f>IFERROR(__xludf.DUMMYFUNCTION("SPLIT(B945,""RM"")"),3090000.0)</f>
        <v>3090000</v>
      </c>
      <c r="D945" s="7" t="s">
        <v>70</v>
      </c>
      <c r="E945" s="7">
        <v>6.0</v>
      </c>
      <c r="G945" s="7" t="s">
        <v>203</v>
      </c>
      <c r="H945" s="7" t="s">
        <v>927</v>
      </c>
      <c r="I945" s="7" t="s">
        <v>27</v>
      </c>
    </row>
    <row r="946">
      <c r="A946" s="7" t="s">
        <v>72</v>
      </c>
      <c r="B946" s="7" t="s">
        <v>101</v>
      </c>
      <c r="C946" s="8">
        <f>IFERROR(__xludf.DUMMYFUNCTION("SPLIT(B946,""RM"")"),3300000.0)</f>
        <v>3300000</v>
      </c>
      <c r="D946" s="7" t="s">
        <v>35</v>
      </c>
      <c r="E946" s="7">
        <v>5.0</v>
      </c>
      <c r="G946" s="7" t="s">
        <v>30</v>
      </c>
      <c r="H946" s="7" t="s">
        <v>995</v>
      </c>
      <c r="I946" s="7" t="s">
        <v>22</v>
      </c>
    </row>
    <row r="947">
      <c r="A947" s="7" t="s">
        <v>77</v>
      </c>
      <c r="B947" s="7" t="s">
        <v>398</v>
      </c>
      <c r="C947" s="8">
        <f>IFERROR(__xludf.DUMMYFUNCTION("SPLIT(B947,""RM"")"),2280000.0)</f>
        <v>2280000</v>
      </c>
      <c r="D947" s="7" t="s">
        <v>35</v>
      </c>
      <c r="E947" s="7">
        <v>6.0</v>
      </c>
      <c r="F947" s="7">
        <v>2.0</v>
      </c>
      <c r="G947" s="7" t="s">
        <v>90</v>
      </c>
      <c r="H947" s="7" t="s">
        <v>211</v>
      </c>
      <c r="I947" s="7" t="s">
        <v>22</v>
      </c>
    </row>
    <row r="948">
      <c r="A948" s="7" t="s">
        <v>77</v>
      </c>
      <c r="B948" s="7" t="s">
        <v>401</v>
      </c>
      <c r="C948" s="8">
        <f>IFERROR(__xludf.DUMMYFUNCTION("SPLIT(B948,""RM"")"),3380000.0)</f>
        <v>3380000</v>
      </c>
      <c r="D948" s="7" t="s">
        <v>35</v>
      </c>
      <c r="E948" s="7">
        <v>5.0</v>
      </c>
      <c r="G948" s="7" t="s">
        <v>67</v>
      </c>
      <c r="H948" s="7" t="s">
        <v>912</v>
      </c>
      <c r="I948" s="7" t="s">
        <v>27</v>
      </c>
    </row>
    <row r="949">
      <c r="A949" s="7" t="s">
        <v>77</v>
      </c>
      <c r="B949" s="7" t="s">
        <v>247</v>
      </c>
      <c r="C949" s="8">
        <f>IFERROR(__xludf.DUMMYFUNCTION("SPLIT(B949,""RM"")"),1980000.0)</f>
        <v>1980000</v>
      </c>
      <c r="D949" s="7" t="s">
        <v>57</v>
      </c>
      <c r="E949" s="7">
        <v>3.0</v>
      </c>
      <c r="G949" s="7" t="s">
        <v>54</v>
      </c>
      <c r="H949" s="7" t="s">
        <v>333</v>
      </c>
      <c r="I949" s="7" t="s">
        <v>27</v>
      </c>
    </row>
    <row r="950">
      <c r="A950" s="7" t="s">
        <v>77</v>
      </c>
      <c r="B950" s="7" t="s">
        <v>110</v>
      </c>
      <c r="C950" s="8">
        <f>IFERROR(__xludf.DUMMYFUNCTION("SPLIT(B950,""RM"")"),2400000.0)</f>
        <v>2400000</v>
      </c>
      <c r="D950" s="7" t="s">
        <v>70</v>
      </c>
      <c r="E950" s="7">
        <v>5.0</v>
      </c>
      <c r="G950" s="7" t="s">
        <v>90</v>
      </c>
      <c r="H950" s="7" t="s">
        <v>719</v>
      </c>
      <c r="I950" s="7" t="s">
        <v>27</v>
      </c>
    </row>
    <row r="951">
      <c r="A951" s="7" t="s">
        <v>441</v>
      </c>
      <c r="B951" s="7" t="s">
        <v>996</v>
      </c>
      <c r="C951" s="8">
        <f>IFERROR(__xludf.DUMMYFUNCTION("SPLIT(B951,""RM"")"),4467122.0)</f>
        <v>4467122</v>
      </c>
      <c r="D951" s="7">
        <v>5.0</v>
      </c>
      <c r="E951" s="7">
        <v>5.0</v>
      </c>
      <c r="F951" s="7">
        <v>4.0</v>
      </c>
      <c r="G951" s="7" t="s">
        <v>451</v>
      </c>
      <c r="H951" s="7" t="s">
        <v>997</v>
      </c>
      <c r="I951" s="7" t="s">
        <v>27</v>
      </c>
    </row>
    <row r="952">
      <c r="A952" s="7" t="s">
        <v>441</v>
      </c>
      <c r="B952" s="7" t="s">
        <v>998</v>
      </c>
      <c r="C952" s="8">
        <f>IFERROR(__xludf.DUMMYFUNCTION("SPLIT(B952,""RM"")"),5344829.0)</f>
        <v>5344829</v>
      </c>
      <c r="D952" s="7">
        <v>5.0</v>
      </c>
      <c r="E952" s="7">
        <v>5.0</v>
      </c>
      <c r="F952" s="7">
        <v>4.0</v>
      </c>
      <c r="G952" s="7" t="s">
        <v>451</v>
      </c>
      <c r="H952" s="7" t="s">
        <v>999</v>
      </c>
      <c r="I952" s="7" t="s">
        <v>27</v>
      </c>
    </row>
    <row r="953">
      <c r="A953" s="7" t="s">
        <v>692</v>
      </c>
      <c r="B953" s="7" t="s">
        <v>403</v>
      </c>
      <c r="C953" s="8">
        <f>IFERROR(__xludf.DUMMYFUNCTION("SPLIT(B953,""RM"")"),1600000.0)</f>
        <v>1600000</v>
      </c>
      <c r="D953" s="7" t="s">
        <v>35</v>
      </c>
      <c r="E953" s="7">
        <v>3.0</v>
      </c>
      <c r="G953" s="7" t="s">
        <v>54</v>
      </c>
      <c r="H953" s="7" t="s">
        <v>283</v>
      </c>
      <c r="I953" s="7" t="s">
        <v>27</v>
      </c>
    </row>
    <row r="954">
      <c r="A954" s="7" t="s">
        <v>77</v>
      </c>
      <c r="B954" s="7" t="s">
        <v>313</v>
      </c>
      <c r="C954" s="8">
        <f>IFERROR(__xludf.DUMMYFUNCTION("SPLIT(B954,""RM"")"),2900000.0)</f>
        <v>2900000</v>
      </c>
      <c r="D954" s="7" t="s">
        <v>35</v>
      </c>
      <c r="E954" s="7">
        <v>5.0</v>
      </c>
      <c r="G954" s="7" t="s">
        <v>90</v>
      </c>
      <c r="H954" s="7" t="s">
        <v>719</v>
      </c>
      <c r="I954" s="7" t="s">
        <v>27</v>
      </c>
    </row>
    <row r="955">
      <c r="A955" s="7" t="s">
        <v>23</v>
      </c>
      <c r="B955" s="7" t="s">
        <v>309</v>
      </c>
      <c r="C955" s="8">
        <f>IFERROR(__xludf.DUMMYFUNCTION("SPLIT(B955,""RM"")"),2100000.0)</f>
        <v>2100000</v>
      </c>
      <c r="D955" s="7">
        <v>4.0</v>
      </c>
      <c r="E955" s="7">
        <v>3.0</v>
      </c>
      <c r="F955" s="7">
        <v>2.0</v>
      </c>
      <c r="G955" s="7" t="s">
        <v>54</v>
      </c>
      <c r="H955" s="7" t="s">
        <v>211</v>
      </c>
      <c r="I955" s="7" t="s">
        <v>27</v>
      </c>
    </row>
    <row r="956">
      <c r="A956" s="7" t="s">
        <v>692</v>
      </c>
      <c r="B956" s="7" t="s">
        <v>329</v>
      </c>
      <c r="C956" s="8">
        <f>IFERROR(__xludf.DUMMYFUNCTION("SPLIT(B956,""RM"")"),1200000.0)</f>
        <v>1200000</v>
      </c>
      <c r="D956" s="7" t="s">
        <v>57</v>
      </c>
      <c r="E956" s="7">
        <v>4.0</v>
      </c>
      <c r="G956" s="7" t="s">
        <v>494</v>
      </c>
      <c r="H956" s="7" t="s">
        <v>1000</v>
      </c>
      <c r="I956" s="7" t="s">
        <v>27</v>
      </c>
    </row>
    <row r="957">
      <c r="A957" s="7" t="s">
        <v>692</v>
      </c>
      <c r="B957" s="7" t="s">
        <v>403</v>
      </c>
      <c r="C957" s="8">
        <f>IFERROR(__xludf.DUMMYFUNCTION("SPLIT(B957,""RM"")"),1600000.0)</f>
        <v>1600000</v>
      </c>
      <c r="D957" s="7" t="s">
        <v>70</v>
      </c>
      <c r="E957" s="7">
        <v>5.0</v>
      </c>
      <c r="G957" s="7" t="s">
        <v>203</v>
      </c>
      <c r="H957" s="7" t="s">
        <v>283</v>
      </c>
      <c r="I957" s="7" t="s">
        <v>27</v>
      </c>
    </row>
    <row r="958">
      <c r="A958" s="7" t="s">
        <v>72</v>
      </c>
      <c r="B958" s="7" t="s">
        <v>1001</v>
      </c>
      <c r="C958" s="8">
        <f>IFERROR(__xludf.DUMMYFUNCTION("SPLIT(B958,""RM"")"),3484600.0)</f>
        <v>3484600</v>
      </c>
      <c r="D958" s="7" t="s">
        <v>35</v>
      </c>
      <c r="E958" s="7">
        <v>6.0</v>
      </c>
      <c r="F958" s="7">
        <v>3.0</v>
      </c>
      <c r="G958" s="7" t="s">
        <v>30</v>
      </c>
      <c r="H958" s="7" t="s">
        <v>994</v>
      </c>
      <c r="I958" s="7" t="s">
        <v>27</v>
      </c>
    </row>
    <row r="959">
      <c r="A959" s="7" t="s">
        <v>177</v>
      </c>
      <c r="B959" s="7" t="s">
        <v>110</v>
      </c>
      <c r="C959" s="8">
        <f>IFERROR(__xludf.DUMMYFUNCTION("SPLIT(B959,""RM"")"),2400000.0)</f>
        <v>2400000</v>
      </c>
      <c r="D959" s="7">
        <v>5.0</v>
      </c>
      <c r="E959" s="7">
        <v>3.0</v>
      </c>
      <c r="F959" s="7">
        <v>2.0</v>
      </c>
      <c r="G959" s="7" t="s">
        <v>54</v>
      </c>
      <c r="H959" s="7" t="s">
        <v>1002</v>
      </c>
      <c r="I959" s="7" t="s">
        <v>27</v>
      </c>
    </row>
    <row r="960">
      <c r="A960" s="7" t="s">
        <v>77</v>
      </c>
      <c r="B960" s="7" t="s">
        <v>75</v>
      </c>
      <c r="C960" s="8">
        <f>IFERROR(__xludf.DUMMYFUNCTION("SPLIT(B960,""RM"")"),3450000.0)</f>
        <v>3450000</v>
      </c>
      <c r="D960" s="7" t="s">
        <v>60</v>
      </c>
      <c r="E960" s="7">
        <v>6.0</v>
      </c>
      <c r="G960" s="7" t="s">
        <v>64</v>
      </c>
      <c r="H960" s="7" t="s">
        <v>912</v>
      </c>
      <c r="I960" s="7" t="s">
        <v>27</v>
      </c>
    </row>
    <row r="961">
      <c r="A961" s="7" t="s">
        <v>77</v>
      </c>
      <c r="B961" s="7" t="s">
        <v>327</v>
      </c>
      <c r="C961" s="8">
        <f>IFERROR(__xludf.DUMMYFUNCTION("SPLIT(B961,""RM"")"),1300000.0)</f>
        <v>1300000</v>
      </c>
      <c r="D961" s="7">
        <v>2.0</v>
      </c>
      <c r="E961" s="7">
        <v>2.0</v>
      </c>
      <c r="F961" s="7">
        <v>2.0</v>
      </c>
      <c r="G961" s="7" t="s">
        <v>30</v>
      </c>
      <c r="H961" s="7" t="s">
        <v>1003</v>
      </c>
      <c r="I961" s="7" t="s">
        <v>27</v>
      </c>
    </row>
    <row r="962">
      <c r="A962" s="7" t="s">
        <v>77</v>
      </c>
      <c r="B962" s="7" t="s">
        <v>319</v>
      </c>
      <c r="C962" s="8">
        <f>IFERROR(__xludf.DUMMYFUNCTION("SPLIT(B962,""RM"")"),3480000.0)</f>
        <v>3480000</v>
      </c>
      <c r="D962" s="7" t="s">
        <v>57</v>
      </c>
      <c r="E962" s="7">
        <v>5.0</v>
      </c>
      <c r="G962" s="7" t="s">
        <v>184</v>
      </c>
      <c r="H962" s="7" t="s">
        <v>618</v>
      </c>
      <c r="I962" s="7" t="s">
        <v>27</v>
      </c>
    </row>
    <row r="963">
      <c r="A963" s="7" t="s">
        <v>77</v>
      </c>
      <c r="B963" s="7" t="s">
        <v>18</v>
      </c>
      <c r="C963" s="8">
        <f>IFERROR(__xludf.DUMMYFUNCTION("SPLIT(B963,""RM"")"),1250000.0)</f>
        <v>1250000</v>
      </c>
      <c r="D963" s="7">
        <v>2.0</v>
      </c>
      <c r="E963" s="7">
        <v>2.0</v>
      </c>
      <c r="F963" s="7">
        <v>2.0</v>
      </c>
      <c r="G963" s="7" t="s">
        <v>30</v>
      </c>
      <c r="H963" s="7" t="s">
        <v>1004</v>
      </c>
      <c r="I963" s="7" t="s">
        <v>27</v>
      </c>
    </row>
    <row r="964">
      <c r="A964" s="7" t="s">
        <v>77</v>
      </c>
      <c r="B964" s="7" t="s">
        <v>472</v>
      </c>
      <c r="C964" s="8">
        <f>IFERROR(__xludf.DUMMYFUNCTION("SPLIT(B964,""RM"")"),1730000.0)</f>
        <v>1730000</v>
      </c>
      <c r="D964" s="7" t="s">
        <v>57</v>
      </c>
      <c r="E964" s="7">
        <v>4.0</v>
      </c>
      <c r="F964" s="7">
        <v>2.0</v>
      </c>
      <c r="G964" s="7" t="s">
        <v>30</v>
      </c>
      <c r="H964" s="7" t="s">
        <v>726</v>
      </c>
      <c r="I964" s="7" t="s">
        <v>22</v>
      </c>
    </row>
    <row r="965">
      <c r="A965" s="7" t="s">
        <v>77</v>
      </c>
      <c r="B965" s="7" t="s">
        <v>712</v>
      </c>
      <c r="C965" s="8">
        <f>IFERROR(__xludf.DUMMYFUNCTION("SPLIT(B965,""RM"")"),1880000.0)</f>
        <v>1880000</v>
      </c>
      <c r="D965" s="7" t="s">
        <v>57</v>
      </c>
      <c r="E965" s="7">
        <v>4.0</v>
      </c>
      <c r="G965" s="7" t="s">
        <v>54</v>
      </c>
      <c r="H965" s="7" t="s">
        <v>1005</v>
      </c>
      <c r="I965" s="7" t="s">
        <v>27</v>
      </c>
    </row>
    <row r="966">
      <c r="A966" s="7" t="s">
        <v>77</v>
      </c>
      <c r="B966" s="7" t="s">
        <v>214</v>
      </c>
      <c r="C966" s="8">
        <f>IFERROR(__xludf.DUMMYFUNCTION("SPLIT(B966,""RM"")"),1180000.0)</f>
        <v>1180000</v>
      </c>
      <c r="D966" s="7" t="s">
        <v>19</v>
      </c>
      <c r="E966" s="7">
        <v>3.0</v>
      </c>
      <c r="G966" s="7" t="s">
        <v>83</v>
      </c>
      <c r="H966" s="7" t="s">
        <v>481</v>
      </c>
      <c r="I966" s="7" t="s">
        <v>22</v>
      </c>
    </row>
    <row r="967">
      <c r="A967" s="7" t="s">
        <v>77</v>
      </c>
      <c r="B967" s="7" t="s">
        <v>110</v>
      </c>
      <c r="C967" s="8">
        <f>IFERROR(__xludf.DUMMYFUNCTION("SPLIT(B967,""RM"")"),2400000.0)</f>
        <v>2400000</v>
      </c>
      <c r="D967" s="7" t="s">
        <v>39</v>
      </c>
      <c r="E967" s="7">
        <v>5.0</v>
      </c>
      <c r="G967" s="7" t="s">
        <v>562</v>
      </c>
      <c r="H967" s="7" t="s">
        <v>211</v>
      </c>
      <c r="I967" s="7" t="s">
        <v>27</v>
      </c>
    </row>
    <row r="968">
      <c r="A968" s="7" t="s">
        <v>77</v>
      </c>
      <c r="B968" s="7" t="s">
        <v>227</v>
      </c>
      <c r="C968" s="8">
        <f>IFERROR(__xludf.DUMMYFUNCTION("SPLIT(B968,""RM"")"),2850000.0)</f>
        <v>2850000</v>
      </c>
      <c r="D968" s="7" t="s">
        <v>57</v>
      </c>
      <c r="E968" s="7">
        <v>4.0</v>
      </c>
      <c r="F968" s="7">
        <v>3.0</v>
      </c>
      <c r="G968" s="7" t="s">
        <v>90</v>
      </c>
      <c r="H968" s="7" t="s">
        <v>1006</v>
      </c>
      <c r="I968" s="7" t="s">
        <v>27</v>
      </c>
    </row>
    <row r="969">
      <c r="A969" s="7" t="s">
        <v>77</v>
      </c>
      <c r="B969" s="7" t="s">
        <v>227</v>
      </c>
      <c r="C969" s="8">
        <f>IFERROR(__xludf.DUMMYFUNCTION("SPLIT(B969,""RM"")"),2850000.0)</f>
        <v>2850000</v>
      </c>
      <c r="D969" s="7" t="s">
        <v>57</v>
      </c>
      <c r="E969" s="7">
        <v>4.0</v>
      </c>
      <c r="G969" s="7" t="s">
        <v>54</v>
      </c>
      <c r="H969" s="7" t="s">
        <v>618</v>
      </c>
      <c r="I969" s="7" t="s">
        <v>27</v>
      </c>
    </row>
    <row r="970">
      <c r="A970" s="7" t="s">
        <v>77</v>
      </c>
      <c r="B970" s="7" t="s">
        <v>243</v>
      </c>
      <c r="C970" s="8">
        <f>IFERROR(__xludf.DUMMYFUNCTION("SPLIT(B970,""RM"")"),1350000.0)</f>
        <v>1350000</v>
      </c>
      <c r="D970" s="7" t="s">
        <v>57</v>
      </c>
      <c r="E970" s="7">
        <v>3.0</v>
      </c>
      <c r="F970" s="7">
        <v>3.0</v>
      </c>
      <c r="G970" s="7" t="s">
        <v>93</v>
      </c>
      <c r="H970" s="7" t="s">
        <v>594</v>
      </c>
      <c r="I970" s="7" t="s">
        <v>27</v>
      </c>
    </row>
    <row r="971">
      <c r="A971" s="7" t="s">
        <v>77</v>
      </c>
      <c r="B971" s="7" t="s">
        <v>243</v>
      </c>
      <c r="C971" s="8">
        <f>IFERROR(__xludf.DUMMYFUNCTION("SPLIT(B971,""RM"")"),1350000.0)</f>
        <v>1350000</v>
      </c>
      <c r="D971" s="7" t="s">
        <v>57</v>
      </c>
      <c r="E971" s="7">
        <v>4.0</v>
      </c>
      <c r="F971" s="7">
        <v>2.0</v>
      </c>
      <c r="G971" s="7" t="s">
        <v>30</v>
      </c>
      <c r="H971" s="7" t="s">
        <v>1007</v>
      </c>
      <c r="I971" s="7" t="s">
        <v>27</v>
      </c>
    </row>
    <row r="972">
      <c r="A972" s="7" t="s">
        <v>177</v>
      </c>
      <c r="B972" s="7" t="s">
        <v>599</v>
      </c>
      <c r="C972" s="8">
        <f>IFERROR(__xludf.DUMMYFUNCTION("SPLIT(B972,""RM"")"),950000.0)</f>
        <v>950000</v>
      </c>
      <c r="D972" s="7">
        <v>3.0</v>
      </c>
      <c r="E972" s="7">
        <v>2.0</v>
      </c>
      <c r="F972" s="7">
        <v>1.0</v>
      </c>
      <c r="G972" s="7" t="s">
        <v>93</v>
      </c>
      <c r="H972" s="7" t="s">
        <v>1008</v>
      </c>
      <c r="I972" s="7" t="s">
        <v>27</v>
      </c>
    </row>
    <row r="973">
      <c r="A973" s="7" t="s">
        <v>23</v>
      </c>
      <c r="B973" s="7" t="s">
        <v>398</v>
      </c>
      <c r="C973" s="8">
        <f>IFERROR(__xludf.DUMMYFUNCTION("SPLIT(B973,""RM"")"),2280000.0)</f>
        <v>2280000</v>
      </c>
      <c r="D973" s="7" t="s">
        <v>35</v>
      </c>
      <c r="E973" s="7">
        <v>5.0</v>
      </c>
      <c r="F973" s="7">
        <v>2.0</v>
      </c>
      <c r="G973" s="7" t="s">
        <v>378</v>
      </c>
      <c r="H973" s="7" t="s">
        <v>1009</v>
      </c>
      <c r="I973" s="7" t="s">
        <v>27</v>
      </c>
    </row>
    <row r="974">
      <c r="A974" s="7" t="s">
        <v>23</v>
      </c>
      <c r="B974" s="7" t="s">
        <v>134</v>
      </c>
      <c r="C974" s="8">
        <f>IFERROR(__xludf.DUMMYFUNCTION("SPLIT(B974,""RM"")"),1150000.0)</f>
        <v>1150000</v>
      </c>
      <c r="D974" s="7" t="s">
        <v>19</v>
      </c>
      <c r="E974" s="7">
        <v>2.0</v>
      </c>
      <c r="F974" s="7">
        <v>1.0</v>
      </c>
      <c r="G974" s="7" t="s">
        <v>30</v>
      </c>
      <c r="H974" s="7" t="s">
        <v>1010</v>
      </c>
      <c r="I974" s="7" t="s">
        <v>27</v>
      </c>
    </row>
    <row r="975">
      <c r="A975" s="7" t="s">
        <v>23</v>
      </c>
      <c r="B975" s="7" t="s">
        <v>120</v>
      </c>
      <c r="C975" s="8">
        <f>IFERROR(__xludf.DUMMYFUNCTION("SPLIT(B975,""RM"")"),3600000.0)</f>
        <v>3600000</v>
      </c>
      <c r="D975" s="7" t="s">
        <v>57</v>
      </c>
      <c r="E975" s="7">
        <v>4.0</v>
      </c>
      <c r="F975" s="7">
        <v>3.0</v>
      </c>
      <c r="G975" s="7" t="s">
        <v>20</v>
      </c>
      <c r="H975" s="7" t="s">
        <v>115</v>
      </c>
      <c r="I975" s="7" t="s">
        <v>27</v>
      </c>
    </row>
    <row r="976">
      <c r="A976" s="7" t="s">
        <v>23</v>
      </c>
      <c r="B976" s="7" t="s">
        <v>349</v>
      </c>
      <c r="C976" s="8">
        <f>IFERROR(__xludf.DUMMYFUNCTION("SPLIT(B976,""RM"")"),1400000.0)</f>
        <v>1400000</v>
      </c>
      <c r="D976" s="7">
        <v>1.0</v>
      </c>
      <c r="E976" s="7">
        <v>1.0</v>
      </c>
      <c r="F976" s="7">
        <v>1.0</v>
      </c>
      <c r="G976" s="7" t="s">
        <v>20</v>
      </c>
      <c r="H976" s="7" t="s">
        <v>51</v>
      </c>
      <c r="I976" s="7" t="s">
        <v>27</v>
      </c>
    </row>
    <row r="977">
      <c r="A977" s="7" t="s">
        <v>104</v>
      </c>
      <c r="B977" s="7" t="s">
        <v>1011</v>
      </c>
      <c r="C977" s="8">
        <f>IFERROR(__xludf.DUMMYFUNCTION("SPLIT(B977,""RM"")"),398000.0)</f>
        <v>398000</v>
      </c>
      <c r="F977" s="7">
        <v>2.0</v>
      </c>
      <c r="G977" s="7" t="s">
        <v>30</v>
      </c>
      <c r="H977" s="7" t="s">
        <v>1012</v>
      </c>
      <c r="I977" s="7" t="s">
        <v>27</v>
      </c>
    </row>
    <row r="978">
      <c r="A978" s="7" t="s">
        <v>17</v>
      </c>
      <c r="B978" s="7" t="s">
        <v>613</v>
      </c>
      <c r="C978" s="8">
        <f>IFERROR(__xludf.DUMMYFUNCTION("SPLIT(B978,""RM"")"),1890000.0)</f>
        <v>1890000</v>
      </c>
      <c r="D978" s="7" t="s">
        <v>39</v>
      </c>
      <c r="E978" s="7">
        <v>5.0</v>
      </c>
      <c r="G978" s="7" t="s">
        <v>83</v>
      </c>
      <c r="H978" s="7" t="s">
        <v>1013</v>
      </c>
      <c r="I978" s="7" t="s">
        <v>27</v>
      </c>
    </row>
    <row r="979">
      <c r="A979" s="7" t="s">
        <v>1014</v>
      </c>
      <c r="B979" s="7" t="s">
        <v>1015</v>
      </c>
      <c r="C979" s="8">
        <f>IFERROR(__xludf.DUMMYFUNCTION("SPLIT(B979,""RM"")"),561100.0)</f>
        <v>561100</v>
      </c>
      <c r="D979" s="7" t="s">
        <v>57</v>
      </c>
      <c r="E979" s="7">
        <v>4.0</v>
      </c>
      <c r="G979" s="7" t="s">
        <v>793</v>
      </c>
      <c r="H979" s="7" t="s">
        <v>1016</v>
      </c>
      <c r="I979" s="7" t="s">
        <v>27</v>
      </c>
    </row>
    <row r="980">
      <c r="A980" s="7" t="s">
        <v>428</v>
      </c>
      <c r="B980" s="7" t="s">
        <v>1017</v>
      </c>
      <c r="C980" s="8">
        <f>IFERROR(__xludf.DUMMYFUNCTION("SPLIT(B980,""RM"")"),710550.0)</f>
        <v>710550</v>
      </c>
      <c r="D980" s="7">
        <v>4.0</v>
      </c>
      <c r="E980" s="7">
        <v>2.0</v>
      </c>
      <c r="G980" s="7" t="s">
        <v>121</v>
      </c>
      <c r="H980" s="7" t="s">
        <v>318</v>
      </c>
      <c r="I980" s="7" t="s">
        <v>27</v>
      </c>
    </row>
    <row r="981">
      <c r="A981" s="7" t="s">
        <v>17</v>
      </c>
      <c r="B981" s="7" t="s">
        <v>1018</v>
      </c>
      <c r="C981" s="8">
        <f>IFERROR(__xludf.DUMMYFUNCTION("SPLIT(B981,""RM"")"),1818500.0)</f>
        <v>1818500</v>
      </c>
      <c r="D981" s="7">
        <v>4.0</v>
      </c>
      <c r="E981" s="7">
        <v>3.0</v>
      </c>
      <c r="G981" s="7" t="s">
        <v>83</v>
      </c>
      <c r="H981" s="7" t="s">
        <v>150</v>
      </c>
      <c r="I981" s="7" t="s">
        <v>27</v>
      </c>
    </row>
    <row r="982">
      <c r="A982" s="7" t="s">
        <v>267</v>
      </c>
      <c r="B982" s="7" t="s">
        <v>1019</v>
      </c>
      <c r="C982" s="8">
        <f>IFERROR(__xludf.DUMMYFUNCTION("SPLIT(B982,""RM"")"),486000.0)</f>
        <v>486000</v>
      </c>
      <c r="D982" s="7">
        <v>3.0</v>
      </c>
      <c r="E982" s="7">
        <v>2.0</v>
      </c>
      <c r="G982" s="7" t="s">
        <v>20</v>
      </c>
      <c r="H982" s="7" t="s">
        <v>1020</v>
      </c>
      <c r="I982" s="7" t="s">
        <v>27</v>
      </c>
    </row>
    <row r="983">
      <c r="A983" s="7" t="s">
        <v>72</v>
      </c>
      <c r="B983" s="7" t="s">
        <v>1021</v>
      </c>
      <c r="C983" s="8">
        <f>IFERROR(__xludf.DUMMYFUNCTION("SPLIT(B983,""RM"")"),2535300.0)</f>
        <v>2535300</v>
      </c>
      <c r="D983" s="7">
        <v>5.0</v>
      </c>
      <c r="E983" s="7">
        <v>5.0</v>
      </c>
      <c r="G983" s="7" t="s">
        <v>83</v>
      </c>
      <c r="H983" s="7" t="s">
        <v>989</v>
      </c>
      <c r="I983" s="7" t="s">
        <v>27</v>
      </c>
    </row>
    <row r="984">
      <c r="A984" s="7" t="s">
        <v>608</v>
      </c>
      <c r="B984" s="7" t="s">
        <v>1022</v>
      </c>
      <c r="C984" s="8">
        <f>IFERROR(__xludf.DUMMYFUNCTION("SPLIT(B984,""RM"")"),1804275.0)</f>
        <v>1804275</v>
      </c>
      <c r="D984" s="7">
        <v>3.0</v>
      </c>
      <c r="E984" s="7">
        <v>2.0</v>
      </c>
      <c r="G984" s="7" t="s">
        <v>378</v>
      </c>
      <c r="H984" s="7" t="s">
        <v>1023</v>
      </c>
      <c r="I984" s="7" t="s">
        <v>27</v>
      </c>
    </row>
    <row r="985">
      <c r="A985" s="7" t="s">
        <v>77</v>
      </c>
      <c r="B985" s="7" t="s">
        <v>42</v>
      </c>
      <c r="C985" s="8">
        <f>IFERROR(__xludf.DUMMYFUNCTION("SPLIT(B985,""RM"")"),2600000.0)</f>
        <v>2600000</v>
      </c>
      <c r="D985" s="7" t="s">
        <v>35</v>
      </c>
      <c r="E985" s="7">
        <v>5.0</v>
      </c>
      <c r="G985" s="7" t="s">
        <v>184</v>
      </c>
      <c r="H985" s="7" t="s">
        <v>1024</v>
      </c>
      <c r="I985" s="7" t="s">
        <v>27</v>
      </c>
    </row>
    <row r="986">
      <c r="A986" s="7" t="s">
        <v>77</v>
      </c>
      <c r="B986" s="7" t="s">
        <v>239</v>
      </c>
      <c r="C986" s="8">
        <f>IFERROR(__xludf.DUMMYFUNCTION("SPLIT(B986,""RM"")"),1280000.0)</f>
        <v>1280000</v>
      </c>
      <c r="D986" s="7" t="s">
        <v>57</v>
      </c>
      <c r="E986" s="7">
        <v>3.0</v>
      </c>
      <c r="G986" s="7" t="s">
        <v>83</v>
      </c>
      <c r="H986" s="7" t="s">
        <v>1025</v>
      </c>
      <c r="I986" s="7" t="s">
        <v>22</v>
      </c>
    </row>
    <row r="987">
      <c r="A987" s="7" t="s">
        <v>77</v>
      </c>
      <c r="B987" s="7" t="s">
        <v>156</v>
      </c>
      <c r="C987" s="8">
        <f>IFERROR(__xludf.DUMMYFUNCTION("SPLIT(B987,""RM"")"),850000.0)</f>
        <v>850000</v>
      </c>
      <c r="D987" s="7">
        <v>2.0</v>
      </c>
      <c r="E987" s="7">
        <v>3.0</v>
      </c>
      <c r="F987" s="7">
        <v>1.0</v>
      </c>
      <c r="G987" s="7" t="s">
        <v>83</v>
      </c>
      <c r="H987" s="7" t="s">
        <v>1026</v>
      </c>
      <c r="I987" s="7" t="s">
        <v>22</v>
      </c>
    </row>
    <row r="988">
      <c r="A988" s="7" t="s">
        <v>77</v>
      </c>
      <c r="B988" s="7" t="s">
        <v>101</v>
      </c>
      <c r="C988" s="8">
        <f>IFERROR(__xludf.DUMMYFUNCTION("SPLIT(B988,""RM"")"),3300000.0)</f>
        <v>3300000</v>
      </c>
      <c r="D988" s="7" t="s">
        <v>35</v>
      </c>
      <c r="E988" s="7">
        <v>5.0</v>
      </c>
      <c r="G988" s="7" t="s">
        <v>169</v>
      </c>
      <c r="H988" s="7" t="s">
        <v>1027</v>
      </c>
      <c r="I988" s="7" t="s">
        <v>27</v>
      </c>
    </row>
    <row r="989">
      <c r="A989" s="7" t="s">
        <v>77</v>
      </c>
      <c r="B989" s="7" t="s">
        <v>292</v>
      </c>
      <c r="C989" s="8">
        <f>IFERROR(__xludf.DUMMYFUNCTION("SPLIT(B989,""RM"")"),3400000.0)</f>
        <v>3400000</v>
      </c>
      <c r="D989" s="7" t="s">
        <v>35</v>
      </c>
      <c r="E989" s="7">
        <v>6.0</v>
      </c>
      <c r="F989" s="7">
        <v>2.0</v>
      </c>
      <c r="G989" s="7" t="s">
        <v>90</v>
      </c>
      <c r="H989" s="7" t="s">
        <v>1028</v>
      </c>
      <c r="I989" s="7" t="s">
        <v>27</v>
      </c>
    </row>
    <row r="990">
      <c r="A990" s="7" t="s">
        <v>77</v>
      </c>
      <c r="B990" s="7" t="s">
        <v>386</v>
      </c>
      <c r="C990" s="8">
        <f>IFERROR(__xludf.DUMMYFUNCTION("SPLIT(B990,""RM"")"),2380000.0)</f>
        <v>2380000</v>
      </c>
      <c r="D990" s="7" t="s">
        <v>35</v>
      </c>
      <c r="E990" s="7">
        <v>5.0</v>
      </c>
      <c r="G990" s="7" t="s">
        <v>562</v>
      </c>
      <c r="H990" s="7" t="s">
        <v>283</v>
      </c>
      <c r="I990" s="7" t="s">
        <v>22</v>
      </c>
    </row>
    <row r="991">
      <c r="A991" s="7" t="s">
        <v>77</v>
      </c>
      <c r="B991" s="7" t="s">
        <v>81</v>
      </c>
      <c r="C991" s="8">
        <f>IFERROR(__xludf.DUMMYFUNCTION("SPLIT(B991,""RM"")"),1550000.0)</f>
        <v>1550000</v>
      </c>
      <c r="D991" s="7" t="s">
        <v>57</v>
      </c>
      <c r="E991" s="7">
        <v>4.0</v>
      </c>
      <c r="G991" s="7" t="s">
        <v>562</v>
      </c>
      <c r="H991" s="7" t="s">
        <v>1029</v>
      </c>
      <c r="I991" s="7" t="s">
        <v>27</v>
      </c>
    </row>
    <row r="992">
      <c r="A992" s="7" t="s">
        <v>77</v>
      </c>
      <c r="B992" s="7" t="s">
        <v>475</v>
      </c>
      <c r="C992" s="8">
        <f>IFERROR(__xludf.DUMMYFUNCTION("SPLIT(B992,""RM"")"),2800000.0)</f>
        <v>2800000</v>
      </c>
      <c r="D992" s="7" t="s">
        <v>57</v>
      </c>
      <c r="E992" s="7">
        <v>4.0</v>
      </c>
      <c r="G992" s="7" t="s">
        <v>562</v>
      </c>
      <c r="H992" s="7" t="s">
        <v>228</v>
      </c>
      <c r="I992" s="7" t="s">
        <v>27</v>
      </c>
    </row>
    <row r="993">
      <c r="A993" s="7" t="s">
        <v>77</v>
      </c>
      <c r="B993" s="7" t="s">
        <v>165</v>
      </c>
      <c r="C993" s="8">
        <f>IFERROR(__xludf.DUMMYFUNCTION("SPLIT(B993,""RM"")"),3500000.0)</f>
        <v>3500000</v>
      </c>
      <c r="D993" s="7" t="s">
        <v>70</v>
      </c>
      <c r="E993" s="7">
        <v>6.0</v>
      </c>
      <c r="G993" s="7" t="s">
        <v>90</v>
      </c>
      <c r="H993" s="7" t="s">
        <v>293</v>
      </c>
      <c r="I993" s="7" t="s">
        <v>27</v>
      </c>
    </row>
    <row r="994">
      <c r="A994" s="7" t="s">
        <v>77</v>
      </c>
      <c r="B994" s="7" t="s">
        <v>1030</v>
      </c>
      <c r="C994" s="8">
        <f>IFERROR(__xludf.DUMMYFUNCTION("SPLIT(B994,""RM"")"),3150000.0)</f>
        <v>3150000</v>
      </c>
      <c r="D994" s="7">
        <v>4.0</v>
      </c>
      <c r="E994" s="7">
        <v>5.0</v>
      </c>
      <c r="G994" s="7" t="s">
        <v>184</v>
      </c>
      <c r="H994" s="7" t="s">
        <v>176</v>
      </c>
      <c r="I994" s="7" t="s">
        <v>27</v>
      </c>
    </row>
    <row r="995">
      <c r="A995" s="7" t="s">
        <v>77</v>
      </c>
      <c r="B995" s="7" t="s">
        <v>313</v>
      </c>
      <c r="C995" s="8">
        <f>IFERROR(__xludf.DUMMYFUNCTION("SPLIT(B995,""RM"")"),2900000.0)</f>
        <v>2900000</v>
      </c>
      <c r="D995" s="7" t="s">
        <v>35</v>
      </c>
      <c r="E995" s="7">
        <v>5.0</v>
      </c>
      <c r="G995" s="7" t="s">
        <v>562</v>
      </c>
      <c r="H995" s="7" t="s">
        <v>1031</v>
      </c>
      <c r="I995" s="7" t="s">
        <v>27</v>
      </c>
    </row>
    <row r="996">
      <c r="A996" s="7" t="s">
        <v>77</v>
      </c>
      <c r="B996" s="7" t="s">
        <v>920</v>
      </c>
      <c r="C996" s="8">
        <f>IFERROR(__xludf.DUMMYFUNCTION("SPLIT(B996,""RM"")"),3650000.0)</f>
        <v>3650000</v>
      </c>
      <c r="D996" s="7" t="s">
        <v>35</v>
      </c>
      <c r="E996" s="7">
        <v>6.0</v>
      </c>
      <c r="G996" s="7" t="s">
        <v>562</v>
      </c>
      <c r="H996" s="7" t="s">
        <v>498</v>
      </c>
      <c r="I996" s="7" t="s">
        <v>27</v>
      </c>
    </row>
    <row r="997">
      <c r="A997" s="7" t="s">
        <v>77</v>
      </c>
      <c r="B997" s="7" t="s">
        <v>120</v>
      </c>
      <c r="C997" s="8">
        <f>IFERROR(__xludf.DUMMYFUNCTION("SPLIT(B997,""RM"")"),3600000.0)</f>
        <v>3600000</v>
      </c>
      <c r="D997" s="7" t="s">
        <v>57</v>
      </c>
      <c r="E997" s="7">
        <v>5.0</v>
      </c>
      <c r="G997" s="7" t="s">
        <v>169</v>
      </c>
      <c r="H997" s="7" t="s">
        <v>631</v>
      </c>
      <c r="I997" s="7" t="s">
        <v>27</v>
      </c>
    </row>
    <row r="998">
      <c r="A998" s="7" t="s">
        <v>77</v>
      </c>
      <c r="B998" s="7" t="s">
        <v>1032</v>
      </c>
      <c r="C998" s="8">
        <f>IFERROR(__xludf.DUMMYFUNCTION("SPLIT(B998,""RM"")"),3880000.0)</f>
        <v>3880000</v>
      </c>
      <c r="D998" s="7" t="s">
        <v>70</v>
      </c>
      <c r="E998" s="7">
        <v>6.0</v>
      </c>
      <c r="G998" s="7" t="s">
        <v>562</v>
      </c>
      <c r="H998" s="7" t="s">
        <v>1033</v>
      </c>
      <c r="I998" s="7" t="s">
        <v>27</v>
      </c>
    </row>
    <row r="999">
      <c r="A999" s="7" t="s">
        <v>77</v>
      </c>
      <c r="B999" s="7" t="s">
        <v>151</v>
      </c>
      <c r="C999" s="8">
        <f>IFERROR(__xludf.DUMMYFUNCTION("SPLIT(B999,""RM"")"),4800000.0)</f>
        <v>4800000</v>
      </c>
      <c r="D999" s="7" t="s">
        <v>35</v>
      </c>
      <c r="E999" s="7">
        <v>6.0</v>
      </c>
      <c r="G999" s="7" t="s">
        <v>562</v>
      </c>
      <c r="H999" s="7" t="s">
        <v>1028</v>
      </c>
      <c r="I999" s="7" t="s">
        <v>27</v>
      </c>
    </row>
    <row r="1000">
      <c r="A1000" s="7" t="s">
        <v>72</v>
      </c>
      <c r="B1000" s="7" t="s">
        <v>206</v>
      </c>
      <c r="C1000" s="8">
        <f>IFERROR(__xludf.DUMMYFUNCTION("SPLIT(B1000,""RM"")"),920000.0)</f>
        <v>920000</v>
      </c>
      <c r="D1000" s="7" t="s">
        <v>57</v>
      </c>
      <c r="E1000" s="7">
        <v>2.0</v>
      </c>
      <c r="F1000" s="7">
        <v>2.0</v>
      </c>
      <c r="G1000" s="7" t="s">
        <v>93</v>
      </c>
      <c r="H1000" s="7" t="s">
        <v>1034</v>
      </c>
      <c r="I1000" s="7" t="s">
        <v>27</v>
      </c>
    </row>
    <row r="1001">
      <c r="A1001" s="7" t="s">
        <v>77</v>
      </c>
      <c r="B1001" s="7" t="s">
        <v>460</v>
      </c>
      <c r="C1001" s="8">
        <f>IFERROR(__xludf.DUMMYFUNCTION("SPLIT(B1001,""RM"")"),1580000.0)</f>
        <v>1580000</v>
      </c>
      <c r="D1001" s="7" t="s">
        <v>57</v>
      </c>
      <c r="E1001" s="7">
        <v>3.0</v>
      </c>
      <c r="G1001" s="7" t="s">
        <v>562</v>
      </c>
      <c r="H1001" s="7" t="s">
        <v>461</v>
      </c>
      <c r="I1001" s="7" t="s">
        <v>27</v>
      </c>
    </row>
    <row r="1002">
      <c r="A1002" s="7" t="s">
        <v>77</v>
      </c>
      <c r="B1002" s="7" t="s">
        <v>390</v>
      </c>
      <c r="C1002" s="8">
        <f>IFERROR(__xludf.DUMMYFUNCTION("SPLIT(B1002,""RM"")"),6300000.0)</f>
        <v>6300000</v>
      </c>
      <c r="D1002" s="7" t="s">
        <v>218</v>
      </c>
      <c r="E1002" s="7">
        <v>7.0</v>
      </c>
      <c r="G1002" s="7" t="s">
        <v>25</v>
      </c>
      <c r="H1002" s="7" t="s">
        <v>1035</v>
      </c>
      <c r="I1002" s="7" t="s">
        <v>27</v>
      </c>
    </row>
    <row r="1003">
      <c r="A1003" s="7" t="s">
        <v>77</v>
      </c>
      <c r="B1003" s="7" t="s">
        <v>460</v>
      </c>
      <c r="C1003" s="8">
        <f>IFERROR(__xludf.DUMMYFUNCTION("SPLIT(B1003,""RM"")"),1580000.0)</f>
        <v>1580000</v>
      </c>
      <c r="D1003" s="7">
        <v>3.0</v>
      </c>
      <c r="E1003" s="7">
        <v>3.0</v>
      </c>
      <c r="G1003" s="7" t="s">
        <v>203</v>
      </c>
      <c r="H1003" s="7" t="s">
        <v>461</v>
      </c>
      <c r="I1003" s="7" t="s">
        <v>27</v>
      </c>
    </row>
    <row r="1004">
      <c r="A1004" s="7" t="s">
        <v>77</v>
      </c>
      <c r="B1004" s="7" t="s">
        <v>311</v>
      </c>
      <c r="C1004" s="8">
        <f>IFERROR(__xludf.DUMMYFUNCTION("SPLIT(B1004,""RM"")"),1100000.0)</f>
        <v>1100000</v>
      </c>
      <c r="D1004" s="7" t="s">
        <v>19</v>
      </c>
      <c r="E1004" s="7">
        <v>2.0</v>
      </c>
      <c r="G1004" s="7" t="s">
        <v>83</v>
      </c>
      <c r="H1004" s="7" t="s">
        <v>490</v>
      </c>
      <c r="I1004" s="7" t="s">
        <v>22</v>
      </c>
    </row>
    <row r="1005">
      <c r="A1005" s="7" t="s">
        <v>77</v>
      </c>
      <c r="B1005" s="7" t="s">
        <v>921</v>
      </c>
      <c r="C1005" s="8">
        <f>IFERROR(__xludf.DUMMYFUNCTION("SPLIT(B1005,""RM"")"),2990000.0)</f>
        <v>2990000</v>
      </c>
      <c r="D1005" s="7" t="s">
        <v>70</v>
      </c>
      <c r="E1005" s="7">
        <v>6.0</v>
      </c>
      <c r="G1005" s="7" t="s">
        <v>1036</v>
      </c>
      <c r="H1005" s="7" t="s">
        <v>1037</v>
      </c>
      <c r="I1005" s="7" t="s">
        <v>27</v>
      </c>
    </row>
    <row r="1006">
      <c r="A1006" s="7" t="s">
        <v>77</v>
      </c>
      <c r="B1006" s="7" t="s">
        <v>475</v>
      </c>
      <c r="C1006" s="8">
        <f>IFERROR(__xludf.DUMMYFUNCTION("SPLIT(B1006,""RM"")"),2800000.0)</f>
        <v>2800000</v>
      </c>
      <c r="D1006" s="7" t="s">
        <v>35</v>
      </c>
      <c r="E1006" s="7">
        <v>4.0</v>
      </c>
      <c r="G1006" s="7" t="s">
        <v>46</v>
      </c>
      <c r="H1006" s="7" t="s">
        <v>274</v>
      </c>
      <c r="I1006" s="7" t="s">
        <v>27</v>
      </c>
    </row>
    <row r="1007">
      <c r="A1007" s="7" t="s">
        <v>77</v>
      </c>
      <c r="B1007" s="7" t="s">
        <v>1038</v>
      </c>
      <c r="C1007" s="8">
        <f>IFERROR(__xludf.DUMMYFUNCTION("SPLIT(B1007,""RM"")"),6200000.0)</f>
        <v>6200000</v>
      </c>
      <c r="D1007" s="7" t="s">
        <v>60</v>
      </c>
      <c r="E1007" s="7">
        <v>9.0</v>
      </c>
      <c r="G1007" s="7" t="s">
        <v>1039</v>
      </c>
      <c r="H1007" s="7" t="s">
        <v>1040</v>
      </c>
      <c r="I1007" s="7" t="s">
        <v>27</v>
      </c>
    </row>
    <row r="1008">
      <c r="A1008" s="7" t="s">
        <v>77</v>
      </c>
      <c r="B1008" s="7" t="s">
        <v>144</v>
      </c>
      <c r="C1008" s="8">
        <f>IFERROR(__xludf.DUMMYFUNCTION("SPLIT(B1008,""RM"")"),1800000.0)</f>
        <v>1800000</v>
      </c>
      <c r="D1008" s="7" t="s">
        <v>57</v>
      </c>
      <c r="E1008" s="7">
        <v>3.0</v>
      </c>
      <c r="G1008" s="7" t="s">
        <v>83</v>
      </c>
      <c r="H1008" s="7" t="s">
        <v>1033</v>
      </c>
      <c r="I1008" s="7" t="s">
        <v>27</v>
      </c>
    </row>
    <row r="1009">
      <c r="A1009" s="7" t="s">
        <v>77</v>
      </c>
      <c r="B1009" s="7" t="s">
        <v>327</v>
      </c>
      <c r="C1009" s="8">
        <f>IFERROR(__xludf.DUMMYFUNCTION("SPLIT(B1009,""RM"")"),1300000.0)</f>
        <v>1300000</v>
      </c>
      <c r="D1009" s="7">
        <v>3.0</v>
      </c>
      <c r="E1009" s="7">
        <v>2.0</v>
      </c>
      <c r="G1009" s="7" t="s">
        <v>83</v>
      </c>
      <c r="H1009" s="7" t="s">
        <v>1041</v>
      </c>
      <c r="I1009" s="7" t="s">
        <v>27</v>
      </c>
    </row>
    <row r="1010">
      <c r="A1010" s="7" t="s">
        <v>77</v>
      </c>
      <c r="B1010" s="7" t="s">
        <v>807</v>
      </c>
      <c r="C1010" s="8">
        <f>IFERROR(__xludf.DUMMYFUNCTION("SPLIT(B1010,""RM"")"),1430000.0)</f>
        <v>1430000</v>
      </c>
      <c r="D1010" s="7">
        <v>3.0</v>
      </c>
      <c r="E1010" s="7">
        <v>2.0</v>
      </c>
      <c r="G1010" s="7" t="s">
        <v>83</v>
      </c>
      <c r="H1010" s="7" t="s">
        <v>1042</v>
      </c>
      <c r="I1010" s="7" t="s">
        <v>27</v>
      </c>
    </row>
    <row r="1011">
      <c r="A1011" s="7" t="s">
        <v>77</v>
      </c>
      <c r="B1011" s="7" t="s">
        <v>403</v>
      </c>
      <c r="C1011" s="8">
        <f>IFERROR(__xludf.DUMMYFUNCTION("SPLIT(B1011,""RM"")"),1600000.0)</f>
        <v>1600000</v>
      </c>
      <c r="D1011" s="7" t="s">
        <v>19</v>
      </c>
      <c r="E1011" s="7">
        <v>2.0</v>
      </c>
      <c r="F1011" s="7">
        <v>2.0</v>
      </c>
      <c r="G1011" s="7" t="s">
        <v>30</v>
      </c>
      <c r="H1011" s="7" t="s">
        <v>471</v>
      </c>
      <c r="I1011" s="7" t="s">
        <v>27</v>
      </c>
    </row>
    <row r="1012">
      <c r="A1012" s="7" t="s">
        <v>77</v>
      </c>
      <c r="B1012" s="7" t="s">
        <v>165</v>
      </c>
      <c r="C1012" s="8">
        <f>IFERROR(__xludf.DUMMYFUNCTION("SPLIT(B1012,""RM"")"),3500000.0)</f>
        <v>3500000</v>
      </c>
      <c r="D1012" s="7" t="s">
        <v>60</v>
      </c>
      <c r="E1012" s="7">
        <v>6.0</v>
      </c>
      <c r="G1012" s="7" t="s">
        <v>43</v>
      </c>
      <c r="H1012" s="7" t="s">
        <v>1027</v>
      </c>
      <c r="I1012" s="7" t="s">
        <v>27</v>
      </c>
    </row>
    <row r="1013">
      <c r="A1013" s="7" t="s">
        <v>77</v>
      </c>
      <c r="B1013" s="7" t="s">
        <v>229</v>
      </c>
      <c r="C1013" s="8">
        <f>IFERROR(__xludf.DUMMYFUNCTION("SPLIT(B1013,""RM"")"),1050000.0)</f>
        <v>1050000</v>
      </c>
      <c r="D1013" s="7" t="s">
        <v>19</v>
      </c>
      <c r="E1013" s="7">
        <v>2.0</v>
      </c>
      <c r="F1013" s="7">
        <v>2.0</v>
      </c>
      <c r="G1013" s="7" t="s">
        <v>83</v>
      </c>
      <c r="H1013" s="7" t="s">
        <v>230</v>
      </c>
      <c r="I1013" s="7" t="s">
        <v>27</v>
      </c>
    </row>
    <row r="1014">
      <c r="A1014" s="7" t="s">
        <v>77</v>
      </c>
      <c r="B1014" s="7" t="s">
        <v>426</v>
      </c>
      <c r="C1014" s="8">
        <f>IFERROR(__xludf.DUMMYFUNCTION("SPLIT(B1014,""RM"")"),1530000.0)</f>
        <v>1530000</v>
      </c>
      <c r="D1014" s="7" t="s">
        <v>57</v>
      </c>
      <c r="E1014" s="7">
        <v>3.0</v>
      </c>
      <c r="G1014" s="7" t="s">
        <v>83</v>
      </c>
      <c r="H1014" s="7" t="s">
        <v>1043</v>
      </c>
      <c r="I1014" s="7" t="s">
        <v>27</v>
      </c>
    </row>
    <row r="1015">
      <c r="A1015" s="7" t="s">
        <v>77</v>
      </c>
      <c r="B1015" s="7" t="s">
        <v>349</v>
      </c>
      <c r="C1015" s="8">
        <f>IFERROR(__xludf.DUMMYFUNCTION("SPLIT(B1015,""RM"")"),1400000.0)</f>
        <v>1400000</v>
      </c>
      <c r="D1015" s="7" t="s">
        <v>57</v>
      </c>
      <c r="E1015" s="7">
        <v>3.0</v>
      </c>
      <c r="F1015" s="7">
        <v>2.0</v>
      </c>
      <c r="G1015" s="7" t="s">
        <v>83</v>
      </c>
      <c r="H1015" s="7" t="s">
        <v>318</v>
      </c>
      <c r="I1015" s="7" t="s">
        <v>22</v>
      </c>
    </row>
    <row r="1016">
      <c r="A1016" s="7" t="s">
        <v>77</v>
      </c>
      <c r="B1016" s="7" t="s">
        <v>1044</v>
      </c>
      <c r="C1016" s="8">
        <f>IFERROR(__xludf.DUMMYFUNCTION("SPLIT(B1016,""RM"")"),1170000.0)</f>
        <v>1170000</v>
      </c>
      <c r="D1016" s="7">
        <v>3.0</v>
      </c>
      <c r="E1016" s="7">
        <v>2.0</v>
      </c>
      <c r="F1016" s="7">
        <v>2.0</v>
      </c>
      <c r="G1016" s="7" t="s">
        <v>83</v>
      </c>
      <c r="H1016" s="7" t="s">
        <v>230</v>
      </c>
      <c r="I1016" s="7" t="s">
        <v>22</v>
      </c>
    </row>
    <row r="1017">
      <c r="A1017" s="7" t="s">
        <v>72</v>
      </c>
      <c r="B1017" s="7" t="s">
        <v>1045</v>
      </c>
      <c r="C1017" s="8">
        <f>IFERROR(__xludf.DUMMYFUNCTION("SPLIT(B1017,""RM"")"),1599000.0)</f>
        <v>1599000</v>
      </c>
      <c r="D1017" s="7" t="s">
        <v>57</v>
      </c>
      <c r="E1017" s="7">
        <v>4.0</v>
      </c>
      <c r="G1017" s="7" t="s">
        <v>83</v>
      </c>
      <c r="H1017" s="7" t="s">
        <v>404</v>
      </c>
      <c r="I1017" s="7" t="s">
        <v>22</v>
      </c>
    </row>
    <row r="1018">
      <c r="A1018" s="7" t="s">
        <v>77</v>
      </c>
      <c r="B1018" s="7" t="s">
        <v>34</v>
      </c>
      <c r="C1018" s="8">
        <f>IFERROR(__xludf.DUMMYFUNCTION("SPLIT(B1018,""RM"")"),900000.0)</f>
        <v>900000</v>
      </c>
      <c r="D1018" s="7" t="s">
        <v>197</v>
      </c>
      <c r="E1018" s="7">
        <v>1.0</v>
      </c>
      <c r="G1018" s="7" t="s">
        <v>83</v>
      </c>
      <c r="H1018" s="7" t="s">
        <v>323</v>
      </c>
      <c r="I1018" s="7" t="s">
        <v>22</v>
      </c>
    </row>
    <row r="1019">
      <c r="A1019" s="7" t="s">
        <v>77</v>
      </c>
      <c r="B1019" s="7" t="s">
        <v>403</v>
      </c>
      <c r="C1019" s="8">
        <f>IFERROR(__xludf.DUMMYFUNCTION("SPLIT(B1019,""RM"")"),1600000.0)</f>
        <v>1600000</v>
      </c>
      <c r="D1019" s="7" t="s">
        <v>57</v>
      </c>
      <c r="E1019" s="7">
        <v>3.0</v>
      </c>
      <c r="G1019" s="7" t="s">
        <v>90</v>
      </c>
      <c r="H1019" s="7" t="s">
        <v>461</v>
      </c>
      <c r="I1019" s="7" t="s">
        <v>27</v>
      </c>
    </row>
    <row r="1020">
      <c r="A1020" s="7" t="s">
        <v>77</v>
      </c>
      <c r="B1020" s="7" t="s">
        <v>526</v>
      </c>
      <c r="C1020" s="8">
        <f>IFERROR(__xludf.DUMMYFUNCTION("SPLIT(B1020,""RM"")"),1330000.0)</f>
        <v>1330000</v>
      </c>
      <c r="D1020" s="7" t="s">
        <v>57</v>
      </c>
      <c r="E1020" s="7">
        <v>4.0</v>
      </c>
      <c r="G1020" s="7" t="s">
        <v>83</v>
      </c>
      <c r="H1020" s="7" t="s">
        <v>1046</v>
      </c>
      <c r="I1020" s="7" t="s">
        <v>22</v>
      </c>
    </row>
    <row r="1021">
      <c r="A1021" s="7" t="s">
        <v>72</v>
      </c>
      <c r="B1021" s="7" t="s">
        <v>1047</v>
      </c>
      <c r="C1021" s="8">
        <f>IFERROR(__xludf.DUMMYFUNCTION("SPLIT(B1021,""RM"")"),2940000.0)</f>
        <v>2940000</v>
      </c>
      <c r="D1021" s="7" t="s">
        <v>35</v>
      </c>
      <c r="E1021" s="7">
        <v>5.0</v>
      </c>
      <c r="F1021" s="7">
        <v>3.0</v>
      </c>
      <c r="G1021" s="7" t="s">
        <v>83</v>
      </c>
      <c r="H1021" s="7" t="s">
        <v>994</v>
      </c>
      <c r="I1021" s="7" t="s">
        <v>27</v>
      </c>
    </row>
    <row r="1022">
      <c r="A1022" s="7" t="s">
        <v>28</v>
      </c>
      <c r="B1022" s="7" t="s">
        <v>1048</v>
      </c>
      <c r="C1022" s="8">
        <f>IFERROR(__xludf.DUMMYFUNCTION("SPLIT(B1022,""RM"")"),1131760.0)</f>
        <v>1131760</v>
      </c>
      <c r="D1022" s="7" t="s">
        <v>57</v>
      </c>
      <c r="E1022" s="7">
        <v>5.0</v>
      </c>
      <c r="F1022" s="7">
        <v>2.0</v>
      </c>
      <c r="G1022" s="7" t="s">
        <v>83</v>
      </c>
      <c r="H1022" s="7" t="s">
        <v>215</v>
      </c>
      <c r="I1022" s="7" t="s">
        <v>251</v>
      </c>
    </row>
    <row r="1023">
      <c r="A1023" s="7" t="s">
        <v>72</v>
      </c>
      <c r="B1023" s="7" t="s">
        <v>534</v>
      </c>
      <c r="C1023" s="8">
        <f>IFERROR(__xludf.DUMMYFUNCTION("SPLIT(B1023,""RM"")"),3200000.0)</f>
        <v>3200000</v>
      </c>
      <c r="D1023" s="7" t="s">
        <v>35</v>
      </c>
      <c r="E1023" s="7">
        <v>5.0</v>
      </c>
      <c r="F1023" s="7">
        <v>3.0</v>
      </c>
      <c r="G1023" s="7" t="s">
        <v>83</v>
      </c>
      <c r="H1023" s="7" t="s">
        <v>994</v>
      </c>
      <c r="I1023" s="7" t="s">
        <v>22</v>
      </c>
    </row>
    <row r="1024">
      <c r="A1024" s="7" t="s">
        <v>72</v>
      </c>
      <c r="B1024" s="7" t="s">
        <v>484</v>
      </c>
      <c r="C1024" s="8">
        <f>IFERROR(__xludf.DUMMYFUNCTION("SPLIT(B1024,""RM"")"),2950000.0)</f>
        <v>2950000</v>
      </c>
      <c r="D1024" s="7" t="s">
        <v>35</v>
      </c>
      <c r="E1024" s="7">
        <v>6.0</v>
      </c>
      <c r="F1024" s="7">
        <v>3.0</v>
      </c>
      <c r="G1024" s="7" t="s">
        <v>83</v>
      </c>
      <c r="H1024" s="7" t="s">
        <v>994</v>
      </c>
      <c r="I1024" s="7" t="s">
        <v>27</v>
      </c>
    </row>
    <row r="1025">
      <c r="A1025" s="7" t="s">
        <v>72</v>
      </c>
      <c r="B1025" s="7" t="s">
        <v>429</v>
      </c>
      <c r="C1025" s="8">
        <f>IFERROR(__xludf.DUMMYFUNCTION("SPLIT(B1025,""RM"")"),3680000.0)</f>
        <v>3680000</v>
      </c>
      <c r="D1025" s="7" t="s">
        <v>35</v>
      </c>
      <c r="E1025" s="7">
        <v>6.0</v>
      </c>
      <c r="F1025" s="7">
        <v>3.0</v>
      </c>
      <c r="G1025" s="7" t="s">
        <v>83</v>
      </c>
      <c r="H1025" s="7" t="s">
        <v>147</v>
      </c>
      <c r="I1025" s="7" t="s">
        <v>27</v>
      </c>
    </row>
    <row r="1026">
      <c r="A1026" s="7" t="s">
        <v>72</v>
      </c>
      <c r="B1026" s="7" t="s">
        <v>849</v>
      </c>
      <c r="C1026" s="8">
        <f>IFERROR(__xludf.DUMMYFUNCTION("SPLIT(B1026,""RM"")"),2890000.0)</f>
        <v>2890000</v>
      </c>
      <c r="D1026" s="7" t="s">
        <v>35</v>
      </c>
      <c r="E1026" s="7">
        <v>6.0</v>
      </c>
      <c r="F1026" s="7">
        <v>3.0</v>
      </c>
      <c r="G1026" s="7" t="s">
        <v>83</v>
      </c>
      <c r="H1026" s="7" t="s">
        <v>622</v>
      </c>
      <c r="I1026" s="7" t="s">
        <v>22</v>
      </c>
    </row>
    <row r="1027">
      <c r="A1027" s="7" t="s">
        <v>28</v>
      </c>
      <c r="B1027" s="7" t="s">
        <v>1049</v>
      </c>
      <c r="C1027" s="8">
        <f>IFERROR(__xludf.DUMMYFUNCTION("SPLIT(B1027,""RM"")"),1138060.0)</f>
        <v>1138060</v>
      </c>
      <c r="D1027" s="7" t="s">
        <v>57</v>
      </c>
      <c r="E1027" s="7">
        <v>5.0</v>
      </c>
      <c r="F1027" s="7">
        <v>2.0</v>
      </c>
      <c r="G1027" s="7" t="s">
        <v>83</v>
      </c>
      <c r="H1027" s="7" t="s">
        <v>1050</v>
      </c>
      <c r="I1027" s="7" t="s">
        <v>251</v>
      </c>
    </row>
    <row r="1028">
      <c r="A1028" s="7" t="s">
        <v>77</v>
      </c>
      <c r="B1028" s="7" t="s">
        <v>42</v>
      </c>
      <c r="C1028" s="8">
        <f>IFERROR(__xludf.DUMMYFUNCTION("SPLIT(B1028,""RM"")"),2600000.0)</f>
        <v>2600000</v>
      </c>
      <c r="D1028" s="7" t="s">
        <v>35</v>
      </c>
      <c r="E1028" s="7">
        <v>6.0</v>
      </c>
      <c r="F1028" s="7">
        <v>2.0</v>
      </c>
      <c r="G1028" s="7" t="s">
        <v>562</v>
      </c>
      <c r="H1028" s="7" t="s">
        <v>1051</v>
      </c>
      <c r="I1028" s="7" t="s">
        <v>27</v>
      </c>
    </row>
    <row r="1029">
      <c r="A1029" s="7" t="s">
        <v>77</v>
      </c>
      <c r="B1029" s="7" t="s">
        <v>132</v>
      </c>
      <c r="C1029" s="8">
        <f>IFERROR(__xludf.DUMMYFUNCTION("SPLIT(B1029,""RM"")"),1080000.0)</f>
        <v>1080000</v>
      </c>
      <c r="D1029" s="7">
        <v>2.0</v>
      </c>
      <c r="E1029" s="7">
        <v>1.0</v>
      </c>
      <c r="F1029" s="7">
        <v>2.0</v>
      </c>
      <c r="G1029" s="7" t="s">
        <v>93</v>
      </c>
      <c r="H1029" s="7" t="s">
        <v>1052</v>
      </c>
      <c r="I1029" s="7" t="s">
        <v>27</v>
      </c>
    </row>
    <row r="1030">
      <c r="A1030" s="7" t="s">
        <v>77</v>
      </c>
      <c r="B1030" s="7" t="s">
        <v>1053</v>
      </c>
      <c r="C1030" s="8">
        <f>IFERROR(__xludf.DUMMYFUNCTION("SPLIT(B1030,""RM"")"),7150000.0)</f>
        <v>7150000</v>
      </c>
      <c r="G1030" s="7" t="s">
        <v>667</v>
      </c>
      <c r="H1030" s="7" t="s">
        <v>1054</v>
      </c>
    </row>
    <row r="1031">
      <c r="A1031" s="7" t="s">
        <v>77</v>
      </c>
      <c r="B1031" s="7" t="s">
        <v>329</v>
      </c>
      <c r="C1031" s="8">
        <f>IFERROR(__xludf.DUMMYFUNCTION("SPLIT(B1031,""RM"")"),1200000.0)</f>
        <v>1200000</v>
      </c>
      <c r="D1031" s="7" t="s">
        <v>19</v>
      </c>
      <c r="E1031" s="7">
        <v>3.0</v>
      </c>
      <c r="G1031" s="7" t="s">
        <v>93</v>
      </c>
      <c r="H1031" s="7" t="s">
        <v>481</v>
      </c>
      <c r="I1031" s="7" t="s">
        <v>22</v>
      </c>
    </row>
    <row r="1032">
      <c r="A1032" s="7" t="s">
        <v>77</v>
      </c>
      <c r="B1032" s="7" t="s">
        <v>1055</v>
      </c>
      <c r="C1032" s="8">
        <f>IFERROR(__xludf.DUMMYFUNCTION("SPLIT(B1032,""RM"")"),4550000.0)</f>
        <v>4550000</v>
      </c>
      <c r="D1032" s="7" t="s">
        <v>79</v>
      </c>
      <c r="E1032" s="7">
        <v>6.0</v>
      </c>
      <c r="G1032" s="7" t="s">
        <v>203</v>
      </c>
      <c r="H1032" s="7" t="s">
        <v>1056</v>
      </c>
      <c r="I1032" s="7" t="s">
        <v>103</v>
      </c>
    </row>
    <row r="1033">
      <c r="A1033" s="7" t="s">
        <v>77</v>
      </c>
      <c r="B1033" s="7" t="s">
        <v>322</v>
      </c>
      <c r="C1033" s="8">
        <f>IFERROR(__xludf.DUMMYFUNCTION("SPLIT(B1033,""RM"")"),1900000.0)</f>
        <v>1900000</v>
      </c>
      <c r="D1033" s="7" t="s">
        <v>57</v>
      </c>
      <c r="E1033" s="7">
        <v>4.0</v>
      </c>
      <c r="G1033" s="7" t="s">
        <v>83</v>
      </c>
      <c r="H1033" s="7" t="s">
        <v>1057</v>
      </c>
      <c r="I1033" s="7" t="s">
        <v>27</v>
      </c>
    </row>
    <row r="1034">
      <c r="A1034" s="7" t="s">
        <v>77</v>
      </c>
      <c r="B1034" s="7" t="s">
        <v>1058</v>
      </c>
      <c r="C1034" s="8">
        <f>IFERROR(__xludf.DUMMYFUNCTION("SPLIT(B1034,""RM"")"),1.235E7)</f>
        <v>12350000</v>
      </c>
      <c r="G1034" s="7" t="s">
        <v>667</v>
      </c>
      <c r="H1034" s="7" t="s">
        <v>1059</v>
      </c>
      <c r="I1034" s="7" t="s">
        <v>22</v>
      </c>
    </row>
    <row r="1035">
      <c r="A1035" s="7" t="s">
        <v>77</v>
      </c>
      <c r="B1035" s="7" t="s">
        <v>311</v>
      </c>
      <c r="C1035" s="8">
        <f>IFERROR(__xludf.DUMMYFUNCTION("SPLIT(B1035,""RM"")"),1100000.0)</f>
        <v>1100000</v>
      </c>
      <c r="D1035" s="7" t="s">
        <v>19</v>
      </c>
      <c r="E1035" s="7">
        <v>2.0</v>
      </c>
      <c r="G1035" s="7" t="s">
        <v>83</v>
      </c>
      <c r="H1035" s="7" t="s">
        <v>490</v>
      </c>
      <c r="I1035" s="7" t="s">
        <v>22</v>
      </c>
    </row>
    <row r="1036">
      <c r="A1036" s="7" t="s">
        <v>77</v>
      </c>
      <c r="B1036" s="7" t="s">
        <v>1060</v>
      </c>
      <c r="C1036" s="8">
        <f>IFERROR(__xludf.DUMMYFUNCTION("SPLIT(B1036,""RM"")"),5300000.0)</f>
        <v>5300000</v>
      </c>
      <c r="D1036" s="7" t="s">
        <v>70</v>
      </c>
      <c r="E1036" s="7">
        <v>7.0</v>
      </c>
      <c r="F1036" s="7">
        <v>2.0</v>
      </c>
      <c r="G1036" s="7" t="s">
        <v>562</v>
      </c>
      <c r="H1036" s="7" t="s">
        <v>1061</v>
      </c>
      <c r="I1036" s="7" t="s">
        <v>27</v>
      </c>
    </row>
    <row r="1037">
      <c r="A1037" s="7" t="s">
        <v>77</v>
      </c>
      <c r="B1037" s="7" t="s">
        <v>472</v>
      </c>
      <c r="C1037" s="8">
        <f>IFERROR(__xludf.DUMMYFUNCTION("SPLIT(B1037,""RM"")"),1730000.0)</f>
        <v>1730000</v>
      </c>
      <c r="D1037" s="7" t="s">
        <v>57</v>
      </c>
      <c r="E1037" s="7">
        <v>3.0</v>
      </c>
      <c r="G1037" s="7" t="s">
        <v>83</v>
      </c>
      <c r="H1037" s="7" t="s">
        <v>473</v>
      </c>
      <c r="I1037" s="7" t="s">
        <v>22</v>
      </c>
    </row>
    <row r="1038">
      <c r="A1038" s="7" t="s">
        <v>77</v>
      </c>
      <c r="B1038" s="7" t="s">
        <v>214</v>
      </c>
      <c r="C1038" s="8">
        <f>IFERROR(__xludf.DUMMYFUNCTION("SPLIT(B1038,""RM"")"),1180000.0)</f>
        <v>1180000</v>
      </c>
      <c r="D1038" s="7">
        <v>2.0</v>
      </c>
      <c r="E1038" s="7">
        <v>2.0</v>
      </c>
      <c r="F1038" s="7">
        <v>2.0</v>
      </c>
      <c r="G1038" s="7" t="s">
        <v>83</v>
      </c>
      <c r="H1038" s="7" t="s">
        <v>237</v>
      </c>
      <c r="I1038" s="7" t="s">
        <v>22</v>
      </c>
    </row>
    <row r="1039">
      <c r="A1039" s="7" t="s">
        <v>77</v>
      </c>
      <c r="B1039" s="7" t="s">
        <v>298</v>
      </c>
      <c r="C1039" s="8">
        <f>IFERROR(__xludf.DUMMYFUNCTION("SPLIT(B1039,""RM"")"),5600000.0)</f>
        <v>5600000</v>
      </c>
      <c r="D1039" s="7" t="s">
        <v>60</v>
      </c>
      <c r="E1039" s="7">
        <v>9.0</v>
      </c>
      <c r="F1039" s="7">
        <v>2.0</v>
      </c>
      <c r="G1039" s="7" t="s">
        <v>1036</v>
      </c>
      <c r="H1039" s="7" t="s">
        <v>301</v>
      </c>
      <c r="I1039" s="7" t="s">
        <v>27</v>
      </c>
    </row>
    <row r="1040">
      <c r="A1040" s="7" t="s">
        <v>72</v>
      </c>
      <c r="B1040" s="7" t="s">
        <v>272</v>
      </c>
      <c r="C1040" s="8">
        <f>IFERROR(__xludf.DUMMYFUNCTION("SPLIT(B1040,""RM"")"),3490000.0)</f>
        <v>3490000</v>
      </c>
      <c r="D1040" s="7" t="s">
        <v>35</v>
      </c>
      <c r="E1040" s="7">
        <v>5.0</v>
      </c>
      <c r="F1040" s="7">
        <v>3.0</v>
      </c>
      <c r="G1040" s="7" t="s">
        <v>83</v>
      </c>
      <c r="H1040" s="7" t="s">
        <v>76</v>
      </c>
      <c r="I1040" s="7" t="s">
        <v>22</v>
      </c>
    </row>
    <row r="1041">
      <c r="A1041" s="7" t="s">
        <v>77</v>
      </c>
      <c r="B1041" s="7" t="s">
        <v>1062</v>
      </c>
      <c r="C1041" s="8">
        <f>IFERROR(__xludf.DUMMYFUNCTION("SPLIT(B1041,""RM"")"),5670000.0)</f>
        <v>5670000</v>
      </c>
      <c r="G1041" s="7" t="s">
        <v>667</v>
      </c>
      <c r="H1041" s="7" t="s">
        <v>1063</v>
      </c>
      <c r="I1041" s="7" t="s">
        <v>22</v>
      </c>
    </row>
    <row r="1042">
      <c r="A1042" s="7" t="s">
        <v>77</v>
      </c>
      <c r="B1042" s="7" t="s">
        <v>422</v>
      </c>
      <c r="C1042" s="8">
        <f>IFERROR(__xludf.DUMMYFUNCTION("SPLIT(B1042,""RM"")"),2050000.0)</f>
        <v>2050000</v>
      </c>
      <c r="D1042" s="7" t="s">
        <v>57</v>
      </c>
      <c r="E1042" s="7">
        <v>4.0</v>
      </c>
      <c r="G1042" s="7" t="s">
        <v>169</v>
      </c>
      <c r="H1042" s="7" t="s">
        <v>1064</v>
      </c>
      <c r="I1042" s="7" t="s">
        <v>27</v>
      </c>
    </row>
    <row r="1043">
      <c r="A1043" s="7" t="s">
        <v>77</v>
      </c>
      <c r="B1043" s="7" t="s">
        <v>1065</v>
      </c>
      <c r="C1043" s="8">
        <f>IFERROR(__xludf.DUMMYFUNCTION("SPLIT(B1043,""RM"")"),1520000.0)</f>
        <v>1520000</v>
      </c>
      <c r="D1043" s="7" t="s">
        <v>57</v>
      </c>
      <c r="E1043" s="7">
        <v>3.0</v>
      </c>
      <c r="G1043" s="7" t="s">
        <v>562</v>
      </c>
      <c r="H1043" s="7" t="s">
        <v>461</v>
      </c>
      <c r="I1043" s="7" t="s">
        <v>27</v>
      </c>
    </row>
    <row r="1044">
      <c r="A1044" s="7" t="s">
        <v>77</v>
      </c>
      <c r="B1044" s="7" t="s">
        <v>247</v>
      </c>
      <c r="C1044" s="8">
        <f>IFERROR(__xludf.DUMMYFUNCTION("SPLIT(B1044,""RM"")"),1980000.0)</f>
        <v>1980000</v>
      </c>
      <c r="D1044" s="7" t="s">
        <v>57</v>
      </c>
      <c r="E1044" s="7">
        <v>3.0</v>
      </c>
      <c r="G1044" s="7" t="s">
        <v>169</v>
      </c>
      <c r="H1044" s="7" t="s">
        <v>1066</v>
      </c>
      <c r="I1044" s="7" t="s">
        <v>22</v>
      </c>
    </row>
    <row r="1045">
      <c r="A1045" s="7" t="s">
        <v>77</v>
      </c>
      <c r="B1045" s="7" t="s">
        <v>1067</v>
      </c>
      <c r="C1045" s="8">
        <f>IFERROR(__xludf.DUMMYFUNCTION("SPLIT(B1045,""RM"")"),989000.0)</f>
        <v>989000</v>
      </c>
      <c r="D1045" s="7" t="s">
        <v>57</v>
      </c>
      <c r="E1045" s="7">
        <v>2.0</v>
      </c>
      <c r="F1045" s="7">
        <v>2.0</v>
      </c>
      <c r="G1045" s="7" t="s">
        <v>83</v>
      </c>
      <c r="H1045" s="7" t="s">
        <v>1068</v>
      </c>
      <c r="I1045" s="7" t="s">
        <v>251</v>
      </c>
    </row>
    <row r="1046">
      <c r="A1046" s="7" t="s">
        <v>77</v>
      </c>
      <c r="B1046" s="7" t="s">
        <v>1069</v>
      </c>
      <c r="C1046" s="8">
        <f>IFERROR(__xludf.DUMMYFUNCTION("SPLIT(B1046,""RM"")"),883000.0)</f>
        <v>883000</v>
      </c>
      <c r="D1046" s="7" t="s">
        <v>19</v>
      </c>
      <c r="E1046" s="7">
        <v>2.0</v>
      </c>
      <c r="F1046" s="7">
        <v>2.0</v>
      </c>
      <c r="G1046" s="7" t="s">
        <v>83</v>
      </c>
      <c r="H1046" s="7" t="s">
        <v>1070</v>
      </c>
      <c r="I1046" s="7" t="s">
        <v>103</v>
      </c>
    </row>
    <row r="1047">
      <c r="A1047" s="7" t="s">
        <v>77</v>
      </c>
      <c r="B1047" s="7" t="s">
        <v>1071</v>
      </c>
      <c r="C1047" s="8">
        <f>IFERROR(__xludf.DUMMYFUNCTION("SPLIT(B1047,""RM"")"),1208000.0)</f>
        <v>1208000</v>
      </c>
      <c r="D1047" s="7" t="s">
        <v>57</v>
      </c>
      <c r="E1047" s="7">
        <v>2.0</v>
      </c>
      <c r="G1047" s="7" t="s">
        <v>83</v>
      </c>
      <c r="H1047" s="7" t="s">
        <v>1072</v>
      </c>
      <c r="I1047" s="7" t="s">
        <v>103</v>
      </c>
    </row>
    <row r="1048">
      <c r="A1048" s="7" t="s">
        <v>77</v>
      </c>
      <c r="B1048" s="7" t="s">
        <v>1073</v>
      </c>
      <c r="C1048" s="8">
        <f>IFERROR(__xludf.DUMMYFUNCTION("SPLIT(B1048,""RM"")"),588000.0)</f>
        <v>588000</v>
      </c>
      <c r="D1048" s="7">
        <v>1.0</v>
      </c>
      <c r="E1048" s="7">
        <v>1.0</v>
      </c>
      <c r="G1048" s="7" t="s">
        <v>83</v>
      </c>
      <c r="H1048" s="7" t="s">
        <v>200</v>
      </c>
      <c r="I1048" s="7" t="s">
        <v>22</v>
      </c>
    </row>
    <row r="1049">
      <c r="A1049" s="7" t="s">
        <v>77</v>
      </c>
      <c r="B1049" s="7" t="s">
        <v>1074</v>
      </c>
      <c r="C1049" s="8">
        <f>IFERROR(__xludf.DUMMYFUNCTION("SPLIT(B1049,""RM"")"),1130000.0)</f>
        <v>1130000</v>
      </c>
      <c r="D1049" s="7" t="s">
        <v>19</v>
      </c>
      <c r="E1049" s="7">
        <v>2.0</v>
      </c>
      <c r="G1049" s="7" t="s">
        <v>83</v>
      </c>
      <c r="H1049" s="7" t="s">
        <v>490</v>
      </c>
      <c r="I1049" s="7" t="s">
        <v>22</v>
      </c>
    </row>
    <row r="1050">
      <c r="A1050" s="7" t="s">
        <v>77</v>
      </c>
      <c r="B1050" s="7" t="s">
        <v>1075</v>
      </c>
      <c r="C1050" s="8">
        <f>IFERROR(__xludf.DUMMYFUNCTION("SPLIT(B1050,""RM"")"),790000.0)</f>
        <v>790000</v>
      </c>
      <c r="D1050" s="7" t="s">
        <v>197</v>
      </c>
      <c r="E1050" s="7">
        <v>1.0</v>
      </c>
      <c r="G1050" s="7" t="s">
        <v>83</v>
      </c>
      <c r="H1050" s="7" t="s">
        <v>609</v>
      </c>
      <c r="I1050" s="7" t="s">
        <v>22</v>
      </c>
    </row>
    <row r="1051">
      <c r="A1051" s="7" t="s">
        <v>77</v>
      </c>
      <c r="B1051" s="7" t="s">
        <v>243</v>
      </c>
      <c r="C1051" s="8">
        <f>IFERROR(__xludf.DUMMYFUNCTION("SPLIT(B1051,""RM"")"),1350000.0)</f>
        <v>1350000</v>
      </c>
      <c r="D1051" s="7" t="s">
        <v>288</v>
      </c>
      <c r="E1051" s="7">
        <v>3.0</v>
      </c>
      <c r="G1051" s="7" t="s">
        <v>83</v>
      </c>
      <c r="H1051" s="7" t="s">
        <v>594</v>
      </c>
      <c r="I1051" s="7" t="s">
        <v>22</v>
      </c>
    </row>
    <row r="1052">
      <c r="A1052" s="7" t="s">
        <v>77</v>
      </c>
      <c r="B1052" s="7" t="s">
        <v>426</v>
      </c>
      <c r="C1052" s="8">
        <f>IFERROR(__xludf.DUMMYFUNCTION("SPLIT(B1052,""RM"")"),1530000.0)</f>
        <v>1530000</v>
      </c>
      <c r="D1052" s="7" t="s">
        <v>57</v>
      </c>
      <c r="E1052" s="7">
        <v>4.0</v>
      </c>
      <c r="F1052" s="7">
        <v>2.0</v>
      </c>
      <c r="G1052" s="7" t="s">
        <v>83</v>
      </c>
      <c r="H1052" s="7" t="s">
        <v>142</v>
      </c>
      <c r="I1052" s="7" t="s">
        <v>27</v>
      </c>
    </row>
    <row r="1053">
      <c r="A1053" s="7" t="s">
        <v>77</v>
      </c>
      <c r="B1053" s="7" t="s">
        <v>81</v>
      </c>
      <c r="C1053" s="8">
        <f>IFERROR(__xludf.DUMMYFUNCTION("SPLIT(B1053,""RM"")"),1550000.0)</f>
        <v>1550000</v>
      </c>
      <c r="D1053" s="7" t="s">
        <v>57</v>
      </c>
      <c r="E1053" s="7">
        <v>3.0</v>
      </c>
      <c r="G1053" s="7" t="s">
        <v>93</v>
      </c>
      <c r="H1053" s="7" t="s">
        <v>1076</v>
      </c>
      <c r="I1053" s="7" t="s">
        <v>22</v>
      </c>
    </row>
    <row r="1054">
      <c r="A1054" s="7" t="s">
        <v>77</v>
      </c>
      <c r="B1054" s="7" t="s">
        <v>125</v>
      </c>
      <c r="C1054" s="8">
        <f>IFERROR(__xludf.DUMMYFUNCTION("SPLIT(B1054,""RM"")"),2300000.0)</f>
        <v>2300000</v>
      </c>
      <c r="D1054" s="7" t="s">
        <v>57</v>
      </c>
      <c r="E1054" s="7">
        <v>4.0</v>
      </c>
      <c r="F1054" s="7">
        <v>2.0</v>
      </c>
      <c r="G1054" s="7" t="s">
        <v>54</v>
      </c>
      <c r="H1054" s="7" t="s">
        <v>1077</v>
      </c>
      <c r="I1054" s="7" t="s">
        <v>27</v>
      </c>
    </row>
    <row r="1055">
      <c r="A1055" s="7" t="s">
        <v>180</v>
      </c>
      <c r="B1055" s="7" t="s">
        <v>81</v>
      </c>
      <c r="C1055" s="8">
        <f>IFERROR(__xludf.DUMMYFUNCTION("SPLIT(B1055,""RM"")"),1550000.0)</f>
        <v>1550000</v>
      </c>
      <c r="D1055" s="7" t="s">
        <v>19</v>
      </c>
      <c r="E1055" s="7">
        <v>3.0</v>
      </c>
      <c r="F1055" s="7">
        <v>1.0</v>
      </c>
      <c r="G1055" s="7" t="s">
        <v>20</v>
      </c>
      <c r="H1055" s="7" t="s">
        <v>1078</v>
      </c>
      <c r="I1055" s="7" t="s">
        <v>22</v>
      </c>
    </row>
    <row r="1056">
      <c r="A1056" s="7" t="s">
        <v>77</v>
      </c>
      <c r="B1056" s="7" t="s">
        <v>1079</v>
      </c>
      <c r="C1056" s="8">
        <f>IFERROR(__xludf.DUMMYFUNCTION("SPLIT(B1056,""RM"")"),2350000.0)</f>
        <v>2350000</v>
      </c>
      <c r="D1056" s="7" t="s">
        <v>57</v>
      </c>
      <c r="E1056" s="7">
        <v>3.0</v>
      </c>
      <c r="F1056" s="7">
        <v>2.0</v>
      </c>
      <c r="G1056" s="7" t="s">
        <v>169</v>
      </c>
      <c r="H1056" s="7" t="s">
        <v>307</v>
      </c>
      <c r="I1056" s="7" t="s">
        <v>27</v>
      </c>
    </row>
    <row r="1057">
      <c r="A1057" s="7" t="s">
        <v>77</v>
      </c>
      <c r="B1057" s="7" t="s">
        <v>1080</v>
      </c>
      <c r="C1057" s="8">
        <f>IFERROR(__xludf.DUMMYFUNCTION("SPLIT(B1057,""RM"")"),8100000.0)</f>
        <v>8100000</v>
      </c>
      <c r="D1057" s="7" t="s">
        <v>218</v>
      </c>
      <c r="E1057" s="7">
        <v>6.0</v>
      </c>
      <c r="G1057" s="7" t="s">
        <v>25</v>
      </c>
      <c r="H1057" s="7" t="s">
        <v>26</v>
      </c>
      <c r="I1057" s="7" t="s">
        <v>27</v>
      </c>
    </row>
    <row r="1058">
      <c r="A1058" s="7" t="s">
        <v>77</v>
      </c>
      <c r="B1058" s="7" t="s">
        <v>610</v>
      </c>
      <c r="C1058" s="8">
        <f>IFERROR(__xludf.DUMMYFUNCTION("SPLIT(B1058,""RM"")"),2250000.0)</f>
        <v>2250000</v>
      </c>
      <c r="D1058" s="7">
        <v>3.0</v>
      </c>
      <c r="E1058" s="7">
        <v>2.0</v>
      </c>
      <c r="G1058" s="7" t="s">
        <v>169</v>
      </c>
      <c r="H1058" s="7" t="s">
        <v>1077</v>
      </c>
      <c r="I1058" s="7" t="s">
        <v>27</v>
      </c>
    </row>
    <row r="1059">
      <c r="A1059" s="7" t="s">
        <v>77</v>
      </c>
      <c r="B1059" s="7" t="s">
        <v>110</v>
      </c>
      <c r="C1059" s="8">
        <f>IFERROR(__xludf.DUMMYFUNCTION("SPLIT(B1059,""RM"")"),2400000.0)</f>
        <v>2400000</v>
      </c>
      <c r="D1059" s="7" t="s">
        <v>70</v>
      </c>
      <c r="E1059" s="7">
        <v>6.0</v>
      </c>
      <c r="G1059" s="7" t="s">
        <v>90</v>
      </c>
      <c r="H1059" s="7" t="s">
        <v>211</v>
      </c>
      <c r="I1059" s="7" t="s">
        <v>27</v>
      </c>
    </row>
    <row r="1060">
      <c r="A1060" s="7" t="s">
        <v>77</v>
      </c>
      <c r="B1060" s="7" t="s">
        <v>227</v>
      </c>
      <c r="C1060" s="8">
        <f>IFERROR(__xludf.DUMMYFUNCTION("SPLIT(B1060,""RM"")"),2850000.0)</f>
        <v>2850000</v>
      </c>
      <c r="D1060" s="7" t="s">
        <v>57</v>
      </c>
      <c r="E1060" s="7">
        <v>4.0</v>
      </c>
      <c r="G1060" s="7" t="s">
        <v>169</v>
      </c>
      <c r="H1060" s="7" t="s">
        <v>176</v>
      </c>
      <c r="I1060" s="7" t="s">
        <v>22</v>
      </c>
    </row>
    <row r="1061">
      <c r="A1061" s="7" t="s">
        <v>77</v>
      </c>
      <c r="B1061" s="7" t="s">
        <v>1081</v>
      </c>
      <c r="C1061" s="8">
        <f>IFERROR(__xludf.DUMMYFUNCTION("SPLIT(B1061,""RM"")"),3468000.0)</f>
        <v>3468000</v>
      </c>
      <c r="D1061" s="7" t="s">
        <v>57</v>
      </c>
      <c r="E1061" s="7">
        <v>5.0</v>
      </c>
      <c r="G1061" s="7" t="s">
        <v>169</v>
      </c>
      <c r="H1061" s="7" t="s">
        <v>176</v>
      </c>
      <c r="I1061" s="7" t="s">
        <v>27</v>
      </c>
    </row>
    <row r="1062">
      <c r="A1062" s="7" t="s">
        <v>77</v>
      </c>
      <c r="B1062" s="7" t="s">
        <v>1082</v>
      </c>
      <c r="C1062" s="8">
        <f>IFERROR(__xludf.DUMMYFUNCTION("SPLIT(B1062,""RM"")"),948888.0)</f>
        <v>948888</v>
      </c>
      <c r="D1062" s="7">
        <v>2.0</v>
      </c>
      <c r="E1062" s="7">
        <v>2.0</v>
      </c>
      <c r="G1062" s="7" t="s">
        <v>83</v>
      </c>
      <c r="H1062" s="7" t="s">
        <v>734</v>
      </c>
      <c r="I1062" s="7" t="s">
        <v>22</v>
      </c>
    </row>
    <row r="1063">
      <c r="A1063" s="7" t="s">
        <v>77</v>
      </c>
      <c r="B1063" s="7" t="s">
        <v>149</v>
      </c>
      <c r="C1063" s="8">
        <f>IFERROR(__xludf.DUMMYFUNCTION("SPLIT(B1063,""RM"")"),4000000.0)</f>
        <v>4000000</v>
      </c>
      <c r="D1063" s="7" t="s">
        <v>35</v>
      </c>
      <c r="E1063" s="7">
        <v>5.0</v>
      </c>
      <c r="G1063" s="7" t="s">
        <v>562</v>
      </c>
      <c r="H1063" s="7" t="s">
        <v>1083</v>
      </c>
      <c r="I1063" s="7" t="s">
        <v>27</v>
      </c>
    </row>
    <row r="1064">
      <c r="A1064" s="7" t="s">
        <v>77</v>
      </c>
      <c r="B1064" s="7" t="s">
        <v>290</v>
      </c>
      <c r="C1064" s="8">
        <f>IFERROR(__xludf.DUMMYFUNCTION("SPLIT(B1064,""RM"")"),3170000.0)</f>
        <v>3170000</v>
      </c>
      <c r="D1064" s="7" t="s">
        <v>35</v>
      </c>
      <c r="E1064" s="7">
        <v>5.0</v>
      </c>
      <c r="G1064" s="7" t="s">
        <v>90</v>
      </c>
      <c r="H1064" s="7" t="s">
        <v>291</v>
      </c>
      <c r="I1064" s="7" t="s">
        <v>27</v>
      </c>
    </row>
    <row r="1065">
      <c r="A1065" s="7" t="s">
        <v>77</v>
      </c>
      <c r="B1065" s="7" t="s">
        <v>322</v>
      </c>
      <c r="C1065" s="8">
        <f>IFERROR(__xludf.DUMMYFUNCTION("SPLIT(B1065,""RM"")"),1900000.0)</f>
        <v>1900000</v>
      </c>
      <c r="D1065" s="7" t="s">
        <v>57</v>
      </c>
      <c r="E1065" s="7">
        <v>3.0</v>
      </c>
      <c r="G1065" s="7" t="s">
        <v>83</v>
      </c>
      <c r="H1065" s="7" t="s">
        <v>1029</v>
      </c>
      <c r="I1065" s="7" t="s">
        <v>22</v>
      </c>
    </row>
    <row r="1066">
      <c r="A1066" s="7" t="s">
        <v>77</v>
      </c>
      <c r="B1066" s="7" t="s">
        <v>349</v>
      </c>
      <c r="C1066" s="8">
        <f>IFERROR(__xludf.DUMMYFUNCTION("SPLIT(B1066,""RM"")"),1400000.0)</f>
        <v>1400000</v>
      </c>
      <c r="D1066" s="7">
        <v>2.0</v>
      </c>
      <c r="E1066" s="7">
        <v>2.0</v>
      </c>
      <c r="G1066" s="7" t="s">
        <v>83</v>
      </c>
      <c r="H1066" s="7" t="s">
        <v>321</v>
      </c>
      <c r="I1066" s="7" t="s">
        <v>251</v>
      </c>
    </row>
    <row r="1067">
      <c r="A1067" s="7" t="s">
        <v>77</v>
      </c>
      <c r="B1067" s="7" t="s">
        <v>227</v>
      </c>
      <c r="C1067" s="8">
        <f>IFERROR(__xludf.DUMMYFUNCTION("SPLIT(B1067,""RM"")"),2850000.0)</f>
        <v>2850000</v>
      </c>
      <c r="D1067" s="7" t="s">
        <v>70</v>
      </c>
      <c r="E1067" s="7">
        <v>6.0</v>
      </c>
      <c r="F1067" s="7">
        <v>5.0</v>
      </c>
      <c r="G1067" s="7" t="s">
        <v>1039</v>
      </c>
      <c r="H1067" s="7" t="s">
        <v>1037</v>
      </c>
      <c r="I1067" s="7" t="s">
        <v>27</v>
      </c>
    </row>
    <row r="1068">
      <c r="A1068" s="7" t="s">
        <v>77</v>
      </c>
      <c r="B1068" s="7" t="s">
        <v>349</v>
      </c>
      <c r="C1068" s="8">
        <f>IFERROR(__xludf.DUMMYFUNCTION("SPLIT(B1068,""RM"")"),1400000.0)</f>
        <v>1400000</v>
      </c>
      <c r="D1068" s="7">
        <v>2.0</v>
      </c>
      <c r="E1068" s="7">
        <v>2.0</v>
      </c>
      <c r="G1068" s="7" t="s">
        <v>83</v>
      </c>
      <c r="H1068" s="7" t="s">
        <v>321</v>
      </c>
      <c r="I1068" s="7" t="s">
        <v>27</v>
      </c>
    </row>
    <row r="1069">
      <c r="A1069" s="7" t="s">
        <v>77</v>
      </c>
      <c r="B1069" s="7" t="s">
        <v>921</v>
      </c>
      <c r="C1069" s="8">
        <f>IFERROR(__xludf.DUMMYFUNCTION("SPLIT(B1069,""RM"")"),2990000.0)</f>
        <v>2990000</v>
      </c>
      <c r="D1069" s="7" t="s">
        <v>70</v>
      </c>
      <c r="E1069" s="7">
        <v>5.0</v>
      </c>
      <c r="F1069" s="7">
        <v>5.0</v>
      </c>
      <c r="G1069" s="7" t="s">
        <v>1036</v>
      </c>
      <c r="H1069" s="7" t="s">
        <v>1084</v>
      </c>
      <c r="I1069" s="7" t="s">
        <v>27</v>
      </c>
    </row>
    <row r="1070">
      <c r="A1070" s="7" t="s">
        <v>77</v>
      </c>
      <c r="B1070" s="7" t="s">
        <v>322</v>
      </c>
      <c r="C1070" s="8">
        <f>IFERROR(__xludf.DUMMYFUNCTION("SPLIT(B1070,""RM"")"),1900000.0)</f>
        <v>1900000</v>
      </c>
      <c r="D1070" s="7" t="s">
        <v>57</v>
      </c>
      <c r="E1070" s="7">
        <v>4.0</v>
      </c>
      <c r="F1070" s="7">
        <v>2.0</v>
      </c>
      <c r="G1070" s="7" t="s">
        <v>83</v>
      </c>
      <c r="H1070" s="7" t="s">
        <v>889</v>
      </c>
      <c r="I1070" s="7" t="s">
        <v>27</v>
      </c>
    </row>
    <row r="1071">
      <c r="A1071" s="7" t="s">
        <v>77</v>
      </c>
      <c r="B1071" s="7" t="s">
        <v>322</v>
      </c>
      <c r="C1071" s="8">
        <f>IFERROR(__xludf.DUMMYFUNCTION("SPLIT(B1071,""RM"")"),1900000.0)</f>
        <v>1900000</v>
      </c>
      <c r="D1071" s="7" t="s">
        <v>35</v>
      </c>
      <c r="E1071" s="7">
        <v>3.0</v>
      </c>
      <c r="G1071" s="7" t="s">
        <v>83</v>
      </c>
      <c r="H1071" s="7" t="s">
        <v>1029</v>
      </c>
      <c r="I1071" s="7" t="s">
        <v>22</v>
      </c>
    </row>
    <row r="1072">
      <c r="A1072" s="7" t="s">
        <v>77</v>
      </c>
      <c r="B1072" s="7" t="s">
        <v>610</v>
      </c>
      <c r="C1072" s="8">
        <f>IFERROR(__xludf.DUMMYFUNCTION("SPLIT(B1072,""RM"")"),2250000.0)</f>
        <v>2250000</v>
      </c>
      <c r="D1072" s="7" t="s">
        <v>35</v>
      </c>
      <c r="E1072" s="7">
        <v>4.0</v>
      </c>
      <c r="G1072" s="7" t="s">
        <v>273</v>
      </c>
      <c r="H1072" s="7" t="s">
        <v>1085</v>
      </c>
      <c r="I1072" s="7" t="s">
        <v>27</v>
      </c>
    </row>
    <row r="1073">
      <c r="A1073" s="7" t="s">
        <v>77</v>
      </c>
      <c r="B1073" s="7" t="s">
        <v>1086</v>
      </c>
      <c r="C1073" s="8">
        <f>IFERROR(__xludf.DUMMYFUNCTION("SPLIT(B1073,""RM"")"),4690000.0)</f>
        <v>4690000</v>
      </c>
      <c r="G1073" s="7" t="s">
        <v>667</v>
      </c>
      <c r="H1073" s="7" t="s">
        <v>1087</v>
      </c>
      <c r="I1073" s="7" t="s">
        <v>22</v>
      </c>
    </row>
    <row r="1074">
      <c r="A1074" s="7" t="s">
        <v>1088</v>
      </c>
      <c r="B1074" s="7" t="s">
        <v>239</v>
      </c>
      <c r="C1074" s="8">
        <f>IFERROR(__xludf.DUMMYFUNCTION("SPLIT(B1074,""RM"")"),1280000.0)</f>
        <v>1280000</v>
      </c>
      <c r="D1074" s="7" t="s">
        <v>19</v>
      </c>
      <c r="E1074" s="7">
        <v>2.0</v>
      </c>
      <c r="G1074" s="7" t="s">
        <v>30</v>
      </c>
      <c r="H1074" s="7" t="s">
        <v>464</v>
      </c>
      <c r="I1074" s="7" t="s">
        <v>22</v>
      </c>
    </row>
    <row r="1075">
      <c r="A1075" s="7" t="s">
        <v>72</v>
      </c>
      <c r="B1075" s="7" t="s">
        <v>158</v>
      </c>
      <c r="C1075" s="8">
        <f>IFERROR(__xludf.DUMMYFUNCTION("SPLIT(B1075,""RM"")"),1850000.0)</f>
        <v>1850000</v>
      </c>
      <c r="D1075" s="7" t="s">
        <v>35</v>
      </c>
      <c r="E1075" s="7">
        <v>4.0</v>
      </c>
      <c r="F1075" s="7">
        <v>2.0</v>
      </c>
      <c r="G1075" s="7" t="s">
        <v>83</v>
      </c>
      <c r="H1075" s="7" t="s">
        <v>74</v>
      </c>
      <c r="I1075" s="7" t="s">
        <v>27</v>
      </c>
    </row>
    <row r="1076">
      <c r="A1076" s="7" t="s">
        <v>428</v>
      </c>
      <c r="B1076" s="7" t="s">
        <v>475</v>
      </c>
      <c r="C1076" s="8">
        <f>IFERROR(__xludf.DUMMYFUNCTION("SPLIT(B1076,""RM"")"),2800000.0)</f>
        <v>2800000</v>
      </c>
      <c r="D1076" s="7">
        <v>5.0</v>
      </c>
      <c r="E1076" s="7">
        <v>5.0</v>
      </c>
      <c r="G1076" s="7" t="s">
        <v>25</v>
      </c>
      <c r="H1076" s="7" t="s">
        <v>1089</v>
      </c>
      <c r="I1076" s="7" t="s">
        <v>27</v>
      </c>
    </row>
    <row r="1077">
      <c r="A1077" s="7" t="s">
        <v>17</v>
      </c>
      <c r="B1077" s="7" t="s">
        <v>78</v>
      </c>
      <c r="C1077" s="8">
        <f>IFERROR(__xludf.DUMMYFUNCTION("SPLIT(B1077,""RM"")"),1500000.0)</f>
        <v>1500000</v>
      </c>
      <c r="D1077" s="7" t="s">
        <v>57</v>
      </c>
      <c r="E1077" s="7">
        <v>4.0</v>
      </c>
      <c r="G1077" s="7" t="s">
        <v>83</v>
      </c>
      <c r="H1077" s="7" t="s">
        <v>1090</v>
      </c>
      <c r="I1077" s="7" t="s">
        <v>22</v>
      </c>
    </row>
    <row r="1078">
      <c r="A1078" s="7" t="s">
        <v>37</v>
      </c>
      <c r="B1078" s="7" t="s">
        <v>127</v>
      </c>
      <c r="C1078" s="8">
        <f>IFERROR(__xludf.DUMMYFUNCTION("SPLIT(B1078,""RM"")"),4200000.0)</f>
        <v>4200000</v>
      </c>
      <c r="D1078" s="7" t="s">
        <v>35</v>
      </c>
      <c r="E1078" s="7">
        <v>5.0</v>
      </c>
      <c r="F1078" s="7">
        <v>3.0</v>
      </c>
      <c r="G1078" s="7" t="s">
        <v>20</v>
      </c>
      <c r="H1078" s="7" t="s">
        <v>1091</v>
      </c>
      <c r="I1078" s="7" t="s">
        <v>27</v>
      </c>
    </row>
    <row r="1079">
      <c r="A1079" s="7" t="s">
        <v>37</v>
      </c>
      <c r="B1079" s="7" t="s">
        <v>81</v>
      </c>
      <c r="C1079" s="8">
        <f>IFERROR(__xludf.DUMMYFUNCTION("SPLIT(B1079,""RM"")"),1550000.0)</f>
        <v>1550000</v>
      </c>
      <c r="D1079" s="7" t="s">
        <v>19</v>
      </c>
      <c r="E1079" s="7">
        <v>3.0</v>
      </c>
      <c r="F1079" s="7">
        <v>2.0</v>
      </c>
      <c r="G1079" s="7" t="s">
        <v>121</v>
      </c>
      <c r="H1079" s="7" t="s">
        <v>1092</v>
      </c>
      <c r="I1079" s="7" t="s">
        <v>27</v>
      </c>
    </row>
    <row r="1080">
      <c r="A1080" s="7" t="s">
        <v>37</v>
      </c>
      <c r="B1080" s="7" t="s">
        <v>475</v>
      </c>
      <c r="C1080" s="8">
        <f>IFERROR(__xludf.DUMMYFUNCTION("SPLIT(B1080,""RM"")"),2800000.0)</f>
        <v>2800000</v>
      </c>
      <c r="D1080" s="7" t="s">
        <v>57</v>
      </c>
      <c r="E1080" s="7">
        <v>5.0</v>
      </c>
      <c r="F1080" s="7">
        <v>2.0</v>
      </c>
      <c r="G1080" s="7" t="s">
        <v>121</v>
      </c>
      <c r="H1080" s="7" t="s">
        <v>624</v>
      </c>
      <c r="I1080" s="7" t="s">
        <v>103</v>
      </c>
    </row>
    <row r="1081">
      <c r="A1081" s="7" t="s">
        <v>37</v>
      </c>
      <c r="B1081" s="7" t="s">
        <v>260</v>
      </c>
      <c r="C1081" s="8">
        <f>IFERROR(__xludf.DUMMYFUNCTION("SPLIT(B1081,""RM"")"),1480000.0)</f>
        <v>1480000</v>
      </c>
      <c r="D1081" s="7" t="s">
        <v>19</v>
      </c>
      <c r="E1081" s="7">
        <v>3.0</v>
      </c>
      <c r="F1081" s="7">
        <v>2.0</v>
      </c>
      <c r="G1081" s="7" t="s">
        <v>20</v>
      </c>
      <c r="H1081" s="7" t="s">
        <v>1093</v>
      </c>
      <c r="I1081" s="7" t="s">
        <v>27</v>
      </c>
    </row>
    <row r="1082">
      <c r="A1082" s="7" t="s">
        <v>37</v>
      </c>
      <c r="B1082" s="7" t="s">
        <v>1094</v>
      </c>
      <c r="C1082" s="8">
        <f>IFERROR(__xludf.DUMMYFUNCTION("SPLIT(B1082,""RM"")"),4700000.0)</f>
        <v>4700000</v>
      </c>
      <c r="D1082" s="7" t="s">
        <v>70</v>
      </c>
      <c r="G1082" s="7" t="s">
        <v>25</v>
      </c>
      <c r="H1082" s="7" t="s">
        <v>430</v>
      </c>
      <c r="I1082" s="7" t="s">
        <v>27</v>
      </c>
    </row>
    <row r="1083">
      <c r="A1083" s="7" t="s">
        <v>37</v>
      </c>
      <c r="B1083" s="7" t="s">
        <v>671</v>
      </c>
      <c r="C1083" s="8">
        <f>IFERROR(__xludf.DUMMYFUNCTION("SPLIT(B1083,""RM"")"),2780000.0)</f>
        <v>2780000</v>
      </c>
      <c r="D1083" s="7">
        <v>5.0</v>
      </c>
      <c r="E1083" s="7">
        <v>3.0</v>
      </c>
      <c r="G1083" s="7" t="s">
        <v>43</v>
      </c>
      <c r="H1083" s="7" t="s">
        <v>44</v>
      </c>
      <c r="I1083" s="7" t="s">
        <v>27</v>
      </c>
    </row>
    <row r="1084">
      <c r="A1084" s="7" t="s">
        <v>23</v>
      </c>
      <c r="B1084" s="7" t="s">
        <v>970</v>
      </c>
      <c r="C1084" s="8">
        <f>IFERROR(__xludf.DUMMYFUNCTION("SPLIT(B1084,""RM"")"),5200000.0)</f>
        <v>5200000</v>
      </c>
      <c r="G1084" s="7" t="s">
        <v>25</v>
      </c>
      <c r="H1084" s="7" t="s">
        <v>1095</v>
      </c>
    </row>
    <row r="1085">
      <c r="A1085" s="7" t="s">
        <v>37</v>
      </c>
      <c r="B1085" s="7" t="s">
        <v>208</v>
      </c>
      <c r="C1085" s="8">
        <f>IFERROR(__xludf.DUMMYFUNCTION("SPLIT(B1085,""RM"")"),4995000.0)</f>
        <v>4995000</v>
      </c>
      <c r="D1085" s="7" t="s">
        <v>70</v>
      </c>
      <c r="E1085" s="7">
        <v>6.0</v>
      </c>
      <c r="G1085" s="7" t="s">
        <v>25</v>
      </c>
      <c r="H1085" s="7" t="s">
        <v>696</v>
      </c>
      <c r="I1085" s="7" t="s">
        <v>27</v>
      </c>
    </row>
    <row r="1086">
      <c r="A1086" s="7" t="s">
        <v>37</v>
      </c>
      <c r="B1086" s="7" t="s">
        <v>1096</v>
      </c>
      <c r="C1086" s="8">
        <f>IFERROR(__xludf.DUMMYFUNCTION("SPLIT(B1086,""RM"")"),8800000.0)</f>
        <v>8800000</v>
      </c>
      <c r="D1086" s="7" t="s">
        <v>60</v>
      </c>
      <c r="E1086" s="7">
        <v>9.0</v>
      </c>
      <c r="G1086" s="7" t="s">
        <v>67</v>
      </c>
      <c r="H1086" s="7" t="s">
        <v>1097</v>
      </c>
      <c r="I1086" s="7" t="s">
        <v>27</v>
      </c>
    </row>
    <row r="1087">
      <c r="A1087" s="7" t="s">
        <v>86</v>
      </c>
      <c r="B1087" s="7" t="s">
        <v>134</v>
      </c>
      <c r="C1087" s="8">
        <f>IFERROR(__xludf.DUMMYFUNCTION("SPLIT(B1087,""RM"")"),1150000.0)</f>
        <v>1150000</v>
      </c>
      <c r="D1087" s="7">
        <v>3.0</v>
      </c>
      <c r="E1087" s="7">
        <v>2.0</v>
      </c>
      <c r="G1087" s="7" t="s">
        <v>93</v>
      </c>
      <c r="H1087" s="7" t="s">
        <v>303</v>
      </c>
      <c r="I1087" s="7" t="s">
        <v>22</v>
      </c>
    </row>
    <row r="1088">
      <c r="A1088" s="7" t="s">
        <v>155</v>
      </c>
      <c r="B1088" s="7" t="s">
        <v>1098</v>
      </c>
      <c r="C1088" s="8">
        <f>IFERROR(__xludf.DUMMYFUNCTION("SPLIT(B1088,""RM"")"),810000.0)</f>
        <v>810000</v>
      </c>
      <c r="D1088" s="7">
        <v>3.0</v>
      </c>
      <c r="E1088" s="7">
        <v>3.0</v>
      </c>
      <c r="F1088" s="7">
        <v>2.0</v>
      </c>
      <c r="G1088" s="7" t="s">
        <v>93</v>
      </c>
      <c r="H1088" s="7" t="s">
        <v>630</v>
      </c>
      <c r="I1088" s="7" t="s">
        <v>103</v>
      </c>
    </row>
    <row r="1089">
      <c r="A1089" s="7" t="s">
        <v>155</v>
      </c>
      <c r="B1089" s="7" t="s">
        <v>245</v>
      </c>
      <c r="C1089" s="8">
        <f>IFERROR(__xludf.DUMMYFUNCTION("SPLIT(B1089,""RM"")"),800000.0)</f>
        <v>800000</v>
      </c>
      <c r="D1089" s="7">
        <v>3.0</v>
      </c>
      <c r="E1089" s="7">
        <v>3.0</v>
      </c>
      <c r="F1089" s="7">
        <v>1.0</v>
      </c>
      <c r="G1089" s="7" t="s">
        <v>93</v>
      </c>
      <c r="H1089" s="7" t="s">
        <v>1099</v>
      </c>
      <c r="I1089" s="7" t="s">
        <v>103</v>
      </c>
    </row>
    <row r="1090">
      <c r="A1090" s="7" t="s">
        <v>104</v>
      </c>
      <c r="B1090" s="7" t="s">
        <v>599</v>
      </c>
      <c r="C1090" s="8">
        <f>IFERROR(__xludf.DUMMYFUNCTION("SPLIT(B1090,""RM"")"),950000.0)</f>
        <v>950000</v>
      </c>
      <c r="D1090" s="7">
        <v>4.0</v>
      </c>
      <c r="E1090" s="7">
        <v>3.0</v>
      </c>
      <c r="F1090" s="7">
        <v>2.0</v>
      </c>
      <c r="G1090" s="7" t="s">
        <v>169</v>
      </c>
      <c r="H1090" s="7" t="s">
        <v>1100</v>
      </c>
      <c r="I1090" s="7" t="s">
        <v>27</v>
      </c>
    </row>
    <row r="1091">
      <c r="A1091" s="7" t="s">
        <v>72</v>
      </c>
      <c r="B1091" s="7" t="s">
        <v>484</v>
      </c>
      <c r="C1091" s="8">
        <f>IFERROR(__xludf.DUMMYFUNCTION("SPLIT(B1091,""RM"")"),2950000.0)</f>
        <v>2950000</v>
      </c>
      <c r="D1091" s="7" t="s">
        <v>35</v>
      </c>
      <c r="E1091" s="7">
        <v>4.0</v>
      </c>
      <c r="F1091" s="7">
        <v>3.0</v>
      </c>
      <c r="G1091" s="7" t="s">
        <v>83</v>
      </c>
      <c r="H1091" s="7" t="s">
        <v>622</v>
      </c>
      <c r="I1091" s="7" t="s">
        <v>22</v>
      </c>
    </row>
    <row r="1092">
      <c r="A1092" s="7" t="s">
        <v>155</v>
      </c>
      <c r="B1092" s="7" t="s">
        <v>1101</v>
      </c>
      <c r="C1092" s="8">
        <f>IFERROR(__xludf.DUMMYFUNCTION("SPLIT(B1092,""RM"")"),818000.0)</f>
        <v>818000</v>
      </c>
      <c r="F1092" s="7">
        <v>2.0</v>
      </c>
      <c r="G1092" s="7" t="s">
        <v>93</v>
      </c>
      <c r="H1092" s="7" t="s">
        <v>640</v>
      </c>
      <c r="I1092" s="7" t="s">
        <v>103</v>
      </c>
    </row>
    <row r="1093">
      <c r="A1093" s="7" t="s">
        <v>580</v>
      </c>
      <c r="B1093" s="7" t="s">
        <v>156</v>
      </c>
      <c r="C1093" s="8">
        <f>IFERROR(__xludf.DUMMYFUNCTION("SPLIT(B1093,""RM"")"),850000.0)</f>
        <v>850000</v>
      </c>
      <c r="D1093" s="7">
        <v>4.0</v>
      </c>
      <c r="E1093" s="7">
        <v>3.0</v>
      </c>
      <c r="F1093" s="7">
        <v>2.0</v>
      </c>
      <c r="G1093" s="7" t="s">
        <v>169</v>
      </c>
      <c r="H1093" s="7" t="s">
        <v>1102</v>
      </c>
      <c r="I1093" s="7" t="s">
        <v>27</v>
      </c>
    </row>
    <row r="1094">
      <c r="A1094" s="7" t="s">
        <v>580</v>
      </c>
      <c r="B1094" s="7" t="s">
        <v>105</v>
      </c>
      <c r="C1094" s="8">
        <f>IFERROR(__xludf.DUMMYFUNCTION("SPLIT(B1094,""RM"")"),560000.0)</f>
        <v>560000</v>
      </c>
      <c r="D1094" s="7">
        <v>3.0</v>
      </c>
      <c r="E1094" s="7">
        <v>2.0</v>
      </c>
      <c r="F1094" s="7">
        <v>2.0</v>
      </c>
      <c r="G1094" s="7" t="s">
        <v>169</v>
      </c>
      <c r="H1094" s="7" t="s">
        <v>1103</v>
      </c>
      <c r="I1094" s="7" t="s">
        <v>27</v>
      </c>
    </row>
    <row r="1095">
      <c r="A1095" s="7" t="s">
        <v>28</v>
      </c>
      <c r="B1095" s="7" t="s">
        <v>1104</v>
      </c>
      <c r="C1095" s="8">
        <f>IFERROR(__xludf.DUMMYFUNCTION("SPLIT(B1095,""RM"")"),995000.0)</f>
        <v>995000</v>
      </c>
      <c r="D1095" s="7">
        <v>4.0</v>
      </c>
      <c r="E1095" s="7">
        <v>3.0</v>
      </c>
      <c r="F1095" s="7">
        <v>3.0</v>
      </c>
      <c r="G1095" s="7" t="s">
        <v>83</v>
      </c>
      <c r="H1095" s="7" t="s">
        <v>1105</v>
      </c>
      <c r="I1095" s="7" t="s">
        <v>27</v>
      </c>
    </row>
    <row r="1096">
      <c r="A1096" s="7" t="s">
        <v>77</v>
      </c>
      <c r="B1096" s="7" t="s">
        <v>189</v>
      </c>
      <c r="C1096" s="8">
        <f>IFERROR(__xludf.DUMMYFUNCTION("SPLIT(B1096,""RM"")"),1820000.0)</f>
        <v>1820000</v>
      </c>
      <c r="D1096" s="7">
        <v>3.0</v>
      </c>
      <c r="E1096" s="7">
        <v>3.0</v>
      </c>
      <c r="F1096" s="7">
        <v>2.0</v>
      </c>
      <c r="G1096" s="7" t="s">
        <v>54</v>
      </c>
      <c r="H1096" s="7" t="s">
        <v>333</v>
      </c>
    </row>
    <row r="1097">
      <c r="A1097" s="7" t="s">
        <v>155</v>
      </c>
      <c r="B1097" s="7" t="s">
        <v>886</v>
      </c>
      <c r="C1097" s="8">
        <f>IFERROR(__xludf.DUMMYFUNCTION("SPLIT(B1097,""RM"")"),768000.0)</f>
        <v>768000</v>
      </c>
      <c r="D1097" s="7" t="s">
        <v>19</v>
      </c>
      <c r="E1097" s="7">
        <v>2.0</v>
      </c>
      <c r="F1097" s="7">
        <v>1.0</v>
      </c>
      <c r="G1097" s="7" t="s">
        <v>93</v>
      </c>
      <c r="H1097" s="7" t="s">
        <v>1106</v>
      </c>
      <c r="I1097" s="7" t="s">
        <v>103</v>
      </c>
    </row>
    <row r="1098">
      <c r="A1098" s="7" t="s">
        <v>100</v>
      </c>
      <c r="B1098" s="7" t="s">
        <v>1107</v>
      </c>
      <c r="C1098" s="8">
        <f>IFERROR(__xludf.DUMMYFUNCTION("SPLIT(B1098,""RM"")"),845000.0)</f>
        <v>845000</v>
      </c>
      <c r="D1098" s="7" t="s">
        <v>57</v>
      </c>
      <c r="E1098" s="7">
        <v>3.0</v>
      </c>
      <c r="G1098" s="7" t="s">
        <v>30</v>
      </c>
      <c r="H1098" s="7" t="s">
        <v>1108</v>
      </c>
      <c r="I1098" s="7" t="s">
        <v>103</v>
      </c>
    </row>
    <row r="1099">
      <c r="A1099" s="7" t="s">
        <v>155</v>
      </c>
      <c r="B1099" s="7" t="s">
        <v>755</v>
      </c>
      <c r="C1099" s="8">
        <f>IFERROR(__xludf.DUMMYFUNCTION("SPLIT(B1099,""RM"")"),970000.0)</f>
        <v>970000</v>
      </c>
      <c r="D1099" s="7" t="s">
        <v>57</v>
      </c>
      <c r="E1099" s="7">
        <v>4.0</v>
      </c>
      <c r="F1099" s="7">
        <v>2.0</v>
      </c>
      <c r="G1099" s="7" t="s">
        <v>30</v>
      </c>
      <c r="H1099" s="7" t="s">
        <v>382</v>
      </c>
      <c r="I1099" s="7" t="s">
        <v>103</v>
      </c>
    </row>
    <row r="1100">
      <c r="A1100" s="7" t="s">
        <v>155</v>
      </c>
      <c r="B1100" s="7" t="s">
        <v>1109</v>
      </c>
      <c r="C1100" s="8">
        <f>IFERROR(__xludf.DUMMYFUNCTION("SPLIT(B1100,""RM"")"),880900.0)</f>
        <v>880900</v>
      </c>
      <c r="D1100" s="7">
        <v>3.0</v>
      </c>
      <c r="E1100" s="7">
        <v>3.0</v>
      </c>
      <c r="F1100" s="7">
        <v>3.0</v>
      </c>
      <c r="G1100" s="7" t="s">
        <v>93</v>
      </c>
      <c r="H1100" s="7" t="s">
        <v>1110</v>
      </c>
      <c r="I1100" s="7" t="s">
        <v>27</v>
      </c>
    </row>
    <row r="1101">
      <c r="A1101" s="7" t="s">
        <v>72</v>
      </c>
      <c r="B1101" s="7" t="s">
        <v>144</v>
      </c>
      <c r="C1101" s="8">
        <f>IFERROR(__xludf.DUMMYFUNCTION("SPLIT(B1101,""RM"")"),1800000.0)</f>
        <v>1800000</v>
      </c>
      <c r="D1101" s="7" t="s">
        <v>35</v>
      </c>
      <c r="E1101" s="7">
        <v>4.0</v>
      </c>
      <c r="F1101" s="7">
        <v>2.0</v>
      </c>
      <c r="G1101" s="7" t="s">
        <v>93</v>
      </c>
      <c r="H1101" s="7" t="s">
        <v>74</v>
      </c>
      <c r="I1101" s="7" t="s">
        <v>27</v>
      </c>
    </row>
    <row r="1102">
      <c r="A1102" s="7" t="s">
        <v>100</v>
      </c>
      <c r="B1102" s="7" t="s">
        <v>1111</v>
      </c>
      <c r="C1102" s="8">
        <f>IFERROR(__xludf.DUMMYFUNCTION("SPLIT(B1102,""RM"")"),390000.0)</f>
        <v>390000</v>
      </c>
      <c r="D1102" s="7">
        <v>1.0</v>
      </c>
      <c r="E1102" s="7">
        <v>2.0</v>
      </c>
      <c r="F1102" s="7">
        <v>1.0</v>
      </c>
      <c r="G1102" s="7" t="s">
        <v>145</v>
      </c>
      <c r="H1102" s="7" t="s">
        <v>786</v>
      </c>
      <c r="I1102" s="7" t="s">
        <v>27</v>
      </c>
    </row>
    <row r="1103">
      <c r="A1103" s="7" t="s">
        <v>1088</v>
      </c>
      <c r="B1103" s="7" t="s">
        <v>243</v>
      </c>
      <c r="C1103" s="8">
        <f>IFERROR(__xludf.DUMMYFUNCTION("SPLIT(B1103,""RM"")"),1350000.0)</f>
        <v>1350000</v>
      </c>
      <c r="D1103" s="7">
        <v>3.0</v>
      </c>
      <c r="E1103" s="7">
        <v>2.0</v>
      </c>
      <c r="G1103" s="7" t="s">
        <v>30</v>
      </c>
      <c r="H1103" s="7" t="s">
        <v>464</v>
      </c>
      <c r="I1103" s="7" t="s">
        <v>22</v>
      </c>
    </row>
    <row r="1104">
      <c r="A1104" s="7" t="s">
        <v>33</v>
      </c>
      <c r="B1104" s="7" t="s">
        <v>1104</v>
      </c>
      <c r="C1104" s="8">
        <f>IFERROR(__xludf.DUMMYFUNCTION("SPLIT(B1104,""RM"")"),995000.0)</f>
        <v>995000</v>
      </c>
      <c r="D1104" s="7">
        <v>3.0</v>
      </c>
      <c r="E1104" s="7">
        <v>2.0</v>
      </c>
      <c r="F1104" s="7">
        <v>2.0</v>
      </c>
      <c r="G1104" s="7" t="s">
        <v>20</v>
      </c>
      <c r="H1104" s="7" t="s">
        <v>1112</v>
      </c>
      <c r="I1104" s="7" t="s">
        <v>22</v>
      </c>
    </row>
    <row r="1105">
      <c r="A1105" s="7" t="s">
        <v>33</v>
      </c>
      <c r="B1105" s="7" t="s">
        <v>34</v>
      </c>
      <c r="C1105" s="8">
        <f>IFERROR(__xludf.DUMMYFUNCTION("SPLIT(B1105,""RM"")"),900000.0)</f>
        <v>900000</v>
      </c>
      <c r="D1105" s="7">
        <v>3.0</v>
      </c>
      <c r="E1105" s="7">
        <v>2.0</v>
      </c>
      <c r="F1105" s="7">
        <v>2.0</v>
      </c>
      <c r="G1105" s="7" t="s">
        <v>20</v>
      </c>
      <c r="H1105" s="7" t="s">
        <v>1112</v>
      </c>
      <c r="I1105" s="7" t="s">
        <v>103</v>
      </c>
    </row>
    <row r="1106">
      <c r="A1106" s="7" t="s">
        <v>155</v>
      </c>
      <c r="B1106" s="7" t="s">
        <v>314</v>
      </c>
      <c r="C1106" s="8">
        <f>IFERROR(__xludf.DUMMYFUNCTION("SPLIT(B1106,""RM"")"),670000.0)</f>
        <v>670000</v>
      </c>
      <c r="D1106" s="7">
        <v>3.0</v>
      </c>
      <c r="E1106" s="7">
        <v>2.0</v>
      </c>
      <c r="F1106" s="7">
        <v>1.0</v>
      </c>
      <c r="G1106" s="7" t="s">
        <v>30</v>
      </c>
      <c r="H1106" s="7" t="s">
        <v>135</v>
      </c>
      <c r="I1106" s="7" t="s">
        <v>22</v>
      </c>
    </row>
    <row r="1107">
      <c r="A1107" s="7" t="s">
        <v>72</v>
      </c>
      <c r="B1107" s="7" t="s">
        <v>239</v>
      </c>
      <c r="C1107" s="8">
        <f>IFERROR(__xludf.DUMMYFUNCTION("SPLIT(B1107,""RM"")"),1280000.0)</f>
        <v>1280000</v>
      </c>
      <c r="D1107" s="7">
        <v>3.0</v>
      </c>
      <c r="E1107" s="7">
        <v>2.0</v>
      </c>
      <c r="F1107" s="7">
        <v>2.0</v>
      </c>
      <c r="G1107" s="7" t="s">
        <v>30</v>
      </c>
      <c r="H1107" s="7" t="s">
        <v>135</v>
      </c>
      <c r="I1107" s="7" t="s">
        <v>27</v>
      </c>
    </row>
    <row r="1108">
      <c r="A1108" s="7" t="s">
        <v>180</v>
      </c>
      <c r="B1108" s="7" t="s">
        <v>403</v>
      </c>
      <c r="C1108" s="8">
        <f>IFERROR(__xludf.DUMMYFUNCTION("SPLIT(B1108,""RM"")"),1600000.0)</f>
        <v>1600000</v>
      </c>
      <c r="D1108" s="7" t="s">
        <v>19</v>
      </c>
      <c r="E1108" s="7">
        <v>3.0</v>
      </c>
      <c r="F1108" s="7">
        <v>2.0</v>
      </c>
      <c r="G1108" s="7" t="s">
        <v>121</v>
      </c>
      <c r="H1108" s="7" t="s">
        <v>216</v>
      </c>
      <c r="I1108" s="7" t="s">
        <v>22</v>
      </c>
    </row>
    <row r="1109">
      <c r="A1109" s="7" t="s">
        <v>180</v>
      </c>
      <c r="B1109" s="7" t="s">
        <v>322</v>
      </c>
      <c r="C1109" s="8">
        <f>IFERROR(__xludf.DUMMYFUNCTION("SPLIT(B1109,""RM"")"),1900000.0)</f>
        <v>1900000</v>
      </c>
      <c r="D1109" s="7" t="s">
        <v>19</v>
      </c>
      <c r="E1109" s="7">
        <v>3.0</v>
      </c>
      <c r="F1109" s="7">
        <v>2.0</v>
      </c>
      <c r="G1109" s="7" t="s">
        <v>20</v>
      </c>
      <c r="H1109" s="7" t="s">
        <v>1078</v>
      </c>
      <c r="I1109" s="7" t="s">
        <v>22</v>
      </c>
    </row>
    <row r="1110">
      <c r="A1110" s="7" t="s">
        <v>180</v>
      </c>
      <c r="B1110" s="7" t="s">
        <v>448</v>
      </c>
      <c r="C1110" s="8">
        <f>IFERROR(__xludf.DUMMYFUNCTION("SPLIT(B1110,""RM"")"),1420000.0)</f>
        <v>1420000</v>
      </c>
      <c r="D1110" s="7">
        <v>1.0</v>
      </c>
      <c r="E1110" s="7">
        <v>1.0</v>
      </c>
      <c r="G1110" s="7" t="s">
        <v>121</v>
      </c>
      <c r="H1110" s="7" t="s">
        <v>1113</v>
      </c>
      <c r="I1110" s="7" t="s">
        <v>22</v>
      </c>
    </row>
    <row r="1111">
      <c r="A1111" s="7" t="s">
        <v>100</v>
      </c>
      <c r="B1111" s="7" t="s">
        <v>1114</v>
      </c>
      <c r="C1111" s="8">
        <f>IFERROR(__xludf.DUMMYFUNCTION("SPLIT(B1111,""RM"")"),890000.0)</f>
        <v>890000</v>
      </c>
      <c r="D1111" s="7" t="s">
        <v>57</v>
      </c>
      <c r="E1111" s="7">
        <v>3.0</v>
      </c>
      <c r="F1111" s="7">
        <v>2.0</v>
      </c>
      <c r="G1111" s="7" t="s">
        <v>83</v>
      </c>
      <c r="H1111" s="7" t="s">
        <v>1115</v>
      </c>
      <c r="I1111" s="7" t="s">
        <v>27</v>
      </c>
    </row>
    <row r="1112">
      <c r="A1112" s="7" t="s">
        <v>180</v>
      </c>
      <c r="B1112" s="7" t="s">
        <v>125</v>
      </c>
      <c r="C1112" s="8">
        <f>IFERROR(__xludf.DUMMYFUNCTION("SPLIT(B1112,""RM"")"),2300000.0)</f>
        <v>2300000</v>
      </c>
      <c r="D1112" s="7" t="s">
        <v>19</v>
      </c>
      <c r="E1112" s="7">
        <v>3.0</v>
      </c>
      <c r="F1112" s="7">
        <v>2.0</v>
      </c>
      <c r="G1112" s="7" t="s">
        <v>121</v>
      </c>
      <c r="H1112" s="7" t="s">
        <v>1116</v>
      </c>
      <c r="I1112" s="7" t="s">
        <v>27</v>
      </c>
    </row>
    <row r="1113">
      <c r="A1113" s="7" t="s">
        <v>104</v>
      </c>
      <c r="B1113" s="7" t="s">
        <v>327</v>
      </c>
      <c r="C1113" s="8">
        <f>IFERROR(__xludf.DUMMYFUNCTION("SPLIT(B1113,""RM"")"),1300000.0)</f>
        <v>1300000</v>
      </c>
      <c r="E1113" s="7">
        <v>3.0</v>
      </c>
      <c r="G1113" s="7" t="s">
        <v>184</v>
      </c>
      <c r="H1113" s="7" t="s">
        <v>1117</v>
      </c>
      <c r="I1113" s="7" t="s">
        <v>27</v>
      </c>
    </row>
    <row r="1114">
      <c r="A1114" s="7" t="s">
        <v>104</v>
      </c>
      <c r="B1114" s="7" t="s">
        <v>327</v>
      </c>
      <c r="C1114" s="8">
        <f>IFERROR(__xludf.DUMMYFUNCTION("SPLIT(B1114,""RM"")"),1300000.0)</f>
        <v>1300000</v>
      </c>
      <c r="D1114" s="7">
        <v>6.0</v>
      </c>
      <c r="E1114" s="7">
        <v>5.0</v>
      </c>
      <c r="G1114" s="7" t="s">
        <v>90</v>
      </c>
      <c r="H1114" s="7" t="s">
        <v>283</v>
      </c>
      <c r="I1114" s="7" t="s">
        <v>27</v>
      </c>
    </row>
    <row r="1115">
      <c r="A1115" s="7" t="s">
        <v>104</v>
      </c>
      <c r="B1115" s="7" t="s">
        <v>144</v>
      </c>
      <c r="C1115" s="8">
        <f>IFERROR(__xludf.DUMMYFUNCTION("SPLIT(B1115,""RM"")"),1800000.0)</f>
        <v>1800000</v>
      </c>
      <c r="D1115" s="7" t="s">
        <v>70</v>
      </c>
      <c r="E1115" s="7">
        <v>6.0</v>
      </c>
      <c r="G1115" s="7" t="s">
        <v>64</v>
      </c>
      <c r="H1115" s="7" t="s">
        <v>1118</v>
      </c>
      <c r="I1115" s="7" t="s">
        <v>103</v>
      </c>
    </row>
    <row r="1116">
      <c r="A1116" s="7" t="s">
        <v>104</v>
      </c>
      <c r="B1116" s="7" t="s">
        <v>599</v>
      </c>
      <c r="C1116" s="8">
        <f>IFERROR(__xludf.DUMMYFUNCTION("SPLIT(B1116,""RM"")"),950000.0)</f>
        <v>950000</v>
      </c>
      <c r="D1116" s="7">
        <v>4.0</v>
      </c>
      <c r="E1116" s="7">
        <v>3.0</v>
      </c>
      <c r="G1116" s="7" t="s">
        <v>54</v>
      </c>
      <c r="H1116" s="7" t="s">
        <v>1119</v>
      </c>
      <c r="I1116" s="7" t="s">
        <v>27</v>
      </c>
    </row>
    <row r="1117">
      <c r="A1117" s="7" t="s">
        <v>171</v>
      </c>
      <c r="B1117" s="7" t="s">
        <v>391</v>
      </c>
      <c r="C1117" s="8">
        <f>IFERROR(__xludf.DUMMYFUNCTION("SPLIT(B1117,""RM"")"),240000.0)</f>
        <v>240000</v>
      </c>
      <c r="D1117" s="7">
        <v>3.0</v>
      </c>
      <c r="E1117" s="7">
        <v>2.0</v>
      </c>
      <c r="F1117" s="7">
        <v>1.0</v>
      </c>
      <c r="G1117" s="7" t="s">
        <v>83</v>
      </c>
      <c r="H1117" s="7" t="s">
        <v>392</v>
      </c>
    </row>
    <row r="1118">
      <c r="A1118" s="7" t="s">
        <v>72</v>
      </c>
      <c r="B1118" s="7" t="s">
        <v>468</v>
      </c>
      <c r="C1118" s="8">
        <f>IFERROR(__xludf.DUMMYFUNCTION("SPLIT(B1118,""RM"")"),2750000.0)</f>
        <v>2750000</v>
      </c>
      <c r="D1118" s="7" t="s">
        <v>57</v>
      </c>
      <c r="E1118" s="7">
        <v>4.0</v>
      </c>
      <c r="G1118" s="7" t="s">
        <v>83</v>
      </c>
      <c r="H1118" s="7" t="s">
        <v>231</v>
      </c>
      <c r="I1118" s="7" t="s">
        <v>27</v>
      </c>
    </row>
    <row r="1119">
      <c r="A1119" s="7" t="s">
        <v>77</v>
      </c>
      <c r="B1119" s="7" t="s">
        <v>693</v>
      </c>
      <c r="C1119" s="8">
        <f>IFERROR(__xludf.DUMMYFUNCTION("SPLIT(B1119,""RM"")"),6700000.0)</f>
        <v>6700000</v>
      </c>
      <c r="D1119" s="7" t="s">
        <v>299</v>
      </c>
      <c r="E1119" s="7">
        <v>7.0</v>
      </c>
      <c r="F1119" s="7">
        <v>4.0</v>
      </c>
      <c r="G1119" s="7" t="s">
        <v>67</v>
      </c>
      <c r="H1119" s="7" t="s">
        <v>1120</v>
      </c>
      <c r="I1119" s="7" t="s">
        <v>27</v>
      </c>
    </row>
    <row r="1120">
      <c r="A1120" s="7" t="s">
        <v>77</v>
      </c>
      <c r="B1120" s="7" t="s">
        <v>214</v>
      </c>
      <c r="C1120" s="8">
        <f>IFERROR(__xludf.DUMMYFUNCTION("SPLIT(B1120,""RM"")"),1180000.0)</f>
        <v>1180000</v>
      </c>
      <c r="D1120" s="7" t="s">
        <v>57</v>
      </c>
      <c r="E1120" s="7">
        <v>2.0</v>
      </c>
      <c r="F1120" s="7">
        <v>2.0</v>
      </c>
      <c r="G1120" s="7" t="s">
        <v>30</v>
      </c>
      <c r="H1120" s="7" t="s">
        <v>1025</v>
      </c>
      <c r="I1120" s="7" t="s">
        <v>27</v>
      </c>
    </row>
    <row r="1121">
      <c r="A1121" s="7" t="s">
        <v>77</v>
      </c>
      <c r="B1121" s="7" t="s">
        <v>309</v>
      </c>
      <c r="C1121" s="8">
        <f>IFERROR(__xludf.DUMMYFUNCTION("SPLIT(B1121,""RM"")"),2100000.0)</f>
        <v>2100000</v>
      </c>
      <c r="D1121" s="7" t="s">
        <v>57</v>
      </c>
      <c r="E1121" s="7">
        <v>4.0</v>
      </c>
      <c r="F1121" s="7">
        <v>3.0</v>
      </c>
      <c r="G1121" s="7" t="s">
        <v>54</v>
      </c>
      <c r="H1121" s="7" t="s">
        <v>1121</v>
      </c>
      <c r="I1121" s="7" t="s">
        <v>27</v>
      </c>
    </row>
    <row r="1122">
      <c r="A1122" s="7" t="s">
        <v>77</v>
      </c>
      <c r="B1122" s="7" t="s">
        <v>390</v>
      </c>
      <c r="C1122" s="8">
        <f>IFERROR(__xludf.DUMMYFUNCTION("SPLIT(B1122,""RM"")"),6300000.0)</f>
        <v>6300000</v>
      </c>
      <c r="D1122" s="7">
        <v>7.0</v>
      </c>
      <c r="E1122" s="7">
        <v>7.0</v>
      </c>
      <c r="F1122" s="7">
        <v>10.0</v>
      </c>
      <c r="G1122" s="7" t="s">
        <v>61</v>
      </c>
      <c r="H1122" s="7" t="s">
        <v>533</v>
      </c>
      <c r="I1122" s="7" t="s">
        <v>27</v>
      </c>
    </row>
    <row r="1123">
      <c r="A1123" s="7" t="s">
        <v>77</v>
      </c>
      <c r="B1123" s="7" t="s">
        <v>1122</v>
      </c>
      <c r="C1123" s="8">
        <f>IFERROR(__xludf.DUMMYFUNCTION("SPLIT(B1123,""RM"")"),1190000.0)</f>
        <v>1190000</v>
      </c>
      <c r="D1123" s="7" t="s">
        <v>19</v>
      </c>
      <c r="E1123" s="7">
        <v>3.0</v>
      </c>
      <c r="F1123" s="7">
        <v>2.0</v>
      </c>
      <c r="G1123" s="7" t="s">
        <v>93</v>
      </c>
      <c r="H1123" s="7" t="s">
        <v>230</v>
      </c>
      <c r="I1123" s="7" t="s">
        <v>27</v>
      </c>
    </row>
    <row r="1124">
      <c r="A1124" s="7" t="s">
        <v>77</v>
      </c>
      <c r="B1124" s="7" t="s">
        <v>110</v>
      </c>
      <c r="C1124" s="8">
        <f>IFERROR(__xludf.DUMMYFUNCTION("SPLIT(B1124,""RM"")"),2400000.0)</f>
        <v>2400000</v>
      </c>
      <c r="D1124" s="7" t="s">
        <v>70</v>
      </c>
      <c r="E1124" s="7">
        <v>4.0</v>
      </c>
      <c r="F1124" s="7">
        <v>3.0</v>
      </c>
      <c r="G1124" s="7" t="s">
        <v>54</v>
      </c>
      <c r="H1124" s="7" t="s">
        <v>911</v>
      </c>
      <c r="I1124" s="7" t="s">
        <v>27</v>
      </c>
    </row>
    <row r="1125">
      <c r="A1125" s="7" t="s">
        <v>77</v>
      </c>
      <c r="B1125" s="7" t="s">
        <v>81</v>
      </c>
      <c r="C1125" s="8">
        <f>IFERROR(__xludf.DUMMYFUNCTION("SPLIT(B1125,""RM"")"),1550000.0)</f>
        <v>1550000</v>
      </c>
      <c r="D1125" s="7">
        <v>3.0</v>
      </c>
      <c r="F1125" s="7">
        <v>2.0</v>
      </c>
      <c r="G1125" s="7" t="s">
        <v>93</v>
      </c>
      <c r="H1125" s="7" t="s">
        <v>474</v>
      </c>
      <c r="I1125" s="7" t="s">
        <v>22</v>
      </c>
    </row>
    <row r="1126">
      <c r="A1126" s="7" t="s">
        <v>77</v>
      </c>
      <c r="B1126" s="7" t="s">
        <v>125</v>
      </c>
      <c r="C1126" s="8">
        <f>IFERROR(__xludf.DUMMYFUNCTION("SPLIT(B1126,""RM"")"),2300000.0)</f>
        <v>2300000</v>
      </c>
      <c r="D1126" s="7" t="s">
        <v>35</v>
      </c>
      <c r="E1126" s="7">
        <v>5.0</v>
      </c>
      <c r="G1126" s="7" t="s">
        <v>54</v>
      </c>
      <c r="H1126" s="7" t="s">
        <v>211</v>
      </c>
      <c r="I1126" s="7" t="s">
        <v>27</v>
      </c>
    </row>
    <row r="1127">
      <c r="A1127" s="7" t="s">
        <v>77</v>
      </c>
      <c r="B1127" s="7" t="s">
        <v>329</v>
      </c>
      <c r="C1127" s="8">
        <f>IFERROR(__xludf.DUMMYFUNCTION("SPLIT(B1127,""RM"")"),1200000.0)</f>
        <v>1200000</v>
      </c>
      <c r="D1127" s="7">
        <v>2.0</v>
      </c>
      <c r="E1127" s="7">
        <v>2.0</v>
      </c>
      <c r="F1127" s="7">
        <v>2.0</v>
      </c>
      <c r="G1127" s="7" t="s">
        <v>93</v>
      </c>
      <c r="H1127" s="7" t="s">
        <v>237</v>
      </c>
      <c r="I1127" s="7" t="s">
        <v>27</v>
      </c>
    </row>
    <row r="1128">
      <c r="A1128" s="7" t="s">
        <v>77</v>
      </c>
      <c r="B1128" s="7" t="s">
        <v>1123</v>
      </c>
      <c r="C1128" s="8">
        <f>IFERROR(__xludf.DUMMYFUNCTION("SPLIT(B1128,""RM"")"),2388000.0)</f>
        <v>2388000</v>
      </c>
      <c r="D1128" s="7" t="s">
        <v>35</v>
      </c>
      <c r="E1128" s="7">
        <v>5.0</v>
      </c>
      <c r="F1128" s="7">
        <v>3.0</v>
      </c>
      <c r="G1128" s="7" t="s">
        <v>90</v>
      </c>
      <c r="H1128" s="7" t="s">
        <v>283</v>
      </c>
      <c r="I1128" s="7" t="s">
        <v>22</v>
      </c>
    </row>
    <row r="1129">
      <c r="A1129" s="7" t="s">
        <v>77</v>
      </c>
      <c r="B1129" s="7" t="s">
        <v>479</v>
      </c>
      <c r="C1129" s="8">
        <f>IFERROR(__xludf.DUMMYFUNCTION("SPLIT(B1129,""RM"")"),5500000.0)</f>
        <v>5500000</v>
      </c>
      <c r="D1129" s="7" t="s">
        <v>299</v>
      </c>
      <c r="E1129" s="7">
        <v>8.0</v>
      </c>
      <c r="G1129" s="7" t="s">
        <v>300</v>
      </c>
      <c r="H1129" s="7" t="s">
        <v>305</v>
      </c>
      <c r="I1129" s="7" t="s">
        <v>27</v>
      </c>
    </row>
    <row r="1130">
      <c r="A1130" s="7" t="s">
        <v>77</v>
      </c>
      <c r="B1130" s="7" t="s">
        <v>1124</v>
      </c>
      <c r="C1130" s="8">
        <f>IFERROR(__xludf.DUMMYFUNCTION("SPLIT(B1130,""RM"")"),2080000.0)</f>
        <v>2080000</v>
      </c>
      <c r="D1130" s="7" t="s">
        <v>57</v>
      </c>
      <c r="E1130" s="7">
        <v>3.0</v>
      </c>
      <c r="F1130" s="7">
        <v>3.0</v>
      </c>
      <c r="G1130" s="7" t="s">
        <v>30</v>
      </c>
      <c r="H1130" s="7" t="s">
        <v>1125</v>
      </c>
      <c r="I1130" s="7" t="s">
        <v>22</v>
      </c>
    </row>
    <row r="1131">
      <c r="A1131" s="7" t="s">
        <v>77</v>
      </c>
      <c r="B1131" s="7" t="s">
        <v>134</v>
      </c>
      <c r="C1131" s="8">
        <f>IFERROR(__xludf.DUMMYFUNCTION("SPLIT(B1131,""RM"")"),1150000.0)</f>
        <v>1150000</v>
      </c>
      <c r="D1131" s="7">
        <v>2.0</v>
      </c>
      <c r="E1131" s="7">
        <v>1.0</v>
      </c>
      <c r="F1131" s="7">
        <v>2.0</v>
      </c>
      <c r="G1131" s="7" t="s">
        <v>93</v>
      </c>
      <c r="H1131" s="7" t="s">
        <v>1052</v>
      </c>
      <c r="I1131" s="7" t="s">
        <v>27</v>
      </c>
    </row>
    <row r="1132">
      <c r="A1132" s="7" t="s">
        <v>77</v>
      </c>
      <c r="B1132" s="7" t="s">
        <v>605</v>
      </c>
      <c r="C1132" s="8">
        <f>IFERROR(__xludf.DUMMYFUNCTION("SPLIT(B1132,""RM"")"),1590000.0)</f>
        <v>1590000</v>
      </c>
      <c r="D1132" s="7">
        <v>3.0</v>
      </c>
      <c r="E1132" s="7">
        <v>3.0</v>
      </c>
      <c r="F1132" s="7">
        <v>2.0</v>
      </c>
      <c r="G1132" s="7" t="s">
        <v>90</v>
      </c>
      <c r="H1132" s="7" t="s">
        <v>461</v>
      </c>
      <c r="I1132" s="7" t="s">
        <v>27</v>
      </c>
    </row>
    <row r="1133">
      <c r="A1133" s="7" t="s">
        <v>77</v>
      </c>
      <c r="B1133" s="7" t="s">
        <v>963</v>
      </c>
      <c r="C1133" s="8">
        <f>IFERROR(__xludf.DUMMYFUNCTION("SPLIT(B1133,""RM"")"),848000.0)</f>
        <v>848000</v>
      </c>
      <c r="D1133" s="7" t="s">
        <v>197</v>
      </c>
      <c r="E1133" s="7">
        <v>1.0</v>
      </c>
      <c r="F1133" s="7">
        <v>2.0</v>
      </c>
      <c r="G1133" s="7" t="s">
        <v>93</v>
      </c>
      <c r="H1133" s="7" t="s">
        <v>609</v>
      </c>
      <c r="I1133" s="7" t="s">
        <v>27</v>
      </c>
    </row>
    <row r="1134">
      <c r="A1134" s="7" t="s">
        <v>77</v>
      </c>
      <c r="B1134" s="7" t="s">
        <v>534</v>
      </c>
      <c r="C1134" s="8">
        <f>IFERROR(__xludf.DUMMYFUNCTION("SPLIT(B1134,""RM"")"),3200000.0)</f>
        <v>3200000</v>
      </c>
      <c r="D1134" s="7">
        <v>5.0</v>
      </c>
      <c r="E1134" s="7">
        <v>6.0</v>
      </c>
      <c r="F1134" s="7">
        <v>5.0</v>
      </c>
      <c r="G1134" s="7" t="s">
        <v>273</v>
      </c>
      <c r="H1134" s="7" t="s">
        <v>1126</v>
      </c>
      <c r="I1134" s="7" t="s">
        <v>27</v>
      </c>
    </row>
    <row r="1135">
      <c r="A1135" s="7" t="s">
        <v>77</v>
      </c>
      <c r="B1135" s="7" t="s">
        <v>110</v>
      </c>
      <c r="C1135" s="8">
        <f>IFERROR(__xludf.DUMMYFUNCTION("SPLIT(B1135,""RM"")"),2400000.0)</f>
        <v>2400000</v>
      </c>
      <c r="D1135" s="7" t="s">
        <v>70</v>
      </c>
      <c r="E1135" s="7">
        <v>6.0</v>
      </c>
      <c r="G1135" s="7" t="s">
        <v>90</v>
      </c>
      <c r="H1135" s="7" t="s">
        <v>211</v>
      </c>
      <c r="I1135" s="7" t="s">
        <v>27</v>
      </c>
    </row>
    <row r="1136">
      <c r="A1136" s="7" t="s">
        <v>77</v>
      </c>
      <c r="B1136" s="7" t="s">
        <v>534</v>
      </c>
      <c r="C1136" s="8">
        <f>IFERROR(__xludf.DUMMYFUNCTION("SPLIT(B1136,""RM"")"),3200000.0)</f>
        <v>3200000</v>
      </c>
      <c r="D1136" s="7" t="s">
        <v>35</v>
      </c>
      <c r="E1136" s="7">
        <v>5.0</v>
      </c>
      <c r="G1136" s="7" t="s">
        <v>90</v>
      </c>
      <c r="H1136" s="7" t="s">
        <v>291</v>
      </c>
      <c r="I1136" s="7" t="s">
        <v>103</v>
      </c>
    </row>
    <row r="1137">
      <c r="A1137" s="7" t="s">
        <v>77</v>
      </c>
      <c r="B1137" s="7" t="s">
        <v>744</v>
      </c>
      <c r="C1137" s="8">
        <f>IFERROR(__xludf.DUMMYFUNCTION("SPLIT(B1137,""RM"")"),8300000.0)</f>
        <v>8300000</v>
      </c>
      <c r="D1137" s="7" t="s">
        <v>60</v>
      </c>
      <c r="E1137" s="7">
        <v>6.0</v>
      </c>
      <c r="F1137" s="7">
        <v>10.0</v>
      </c>
      <c r="G1137" s="7" t="s">
        <v>61</v>
      </c>
      <c r="H1137" s="7" t="s">
        <v>26</v>
      </c>
      <c r="I1137" s="7" t="s">
        <v>27</v>
      </c>
    </row>
    <row r="1138">
      <c r="A1138" s="7" t="s">
        <v>77</v>
      </c>
      <c r="B1138" s="7" t="s">
        <v>349</v>
      </c>
      <c r="C1138" s="8">
        <f>IFERROR(__xludf.DUMMYFUNCTION("SPLIT(B1138,""RM"")"),1400000.0)</f>
        <v>1400000</v>
      </c>
      <c r="D1138" s="7" t="s">
        <v>57</v>
      </c>
      <c r="E1138" s="7">
        <v>3.0</v>
      </c>
      <c r="F1138" s="7">
        <v>2.0</v>
      </c>
      <c r="G1138" s="7" t="s">
        <v>93</v>
      </c>
      <c r="H1138" s="7" t="s">
        <v>318</v>
      </c>
      <c r="I1138" s="7" t="s">
        <v>27</v>
      </c>
    </row>
    <row r="1139">
      <c r="A1139" s="7" t="s">
        <v>28</v>
      </c>
      <c r="B1139" s="7" t="s">
        <v>168</v>
      </c>
      <c r="C1139" s="8">
        <f>IFERROR(__xludf.DUMMYFUNCTION("SPLIT(B1139,""RM"")"),750000.0)</f>
        <v>750000</v>
      </c>
      <c r="D1139" s="7">
        <v>1.0</v>
      </c>
      <c r="E1139" s="7">
        <v>1.0</v>
      </c>
      <c r="F1139" s="7">
        <v>3.0</v>
      </c>
      <c r="G1139" s="7" t="s">
        <v>82</v>
      </c>
      <c r="H1139" s="7" t="s">
        <v>1127</v>
      </c>
      <c r="I1139" s="7" t="s">
        <v>22</v>
      </c>
    </row>
    <row r="1140">
      <c r="A1140" s="7" t="s">
        <v>77</v>
      </c>
      <c r="B1140" s="7" t="s">
        <v>398</v>
      </c>
      <c r="C1140" s="8">
        <f>IFERROR(__xludf.DUMMYFUNCTION("SPLIT(B1140,""RM"")"),2280000.0)</f>
        <v>2280000</v>
      </c>
      <c r="D1140" s="7" t="s">
        <v>35</v>
      </c>
      <c r="E1140" s="7">
        <v>4.0</v>
      </c>
      <c r="G1140" s="7" t="s">
        <v>90</v>
      </c>
      <c r="H1140" s="7" t="s">
        <v>283</v>
      </c>
      <c r="I1140" s="7" t="s">
        <v>27</v>
      </c>
    </row>
    <row r="1141">
      <c r="A1141" s="7" t="s">
        <v>77</v>
      </c>
      <c r="B1141" s="7" t="s">
        <v>398</v>
      </c>
      <c r="C1141" s="8">
        <f>IFERROR(__xludf.DUMMYFUNCTION("SPLIT(B1141,""RM"")"),2280000.0)</f>
        <v>2280000</v>
      </c>
      <c r="D1141" s="7" t="s">
        <v>70</v>
      </c>
      <c r="E1141" s="7">
        <v>6.0</v>
      </c>
      <c r="G1141" s="7" t="s">
        <v>90</v>
      </c>
      <c r="H1141" s="7" t="s">
        <v>211</v>
      </c>
      <c r="I1141" s="7" t="s">
        <v>27</v>
      </c>
    </row>
    <row r="1142">
      <c r="A1142" s="7" t="s">
        <v>77</v>
      </c>
      <c r="B1142" s="7" t="s">
        <v>460</v>
      </c>
      <c r="C1142" s="8">
        <f>IFERROR(__xludf.DUMMYFUNCTION("SPLIT(B1142,""RM"")"),1580000.0)</f>
        <v>1580000</v>
      </c>
      <c r="D1142" s="7">
        <v>3.0</v>
      </c>
      <c r="E1142" s="7">
        <v>3.0</v>
      </c>
      <c r="F1142" s="7">
        <v>2.0</v>
      </c>
      <c r="G1142" s="7" t="s">
        <v>90</v>
      </c>
      <c r="H1142" s="7" t="s">
        <v>461</v>
      </c>
      <c r="I1142" s="7" t="s">
        <v>27</v>
      </c>
    </row>
    <row r="1143">
      <c r="A1143" s="7" t="s">
        <v>77</v>
      </c>
      <c r="B1143" s="7" t="s">
        <v>144</v>
      </c>
      <c r="C1143" s="8">
        <f>IFERROR(__xludf.DUMMYFUNCTION("SPLIT(B1143,""RM"")"),1800000.0)</f>
        <v>1800000</v>
      </c>
      <c r="D1143" s="7">
        <v>3.0</v>
      </c>
      <c r="E1143" s="7">
        <v>3.0</v>
      </c>
      <c r="F1143" s="7">
        <v>2.0</v>
      </c>
      <c r="G1143" s="7" t="s">
        <v>90</v>
      </c>
      <c r="H1143" s="7" t="s">
        <v>461</v>
      </c>
      <c r="I1143" s="7" t="s">
        <v>27</v>
      </c>
    </row>
    <row r="1144">
      <c r="A1144" s="7" t="s">
        <v>692</v>
      </c>
      <c r="B1144" s="7" t="s">
        <v>120</v>
      </c>
      <c r="C1144" s="8">
        <f>IFERROR(__xludf.DUMMYFUNCTION("SPLIT(B1144,""RM"")"),3600000.0)</f>
        <v>3600000</v>
      </c>
      <c r="D1144" s="7" t="s">
        <v>70</v>
      </c>
      <c r="E1144" s="7">
        <v>5.0</v>
      </c>
      <c r="F1144" s="7">
        <v>6.0</v>
      </c>
      <c r="G1144" s="7" t="s">
        <v>64</v>
      </c>
      <c r="H1144" s="7" t="s">
        <v>1128</v>
      </c>
      <c r="I1144" s="7" t="s">
        <v>22</v>
      </c>
    </row>
    <row r="1145">
      <c r="A1145" s="7" t="s">
        <v>692</v>
      </c>
      <c r="B1145" s="7" t="s">
        <v>193</v>
      </c>
      <c r="C1145" s="8">
        <f>IFERROR(__xludf.DUMMYFUNCTION("SPLIT(B1145,""RM"")"),1650000.0)</f>
        <v>1650000</v>
      </c>
      <c r="D1145" s="7" t="s">
        <v>70</v>
      </c>
      <c r="E1145" s="7">
        <v>5.0</v>
      </c>
      <c r="G1145" s="7" t="s">
        <v>203</v>
      </c>
      <c r="H1145" s="7" t="s">
        <v>283</v>
      </c>
      <c r="I1145" s="7" t="s">
        <v>27</v>
      </c>
    </row>
    <row r="1146">
      <c r="A1146" s="7" t="s">
        <v>72</v>
      </c>
      <c r="B1146" s="7" t="s">
        <v>281</v>
      </c>
      <c r="C1146" s="8">
        <f>IFERROR(__xludf.DUMMYFUNCTION("SPLIT(B1146,""RM"")"),2500000.0)</f>
        <v>2500000</v>
      </c>
      <c r="D1146" s="7" t="s">
        <v>35</v>
      </c>
      <c r="E1146" s="7">
        <v>5.0</v>
      </c>
      <c r="G1146" s="7" t="s">
        <v>83</v>
      </c>
      <c r="H1146" s="7" t="s">
        <v>767</v>
      </c>
      <c r="I1146" s="7" t="s">
        <v>27</v>
      </c>
    </row>
    <row r="1147">
      <c r="A1147" s="7" t="s">
        <v>692</v>
      </c>
      <c r="B1147" s="7" t="s">
        <v>422</v>
      </c>
      <c r="C1147" s="8">
        <f>IFERROR(__xludf.DUMMYFUNCTION("SPLIT(B1147,""RM"")"),2050000.0)</f>
        <v>2050000</v>
      </c>
      <c r="D1147" s="7" t="s">
        <v>70</v>
      </c>
      <c r="E1147" s="7">
        <v>4.0</v>
      </c>
      <c r="F1147" s="7">
        <v>4.0</v>
      </c>
      <c r="G1147" s="7" t="s">
        <v>804</v>
      </c>
      <c r="H1147" s="7" t="s">
        <v>1129</v>
      </c>
      <c r="I1147" s="7" t="s">
        <v>27</v>
      </c>
    </row>
    <row r="1148">
      <c r="A1148" s="7" t="s">
        <v>109</v>
      </c>
      <c r="B1148" s="7" t="s">
        <v>510</v>
      </c>
      <c r="C1148" s="8">
        <f>IFERROR(__xludf.DUMMYFUNCTION("SPLIT(B1148,""RM"")"),380000.0)</f>
        <v>380000</v>
      </c>
      <c r="D1148" s="7">
        <v>3.0</v>
      </c>
      <c r="E1148" s="7">
        <v>2.0</v>
      </c>
      <c r="F1148" s="7">
        <v>1.0</v>
      </c>
      <c r="G1148" s="7" t="s">
        <v>50</v>
      </c>
      <c r="H1148" s="7" t="s">
        <v>1130</v>
      </c>
      <c r="I1148" s="7" t="s">
        <v>27</v>
      </c>
    </row>
    <row r="1149">
      <c r="A1149" s="7" t="s">
        <v>171</v>
      </c>
      <c r="B1149" s="7" t="s">
        <v>1131</v>
      </c>
      <c r="C1149" s="8">
        <f>IFERROR(__xludf.DUMMYFUNCTION("SPLIT(B1149,""RM"")"),555000.0)</f>
        <v>555000</v>
      </c>
      <c r="D1149" s="7">
        <v>4.0</v>
      </c>
      <c r="E1149" s="7">
        <v>2.0</v>
      </c>
      <c r="F1149" s="7">
        <v>3.0</v>
      </c>
      <c r="G1149" s="7" t="s">
        <v>83</v>
      </c>
      <c r="H1149" s="7" t="s">
        <v>1132</v>
      </c>
    </row>
    <row r="1150">
      <c r="A1150" s="7" t="s">
        <v>33</v>
      </c>
      <c r="B1150" s="7" t="s">
        <v>105</v>
      </c>
      <c r="C1150" s="8">
        <f>IFERROR(__xludf.DUMMYFUNCTION("SPLIT(B1150,""RM"")"),560000.0)</f>
        <v>560000</v>
      </c>
      <c r="D1150" s="7">
        <v>3.0</v>
      </c>
      <c r="E1150" s="7">
        <v>2.0</v>
      </c>
      <c r="F1150" s="7">
        <v>2.0</v>
      </c>
      <c r="G1150" s="7" t="s">
        <v>93</v>
      </c>
      <c r="H1150" s="7" t="s">
        <v>734</v>
      </c>
      <c r="I1150" s="7" t="s">
        <v>27</v>
      </c>
    </row>
    <row r="1151">
      <c r="A1151" s="7" t="s">
        <v>104</v>
      </c>
      <c r="B1151" s="7" t="s">
        <v>1133</v>
      </c>
      <c r="C1151" s="8">
        <f>IFERROR(__xludf.DUMMYFUNCTION("SPLIT(B1151,""RM"")"),358000.0)</f>
        <v>358000</v>
      </c>
      <c r="D1151" s="7" t="s">
        <v>19</v>
      </c>
      <c r="E1151" s="7">
        <v>2.0</v>
      </c>
      <c r="F1151" s="7">
        <v>1.0</v>
      </c>
      <c r="G1151" s="7" t="s">
        <v>83</v>
      </c>
      <c r="H1151" s="7" t="s">
        <v>1134</v>
      </c>
      <c r="I1151" s="7" t="s">
        <v>27</v>
      </c>
    </row>
    <row r="1152">
      <c r="A1152" s="7" t="s">
        <v>692</v>
      </c>
      <c r="B1152" s="7" t="s">
        <v>399</v>
      </c>
      <c r="C1152" s="8">
        <f>IFERROR(__xludf.DUMMYFUNCTION("SPLIT(B1152,""RM"")"),1750000.0)</f>
        <v>1750000</v>
      </c>
      <c r="D1152" s="7">
        <v>5.0</v>
      </c>
      <c r="E1152" s="7">
        <v>5.0</v>
      </c>
      <c r="F1152" s="7">
        <v>4.0</v>
      </c>
      <c r="G1152" s="7" t="s">
        <v>804</v>
      </c>
      <c r="H1152" s="7" t="s">
        <v>1129</v>
      </c>
      <c r="I1152" s="7" t="s">
        <v>27</v>
      </c>
    </row>
    <row r="1153">
      <c r="A1153" s="7" t="s">
        <v>72</v>
      </c>
      <c r="B1153" s="7" t="s">
        <v>1135</v>
      </c>
      <c r="C1153" s="8">
        <f>IFERROR(__xludf.DUMMYFUNCTION("SPLIT(B1153,""RM"")"),1270000.0)</f>
        <v>1270000</v>
      </c>
      <c r="D1153" s="7">
        <v>3.0</v>
      </c>
      <c r="E1153" s="7">
        <v>2.0</v>
      </c>
      <c r="F1153" s="7">
        <v>2.0</v>
      </c>
      <c r="G1153" s="7" t="s">
        <v>30</v>
      </c>
      <c r="H1153" s="7" t="s">
        <v>135</v>
      </c>
      <c r="I1153" s="7" t="s">
        <v>27</v>
      </c>
    </row>
    <row r="1154">
      <c r="A1154" s="7" t="s">
        <v>17</v>
      </c>
      <c r="B1154" s="7" t="s">
        <v>613</v>
      </c>
      <c r="C1154" s="8">
        <f>IFERROR(__xludf.DUMMYFUNCTION("SPLIT(B1154,""RM"")"),1890000.0)</f>
        <v>1890000</v>
      </c>
      <c r="D1154" s="7">
        <v>5.0</v>
      </c>
      <c r="E1154" s="7">
        <v>6.0</v>
      </c>
      <c r="G1154" s="7" t="s">
        <v>30</v>
      </c>
      <c r="H1154" s="7" t="s">
        <v>1013</v>
      </c>
      <c r="I1154" s="7" t="s">
        <v>251</v>
      </c>
    </row>
    <row r="1155">
      <c r="A1155" s="7" t="s">
        <v>1014</v>
      </c>
      <c r="B1155" s="7" t="s">
        <v>1015</v>
      </c>
      <c r="C1155" s="8">
        <f>IFERROR(__xludf.DUMMYFUNCTION("SPLIT(B1155,""RM"")"),561100.0)</f>
        <v>561100</v>
      </c>
      <c r="D1155" s="7" t="s">
        <v>57</v>
      </c>
      <c r="E1155" s="7">
        <v>4.0</v>
      </c>
      <c r="G1155" s="7" t="s">
        <v>793</v>
      </c>
      <c r="H1155" s="7" t="s">
        <v>1016</v>
      </c>
      <c r="I1155" s="7" t="s">
        <v>251</v>
      </c>
    </row>
    <row r="1156">
      <c r="A1156" s="7" t="s">
        <v>17</v>
      </c>
      <c r="B1156" s="7" t="s">
        <v>1094</v>
      </c>
      <c r="C1156" s="8">
        <f>IFERROR(__xludf.DUMMYFUNCTION("SPLIT(B1156,""RM"")"),4700000.0)</f>
        <v>4700000</v>
      </c>
      <c r="D1156" s="7" t="s">
        <v>57</v>
      </c>
      <c r="E1156" s="7">
        <v>3.0</v>
      </c>
      <c r="F1156" s="7">
        <v>2.0</v>
      </c>
      <c r="G1156" s="7" t="s">
        <v>82</v>
      </c>
      <c r="H1156" s="7" t="s">
        <v>1136</v>
      </c>
      <c r="I1156" s="7" t="s">
        <v>22</v>
      </c>
    </row>
    <row r="1157">
      <c r="A1157" s="7" t="s">
        <v>72</v>
      </c>
      <c r="B1157" s="7" t="s">
        <v>1021</v>
      </c>
      <c r="C1157" s="8">
        <f>IFERROR(__xludf.DUMMYFUNCTION("SPLIT(B1157,""RM"")"),2535300.0)</f>
        <v>2535300</v>
      </c>
      <c r="D1157" s="7" t="s">
        <v>35</v>
      </c>
      <c r="E1157" s="7">
        <v>5.0</v>
      </c>
      <c r="G1157" s="7" t="s">
        <v>83</v>
      </c>
      <c r="H1157" s="7" t="s">
        <v>989</v>
      </c>
      <c r="I1157" s="7" t="s">
        <v>251</v>
      </c>
    </row>
    <row r="1158">
      <c r="A1158" s="7" t="s">
        <v>17</v>
      </c>
      <c r="B1158" s="7" t="s">
        <v>1018</v>
      </c>
      <c r="C1158" s="8">
        <f>IFERROR(__xludf.DUMMYFUNCTION("SPLIT(B1158,""RM"")"),1818500.0)</f>
        <v>1818500</v>
      </c>
      <c r="D1158" s="7">
        <v>3.0</v>
      </c>
      <c r="E1158" s="7">
        <v>4.0</v>
      </c>
      <c r="G1158" s="7" t="s">
        <v>83</v>
      </c>
      <c r="H1158" s="7" t="s">
        <v>150</v>
      </c>
      <c r="I1158" s="7" t="s">
        <v>251</v>
      </c>
    </row>
    <row r="1159">
      <c r="A1159" s="7" t="s">
        <v>428</v>
      </c>
      <c r="B1159" s="7" t="s">
        <v>53</v>
      </c>
      <c r="C1159" s="8">
        <f>IFERROR(__xludf.DUMMYFUNCTION("SPLIT(B1159,""RM"")"),1680000.0)</f>
        <v>1680000</v>
      </c>
      <c r="D1159" s="7">
        <v>4.0</v>
      </c>
      <c r="E1159" s="7">
        <v>4.0</v>
      </c>
      <c r="G1159" s="7" t="s">
        <v>43</v>
      </c>
      <c r="H1159" s="7" t="s">
        <v>478</v>
      </c>
      <c r="I1159" s="7" t="s">
        <v>103</v>
      </c>
    </row>
    <row r="1160">
      <c r="A1160" s="7" t="s">
        <v>428</v>
      </c>
      <c r="B1160" s="7" t="s">
        <v>255</v>
      </c>
      <c r="C1160" s="8">
        <f>IFERROR(__xludf.DUMMYFUNCTION("SPLIT(B1160,""RM"")"),4900000.0)</f>
        <v>4900000</v>
      </c>
      <c r="D1160" s="7" t="s">
        <v>70</v>
      </c>
      <c r="E1160" s="7">
        <v>7.0</v>
      </c>
      <c r="F1160" s="7">
        <v>6.0</v>
      </c>
      <c r="G1160" s="7" t="s">
        <v>25</v>
      </c>
      <c r="H1160" s="7" t="s">
        <v>1137</v>
      </c>
      <c r="I1160" s="7" t="s">
        <v>27</v>
      </c>
    </row>
    <row r="1161">
      <c r="A1161" s="7" t="s">
        <v>148</v>
      </c>
      <c r="B1161" s="7" t="s">
        <v>329</v>
      </c>
      <c r="C1161" s="8">
        <f>IFERROR(__xludf.DUMMYFUNCTION("SPLIT(B1161,""RM"")"),1200000.0)</f>
        <v>1200000</v>
      </c>
      <c r="D1161" s="7">
        <v>4.0</v>
      </c>
      <c r="E1161" s="7">
        <v>3.0</v>
      </c>
      <c r="G1161" s="7" t="s">
        <v>184</v>
      </c>
      <c r="H1161" s="7" t="s">
        <v>1138</v>
      </c>
      <c r="I1161" s="7" t="s">
        <v>27</v>
      </c>
    </row>
    <row r="1162">
      <c r="A1162" s="7" t="s">
        <v>428</v>
      </c>
      <c r="B1162" s="7" t="s">
        <v>534</v>
      </c>
      <c r="C1162" s="8">
        <f>IFERROR(__xludf.DUMMYFUNCTION("SPLIT(B1162,""RM"")"),3200000.0)</f>
        <v>3200000</v>
      </c>
      <c r="D1162" s="7" t="s">
        <v>218</v>
      </c>
      <c r="E1162" s="7">
        <v>7.0</v>
      </c>
      <c r="G1162" s="7" t="s">
        <v>67</v>
      </c>
      <c r="H1162" s="7" t="s">
        <v>1139</v>
      </c>
      <c r="I1162" s="7" t="s">
        <v>251</v>
      </c>
    </row>
    <row r="1163">
      <c r="A1163" s="7" t="s">
        <v>358</v>
      </c>
      <c r="B1163" s="7" t="s">
        <v>1140</v>
      </c>
      <c r="C1163" s="8">
        <f>IFERROR(__xludf.DUMMYFUNCTION("SPLIT(B1163,""RM"")"),330000.0)</f>
        <v>330000</v>
      </c>
      <c r="D1163" s="7">
        <v>2.0</v>
      </c>
      <c r="E1163" s="7">
        <v>2.0</v>
      </c>
      <c r="G1163" s="7" t="s">
        <v>169</v>
      </c>
      <c r="H1163" s="7" t="s">
        <v>1141</v>
      </c>
    </row>
    <row r="1164">
      <c r="A1164" s="7" t="s">
        <v>72</v>
      </c>
      <c r="B1164" s="7" t="s">
        <v>327</v>
      </c>
      <c r="C1164" s="8">
        <f>IFERROR(__xludf.DUMMYFUNCTION("SPLIT(B1164,""RM"")"),1300000.0)</f>
        <v>1300000</v>
      </c>
      <c r="D1164" s="7" t="s">
        <v>57</v>
      </c>
      <c r="E1164" s="7">
        <v>2.0</v>
      </c>
      <c r="F1164" s="7">
        <v>2.0</v>
      </c>
      <c r="G1164" s="7" t="s">
        <v>83</v>
      </c>
      <c r="H1164" s="7" t="s">
        <v>1034</v>
      </c>
      <c r="I1164" s="7" t="s">
        <v>22</v>
      </c>
    </row>
    <row r="1165">
      <c r="A1165" s="7" t="s">
        <v>72</v>
      </c>
      <c r="B1165" s="7" t="s">
        <v>306</v>
      </c>
      <c r="C1165" s="8">
        <f>IFERROR(__xludf.DUMMYFUNCTION("SPLIT(B1165,""RM"")"),1990000.0)</f>
        <v>1990000</v>
      </c>
      <c r="D1165" s="7" t="s">
        <v>35</v>
      </c>
      <c r="E1165" s="7">
        <v>3.0</v>
      </c>
      <c r="F1165" s="7">
        <v>4.0</v>
      </c>
      <c r="G1165" s="7" t="s">
        <v>83</v>
      </c>
      <c r="H1165" s="7" t="s">
        <v>1142</v>
      </c>
      <c r="I1165" s="7" t="s">
        <v>22</v>
      </c>
    </row>
    <row r="1166">
      <c r="A1166" s="7" t="s">
        <v>72</v>
      </c>
      <c r="B1166" s="7" t="s">
        <v>322</v>
      </c>
      <c r="C1166" s="8">
        <f>IFERROR(__xludf.DUMMYFUNCTION("SPLIT(B1166,""RM"")"),1900000.0)</f>
        <v>1900000</v>
      </c>
      <c r="D1166" s="7" t="s">
        <v>35</v>
      </c>
      <c r="E1166" s="7">
        <v>5.0</v>
      </c>
      <c r="F1166" s="7">
        <v>2.0</v>
      </c>
      <c r="G1166" s="7" t="s">
        <v>83</v>
      </c>
      <c r="H1166" s="7" t="s">
        <v>1143</v>
      </c>
      <c r="I1166" s="7" t="s">
        <v>27</v>
      </c>
    </row>
    <row r="1167">
      <c r="A1167" s="7" t="s">
        <v>72</v>
      </c>
      <c r="B1167" s="7" t="s">
        <v>327</v>
      </c>
      <c r="C1167" s="8">
        <f>IFERROR(__xludf.DUMMYFUNCTION("SPLIT(B1167,""RM"")"),1300000.0)</f>
        <v>1300000</v>
      </c>
      <c r="D1167" s="7" t="s">
        <v>57</v>
      </c>
      <c r="E1167" s="7">
        <v>3.0</v>
      </c>
      <c r="F1167" s="7">
        <v>2.0</v>
      </c>
      <c r="G1167" s="7" t="s">
        <v>83</v>
      </c>
      <c r="H1167" s="7" t="s">
        <v>1034</v>
      </c>
      <c r="I1167" s="7" t="s">
        <v>27</v>
      </c>
    </row>
    <row r="1168">
      <c r="A1168" s="7" t="s">
        <v>77</v>
      </c>
      <c r="B1168" s="7" t="s">
        <v>641</v>
      </c>
      <c r="C1168" s="8">
        <f>IFERROR(__xludf.DUMMYFUNCTION("SPLIT(B1168,""RM"")"),830000.0)</f>
        <v>830000</v>
      </c>
      <c r="D1168" s="7" t="s">
        <v>197</v>
      </c>
      <c r="E1168" s="7">
        <v>1.0</v>
      </c>
      <c r="F1168" s="7">
        <v>1.0</v>
      </c>
      <c r="G1168" s="7" t="s">
        <v>93</v>
      </c>
      <c r="H1168" s="7" t="s">
        <v>51</v>
      </c>
      <c r="I1168" s="7" t="s">
        <v>22</v>
      </c>
    </row>
    <row r="1169">
      <c r="A1169" s="7" t="s">
        <v>77</v>
      </c>
      <c r="B1169" s="7" t="s">
        <v>712</v>
      </c>
      <c r="C1169" s="8">
        <f>IFERROR(__xludf.DUMMYFUNCTION("SPLIT(B1169,""RM"")"),1880000.0)</f>
        <v>1880000</v>
      </c>
      <c r="D1169" s="7" t="s">
        <v>57</v>
      </c>
      <c r="E1169" s="7">
        <v>3.0</v>
      </c>
      <c r="G1169" s="7" t="s">
        <v>83</v>
      </c>
      <c r="H1169" s="7" t="s">
        <v>473</v>
      </c>
      <c r="I1169" s="7" t="s">
        <v>27</v>
      </c>
    </row>
    <row r="1170">
      <c r="A1170" s="7" t="s">
        <v>77</v>
      </c>
      <c r="B1170" s="7" t="s">
        <v>497</v>
      </c>
      <c r="C1170" s="8">
        <f>IFERROR(__xludf.DUMMYFUNCTION("SPLIT(B1170,""RM"")"),5900000.0)</f>
        <v>5900000</v>
      </c>
      <c r="D1170" s="7" t="s">
        <v>70</v>
      </c>
      <c r="E1170" s="7">
        <v>7.0</v>
      </c>
      <c r="F1170" s="7">
        <v>2.0</v>
      </c>
      <c r="G1170" s="7" t="s">
        <v>562</v>
      </c>
      <c r="H1170" s="7" t="s">
        <v>1144</v>
      </c>
      <c r="I1170" s="7" t="s">
        <v>27</v>
      </c>
    </row>
    <row r="1171">
      <c r="A1171" s="7" t="s">
        <v>77</v>
      </c>
      <c r="B1171" s="7" t="s">
        <v>85</v>
      </c>
      <c r="C1171" s="8">
        <f>IFERROR(__xludf.DUMMYFUNCTION("SPLIT(B1171,""RM"")"),1450000.0)</f>
        <v>1450000</v>
      </c>
      <c r="D1171" s="7" t="s">
        <v>57</v>
      </c>
      <c r="E1171" s="7">
        <v>3.0</v>
      </c>
      <c r="F1171" s="7">
        <v>2.0</v>
      </c>
      <c r="G1171" s="7" t="s">
        <v>83</v>
      </c>
      <c r="H1171" s="7" t="s">
        <v>1007</v>
      </c>
      <c r="I1171" s="7" t="s">
        <v>27</v>
      </c>
    </row>
    <row r="1172">
      <c r="A1172" s="7" t="s">
        <v>77</v>
      </c>
      <c r="B1172" s="7" t="s">
        <v>260</v>
      </c>
      <c r="C1172" s="8">
        <f>IFERROR(__xludf.DUMMYFUNCTION("SPLIT(B1172,""RM"")"),1480000.0)</f>
        <v>1480000</v>
      </c>
      <c r="D1172" s="7" t="s">
        <v>19</v>
      </c>
      <c r="E1172" s="7">
        <v>3.0</v>
      </c>
      <c r="F1172" s="7">
        <v>1.0</v>
      </c>
      <c r="G1172" s="7" t="s">
        <v>93</v>
      </c>
      <c r="H1172" s="7" t="s">
        <v>1145</v>
      </c>
      <c r="I1172" s="7" t="s">
        <v>22</v>
      </c>
    </row>
    <row r="1173">
      <c r="A1173" s="7" t="s">
        <v>77</v>
      </c>
      <c r="B1173" s="7" t="s">
        <v>298</v>
      </c>
      <c r="C1173" s="8">
        <f>IFERROR(__xludf.DUMMYFUNCTION("SPLIT(B1173,""RM"")"),5600000.0)</f>
        <v>5600000</v>
      </c>
      <c r="D1173" s="7" t="s">
        <v>70</v>
      </c>
      <c r="E1173" s="7">
        <v>7.0</v>
      </c>
      <c r="G1173" s="7" t="s">
        <v>562</v>
      </c>
      <c r="H1173" s="7" t="s">
        <v>1061</v>
      </c>
      <c r="I1173" s="7" t="s">
        <v>27</v>
      </c>
    </row>
    <row r="1174">
      <c r="A1174" s="7" t="s">
        <v>77</v>
      </c>
      <c r="B1174" s="7" t="s">
        <v>281</v>
      </c>
      <c r="C1174" s="8">
        <f>IFERROR(__xludf.DUMMYFUNCTION("SPLIT(B1174,""RM"")"),2500000.0)</f>
        <v>2500000</v>
      </c>
      <c r="D1174" s="7" t="s">
        <v>35</v>
      </c>
      <c r="E1174" s="7">
        <v>6.0</v>
      </c>
      <c r="G1174" s="7" t="s">
        <v>562</v>
      </c>
      <c r="H1174" s="7" t="s">
        <v>1037</v>
      </c>
      <c r="I1174" s="7" t="s">
        <v>27</v>
      </c>
    </row>
    <row r="1175">
      <c r="A1175" s="7" t="s">
        <v>77</v>
      </c>
      <c r="B1175" s="7" t="s">
        <v>1075</v>
      </c>
      <c r="C1175" s="8">
        <f>IFERROR(__xludf.DUMMYFUNCTION("SPLIT(B1175,""RM"")"),790000.0)</f>
        <v>790000</v>
      </c>
      <c r="D1175" s="7" t="s">
        <v>197</v>
      </c>
      <c r="E1175" s="7">
        <v>1.0</v>
      </c>
      <c r="G1175" s="7" t="s">
        <v>83</v>
      </c>
      <c r="H1175" s="7" t="s">
        <v>51</v>
      </c>
      <c r="I1175" s="7" t="s">
        <v>27</v>
      </c>
    </row>
    <row r="1176">
      <c r="A1176" s="7" t="s">
        <v>77</v>
      </c>
      <c r="B1176" s="7" t="s">
        <v>1146</v>
      </c>
      <c r="C1176" s="8">
        <f>IFERROR(__xludf.DUMMYFUNCTION("SPLIT(B1176,""RM"")"),1490000.0)</f>
        <v>1490000</v>
      </c>
      <c r="D1176" s="7">
        <v>2.0</v>
      </c>
      <c r="E1176" s="7">
        <v>2.0</v>
      </c>
      <c r="G1176" s="7" t="s">
        <v>83</v>
      </c>
      <c r="H1176" s="7" t="s">
        <v>1025</v>
      </c>
      <c r="I1176" s="7" t="s">
        <v>27</v>
      </c>
    </row>
    <row r="1177">
      <c r="A1177" s="7" t="s">
        <v>77</v>
      </c>
      <c r="B1177" s="7" t="s">
        <v>45</v>
      </c>
      <c r="C1177" s="8">
        <f>IFERROR(__xludf.DUMMYFUNCTION("SPLIT(B1177,""RM"")"),1950000.0)</f>
        <v>1950000</v>
      </c>
      <c r="D1177" s="7" t="s">
        <v>57</v>
      </c>
      <c r="E1177" s="7">
        <v>4.0</v>
      </c>
      <c r="G1177" s="7" t="s">
        <v>83</v>
      </c>
      <c r="H1177" s="7" t="s">
        <v>1125</v>
      </c>
      <c r="I1177" s="7" t="s">
        <v>22</v>
      </c>
    </row>
    <row r="1178">
      <c r="A1178" s="7" t="s">
        <v>77</v>
      </c>
      <c r="B1178" s="7" t="s">
        <v>81</v>
      </c>
      <c r="C1178" s="8">
        <f>IFERROR(__xludf.DUMMYFUNCTION("SPLIT(B1178,""RM"")"),1550000.0)</f>
        <v>1550000</v>
      </c>
      <c r="D1178" s="7" t="s">
        <v>288</v>
      </c>
      <c r="E1178" s="7">
        <v>3.0</v>
      </c>
      <c r="G1178" s="7" t="s">
        <v>83</v>
      </c>
      <c r="H1178" s="7" t="s">
        <v>1147</v>
      </c>
      <c r="I1178" s="7" t="s">
        <v>27</v>
      </c>
    </row>
    <row r="1179">
      <c r="A1179" s="7" t="s">
        <v>77</v>
      </c>
      <c r="B1179" s="7" t="s">
        <v>281</v>
      </c>
      <c r="C1179" s="8">
        <f>IFERROR(__xludf.DUMMYFUNCTION("SPLIT(B1179,""RM"")"),2500000.0)</f>
        <v>2500000</v>
      </c>
      <c r="D1179" s="7" t="s">
        <v>35</v>
      </c>
      <c r="E1179" s="7">
        <v>6.0</v>
      </c>
      <c r="F1179" s="7">
        <v>2.0</v>
      </c>
      <c r="G1179" s="7" t="s">
        <v>562</v>
      </c>
      <c r="H1179" s="7" t="s">
        <v>1148</v>
      </c>
      <c r="I1179" s="7" t="s">
        <v>27</v>
      </c>
    </row>
    <row r="1180">
      <c r="A1180" s="7" t="s">
        <v>100</v>
      </c>
      <c r="B1180" s="7" t="s">
        <v>311</v>
      </c>
      <c r="C1180" s="8">
        <f>IFERROR(__xludf.DUMMYFUNCTION("SPLIT(B1180,""RM"")"),1100000.0)</f>
        <v>1100000</v>
      </c>
      <c r="D1180" s="7" t="s">
        <v>57</v>
      </c>
      <c r="E1180" s="7">
        <v>4.0</v>
      </c>
      <c r="F1180" s="7">
        <v>3.0</v>
      </c>
      <c r="G1180" s="7" t="s">
        <v>30</v>
      </c>
      <c r="H1180" s="7" t="s">
        <v>1149</v>
      </c>
      <c r="I1180" s="7" t="s">
        <v>27</v>
      </c>
    </row>
    <row r="1181">
      <c r="A1181" s="7" t="s">
        <v>77</v>
      </c>
      <c r="B1181" s="7" t="s">
        <v>281</v>
      </c>
      <c r="C1181" s="8">
        <f>IFERROR(__xludf.DUMMYFUNCTION("SPLIT(B1181,""RM"")"),2500000.0)</f>
        <v>2500000</v>
      </c>
      <c r="D1181" s="7" t="s">
        <v>70</v>
      </c>
      <c r="E1181" s="7">
        <v>6.0</v>
      </c>
      <c r="G1181" s="7" t="s">
        <v>54</v>
      </c>
      <c r="H1181" s="7" t="s">
        <v>911</v>
      </c>
      <c r="I1181" s="7" t="s">
        <v>251</v>
      </c>
    </row>
    <row r="1182">
      <c r="A1182" s="7" t="s">
        <v>77</v>
      </c>
      <c r="B1182" s="7" t="s">
        <v>398</v>
      </c>
      <c r="C1182" s="8">
        <f>IFERROR(__xludf.DUMMYFUNCTION("SPLIT(B1182,""RM"")"),2280000.0)</f>
        <v>2280000</v>
      </c>
      <c r="D1182" s="7" t="s">
        <v>70</v>
      </c>
      <c r="E1182" s="7">
        <v>6.0</v>
      </c>
      <c r="G1182" s="7" t="s">
        <v>681</v>
      </c>
      <c r="H1182" s="7" t="s">
        <v>1132</v>
      </c>
      <c r="I1182" s="7" t="s">
        <v>27</v>
      </c>
    </row>
    <row r="1183">
      <c r="A1183" s="7" t="s">
        <v>72</v>
      </c>
      <c r="B1183" s="7" t="s">
        <v>18</v>
      </c>
      <c r="C1183" s="8">
        <f>IFERROR(__xludf.DUMMYFUNCTION("SPLIT(B1183,""RM"")"),1250000.0)</f>
        <v>1250000</v>
      </c>
      <c r="D1183" s="7">
        <v>3.0</v>
      </c>
      <c r="E1183" s="7">
        <v>2.0</v>
      </c>
      <c r="G1183" s="7" t="s">
        <v>83</v>
      </c>
      <c r="H1183" s="7" t="s">
        <v>1034</v>
      </c>
      <c r="I1183" s="7" t="s">
        <v>22</v>
      </c>
    </row>
    <row r="1184">
      <c r="A1184" s="7" t="s">
        <v>77</v>
      </c>
      <c r="B1184" s="7" t="s">
        <v>913</v>
      </c>
      <c r="C1184" s="8">
        <f>IFERROR(__xludf.DUMMYFUNCTION("SPLIT(B1184,""RM"")"),3890000.0)</f>
        <v>3890000</v>
      </c>
      <c r="D1184" s="7">
        <v>6.0</v>
      </c>
      <c r="E1184" s="7">
        <v>6.0</v>
      </c>
      <c r="G1184" s="7" t="s">
        <v>487</v>
      </c>
      <c r="H1184" s="7" t="s">
        <v>1150</v>
      </c>
      <c r="I1184" s="7" t="s">
        <v>22</v>
      </c>
    </row>
    <row r="1185">
      <c r="A1185" s="7" t="s">
        <v>77</v>
      </c>
      <c r="B1185" s="7" t="s">
        <v>475</v>
      </c>
      <c r="C1185" s="8">
        <f>IFERROR(__xludf.DUMMYFUNCTION("SPLIT(B1185,""RM"")"),2800000.0)</f>
        <v>2800000</v>
      </c>
      <c r="D1185" s="7" t="s">
        <v>57</v>
      </c>
      <c r="E1185" s="7">
        <v>4.0</v>
      </c>
      <c r="G1185" s="7" t="s">
        <v>90</v>
      </c>
      <c r="H1185" s="7" t="s">
        <v>1033</v>
      </c>
      <c r="I1185" s="7" t="s">
        <v>27</v>
      </c>
    </row>
    <row r="1186">
      <c r="A1186" s="7" t="s">
        <v>515</v>
      </c>
      <c r="B1186" s="7" t="s">
        <v>85</v>
      </c>
      <c r="C1186" s="8">
        <f>IFERROR(__xludf.DUMMYFUNCTION("SPLIT(B1186,""RM"")"),1450000.0)</f>
        <v>1450000</v>
      </c>
      <c r="D1186" s="7" t="s">
        <v>35</v>
      </c>
      <c r="E1186" s="7">
        <v>5.0</v>
      </c>
      <c r="F1186" s="7">
        <v>2.0</v>
      </c>
      <c r="G1186" s="7" t="s">
        <v>64</v>
      </c>
      <c r="H1186" s="7" t="s">
        <v>1151</v>
      </c>
      <c r="I1186" s="7" t="s">
        <v>27</v>
      </c>
    </row>
    <row r="1187">
      <c r="A1187" s="7" t="s">
        <v>37</v>
      </c>
      <c r="B1187" s="7" t="s">
        <v>657</v>
      </c>
      <c r="C1187" s="8">
        <f>IFERROR(__xludf.DUMMYFUNCTION("SPLIT(B1187,""RM"")"),980000.0)</f>
        <v>980000</v>
      </c>
      <c r="D1187" s="7">
        <v>3.0</v>
      </c>
      <c r="E1187" s="7">
        <v>2.0</v>
      </c>
      <c r="F1187" s="7">
        <v>1.0</v>
      </c>
      <c r="G1187" s="7" t="s">
        <v>83</v>
      </c>
      <c r="H1187" s="7" t="s">
        <v>1004</v>
      </c>
      <c r="I1187" s="7" t="s">
        <v>27</v>
      </c>
    </row>
    <row r="1188">
      <c r="A1188" s="7" t="s">
        <v>37</v>
      </c>
      <c r="B1188" s="7" t="s">
        <v>1152</v>
      </c>
      <c r="C1188" s="8">
        <f>IFERROR(__xludf.DUMMYFUNCTION("SPLIT(B1188,""RM"")"),1390000.0)</f>
        <v>1390000</v>
      </c>
      <c r="D1188" s="7" t="s">
        <v>57</v>
      </c>
      <c r="E1188" s="7">
        <v>4.0</v>
      </c>
      <c r="F1188" s="7">
        <v>2.0</v>
      </c>
      <c r="G1188" s="7" t="s">
        <v>83</v>
      </c>
      <c r="H1188" s="7" t="s">
        <v>1029</v>
      </c>
      <c r="I1188" s="7" t="s">
        <v>27</v>
      </c>
    </row>
    <row r="1189">
      <c r="A1189" s="7" t="s">
        <v>37</v>
      </c>
      <c r="B1189" s="7" t="s">
        <v>657</v>
      </c>
      <c r="C1189" s="8">
        <f>IFERROR(__xludf.DUMMYFUNCTION("SPLIT(B1189,""RM"")"),980000.0)</f>
        <v>980000</v>
      </c>
      <c r="D1189" s="7">
        <v>3.0</v>
      </c>
      <c r="E1189" s="7">
        <v>2.0</v>
      </c>
      <c r="F1189" s="7">
        <v>1.0</v>
      </c>
      <c r="G1189" s="7" t="s">
        <v>83</v>
      </c>
      <c r="H1189" s="7" t="s">
        <v>1153</v>
      </c>
    </row>
    <row r="1190">
      <c r="A1190" s="7" t="s">
        <v>48</v>
      </c>
      <c r="B1190" s="7" t="s">
        <v>403</v>
      </c>
      <c r="C1190" s="8">
        <f>IFERROR(__xludf.DUMMYFUNCTION("SPLIT(B1190,""RM"")"),1600000.0)</f>
        <v>1600000</v>
      </c>
      <c r="D1190" s="7" t="s">
        <v>70</v>
      </c>
      <c r="E1190" s="7">
        <v>4.0</v>
      </c>
      <c r="F1190" s="7">
        <v>4.0</v>
      </c>
      <c r="G1190" s="7" t="s">
        <v>184</v>
      </c>
      <c r="H1190" s="7" t="s">
        <v>1154</v>
      </c>
      <c r="I1190" s="7" t="s">
        <v>27</v>
      </c>
    </row>
    <row r="1191">
      <c r="A1191" s="7" t="s">
        <v>37</v>
      </c>
      <c r="B1191" s="7" t="s">
        <v>191</v>
      </c>
      <c r="C1191" s="8">
        <f>IFERROR(__xludf.DUMMYFUNCTION("SPLIT(B1191,""RM"")"),1000000.0)</f>
        <v>1000000</v>
      </c>
      <c r="D1191" s="7">
        <v>3.0</v>
      </c>
      <c r="E1191" s="7">
        <v>2.0</v>
      </c>
      <c r="F1191" s="7">
        <v>1.0</v>
      </c>
      <c r="G1191" s="7" t="s">
        <v>83</v>
      </c>
      <c r="H1191" s="7" t="s">
        <v>276</v>
      </c>
      <c r="I1191" s="7" t="s">
        <v>27</v>
      </c>
    </row>
    <row r="1192">
      <c r="A1192" s="7" t="s">
        <v>37</v>
      </c>
      <c r="B1192" s="7" t="s">
        <v>349</v>
      </c>
      <c r="C1192" s="8">
        <f>IFERROR(__xludf.DUMMYFUNCTION("SPLIT(B1192,""RM"")"),1400000.0)</f>
        <v>1400000</v>
      </c>
      <c r="D1192" s="7" t="s">
        <v>57</v>
      </c>
      <c r="E1192" s="7">
        <v>3.0</v>
      </c>
      <c r="F1192" s="7">
        <v>2.0</v>
      </c>
      <c r="G1192" s="7" t="s">
        <v>83</v>
      </c>
      <c r="H1192" s="7" t="s">
        <v>461</v>
      </c>
      <c r="I1192" s="7" t="s">
        <v>27</v>
      </c>
    </row>
    <row r="1193">
      <c r="A1193" s="7" t="s">
        <v>37</v>
      </c>
      <c r="B1193" s="7" t="s">
        <v>85</v>
      </c>
      <c r="C1193" s="8">
        <f>IFERROR(__xludf.DUMMYFUNCTION("SPLIT(B1193,""RM"")"),1450000.0)</f>
        <v>1450000</v>
      </c>
      <c r="D1193" s="7" t="s">
        <v>19</v>
      </c>
      <c r="E1193" s="7">
        <v>2.0</v>
      </c>
      <c r="F1193" s="7">
        <v>2.0</v>
      </c>
      <c r="G1193" s="7" t="s">
        <v>20</v>
      </c>
      <c r="H1193" s="7" t="s">
        <v>1007</v>
      </c>
      <c r="I1193" s="7" t="s">
        <v>22</v>
      </c>
    </row>
    <row r="1194">
      <c r="A1194" s="7" t="s">
        <v>177</v>
      </c>
      <c r="B1194" s="7" t="s">
        <v>953</v>
      </c>
      <c r="C1194" s="8">
        <f>IFERROR(__xludf.DUMMYFUNCTION("SPLIT(B1194,""RM"")"),730000.0)</f>
        <v>730000</v>
      </c>
      <c r="D1194" s="7">
        <v>1.0</v>
      </c>
      <c r="E1194" s="7">
        <v>1.0</v>
      </c>
      <c r="F1194" s="7">
        <v>1.0</v>
      </c>
      <c r="G1194" s="7" t="s">
        <v>20</v>
      </c>
      <c r="H1194" s="7" t="s">
        <v>1155</v>
      </c>
      <c r="I1194" s="7" t="s">
        <v>22</v>
      </c>
    </row>
    <row r="1195">
      <c r="A1195" s="7" t="s">
        <v>33</v>
      </c>
      <c r="B1195" s="7" t="s">
        <v>361</v>
      </c>
      <c r="C1195" s="8">
        <f>IFERROR(__xludf.DUMMYFUNCTION("SPLIT(B1195,""RM"")"),530000.0)</f>
        <v>530000</v>
      </c>
      <c r="F1195" s="7">
        <v>3.0</v>
      </c>
      <c r="G1195" s="7" t="s">
        <v>83</v>
      </c>
      <c r="H1195" s="7" t="s">
        <v>1156</v>
      </c>
      <c r="I1195" s="7" t="s">
        <v>103</v>
      </c>
    </row>
    <row r="1196">
      <c r="A1196" s="7" t="s">
        <v>358</v>
      </c>
      <c r="B1196" s="7" t="s">
        <v>854</v>
      </c>
      <c r="C1196" s="8">
        <f>IFERROR(__xludf.DUMMYFUNCTION("SPLIT(B1196,""RM"")"),690000.0)</f>
        <v>690000</v>
      </c>
      <c r="D1196" s="7" t="s">
        <v>57</v>
      </c>
      <c r="E1196" s="7">
        <v>3.0</v>
      </c>
      <c r="F1196" s="7">
        <v>2.0</v>
      </c>
      <c r="G1196" s="7" t="s">
        <v>93</v>
      </c>
      <c r="H1196" s="7" t="s">
        <v>1157</v>
      </c>
      <c r="I1196" s="7" t="s">
        <v>103</v>
      </c>
    </row>
    <row r="1197">
      <c r="A1197" s="7" t="s">
        <v>1158</v>
      </c>
      <c r="B1197" s="7" t="s">
        <v>105</v>
      </c>
      <c r="C1197" s="8">
        <f>IFERROR(__xludf.DUMMYFUNCTION("SPLIT(B1197,""RM"")"),560000.0)</f>
        <v>560000</v>
      </c>
      <c r="D1197" s="7">
        <v>3.0</v>
      </c>
      <c r="E1197" s="7">
        <v>2.0</v>
      </c>
      <c r="F1197" s="7">
        <v>1.0</v>
      </c>
      <c r="G1197" s="7" t="s">
        <v>83</v>
      </c>
      <c r="H1197" s="7" t="s">
        <v>1159</v>
      </c>
    </row>
    <row r="1198">
      <c r="A1198" s="7" t="s">
        <v>17</v>
      </c>
      <c r="B1198" s="7" t="s">
        <v>1160</v>
      </c>
      <c r="C1198" s="8">
        <f>IFERROR(__xludf.DUMMYFUNCTION("SPLIT(B1198,""RM"")"),7500.0)</f>
        <v>7500</v>
      </c>
      <c r="D1198" s="7">
        <v>2.0</v>
      </c>
      <c r="E1198" s="7">
        <v>2.0</v>
      </c>
      <c r="F1198" s="7">
        <v>1.0</v>
      </c>
      <c r="G1198" s="7" t="s">
        <v>82</v>
      </c>
      <c r="H1198" s="7" t="s">
        <v>1161</v>
      </c>
      <c r="I1198" s="7" t="s">
        <v>22</v>
      </c>
    </row>
    <row r="1199">
      <c r="A1199" s="7" t="s">
        <v>155</v>
      </c>
      <c r="B1199" s="7" t="s">
        <v>1075</v>
      </c>
      <c r="C1199" s="8">
        <f>IFERROR(__xludf.DUMMYFUNCTION("SPLIT(B1199,""RM"")"),790000.0)</f>
        <v>790000</v>
      </c>
      <c r="D1199" s="7">
        <v>2.0</v>
      </c>
      <c r="E1199" s="7">
        <v>2.0</v>
      </c>
      <c r="F1199" s="7">
        <v>1.0</v>
      </c>
      <c r="G1199" s="7" t="s">
        <v>83</v>
      </c>
      <c r="H1199" s="7" t="s">
        <v>1162</v>
      </c>
      <c r="I1199" s="7" t="s">
        <v>27</v>
      </c>
    </row>
    <row r="1200">
      <c r="A1200" s="7" t="s">
        <v>155</v>
      </c>
      <c r="B1200" s="7" t="s">
        <v>1163</v>
      </c>
      <c r="C1200" s="8">
        <f>IFERROR(__xludf.DUMMYFUNCTION("SPLIT(B1200,""RM"")"),885000.0)</f>
        <v>885000</v>
      </c>
      <c r="D1200" s="7">
        <v>3.0</v>
      </c>
      <c r="E1200" s="7">
        <v>3.0</v>
      </c>
      <c r="F1200" s="7">
        <v>2.0</v>
      </c>
      <c r="G1200" s="7" t="s">
        <v>83</v>
      </c>
      <c r="H1200" s="7" t="s">
        <v>1164</v>
      </c>
      <c r="I1200" s="7" t="s">
        <v>27</v>
      </c>
    </row>
    <row r="1201">
      <c r="A1201" s="7" t="s">
        <v>371</v>
      </c>
      <c r="B1201" s="7" t="s">
        <v>229</v>
      </c>
      <c r="C1201" s="8">
        <f>IFERROR(__xludf.DUMMYFUNCTION("SPLIT(B1201,""RM"")"),1050000.0)</f>
        <v>1050000</v>
      </c>
      <c r="D1201" s="7" t="s">
        <v>57</v>
      </c>
      <c r="E1201" s="7">
        <v>4.0</v>
      </c>
      <c r="F1201" s="7">
        <v>2.0</v>
      </c>
      <c r="G1201" s="7" t="s">
        <v>83</v>
      </c>
      <c r="H1201" s="7" t="s">
        <v>1165</v>
      </c>
    </row>
    <row r="1202">
      <c r="A1202" s="7" t="s">
        <v>371</v>
      </c>
      <c r="B1202" s="7" t="s">
        <v>1166</v>
      </c>
      <c r="C1202" s="8">
        <f>IFERROR(__xludf.DUMMYFUNCTION("SPLIT(B1202,""RM"")"),760000.0)</f>
        <v>760000</v>
      </c>
      <c r="D1202" s="7">
        <v>3.0</v>
      </c>
      <c r="E1202" s="7">
        <v>2.0</v>
      </c>
      <c r="F1202" s="7">
        <v>2.0</v>
      </c>
      <c r="G1202" s="7" t="s">
        <v>83</v>
      </c>
      <c r="H1202" s="7" t="s">
        <v>1167</v>
      </c>
      <c r="I1202" s="7" t="s">
        <v>103</v>
      </c>
    </row>
    <row r="1203">
      <c r="A1203" s="7" t="s">
        <v>371</v>
      </c>
      <c r="B1203" s="7" t="s">
        <v>755</v>
      </c>
      <c r="C1203" s="8">
        <f>IFERROR(__xludf.DUMMYFUNCTION("SPLIT(B1203,""RM"")"),970000.0)</f>
        <v>970000</v>
      </c>
      <c r="D1203" s="7" t="s">
        <v>57</v>
      </c>
      <c r="E1203" s="7">
        <v>2.0</v>
      </c>
      <c r="F1203" s="7">
        <v>2.0</v>
      </c>
      <c r="G1203" s="7" t="s">
        <v>83</v>
      </c>
      <c r="H1203" s="7" t="s">
        <v>1168</v>
      </c>
      <c r="I1203" s="7" t="s">
        <v>27</v>
      </c>
    </row>
    <row r="1204">
      <c r="A1204" s="7" t="s">
        <v>72</v>
      </c>
      <c r="B1204" s="7" t="s">
        <v>635</v>
      </c>
      <c r="C1204" s="8">
        <f>IFERROR(__xludf.DUMMYFUNCTION("SPLIT(B1204,""RM"")"),720000.0)</f>
        <v>720000</v>
      </c>
      <c r="D1204" s="7">
        <v>1.0</v>
      </c>
      <c r="E1204" s="7">
        <v>1.0</v>
      </c>
      <c r="F1204" s="7">
        <v>1.0</v>
      </c>
      <c r="G1204" s="7" t="s">
        <v>938</v>
      </c>
      <c r="H1204" s="7" t="s">
        <v>1169</v>
      </c>
      <c r="I1204" s="7" t="s">
        <v>27</v>
      </c>
    </row>
    <row r="1205">
      <c r="A1205" s="7" t="s">
        <v>89</v>
      </c>
      <c r="B1205" s="7" t="s">
        <v>966</v>
      </c>
      <c r="C1205" s="8">
        <f>IFERROR(__xludf.DUMMYFUNCTION("SPLIT(B1205,""RM"")"),688000.0)</f>
        <v>688000</v>
      </c>
      <c r="D1205" s="7" t="s">
        <v>57</v>
      </c>
      <c r="E1205" s="7">
        <v>4.0</v>
      </c>
      <c r="F1205" s="7">
        <v>3.0</v>
      </c>
      <c r="G1205" s="7" t="s">
        <v>30</v>
      </c>
      <c r="H1205" s="7" t="s">
        <v>1170</v>
      </c>
      <c r="I1205" s="7" t="s">
        <v>27</v>
      </c>
    </row>
    <row r="1206">
      <c r="A1206" s="7" t="s">
        <v>17</v>
      </c>
      <c r="B1206" s="7" t="s">
        <v>268</v>
      </c>
      <c r="C1206" s="8">
        <f>IFERROR(__xludf.DUMMYFUNCTION("SPLIT(B1206,""RM"")"),500000.0)</f>
        <v>500000</v>
      </c>
      <c r="D1206" s="7" t="s">
        <v>325</v>
      </c>
      <c r="E1206" s="7">
        <v>1.0</v>
      </c>
      <c r="G1206" s="7" t="s">
        <v>20</v>
      </c>
      <c r="H1206" s="7" t="s">
        <v>1171</v>
      </c>
      <c r="I1206" s="7" t="s">
        <v>22</v>
      </c>
    </row>
    <row r="1207">
      <c r="A1207" s="7" t="s">
        <v>72</v>
      </c>
      <c r="B1207" s="7" t="s">
        <v>403</v>
      </c>
      <c r="C1207" s="8">
        <f>IFERROR(__xludf.DUMMYFUNCTION("SPLIT(B1207,""RM"")"),1600000.0)</f>
        <v>1600000</v>
      </c>
      <c r="D1207" s="7">
        <v>3.0</v>
      </c>
      <c r="E1207" s="7">
        <v>4.0</v>
      </c>
      <c r="G1207" s="7" t="s">
        <v>30</v>
      </c>
      <c r="H1207" s="7" t="s">
        <v>1172</v>
      </c>
      <c r="I1207" s="7" t="s">
        <v>22</v>
      </c>
    </row>
    <row r="1208">
      <c r="A1208" s="7" t="s">
        <v>33</v>
      </c>
      <c r="B1208" s="7" t="s">
        <v>759</v>
      </c>
      <c r="C1208" s="8">
        <f>IFERROR(__xludf.DUMMYFUNCTION("SPLIT(B1208,""RM"")"),520000.0)</f>
        <v>520000</v>
      </c>
      <c r="D1208" s="7">
        <v>3.0</v>
      </c>
      <c r="E1208" s="7">
        <v>3.0</v>
      </c>
      <c r="F1208" s="7">
        <v>2.0</v>
      </c>
      <c r="G1208" s="7" t="s">
        <v>93</v>
      </c>
      <c r="H1208" s="7" t="s">
        <v>1156</v>
      </c>
      <c r="I1208" s="7" t="s">
        <v>103</v>
      </c>
    </row>
    <row r="1209">
      <c r="A1209" s="7" t="s">
        <v>72</v>
      </c>
      <c r="B1209" s="7" t="s">
        <v>599</v>
      </c>
      <c r="C1209" s="8">
        <f>IFERROR(__xludf.DUMMYFUNCTION("SPLIT(B1209,""RM"")"),950000.0)</f>
        <v>950000</v>
      </c>
      <c r="D1209" s="7">
        <v>2.0</v>
      </c>
      <c r="E1209" s="7">
        <v>2.0</v>
      </c>
      <c r="F1209" s="7">
        <v>1.0</v>
      </c>
      <c r="G1209" s="7" t="s">
        <v>938</v>
      </c>
      <c r="H1209" s="7" t="s">
        <v>1173</v>
      </c>
      <c r="I1209" s="7" t="s">
        <v>22</v>
      </c>
    </row>
    <row r="1210">
      <c r="A1210" s="7" t="s">
        <v>17</v>
      </c>
      <c r="B1210" s="7" t="s">
        <v>130</v>
      </c>
      <c r="C1210" s="8">
        <f>IFERROR(__xludf.DUMMYFUNCTION("SPLIT(B1210,""RM"")"),2700000.0)</f>
        <v>2700000</v>
      </c>
      <c r="D1210" s="7">
        <v>4.0</v>
      </c>
      <c r="E1210" s="7">
        <v>5.0</v>
      </c>
      <c r="F1210" s="7">
        <v>3.0</v>
      </c>
      <c r="G1210" s="7" t="s">
        <v>30</v>
      </c>
      <c r="H1210" s="7" t="s">
        <v>1174</v>
      </c>
      <c r="I1210" s="7" t="s">
        <v>27</v>
      </c>
    </row>
    <row r="1211">
      <c r="A1211" s="7" t="s">
        <v>17</v>
      </c>
      <c r="B1211" s="7" t="s">
        <v>174</v>
      </c>
      <c r="C1211" s="8">
        <f>IFERROR(__xludf.DUMMYFUNCTION("SPLIT(B1211,""RM"")"),3000000.0)</f>
        <v>3000000</v>
      </c>
      <c r="D1211" s="7">
        <v>4.0</v>
      </c>
      <c r="E1211" s="7">
        <v>5.0</v>
      </c>
      <c r="F1211" s="7">
        <v>3.0</v>
      </c>
      <c r="G1211" s="7" t="s">
        <v>83</v>
      </c>
      <c r="H1211" s="7" t="s">
        <v>1174</v>
      </c>
      <c r="I1211" s="7" t="s">
        <v>27</v>
      </c>
    </row>
    <row r="1212">
      <c r="A1212" s="7" t="s">
        <v>17</v>
      </c>
      <c r="B1212" s="7" t="s">
        <v>78</v>
      </c>
      <c r="C1212" s="8">
        <f>IFERROR(__xludf.DUMMYFUNCTION("SPLIT(B1212,""RM"")"),1500000.0)</f>
        <v>1500000</v>
      </c>
      <c r="D1212" s="7" t="s">
        <v>57</v>
      </c>
      <c r="E1212" s="7">
        <v>4.0</v>
      </c>
      <c r="F1212" s="7">
        <v>2.0</v>
      </c>
      <c r="G1212" s="7" t="s">
        <v>30</v>
      </c>
      <c r="H1212" s="7" t="s">
        <v>1090</v>
      </c>
      <c r="I1212" s="7" t="s">
        <v>27</v>
      </c>
    </row>
    <row r="1213">
      <c r="A1213" s="7" t="s">
        <v>17</v>
      </c>
      <c r="B1213" s="7" t="s">
        <v>42</v>
      </c>
      <c r="C1213" s="8">
        <f>IFERROR(__xludf.DUMMYFUNCTION("SPLIT(B1213,""RM"")"),2600000.0)</f>
        <v>2600000</v>
      </c>
      <c r="D1213" s="7" t="s">
        <v>57</v>
      </c>
      <c r="E1213" s="7">
        <v>4.0</v>
      </c>
      <c r="F1213" s="7">
        <v>2.0</v>
      </c>
      <c r="G1213" s="7" t="s">
        <v>121</v>
      </c>
      <c r="H1213" s="7" t="s">
        <v>205</v>
      </c>
      <c r="I1213" s="7" t="s">
        <v>27</v>
      </c>
    </row>
    <row r="1214">
      <c r="A1214" s="7" t="s">
        <v>72</v>
      </c>
      <c r="B1214" s="7" t="s">
        <v>214</v>
      </c>
      <c r="C1214" s="8">
        <f>IFERROR(__xludf.DUMMYFUNCTION("SPLIT(B1214,""RM"")"),1180000.0)</f>
        <v>1180000</v>
      </c>
      <c r="D1214" s="7" t="s">
        <v>57</v>
      </c>
      <c r="E1214" s="7">
        <v>3.0</v>
      </c>
      <c r="F1214" s="7">
        <v>2.0</v>
      </c>
      <c r="G1214" s="7" t="s">
        <v>93</v>
      </c>
      <c r="H1214" s="7" t="s">
        <v>1175</v>
      </c>
      <c r="I1214" s="7" t="s">
        <v>22</v>
      </c>
    </row>
    <row r="1215">
      <c r="A1215" s="7" t="s">
        <v>72</v>
      </c>
      <c r="B1215" s="7" t="s">
        <v>641</v>
      </c>
      <c r="C1215" s="8">
        <f>IFERROR(__xludf.DUMMYFUNCTION("SPLIT(B1215,""RM"")"),830000.0)</f>
        <v>830000</v>
      </c>
      <c r="D1215" s="7">
        <v>2.0</v>
      </c>
      <c r="E1215" s="7">
        <v>1.0</v>
      </c>
      <c r="G1215" s="7" t="s">
        <v>83</v>
      </c>
      <c r="H1215" s="7" t="s">
        <v>392</v>
      </c>
      <c r="I1215" s="7" t="s">
        <v>22</v>
      </c>
    </row>
    <row r="1216">
      <c r="A1216" s="7" t="s">
        <v>37</v>
      </c>
      <c r="B1216" s="7" t="s">
        <v>988</v>
      </c>
      <c r="C1216" s="8">
        <f>IFERROR(__xludf.DUMMYFUNCTION("SPLIT(B1216,""RM"")"),1660000.0)</f>
        <v>1660000</v>
      </c>
      <c r="D1216" s="7" t="s">
        <v>19</v>
      </c>
      <c r="E1216" s="7">
        <v>3.0</v>
      </c>
      <c r="F1216" s="7">
        <v>2.0</v>
      </c>
      <c r="G1216" s="7" t="s">
        <v>20</v>
      </c>
      <c r="H1216" s="7" t="s">
        <v>1092</v>
      </c>
      <c r="I1216" s="7" t="s">
        <v>22</v>
      </c>
    </row>
    <row r="1217">
      <c r="A1217" s="7" t="s">
        <v>37</v>
      </c>
      <c r="B1217" s="7" t="s">
        <v>1176</v>
      </c>
      <c r="C1217" s="8">
        <f>IFERROR(__xludf.DUMMYFUNCTION("SPLIT(B1217,""RM"")"),2720000.0)</f>
        <v>2720000</v>
      </c>
      <c r="D1217" s="7" t="s">
        <v>79</v>
      </c>
      <c r="E1217" s="7">
        <v>4.0</v>
      </c>
      <c r="F1217" s="7">
        <v>2.0</v>
      </c>
      <c r="G1217" s="7" t="s">
        <v>121</v>
      </c>
      <c r="H1217" s="7" t="s">
        <v>624</v>
      </c>
      <c r="I1217" s="7" t="s">
        <v>27</v>
      </c>
    </row>
    <row r="1218">
      <c r="A1218" s="7" t="s">
        <v>72</v>
      </c>
      <c r="B1218" s="7" t="s">
        <v>599</v>
      </c>
      <c r="C1218" s="8">
        <f>IFERROR(__xludf.DUMMYFUNCTION("SPLIT(B1218,""RM"")"),950000.0)</f>
        <v>950000</v>
      </c>
      <c r="D1218" s="7" t="s">
        <v>57</v>
      </c>
      <c r="E1218" s="7">
        <v>3.0</v>
      </c>
      <c r="F1218" s="7">
        <v>2.0</v>
      </c>
      <c r="G1218" s="7" t="s">
        <v>20</v>
      </c>
      <c r="H1218" s="7" t="s">
        <v>173</v>
      </c>
      <c r="I1218" s="7" t="s">
        <v>22</v>
      </c>
    </row>
    <row r="1219">
      <c r="A1219" s="7" t="s">
        <v>100</v>
      </c>
      <c r="B1219" s="7" t="s">
        <v>245</v>
      </c>
      <c r="C1219" s="8">
        <f>IFERROR(__xludf.DUMMYFUNCTION("SPLIT(B1219,""RM"")"),800000.0)</f>
        <v>800000</v>
      </c>
      <c r="D1219" s="7">
        <v>3.0</v>
      </c>
      <c r="E1219" s="7">
        <v>2.0</v>
      </c>
      <c r="G1219" s="7" t="s">
        <v>93</v>
      </c>
      <c r="H1219" s="7" t="s">
        <v>471</v>
      </c>
      <c r="I1219" s="7" t="s">
        <v>27</v>
      </c>
    </row>
    <row r="1220">
      <c r="A1220" s="7" t="s">
        <v>72</v>
      </c>
      <c r="B1220" s="7" t="s">
        <v>1177</v>
      </c>
      <c r="C1220" s="8">
        <f>IFERROR(__xludf.DUMMYFUNCTION("SPLIT(B1220,""RM"")"),3317400.0)</f>
        <v>3317400</v>
      </c>
      <c r="D1220" s="7" t="s">
        <v>70</v>
      </c>
      <c r="E1220" s="7">
        <v>5.0</v>
      </c>
      <c r="F1220" s="7">
        <v>3.0</v>
      </c>
      <c r="G1220" s="7" t="s">
        <v>83</v>
      </c>
      <c r="H1220" s="7" t="s">
        <v>987</v>
      </c>
      <c r="I1220" s="7" t="s">
        <v>27</v>
      </c>
    </row>
    <row r="1221">
      <c r="A1221" s="7" t="s">
        <v>104</v>
      </c>
      <c r="B1221" s="7" t="s">
        <v>898</v>
      </c>
      <c r="C1221" s="8">
        <f>IFERROR(__xludf.DUMMYFUNCTION("SPLIT(B1221,""RM"")"),485000.0)</f>
        <v>485000</v>
      </c>
      <c r="D1221" s="7">
        <v>3.0</v>
      </c>
      <c r="E1221" s="7">
        <v>2.0</v>
      </c>
      <c r="F1221" s="7">
        <v>1.0</v>
      </c>
      <c r="G1221" s="7" t="s">
        <v>93</v>
      </c>
      <c r="H1221" s="7" t="s">
        <v>1178</v>
      </c>
      <c r="I1221" s="7" t="s">
        <v>27</v>
      </c>
    </row>
    <row r="1222">
      <c r="A1222" s="7" t="s">
        <v>1014</v>
      </c>
      <c r="B1222" s="7" t="s">
        <v>1015</v>
      </c>
      <c r="C1222" s="8">
        <f>IFERROR(__xludf.DUMMYFUNCTION("SPLIT(B1222,""RM"")"),561100.0)</f>
        <v>561100</v>
      </c>
      <c r="D1222" s="7">
        <v>4.0</v>
      </c>
      <c r="E1222" s="7">
        <v>3.0</v>
      </c>
      <c r="G1222" s="7" t="s">
        <v>83</v>
      </c>
      <c r="H1222" s="7" t="s">
        <v>1016</v>
      </c>
      <c r="I1222" s="7" t="s">
        <v>27</v>
      </c>
    </row>
    <row r="1223">
      <c r="A1223" s="7" t="s">
        <v>72</v>
      </c>
      <c r="B1223" s="7" t="s">
        <v>1021</v>
      </c>
      <c r="C1223" s="8">
        <f>IFERROR(__xludf.DUMMYFUNCTION("SPLIT(B1223,""RM"")"),2535300.0)</f>
        <v>2535300</v>
      </c>
      <c r="D1223" s="7">
        <v>5.0</v>
      </c>
      <c r="E1223" s="7">
        <v>4.0</v>
      </c>
      <c r="G1223" s="7" t="s">
        <v>83</v>
      </c>
      <c r="H1223" s="7" t="s">
        <v>989</v>
      </c>
      <c r="I1223" s="7" t="s">
        <v>27</v>
      </c>
    </row>
    <row r="1224">
      <c r="A1224" s="7" t="s">
        <v>17</v>
      </c>
      <c r="B1224" s="7" t="s">
        <v>613</v>
      </c>
      <c r="C1224" s="8">
        <f>IFERROR(__xludf.DUMMYFUNCTION("SPLIT(B1224,""RM"")"),1890000.0)</f>
        <v>1890000</v>
      </c>
      <c r="D1224" s="7">
        <v>5.0</v>
      </c>
      <c r="E1224" s="7">
        <v>4.0</v>
      </c>
      <c r="G1224" s="7" t="s">
        <v>83</v>
      </c>
      <c r="H1224" s="7" t="s">
        <v>1013</v>
      </c>
      <c r="I1224" s="7" t="s">
        <v>27</v>
      </c>
    </row>
    <row r="1225">
      <c r="A1225" s="7" t="s">
        <v>17</v>
      </c>
      <c r="B1225" s="7" t="s">
        <v>1179</v>
      </c>
      <c r="C1225" s="8">
        <f>IFERROR(__xludf.DUMMYFUNCTION("SPLIT(B1225,""RM"")"),1818450.0)</f>
        <v>1818450</v>
      </c>
      <c r="D1225" s="7">
        <v>4.0</v>
      </c>
      <c r="E1225" s="7">
        <v>3.0</v>
      </c>
      <c r="G1225" s="7" t="s">
        <v>83</v>
      </c>
      <c r="H1225" s="7" t="s">
        <v>150</v>
      </c>
      <c r="I1225" s="7" t="s">
        <v>27</v>
      </c>
    </row>
    <row r="1226">
      <c r="A1226" s="7" t="s">
        <v>104</v>
      </c>
      <c r="B1226" s="7" t="s">
        <v>327</v>
      </c>
      <c r="C1226" s="8">
        <f>IFERROR(__xludf.DUMMYFUNCTION("SPLIT(B1226,""RM"")"),1300000.0)</f>
        <v>1300000</v>
      </c>
      <c r="D1226" s="7">
        <v>5.0</v>
      </c>
      <c r="E1226" s="7">
        <v>6.0</v>
      </c>
      <c r="F1226" s="7">
        <v>5.0</v>
      </c>
      <c r="G1226" s="7" t="s">
        <v>203</v>
      </c>
      <c r="H1226" s="7" t="s">
        <v>283</v>
      </c>
      <c r="I1226" s="7" t="s">
        <v>27</v>
      </c>
    </row>
    <row r="1227">
      <c r="A1227" s="7" t="s">
        <v>17</v>
      </c>
      <c r="B1227" s="7" t="s">
        <v>1180</v>
      </c>
      <c r="C1227" s="8">
        <f>IFERROR(__xludf.DUMMYFUNCTION("SPLIT(B1227,""RM"")"),4600000.0)</f>
        <v>4600000</v>
      </c>
      <c r="D1227" s="7" t="s">
        <v>70</v>
      </c>
      <c r="E1227" s="7">
        <v>5.0</v>
      </c>
      <c r="G1227" s="7" t="s">
        <v>20</v>
      </c>
      <c r="H1227" s="7" t="s">
        <v>1181</v>
      </c>
      <c r="I1227" s="7" t="s">
        <v>27</v>
      </c>
    </row>
    <row r="1228">
      <c r="A1228" s="7" t="s">
        <v>17</v>
      </c>
      <c r="B1228" s="7" t="s">
        <v>130</v>
      </c>
      <c r="C1228" s="8">
        <f>IFERROR(__xludf.DUMMYFUNCTION("SPLIT(B1228,""RM"")"),2700000.0)</f>
        <v>2700000</v>
      </c>
      <c r="D1228" s="7" t="s">
        <v>35</v>
      </c>
      <c r="E1228" s="7">
        <v>4.0</v>
      </c>
      <c r="G1228" s="7" t="s">
        <v>83</v>
      </c>
      <c r="H1228" s="7" t="s">
        <v>1174</v>
      </c>
      <c r="I1228" s="7" t="s">
        <v>27</v>
      </c>
    </row>
    <row r="1229">
      <c r="A1229" s="7" t="s">
        <v>17</v>
      </c>
      <c r="B1229" s="7" t="s">
        <v>1180</v>
      </c>
      <c r="C1229" s="8">
        <f>IFERROR(__xludf.DUMMYFUNCTION("SPLIT(B1229,""RM"")"),4600000.0)</f>
        <v>4600000</v>
      </c>
      <c r="D1229" s="7" t="s">
        <v>70</v>
      </c>
      <c r="E1229" s="7">
        <v>5.0</v>
      </c>
      <c r="G1229" s="7" t="s">
        <v>20</v>
      </c>
      <c r="H1229" s="7" t="s">
        <v>1182</v>
      </c>
      <c r="I1229" s="7" t="s">
        <v>103</v>
      </c>
    </row>
    <row r="1230">
      <c r="A1230" s="7" t="s">
        <v>17</v>
      </c>
      <c r="B1230" s="7" t="s">
        <v>759</v>
      </c>
      <c r="C1230" s="8">
        <f>IFERROR(__xludf.DUMMYFUNCTION("SPLIT(B1230,""RM"")"),520000.0)</f>
        <v>520000</v>
      </c>
      <c r="D1230" s="7" t="s">
        <v>325</v>
      </c>
      <c r="E1230" s="7">
        <v>1.0</v>
      </c>
      <c r="G1230" s="7" t="s">
        <v>20</v>
      </c>
      <c r="H1230" s="7" t="s">
        <v>1183</v>
      </c>
    </row>
    <row r="1231">
      <c r="A1231" s="7" t="s">
        <v>17</v>
      </c>
      <c r="B1231" s="7" t="s">
        <v>165</v>
      </c>
      <c r="C1231" s="8">
        <f>IFERROR(__xludf.DUMMYFUNCTION("SPLIT(B1231,""RM"")"),3500000.0)</f>
        <v>3500000</v>
      </c>
      <c r="D1231" s="7" t="s">
        <v>35</v>
      </c>
      <c r="E1231" s="7">
        <v>4.0</v>
      </c>
      <c r="F1231" s="7">
        <v>3.0</v>
      </c>
      <c r="G1231" s="7" t="s">
        <v>83</v>
      </c>
      <c r="H1231" s="7" t="s">
        <v>1174</v>
      </c>
      <c r="I1231" s="7" t="s">
        <v>27</v>
      </c>
    </row>
    <row r="1232">
      <c r="A1232" s="7" t="s">
        <v>17</v>
      </c>
      <c r="B1232" s="7" t="s">
        <v>475</v>
      </c>
      <c r="C1232" s="8">
        <f>IFERROR(__xludf.DUMMYFUNCTION("SPLIT(B1232,""RM"")"),2800000.0)</f>
        <v>2800000</v>
      </c>
      <c r="D1232" s="7" t="s">
        <v>57</v>
      </c>
      <c r="E1232" s="7">
        <v>4.0</v>
      </c>
      <c r="F1232" s="7">
        <v>3.0</v>
      </c>
      <c r="G1232" s="7" t="s">
        <v>20</v>
      </c>
      <c r="H1232" s="7" t="s">
        <v>1009</v>
      </c>
      <c r="I1232" s="7" t="s">
        <v>27</v>
      </c>
    </row>
    <row r="1233">
      <c r="A1233" s="7" t="s">
        <v>17</v>
      </c>
      <c r="B1233" s="7" t="s">
        <v>156</v>
      </c>
      <c r="C1233" s="8">
        <f>IFERROR(__xludf.DUMMYFUNCTION("SPLIT(B1233,""RM"")"),850000.0)</f>
        <v>850000</v>
      </c>
      <c r="D1233" s="7" t="s">
        <v>197</v>
      </c>
      <c r="E1233" s="7">
        <v>1.0</v>
      </c>
      <c r="F1233" s="7">
        <v>1.0</v>
      </c>
      <c r="G1233" s="7" t="s">
        <v>20</v>
      </c>
      <c r="H1233" s="7" t="s">
        <v>1184</v>
      </c>
      <c r="I1233" s="7" t="s">
        <v>22</v>
      </c>
    </row>
    <row r="1234">
      <c r="A1234" s="7" t="s">
        <v>17</v>
      </c>
      <c r="B1234" s="7" t="s">
        <v>229</v>
      </c>
      <c r="C1234" s="8">
        <f>IFERROR(__xludf.DUMMYFUNCTION("SPLIT(B1234,""RM"")"),1050000.0)</f>
        <v>1050000</v>
      </c>
      <c r="D1234" s="7" t="s">
        <v>19</v>
      </c>
      <c r="E1234" s="7">
        <v>2.0</v>
      </c>
      <c r="G1234" s="7" t="s">
        <v>20</v>
      </c>
      <c r="H1234" s="7" t="s">
        <v>650</v>
      </c>
      <c r="I1234" s="7" t="s">
        <v>22</v>
      </c>
    </row>
    <row r="1235">
      <c r="A1235" s="7" t="s">
        <v>104</v>
      </c>
      <c r="B1235" s="7" t="s">
        <v>536</v>
      </c>
      <c r="C1235" s="8">
        <f>IFERROR(__xludf.DUMMYFUNCTION("SPLIT(B1235,""RM"")"),495000.0)</f>
        <v>495000</v>
      </c>
      <c r="D1235" s="7">
        <v>3.0</v>
      </c>
      <c r="E1235" s="7">
        <v>2.0</v>
      </c>
      <c r="G1235" s="7" t="s">
        <v>1185</v>
      </c>
      <c r="H1235" s="7" t="s">
        <v>1186</v>
      </c>
    </row>
    <row r="1236">
      <c r="A1236" s="7" t="s">
        <v>177</v>
      </c>
      <c r="B1236" s="7" t="s">
        <v>361</v>
      </c>
      <c r="C1236" s="8">
        <f>IFERROR(__xludf.DUMMYFUNCTION("SPLIT(B1236,""RM"")"),530000.0)</f>
        <v>530000</v>
      </c>
      <c r="D1236" s="7" t="s">
        <v>197</v>
      </c>
      <c r="E1236" s="7">
        <v>1.0</v>
      </c>
      <c r="F1236" s="7">
        <v>1.0</v>
      </c>
      <c r="G1236" s="7" t="s">
        <v>83</v>
      </c>
      <c r="H1236" s="7" t="s">
        <v>961</v>
      </c>
      <c r="I1236" s="7" t="s">
        <v>22</v>
      </c>
    </row>
    <row r="1237">
      <c r="A1237" s="7" t="s">
        <v>188</v>
      </c>
      <c r="B1237" s="7" t="s">
        <v>1187</v>
      </c>
      <c r="C1237" s="8">
        <f>IFERROR(__xludf.DUMMYFUNCTION("SPLIT(B1237,""RM"")"),678000.0)</f>
        <v>678000</v>
      </c>
      <c r="D1237" s="7">
        <v>1.0</v>
      </c>
      <c r="E1237" s="7">
        <v>1.0</v>
      </c>
      <c r="G1237" s="7" t="s">
        <v>20</v>
      </c>
      <c r="H1237" s="7" t="s">
        <v>978</v>
      </c>
      <c r="I1237" s="7" t="s">
        <v>22</v>
      </c>
    </row>
    <row r="1238">
      <c r="A1238" s="7" t="s">
        <v>267</v>
      </c>
      <c r="B1238" s="7" t="s">
        <v>715</v>
      </c>
      <c r="C1238" s="8">
        <f>IFERROR(__xludf.DUMMYFUNCTION("SPLIT(B1238,""RM"")"),550000.0)</f>
        <v>550000</v>
      </c>
      <c r="D1238" s="7">
        <v>3.0</v>
      </c>
      <c r="E1238" s="7">
        <v>2.0</v>
      </c>
      <c r="F1238" s="7">
        <v>1.0</v>
      </c>
      <c r="G1238" s="7" t="s">
        <v>83</v>
      </c>
      <c r="H1238" s="7" t="s">
        <v>135</v>
      </c>
      <c r="I1238" s="7" t="s">
        <v>22</v>
      </c>
    </row>
    <row r="1239">
      <c r="A1239" s="7" t="s">
        <v>188</v>
      </c>
      <c r="B1239" s="7" t="s">
        <v>229</v>
      </c>
      <c r="C1239" s="8">
        <f>IFERROR(__xludf.DUMMYFUNCTION("SPLIT(B1239,""RM"")"),1050000.0)</f>
        <v>1050000</v>
      </c>
      <c r="D1239" s="7">
        <v>2.0</v>
      </c>
      <c r="E1239" s="7">
        <v>1.0</v>
      </c>
      <c r="G1239" s="7" t="s">
        <v>20</v>
      </c>
      <c r="H1239" s="7" t="s">
        <v>1188</v>
      </c>
      <c r="I1239" s="7" t="s">
        <v>22</v>
      </c>
    </row>
    <row r="1240">
      <c r="A1240" s="7" t="s">
        <v>358</v>
      </c>
      <c r="B1240" s="7" t="s">
        <v>284</v>
      </c>
      <c r="C1240" s="8">
        <f>IFERROR(__xludf.DUMMYFUNCTION("SPLIT(B1240,""RM"")"),1060000.0)</f>
        <v>1060000</v>
      </c>
      <c r="D1240" s="7">
        <v>4.0</v>
      </c>
      <c r="E1240" s="7">
        <v>3.0</v>
      </c>
      <c r="G1240" s="7" t="s">
        <v>169</v>
      </c>
      <c r="H1240" s="7" t="s">
        <v>1189</v>
      </c>
    </row>
    <row r="1241">
      <c r="A1241" s="7" t="s">
        <v>33</v>
      </c>
      <c r="B1241" s="7" t="s">
        <v>346</v>
      </c>
      <c r="C1241" s="8">
        <f>IFERROR(__xludf.DUMMYFUNCTION("SPLIT(B1241,""RM"")"),638000.0)</f>
        <v>638000</v>
      </c>
      <c r="D1241" s="7">
        <v>3.0</v>
      </c>
      <c r="E1241" s="7">
        <v>2.0</v>
      </c>
      <c r="F1241" s="7">
        <v>2.0</v>
      </c>
      <c r="G1241" s="7" t="s">
        <v>30</v>
      </c>
      <c r="H1241" s="7" t="s">
        <v>324</v>
      </c>
      <c r="I1241" s="7" t="s">
        <v>27</v>
      </c>
    </row>
    <row r="1242">
      <c r="A1242" s="7" t="s">
        <v>17</v>
      </c>
      <c r="B1242" s="7" t="s">
        <v>257</v>
      </c>
      <c r="C1242" s="8">
        <f>IFERROR(__xludf.DUMMYFUNCTION("SPLIT(B1242,""RM"")"),2480000.0)</f>
        <v>2480000</v>
      </c>
      <c r="D1242" s="7" t="s">
        <v>35</v>
      </c>
      <c r="E1242" s="7">
        <v>5.0</v>
      </c>
      <c r="F1242" s="7">
        <v>3.0</v>
      </c>
      <c r="G1242" s="7" t="s">
        <v>96</v>
      </c>
      <c r="H1242" s="7" t="s">
        <v>1085</v>
      </c>
      <c r="I1242" s="7" t="s">
        <v>22</v>
      </c>
    </row>
    <row r="1243">
      <c r="A1243" s="7" t="s">
        <v>100</v>
      </c>
      <c r="B1243" s="7" t="s">
        <v>206</v>
      </c>
      <c r="C1243" s="8">
        <f>IFERROR(__xludf.DUMMYFUNCTION("SPLIT(B1243,""RM"")"),920000.0)</f>
        <v>920000</v>
      </c>
      <c r="D1243" s="7" t="s">
        <v>57</v>
      </c>
      <c r="E1243" s="7">
        <v>4.0</v>
      </c>
      <c r="G1243" s="7" t="s">
        <v>93</v>
      </c>
      <c r="H1243" s="7" t="s">
        <v>1190</v>
      </c>
      <c r="I1243" s="7" t="s">
        <v>22</v>
      </c>
    </row>
    <row r="1244">
      <c r="A1244" s="7" t="s">
        <v>177</v>
      </c>
      <c r="B1244" s="7" t="s">
        <v>1191</v>
      </c>
      <c r="C1244" s="8">
        <f>IFERROR(__xludf.DUMMYFUNCTION("SPLIT(B1244,""RM"")"),1161850.0)</f>
        <v>1161850</v>
      </c>
      <c r="D1244" s="7">
        <v>2.0</v>
      </c>
      <c r="E1244" s="7">
        <v>1.0</v>
      </c>
      <c r="F1244" s="7">
        <v>1.0</v>
      </c>
      <c r="G1244" s="7" t="s">
        <v>121</v>
      </c>
      <c r="H1244" s="7" t="s">
        <v>1192</v>
      </c>
      <c r="I1244" s="7" t="s">
        <v>22</v>
      </c>
    </row>
    <row r="1245">
      <c r="A1245" s="7" t="s">
        <v>33</v>
      </c>
      <c r="B1245" s="7" t="s">
        <v>472</v>
      </c>
      <c r="C1245" s="8">
        <f>IFERROR(__xludf.DUMMYFUNCTION("SPLIT(B1245,""RM"")"),1730000.0)</f>
        <v>1730000</v>
      </c>
      <c r="D1245" s="7">
        <v>5.0</v>
      </c>
      <c r="E1245" s="7">
        <v>4.0</v>
      </c>
      <c r="F1245" s="7">
        <v>2.0</v>
      </c>
      <c r="G1245" s="7" t="s">
        <v>203</v>
      </c>
      <c r="H1245" s="7" t="s">
        <v>1193</v>
      </c>
      <c r="I1245" s="7" t="s">
        <v>22</v>
      </c>
    </row>
    <row r="1246">
      <c r="A1246" s="7" t="s">
        <v>33</v>
      </c>
      <c r="B1246" s="7" t="s">
        <v>399</v>
      </c>
      <c r="C1246" s="8">
        <f>IFERROR(__xludf.DUMMYFUNCTION("SPLIT(B1246,""RM"")"),1750000.0)</f>
        <v>1750000</v>
      </c>
      <c r="D1246" s="7">
        <v>5.0</v>
      </c>
      <c r="E1246" s="7">
        <v>4.0</v>
      </c>
      <c r="G1246" s="7" t="s">
        <v>203</v>
      </c>
      <c r="H1246" s="7" t="s">
        <v>1194</v>
      </c>
      <c r="I1246" s="7" t="s">
        <v>27</v>
      </c>
    </row>
    <row r="1247">
      <c r="A1247" s="7" t="s">
        <v>100</v>
      </c>
      <c r="B1247" s="7" t="s">
        <v>245</v>
      </c>
      <c r="C1247" s="8">
        <f>IFERROR(__xludf.DUMMYFUNCTION("SPLIT(B1247,""RM"")"),800000.0)</f>
        <v>800000</v>
      </c>
      <c r="D1247" s="7" t="s">
        <v>57</v>
      </c>
      <c r="E1247" s="7">
        <v>2.0</v>
      </c>
      <c r="F1247" s="7">
        <v>4.0</v>
      </c>
      <c r="G1247" s="7" t="s">
        <v>54</v>
      </c>
      <c r="H1247" s="7" t="s">
        <v>1195</v>
      </c>
      <c r="I1247" s="7" t="s">
        <v>103</v>
      </c>
    </row>
    <row r="1248">
      <c r="A1248" s="7" t="s">
        <v>33</v>
      </c>
      <c r="B1248" s="7" t="s">
        <v>967</v>
      </c>
      <c r="C1248" s="8">
        <f>IFERROR(__xludf.DUMMYFUNCTION("SPLIT(B1248,""RM"")"),680000.0)</f>
        <v>680000</v>
      </c>
      <c r="D1248" s="7">
        <v>3.0</v>
      </c>
      <c r="E1248" s="7">
        <v>2.0</v>
      </c>
      <c r="G1248" s="7" t="s">
        <v>93</v>
      </c>
      <c r="H1248" s="7" t="s">
        <v>1196</v>
      </c>
      <c r="I1248" s="7" t="s">
        <v>22</v>
      </c>
    </row>
    <row r="1249">
      <c r="A1249" s="7" t="s">
        <v>177</v>
      </c>
      <c r="B1249" s="7" t="s">
        <v>327</v>
      </c>
      <c r="C1249" s="8">
        <f>IFERROR(__xludf.DUMMYFUNCTION("SPLIT(B1249,""RM"")"),1300000.0)</f>
        <v>1300000</v>
      </c>
      <c r="D1249" s="7">
        <v>3.0</v>
      </c>
      <c r="E1249" s="7">
        <v>2.0</v>
      </c>
      <c r="G1249" s="7" t="s">
        <v>343</v>
      </c>
      <c r="H1249" s="7" t="s">
        <v>1197</v>
      </c>
      <c r="I1249" s="7" t="s">
        <v>103</v>
      </c>
    </row>
    <row r="1250">
      <c r="A1250" s="7" t="s">
        <v>371</v>
      </c>
      <c r="B1250" s="7" t="s">
        <v>984</v>
      </c>
      <c r="C1250" s="8">
        <f>IFERROR(__xludf.DUMMYFUNCTION("SPLIT(B1250,""RM"")"),1120000.0)</f>
        <v>1120000</v>
      </c>
      <c r="D1250" s="7" t="s">
        <v>57</v>
      </c>
      <c r="E1250" s="7">
        <v>4.0</v>
      </c>
      <c r="F1250" s="7">
        <v>2.0</v>
      </c>
      <c r="G1250" s="7" t="s">
        <v>30</v>
      </c>
      <c r="H1250" s="7" t="s">
        <v>1198</v>
      </c>
      <c r="I1250" s="7" t="s">
        <v>27</v>
      </c>
    </row>
    <row r="1251">
      <c r="A1251" s="7" t="s">
        <v>371</v>
      </c>
      <c r="B1251" s="7" t="s">
        <v>1166</v>
      </c>
      <c r="C1251" s="8">
        <f>IFERROR(__xludf.DUMMYFUNCTION("SPLIT(B1251,""RM"")"),760000.0)</f>
        <v>760000</v>
      </c>
      <c r="D1251" s="7">
        <v>3.0</v>
      </c>
      <c r="E1251" s="7">
        <v>2.0</v>
      </c>
      <c r="F1251" s="7">
        <v>2.0</v>
      </c>
      <c r="G1251" s="7" t="s">
        <v>30</v>
      </c>
      <c r="H1251" s="7" t="s">
        <v>1167</v>
      </c>
      <c r="I1251" s="7" t="s">
        <v>27</v>
      </c>
    </row>
    <row r="1252">
      <c r="A1252" s="7" t="s">
        <v>33</v>
      </c>
      <c r="B1252" s="7" t="s">
        <v>1199</v>
      </c>
      <c r="C1252" s="8">
        <f>IFERROR(__xludf.DUMMYFUNCTION("SPLIT(B1252,""RM"")"),855000.0)</f>
        <v>855000</v>
      </c>
      <c r="D1252" s="7" t="s">
        <v>35</v>
      </c>
      <c r="E1252" s="7">
        <v>3.0</v>
      </c>
      <c r="G1252" s="7" t="s">
        <v>83</v>
      </c>
      <c r="H1252" s="7" t="s">
        <v>36</v>
      </c>
      <c r="I1252" s="7" t="s">
        <v>251</v>
      </c>
    </row>
    <row r="1253">
      <c r="A1253" s="7" t="s">
        <v>104</v>
      </c>
      <c r="B1253" s="7" t="s">
        <v>1200</v>
      </c>
      <c r="C1253" s="8">
        <f>IFERROR(__xludf.DUMMYFUNCTION("SPLIT(B1253,""RM"")"),599000.0)</f>
        <v>599000</v>
      </c>
      <c r="D1253" s="7">
        <v>4.0</v>
      </c>
      <c r="E1253" s="7">
        <v>2.0</v>
      </c>
      <c r="G1253" s="7" t="s">
        <v>343</v>
      </c>
      <c r="H1253" s="7" t="s">
        <v>1201</v>
      </c>
      <c r="I1253" s="7" t="s">
        <v>27</v>
      </c>
    </row>
    <row r="1254">
      <c r="A1254" s="7" t="s">
        <v>428</v>
      </c>
      <c r="B1254" s="7" t="s">
        <v>42</v>
      </c>
      <c r="C1254" s="8">
        <f>IFERROR(__xludf.DUMMYFUNCTION("SPLIT(B1254,""RM"")"),2600000.0)</f>
        <v>2600000</v>
      </c>
      <c r="D1254" s="7" t="s">
        <v>60</v>
      </c>
      <c r="E1254" s="7">
        <v>7.0</v>
      </c>
      <c r="F1254" s="7">
        <v>2.0</v>
      </c>
      <c r="G1254" s="7" t="s">
        <v>487</v>
      </c>
      <c r="H1254" s="7" t="s">
        <v>1202</v>
      </c>
      <c r="I1254" s="7" t="s">
        <v>27</v>
      </c>
    </row>
    <row r="1255">
      <c r="A1255" s="7" t="s">
        <v>177</v>
      </c>
      <c r="B1255" s="7" t="s">
        <v>1203</v>
      </c>
      <c r="C1255" s="8">
        <f>IFERROR(__xludf.DUMMYFUNCTION("SPLIT(B1255,""RM"")"),1.82E7)</f>
        <v>18200000</v>
      </c>
      <c r="G1255" s="7" t="s">
        <v>1204</v>
      </c>
      <c r="H1255" s="7" t="s">
        <v>1205</v>
      </c>
    </row>
    <row r="1256">
      <c r="A1256" s="7" t="s">
        <v>104</v>
      </c>
      <c r="B1256" s="7" t="s">
        <v>966</v>
      </c>
      <c r="C1256" s="8">
        <f>IFERROR(__xludf.DUMMYFUNCTION("SPLIT(B1256,""RM"")"),688000.0)</f>
        <v>688000</v>
      </c>
      <c r="D1256" s="7">
        <v>3.0</v>
      </c>
      <c r="E1256" s="7">
        <v>2.0</v>
      </c>
      <c r="G1256" s="7" t="s">
        <v>343</v>
      </c>
      <c r="H1256" s="7" t="s">
        <v>1121</v>
      </c>
      <c r="I1256" s="7" t="s">
        <v>103</v>
      </c>
    </row>
    <row r="1257">
      <c r="A1257" s="7" t="s">
        <v>358</v>
      </c>
      <c r="B1257" s="7" t="s">
        <v>967</v>
      </c>
      <c r="C1257" s="8">
        <f>IFERROR(__xludf.DUMMYFUNCTION("SPLIT(B1257,""RM"")"),680000.0)</f>
        <v>680000</v>
      </c>
      <c r="D1257" s="7" t="s">
        <v>57</v>
      </c>
      <c r="E1257" s="7">
        <v>4.0</v>
      </c>
      <c r="G1257" s="7" t="s">
        <v>93</v>
      </c>
      <c r="H1257" s="7" t="s">
        <v>360</v>
      </c>
      <c r="I1257" s="7" t="s">
        <v>27</v>
      </c>
    </row>
    <row r="1258">
      <c r="A1258" s="7" t="s">
        <v>104</v>
      </c>
      <c r="B1258" s="7" t="s">
        <v>967</v>
      </c>
      <c r="C1258" s="8">
        <f>IFERROR(__xludf.DUMMYFUNCTION("SPLIT(B1258,""RM"")"),680000.0)</f>
        <v>680000</v>
      </c>
      <c r="D1258" s="7">
        <v>3.0</v>
      </c>
      <c r="E1258" s="7">
        <v>2.0</v>
      </c>
      <c r="F1258" s="7">
        <v>2.0</v>
      </c>
      <c r="G1258" s="7" t="s">
        <v>343</v>
      </c>
      <c r="H1258" s="7" t="s">
        <v>1121</v>
      </c>
      <c r="I1258" s="7" t="s">
        <v>27</v>
      </c>
    </row>
    <row r="1259">
      <c r="A1259" s="7" t="s">
        <v>104</v>
      </c>
      <c r="B1259" s="7" t="s">
        <v>18</v>
      </c>
      <c r="C1259" s="8">
        <f>IFERROR(__xludf.DUMMYFUNCTION("SPLIT(B1259,""RM"")"),1250000.0)</f>
        <v>1250000</v>
      </c>
      <c r="D1259" s="7">
        <v>4.0</v>
      </c>
      <c r="E1259" s="7">
        <v>4.0</v>
      </c>
      <c r="G1259" s="7" t="s">
        <v>90</v>
      </c>
      <c r="H1259" s="7" t="s">
        <v>719</v>
      </c>
      <c r="I1259" s="7" t="s">
        <v>22</v>
      </c>
    </row>
    <row r="1260">
      <c r="A1260" s="7" t="s">
        <v>358</v>
      </c>
      <c r="B1260" s="7" t="s">
        <v>286</v>
      </c>
      <c r="C1260" s="8">
        <f>IFERROR(__xludf.DUMMYFUNCTION("SPLIT(B1260,""RM"")"),668000.0)</f>
        <v>668000</v>
      </c>
      <c r="D1260" s="7">
        <v>3.0</v>
      </c>
      <c r="E1260" s="7">
        <v>3.0</v>
      </c>
      <c r="G1260" s="7" t="s">
        <v>54</v>
      </c>
      <c r="H1260" s="7" t="s">
        <v>106</v>
      </c>
      <c r="I1260" s="7" t="s">
        <v>22</v>
      </c>
    </row>
    <row r="1261">
      <c r="A1261" s="7" t="s">
        <v>17</v>
      </c>
      <c r="B1261" s="7" t="s">
        <v>1206</v>
      </c>
      <c r="C1261" s="8">
        <f>IFERROR(__xludf.DUMMYFUNCTION("SPLIT(B1261,""RM"")"),1435000.0)</f>
        <v>1435000</v>
      </c>
      <c r="D1261" s="7" t="s">
        <v>325</v>
      </c>
      <c r="E1261" s="7">
        <v>1.0</v>
      </c>
      <c r="G1261" s="7" t="s">
        <v>82</v>
      </c>
      <c r="H1261" s="7" t="s">
        <v>1207</v>
      </c>
      <c r="I1261" s="7" t="s">
        <v>27</v>
      </c>
    </row>
    <row r="1262">
      <c r="A1262" s="7" t="s">
        <v>148</v>
      </c>
      <c r="B1262" s="7" t="s">
        <v>309</v>
      </c>
      <c r="C1262" s="8">
        <f>IFERROR(__xludf.DUMMYFUNCTION("SPLIT(B1262,""RM"")"),2100000.0)</f>
        <v>2100000</v>
      </c>
      <c r="D1262" s="7" t="s">
        <v>35</v>
      </c>
      <c r="E1262" s="7">
        <v>5.0</v>
      </c>
      <c r="F1262" s="7">
        <v>3.0</v>
      </c>
      <c r="G1262" s="7" t="s">
        <v>90</v>
      </c>
      <c r="H1262" s="7" t="s">
        <v>1208</v>
      </c>
      <c r="I1262" s="7" t="s">
        <v>27</v>
      </c>
    </row>
    <row r="1263">
      <c r="A1263" s="7" t="s">
        <v>100</v>
      </c>
      <c r="B1263" s="7" t="s">
        <v>407</v>
      </c>
      <c r="C1263" s="8">
        <f>IFERROR(__xludf.DUMMYFUNCTION("SPLIT(B1263,""RM"")"),880000.0)</f>
        <v>880000</v>
      </c>
      <c r="D1263" s="7" t="s">
        <v>57</v>
      </c>
      <c r="E1263" s="7">
        <v>4.0</v>
      </c>
      <c r="F1263" s="7">
        <v>2.0</v>
      </c>
      <c r="G1263" s="7" t="s">
        <v>30</v>
      </c>
      <c r="H1263" s="7" t="s">
        <v>1072</v>
      </c>
      <c r="I1263" s="7" t="s">
        <v>22</v>
      </c>
    </row>
    <row r="1264">
      <c r="A1264" s="7" t="s">
        <v>17</v>
      </c>
      <c r="B1264" s="7" t="s">
        <v>599</v>
      </c>
      <c r="C1264" s="8">
        <f>IFERROR(__xludf.DUMMYFUNCTION("SPLIT(B1264,""RM"")"),950000.0)</f>
        <v>950000</v>
      </c>
      <c r="D1264" s="7">
        <v>2.0</v>
      </c>
      <c r="E1264" s="7">
        <v>2.0</v>
      </c>
      <c r="F1264" s="7">
        <v>1.0</v>
      </c>
      <c r="G1264" s="7" t="s">
        <v>96</v>
      </c>
      <c r="H1264" s="7" t="s">
        <v>1209</v>
      </c>
      <c r="I1264" s="7" t="s">
        <v>22</v>
      </c>
    </row>
    <row r="1265">
      <c r="A1265" s="7" t="s">
        <v>33</v>
      </c>
      <c r="B1265" s="7" t="s">
        <v>172</v>
      </c>
      <c r="C1265" s="8">
        <f>IFERROR(__xludf.DUMMYFUNCTION("SPLIT(B1265,""RM"")"),580000.0)</f>
        <v>580000</v>
      </c>
      <c r="D1265" s="7">
        <v>3.0</v>
      </c>
      <c r="E1265" s="7">
        <v>2.0</v>
      </c>
      <c r="F1265" s="7">
        <v>2.0</v>
      </c>
      <c r="G1265" s="7" t="s">
        <v>30</v>
      </c>
      <c r="H1265" s="7" t="s">
        <v>716</v>
      </c>
      <c r="I1265" s="7" t="s">
        <v>27</v>
      </c>
    </row>
    <row r="1266">
      <c r="A1266" s="7" t="s">
        <v>100</v>
      </c>
      <c r="B1266" s="7" t="s">
        <v>648</v>
      </c>
      <c r="C1266" s="8">
        <f>IFERROR(__xludf.DUMMYFUNCTION("SPLIT(B1266,""RM"")"),568000.0)</f>
        <v>568000</v>
      </c>
      <c r="D1266" s="7">
        <v>2.0</v>
      </c>
      <c r="E1266" s="7">
        <v>2.0</v>
      </c>
      <c r="F1266" s="7">
        <v>1.0</v>
      </c>
      <c r="G1266" s="7" t="s">
        <v>121</v>
      </c>
      <c r="H1266" s="7" t="s">
        <v>1210</v>
      </c>
      <c r="I1266" s="7" t="s">
        <v>22</v>
      </c>
    </row>
    <row r="1267">
      <c r="A1267" s="7" t="s">
        <v>72</v>
      </c>
      <c r="B1267" s="7" t="s">
        <v>311</v>
      </c>
      <c r="C1267" s="8">
        <f>IFERROR(__xludf.DUMMYFUNCTION("SPLIT(B1267,""RM"")"),1100000.0)</f>
        <v>1100000</v>
      </c>
      <c r="D1267" s="7">
        <v>1.0</v>
      </c>
      <c r="E1267" s="7">
        <v>1.0</v>
      </c>
      <c r="F1267" s="7">
        <v>1.0</v>
      </c>
      <c r="G1267" s="7" t="s">
        <v>938</v>
      </c>
      <c r="H1267" s="7" t="s">
        <v>1211</v>
      </c>
      <c r="I1267" s="7" t="s">
        <v>22</v>
      </c>
    </row>
    <row r="1268">
      <c r="A1268" s="7" t="s">
        <v>37</v>
      </c>
      <c r="B1268" s="7" t="s">
        <v>641</v>
      </c>
      <c r="C1268" s="8">
        <f>IFERROR(__xludf.DUMMYFUNCTION("SPLIT(B1268,""RM"")"),830000.0)</f>
        <v>830000</v>
      </c>
      <c r="D1268" s="7">
        <v>2.0</v>
      </c>
      <c r="E1268" s="7">
        <v>2.0</v>
      </c>
      <c r="F1268" s="7">
        <v>1.0</v>
      </c>
      <c r="G1268" s="7" t="s">
        <v>82</v>
      </c>
      <c r="I1268" s="7" t="s">
        <v>27</v>
      </c>
    </row>
    <row r="1269">
      <c r="A1269" s="7" t="s">
        <v>37</v>
      </c>
      <c r="B1269" s="7" t="s">
        <v>311</v>
      </c>
      <c r="C1269" s="8">
        <f>IFERROR(__xludf.DUMMYFUNCTION("SPLIT(B1269,""RM"")"),1100000.0)</f>
        <v>1100000</v>
      </c>
      <c r="D1269" s="7">
        <v>3.0</v>
      </c>
      <c r="E1269" s="7">
        <v>2.0</v>
      </c>
      <c r="G1269" s="7" t="s">
        <v>82</v>
      </c>
      <c r="H1269" s="7" t="s">
        <v>1212</v>
      </c>
      <c r="I1269" s="7" t="s">
        <v>22</v>
      </c>
    </row>
    <row r="1270">
      <c r="A1270" s="7" t="s">
        <v>33</v>
      </c>
      <c r="B1270" s="7" t="s">
        <v>1199</v>
      </c>
      <c r="C1270" s="8">
        <f>IFERROR(__xludf.DUMMYFUNCTION("SPLIT(B1270,""RM"")"),855000.0)</f>
        <v>855000</v>
      </c>
      <c r="D1270" s="7">
        <v>3.0</v>
      </c>
      <c r="E1270" s="7">
        <v>2.0</v>
      </c>
      <c r="G1270" s="7" t="s">
        <v>83</v>
      </c>
      <c r="H1270" s="7" t="s">
        <v>36</v>
      </c>
      <c r="I1270" s="7" t="s">
        <v>27</v>
      </c>
    </row>
    <row r="1271">
      <c r="A1271" s="7" t="s">
        <v>1014</v>
      </c>
      <c r="B1271" s="7" t="s">
        <v>1213</v>
      </c>
      <c r="C1271" s="8">
        <f>IFERROR(__xludf.DUMMYFUNCTION("SPLIT(B1271,""RM"")"),388000.0)</f>
        <v>388000</v>
      </c>
      <c r="D1271" s="7">
        <v>2.0</v>
      </c>
      <c r="E1271" s="7">
        <v>1.0</v>
      </c>
      <c r="F1271" s="7">
        <v>1.0</v>
      </c>
      <c r="G1271" s="7" t="s">
        <v>30</v>
      </c>
      <c r="H1271" s="7" t="s">
        <v>200</v>
      </c>
      <c r="I1271" s="7" t="s">
        <v>22</v>
      </c>
    </row>
    <row r="1272">
      <c r="A1272" s="7" t="s">
        <v>28</v>
      </c>
      <c r="B1272" s="7" t="s">
        <v>1214</v>
      </c>
      <c r="C1272" s="8">
        <f>IFERROR(__xludf.DUMMYFUNCTION("SPLIT(B1272,""RM"")"),385600.0)</f>
        <v>385600</v>
      </c>
      <c r="D1272" s="7" t="s">
        <v>197</v>
      </c>
      <c r="E1272" s="7">
        <v>1.0</v>
      </c>
      <c r="F1272" s="7">
        <v>1.0</v>
      </c>
      <c r="G1272" s="7" t="s">
        <v>82</v>
      </c>
      <c r="H1272" s="7" t="s">
        <v>1215</v>
      </c>
      <c r="I1272" s="7" t="s">
        <v>27</v>
      </c>
    </row>
    <row r="1273">
      <c r="A1273" s="7" t="s">
        <v>100</v>
      </c>
      <c r="B1273" s="7" t="s">
        <v>890</v>
      </c>
      <c r="C1273" s="8">
        <f>IFERROR(__xludf.DUMMYFUNCTION("SPLIT(B1273,""RM"")"),450000.0)</f>
        <v>450000</v>
      </c>
      <c r="D1273" s="7">
        <v>3.0</v>
      </c>
      <c r="E1273" s="7">
        <v>2.0</v>
      </c>
      <c r="G1273" s="7" t="s">
        <v>83</v>
      </c>
      <c r="H1273" s="7" t="s">
        <v>1216</v>
      </c>
      <c r="I1273" s="7" t="s">
        <v>27</v>
      </c>
    </row>
    <row r="1274">
      <c r="A1274" s="7" t="s">
        <v>33</v>
      </c>
      <c r="B1274" s="7" t="s">
        <v>940</v>
      </c>
      <c r="C1274" s="8">
        <f>IFERROR(__xludf.DUMMYFUNCTION("SPLIT(B1274,""RM"")"),4300000.0)</f>
        <v>4300000</v>
      </c>
      <c r="D1274" s="7" t="s">
        <v>299</v>
      </c>
      <c r="E1274" s="7">
        <v>8.0</v>
      </c>
      <c r="G1274" s="7" t="s">
        <v>25</v>
      </c>
      <c r="H1274" s="7" t="s">
        <v>1217</v>
      </c>
      <c r="I1274" s="7" t="s">
        <v>22</v>
      </c>
    </row>
    <row r="1275">
      <c r="A1275" s="7" t="s">
        <v>32</v>
      </c>
      <c r="B1275" s="7" t="s">
        <v>1218</v>
      </c>
      <c r="C1275" s="8">
        <f>IFERROR(__xludf.DUMMYFUNCTION("SPLIT(B1275,""RM"")"),280000.0)</f>
        <v>280000</v>
      </c>
      <c r="D1275" s="7">
        <v>3.0</v>
      </c>
      <c r="E1275" s="7">
        <v>2.0</v>
      </c>
      <c r="F1275" s="7">
        <v>1.0</v>
      </c>
      <c r="G1275" s="7" t="s">
        <v>354</v>
      </c>
      <c r="H1275" s="7" t="s">
        <v>924</v>
      </c>
      <c r="I1275" s="7" t="s">
        <v>27</v>
      </c>
    </row>
    <row r="1276">
      <c r="A1276" s="7" t="s">
        <v>32</v>
      </c>
      <c r="B1276" s="7" t="s">
        <v>1219</v>
      </c>
      <c r="C1276" s="8">
        <f>IFERROR(__xludf.DUMMYFUNCTION("SPLIT(B1276,""RM"")"),468600.0)</f>
        <v>468600</v>
      </c>
      <c r="D1276" s="7">
        <v>2.0</v>
      </c>
      <c r="E1276" s="7">
        <v>2.0</v>
      </c>
      <c r="F1276" s="7">
        <v>2.0</v>
      </c>
      <c r="G1276" s="7" t="s">
        <v>93</v>
      </c>
      <c r="H1276" s="7" t="s">
        <v>1220</v>
      </c>
      <c r="I1276" s="7" t="s">
        <v>103</v>
      </c>
    </row>
    <row r="1277">
      <c r="A1277" s="7" t="s">
        <v>33</v>
      </c>
      <c r="B1277" s="7" t="s">
        <v>361</v>
      </c>
      <c r="C1277" s="8">
        <f>IFERROR(__xludf.DUMMYFUNCTION("SPLIT(B1277,""RM"")"),530000.0)</f>
        <v>530000</v>
      </c>
      <c r="D1277" s="7">
        <v>3.0</v>
      </c>
      <c r="E1277" s="7">
        <v>2.0</v>
      </c>
      <c r="F1277" s="7">
        <v>2.0</v>
      </c>
      <c r="G1277" s="7" t="s">
        <v>93</v>
      </c>
      <c r="H1277" s="7" t="s">
        <v>1221</v>
      </c>
      <c r="I1277" s="7" t="s">
        <v>103</v>
      </c>
    </row>
    <row r="1278">
      <c r="A1278" s="7" t="s">
        <v>164</v>
      </c>
      <c r="B1278" s="7" t="s">
        <v>1222</v>
      </c>
      <c r="C1278" s="8">
        <f>IFERROR(__xludf.DUMMYFUNCTION("SPLIT(B1278,""RM"")"),6350000.0)</f>
        <v>6350000</v>
      </c>
      <c r="D1278" s="7" t="s">
        <v>35</v>
      </c>
      <c r="E1278" s="7">
        <v>5.0</v>
      </c>
      <c r="F1278" s="7">
        <v>3.0</v>
      </c>
      <c r="G1278" s="7" t="s">
        <v>312</v>
      </c>
      <c r="H1278" s="7" t="s">
        <v>1223</v>
      </c>
      <c r="I1278" s="7" t="s">
        <v>27</v>
      </c>
    </row>
    <row r="1279">
      <c r="A1279" s="7" t="s">
        <v>164</v>
      </c>
      <c r="B1279" s="7" t="s">
        <v>567</v>
      </c>
      <c r="C1279" s="8">
        <f>IFERROR(__xludf.DUMMYFUNCTION("SPLIT(B1279,""RM"")"),5149700.0)</f>
        <v>5149700</v>
      </c>
      <c r="D1279" s="7">
        <v>4.0</v>
      </c>
      <c r="E1279" s="7">
        <v>4.0</v>
      </c>
      <c r="F1279" s="7">
        <v>3.0</v>
      </c>
      <c r="G1279" s="7" t="s">
        <v>312</v>
      </c>
      <c r="H1279" s="7" t="s">
        <v>568</v>
      </c>
      <c r="I1279" s="7" t="s">
        <v>22</v>
      </c>
    </row>
    <row r="1280">
      <c r="A1280" s="7" t="s">
        <v>100</v>
      </c>
      <c r="B1280" s="7" t="s">
        <v>1124</v>
      </c>
      <c r="C1280" s="8">
        <f>IFERROR(__xludf.DUMMYFUNCTION("SPLIT(B1280,""RM"")"),2080000.0)</f>
        <v>2080000</v>
      </c>
      <c r="D1280" s="7">
        <v>5.0</v>
      </c>
      <c r="E1280" s="7">
        <v>3.0</v>
      </c>
      <c r="G1280" s="7" t="s">
        <v>61</v>
      </c>
      <c r="H1280" s="7" t="s">
        <v>798</v>
      </c>
      <c r="I1280" s="7" t="s">
        <v>27</v>
      </c>
    </row>
    <row r="1281">
      <c r="A1281" s="7" t="s">
        <v>33</v>
      </c>
      <c r="B1281" s="7" t="s">
        <v>1079</v>
      </c>
      <c r="C1281" s="8">
        <f>IFERROR(__xludf.DUMMYFUNCTION("SPLIT(B1281,""RM"")"),2350000.0)</f>
        <v>2350000</v>
      </c>
      <c r="D1281" s="7" t="s">
        <v>60</v>
      </c>
      <c r="E1281" s="7">
        <v>5.0</v>
      </c>
      <c r="G1281" s="7" t="s">
        <v>282</v>
      </c>
      <c r="H1281" s="7" t="s">
        <v>1224</v>
      </c>
      <c r="I1281" s="7" t="s">
        <v>27</v>
      </c>
    </row>
    <row r="1282">
      <c r="A1282" s="7" t="s">
        <v>41</v>
      </c>
      <c r="B1282" s="7" t="s">
        <v>1225</v>
      </c>
      <c r="C1282" s="8">
        <f>IFERROR(__xludf.DUMMYFUNCTION("SPLIT(B1282,""RM"")"),1290000.0)</f>
        <v>1290000</v>
      </c>
      <c r="D1282" s="7">
        <v>5.0</v>
      </c>
      <c r="E1282" s="7">
        <v>4.0</v>
      </c>
      <c r="G1282" s="7" t="s">
        <v>203</v>
      </c>
      <c r="H1282" s="7" t="s">
        <v>1226</v>
      </c>
      <c r="I1282" s="7" t="s">
        <v>27</v>
      </c>
    </row>
    <row r="1283">
      <c r="A1283" s="7" t="s">
        <v>33</v>
      </c>
      <c r="B1283" s="7" t="s">
        <v>193</v>
      </c>
      <c r="C1283" s="8">
        <f>IFERROR(__xludf.DUMMYFUNCTION("SPLIT(B1283,""RM"")"),1650000.0)</f>
        <v>1650000</v>
      </c>
      <c r="D1283" s="7">
        <v>6.0</v>
      </c>
      <c r="E1283" s="7">
        <v>5.0</v>
      </c>
      <c r="G1283" s="7" t="s">
        <v>282</v>
      </c>
      <c r="H1283" s="7" t="s">
        <v>1129</v>
      </c>
      <c r="I1283" s="7" t="s">
        <v>27</v>
      </c>
    </row>
    <row r="1284">
      <c r="A1284" s="7" t="s">
        <v>33</v>
      </c>
      <c r="B1284" s="7" t="s">
        <v>144</v>
      </c>
      <c r="C1284" s="8">
        <f>IFERROR(__xludf.DUMMYFUNCTION("SPLIT(B1284,""RM"")"),1800000.0)</f>
        <v>1800000</v>
      </c>
      <c r="D1284" s="7">
        <v>5.0</v>
      </c>
      <c r="E1284" s="7">
        <v>4.0</v>
      </c>
      <c r="G1284" s="7" t="s">
        <v>203</v>
      </c>
      <c r="H1284" s="7" t="s">
        <v>1227</v>
      </c>
      <c r="I1284" s="7" t="s">
        <v>27</v>
      </c>
    </row>
    <row r="1285">
      <c r="A1285" s="7" t="s">
        <v>33</v>
      </c>
      <c r="B1285" s="7" t="s">
        <v>381</v>
      </c>
      <c r="C1285" s="8">
        <f>IFERROR(__xludf.DUMMYFUNCTION("SPLIT(B1285,""RM"")"),960000.0)</f>
        <v>960000</v>
      </c>
      <c r="D1285" s="7">
        <v>3.0</v>
      </c>
      <c r="E1285" s="7">
        <v>2.0</v>
      </c>
      <c r="F1285" s="7">
        <v>2.0</v>
      </c>
      <c r="G1285" s="7" t="s">
        <v>121</v>
      </c>
      <c r="H1285" s="7" t="s">
        <v>1112</v>
      </c>
      <c r="I1285" s="7" t="s">
        <v>103</v>
      </c>
    </row>
    <row r="1286">
      <c r="A1286" s="7" t="s">
        <v>48</v>
      </c>
      <c r="B1286" s="7" t="s">
        <v>346</v>
      </c>
      <c r="C1286" s="8">
        <f>IFERROR(__xludf.DUMMYFUNCTION("SPLIT(B1286,""RM"")"),638000.0)</f>
        <v>638000</v>
      </c>
      <c r="D1286" s="7" t="s">
        <v>57</v>
      </c>
      <c r="E1286" s="7">
        <v>3.0</v>
      </c>
      <c r="F1286" s="7">
        <v>1.0</v>
      </c>
      <c r="G1286" s="7" t="s">
        <v>20</v>
      </c>
      <c r="H1286" s="7" t="s">
        <v>1228</v>
      </c>
      <c r="I1286" s="7" t="s">
        <v>22</v>
      </c>
    </row>
    <row r="1287">
      <c r="A1287" s="7" t="s">
        <v>72</v>
      </c>
      <c r="B1287" s="7" t="s">
        <v>1229</v>
      </c>
      <c r="C1287" s="8">
        <f>IFERROR(__xludf.DUMMYFUNCTION("SPLIT(B1287,""RM"")"),2719000.0)</f>
        <v>2719000</v>
      </c>
      <c r="D1287" s="7" t="s">
        <v>35</v>
      </c>
      <c r="E1287" s="7">
        <v>6.0</v>
      </c>
      <c r="F1287" s="7">
        <v>3.0</v>
      </c>
      <c r="G1287" s="7" t="s">
        <v>30</v>
      </c>
      <c r="H1287" s="7" t="s">
        <v>1230</v>
      </c>
      <c r="I1287" s="7" t="s">
        <v>27</v>
      </c>
    </row>
    <row r="1288">
      <c r="A1288" s="7" t="s">
        <v>267</v>
      </c>
      <c r="B1288" s="7" t="s">
        <v>1019</v>
      </c>
      <c r="C1288" s="8">
        <f>IFERROR(__xludf.DUMMYFUNCTION("SPLIT(B1288,""RM"")"),486000.0)</f>
        <v>486000</v>
      </c>
      <c r="D1288" s="7">
        <v>3.0</v>
      </c>
      <c r="E1288" s="7">
        <v>2.0</v>
      </c>
      <c r="G1288" s="7" t="s">
        <v>121</v>
      </c>
      <c r="H1288" s="7" t="s">
        <v>1020</v>
      </c>
      <c r="I1288" s="7" t="s">
        <v>251</v>
      </c>
    </row>
    <row r="1289">
      <c r="A1289" s="7" t="s">
        <v>28</v>
      </c>
      <c r="B1289" s="7" t="s">
        <v>329</v>
      </c>
      <c r="C1289" s="8">
        <f>IFERROR(__xludf.DUMMYFUNCTION("SPLIT(B1289,""RM"")"),1200000.0)</f>
        <v>1200000</v>
      </c>
      <c r="D1289" s="7">
        <v>3.0</v>
      </c>
      <c r="E1289" s="7">
        <v>3.0</v>
      </c>
      <c r="F1289" s="7">
        <v>2.0</v>
      </c>
      <c r="G1289" s="7" t="s">
        <v>83</v>
      </c>
      <c r="H1289" s="7" t="s">
        <v>1231</v>
      </c>
      <c r="I1289" s="7" t="s">
        <v>27</v>
      </c>
    </row>
    <row r="1290">
      <c r="A1290" s="7" t="s">
        <v>177</v>
      </c>
      <c r="B1290" s="7" t="s">
        <v>298</v>
      </c>
      <c r="C1290" s="8">
        <f>IFERROR(__xludf.DUMMYFUNCTION("SPLIT(B1290,""RM"")"),5600000.0)</f>
        <v>5600000</v>
      </c>
      <c r="D1290" s="7">
        <v>6.0</v>
      </c>
      <c r="E1290" s="7">
        <v>5.0</v>
      </c>
      <c r="G1290" s="7" t="s">
        <v>25</v>
      </c>
      <c r="H1290" s="7" t="s">
        <v>1232</v>
      </c>
    </row>
    <row r="1291">
      <c r="A1291" s="7" t="s">
        <v>72</v>
      </c>
      <c r="B1291" s="7" t="s">
        <v>967</v>
      </c>
      <c r="C1291" s="8">
        <f>IFERROR(__xludf.DUMMYFUNCTION("SPLIT(B1291,""RM"")"),680000.0)</f>
        <v>680000</v>
      </c>
      <c r="D1291" s="7">
        <v>3.0</v>
      </c>
      <c r="E1291" s="7">
        <v>2.0</v>
      </c>
      <c r="F1291" s="7">
        <v>1.0</v>
      </c>
      <c r="G1291" s="7" t="s">
        <v>83</v>
      </c>
      <c r="H1291" s="7" t="s">
        <v>690</v>
      </c>
      <c r="I1291" s="7" t="s">
        <v>22</v>
      </c>
    </row>
    <row r="1292">
      <c r="A1292" s="7" t="s">
        <v>65</v>
      </c>
      <c r="B1292" s="7" t="s">
        <v>277</v>
      </c>
      <c r="C1292" s="8">
        <f>IFERROR(__xludf.DUMMYFUNCTION("SPLIT(B1292,""RM"")"),2200000.0)</f>
        <v>2200000</v>
      </c>
      <c r="D1292" s="7" t="s">
        <v>35</v>
      </c>
      <c r="E1292" s="7">
        <v>5.0</v>
      </c>
      <c r="F1292" s="7">
        <v>3.0</v>
      </c>
      <c r="G1292" s="7" t="s">
        <v>30</v>
      </c>
      <c r="H1292" s="7" t="s">
        <v>1233</v>
      </c>
      <c r="I1292" s="7" t="s">
        <v>22</v>
      </c>
    </row>
    <row r="1293">
      <c r="A1293" s="7" t="s">
        <v>155</v>
      </c>
      <c r="B1293" s="7" t="s">
        <v>353</v>
      </c>
      <c r="C1293" s="8">
        <f>IFERROR(__xludf.DUMMYFUNCTION("SPLIT(B1293,""RM"")"),350000.0)</f>
        <v>350000</v>
      </c>
      <c r="D1293" s="7" t="s">
        <v>1234</v>
      </c>
      <c r="E1293" s="7">
        <v>2.0</v>
      </c>
      <c r="G1293" s="7" t="s">
        <v>20</v>
      </c>
      <c r="H1293" s="7" t="s">
        <v>1235</v>
      </c>
    </row>
    <row r="1294">
      <c r="A1294" s="7" t="s">
        <v>32</v>
      </c>
      <c r="B1294" s="7" t="s">
        <v>1236</v>
      </c>
      <c r="C1294" s="8">
        <f>IFERROR(__xludf.DUMMYFUNCTION("SPLIT(B1294,""RM"")"),474000.0)</f>
        <v>474000</v>
      </c>
      <c r="D1294" s="7">
        <v>2.0</v>
      </c>
      <c r="E1294" s="7">
        <v>2.0</v>
      </c>
      <c r="F1294" s="7">
        <v>2.0</v>
      </c>
      <c r="G1294" s="7" t="s">
        <v>93</v>
      </c>
      <c r="H1294" s="7" t="s">
        <v>1237</v>
      </c>
      <c r="I1294" s="7" t="s">
        <v>103</v>
      </c>
    </row>
    <row r="1295">
      <c r="A1295" s="7" t="s">
        <v>23</v>
      </c>
      <c r="B1295" s="7" t="s">
        <v>1238</v>
      </c>
      <c r="C1295" s="8">
        <f>IFERROR(__xludf.DUMMYFUNCTION("SPLIT(B1295,""RM"")"),2.2E7)</f>
        <v>22000000</v>
      </c>
      <c r="D1295" s="7">
        <v>8.0</v>
      </c>
      <c r="E1295" s="7">
        <v>12.0</v>
      </c>
      <c r="F1295" s="7">
        <v>13.0</v>
      </c>
      <c r="G1295" s="7" t="s">
        <v>25</v>
      </c>
      <c r="H1295" s="7" t="s">
        <v>1239</v>
      </c>
    </row>
    <row r="1296">
      <c r="A1296" s="7" t="s">
        <v>23</v>
      </c>
      <c r="B1296" s="7" t="s">
        <v>1240</v>
      </c>
      <c r="C1296" s="8">
        <f>IFERROR(__xludf.DUMMYFUNCTION("SPLIT(B1296,""RM"")"),1.25E7)</f>
        <v>12500000</v>
      </c>
      <c r="D1296" s="7" t="s">
        <v>218</v>
      </c>
      <c r="E1296" s="7">
        <v>9.0</v>
      </c>
      <c r="F1296" s="7">
        <v>8.0</v>
      </c>
      <c r="G1296" s="7" t="s">
        <v>25</v>
      </c>
      <c r="H1296" s="7" t="s">
        <v>696</v>
      </c>
      <c r="I1296" s="7" t="s">
        <v>22</v>
      </c>
    </row>
    <row r="1297">
      <c r="A1297" s="7" t="s">
        <v>188</v>
      </c>
      <c r="B1297" s="7" t="s">
        <v>34</v>
      </c>
      <c r="C1297" s="8">
        <f>IFERROR(__xludf.DUMMYFUNCTION("SPLIT(B1297,""RM"")"),900000.0)</f>
        <v>900000</v>
      </c>
      <c r="D1297" s="7">
        <v>3.0</v>
      </c>
      <c r="E1297" s="7">
        <v>3.0</v>
      </c>
      <c r="G1297" s="7" t="s">
        <v>20</v>
      </c>
      <c r="H1297" s="7" t="s">
        <v>819</v>
      </c>
    </row>
    <row r="1298">
      <c r="A1298" s="7" t="s">
        <v>77</v>
      </c>
      <c r="B1298" s="7" t="s">
        <v>475</v>
      </c>
      <c r="C1298" s="8">
        <f>IFERROR(__xludf.DUMMYFUNCTION("SPLIT(B1298,""RM"")"),2800000.0)</f>
        <v>2800000</v>
      </c>
      <c r="D1298" s="7" t="s">
        <v>35</v>
      </c>
      <c r="E1298" s="7">
        <v>4.0</v>
      </c>
      <c r="F1298" s="7">
        <v>2.0</v>
      </c>
      <c r="G1298" s="7" t="s">
        <v>46</v>
      </c>
      <c r="H1298" s="7" t="s">
        <v>274</v>
      </c>
      <c r="I1298" s="7" t="s">
        <v>27</v>
      </c>
    </row>
    <row r="1299">
      <c r="A1299" s="7" t="s">
        <v>1241</v>
      </c>
      <c r="B1299" s="7" t="s">
        <v>327</v>
      </c>
      <c r="C1299" s="8">
        <f>IFERROR(__xludf.DUMMYFUNCTION("SPLIT(B1299,""RM"")"),1300000.0)</f>
        <v>1300000</v>
      </c>
      <c r="D1299" s="7" t="s">
        <v>57</v>
      </c>
      <c r="E1299" s="7">
        <v>2.0</v>
      </c>
      <c r="F1299" s="7">
        <v>2.0</v>
      </c>
      <c r="G1299" s="7" t="s">
        <v>20</v>
      </c>
      <c r="H1299" s="7" t="s">
        <v>1242</v>
      </c>
      <c r="I1299" s="7" t="s">
        <v>27</v>
      </c>
    </row>
    <row r="1300">
      <c r="A1300" s="7" t="s">
        <v>1241</v>
      </c>
      <c r="B1300" s="7" t="s">
        <v>1166</v>
      </c>
      <c r="C1300" s="8">
        <f>IFERROR(__xludf.DUMMYFUNCTION("SPLIT(B1300,""RM"")"),760000.0)</f>
        <v>760000</v>
      </c>
      <c r="D1300" s="7">
        <v>2.0</v>
      </c>
      <c r="E1300" s="7">
        <v>2.0</v>
      </c>
      <c r="F1300" s="7">
        <v>2.0</v>
      </c>
      <c r="G1300" s="7" t="s">
        <v>121</v>
      </c>
      <c r="H1300" s="7" t="s">
        <v>237</v>
      </c>
      <c r="I1300" s="7" t="s">
        <v>27</v>
      </c>
    </row>
    <row r="1301">
      <c r="A1301" s="7" t="s">
        <v>1241</v>
      </c>
      <c r="B1301" s="7" t="s">
        <v>168</v>
      </c>
      <c r="C1301" s="8">
        <f>IFERROR(__xludf.DUMMYFUNCTION("SPLIT(B1301,""RM"")"),750000.0)</f>
        <v>750000</v>
      </c>
      <c r="D1301" s="7">
        <v>2.0</v>
      </c>
      <c r="E1301" s="7">
        <v>2.0</v>
      </c>
      <c r="F1301" s="7">
        <v>2.0</v>
      </c>
      <c r="G1301" s="7" t="s">
        <v>20</v>
      </c>
      <c r="I1301" s="7" t="s">
        <v>22</v>
      </c>
    </row>
    <row r="1302">
      <c r="A1302" s="7" t="s">
        <v>1241</v>
      </c>
      <c r="B1302" s="7" t="s">
        <v>229</v>
      </c>
      <c r="C1302" s="8">
        <f>IFERROR(__xludf.DUMMYFUNCTION("SPLIT(B1302,""RM"")"),1050000.0)</f>
        <v>1050000</v>
      </c>
      <c r="D1302" s="7">
        <v>2.0</v>
      </c>
      <c r="E1302" s="7">
        <v>2.0</v>
      </c>
      <c r="F1302" s="7">
        <v>2.0</v>
      </c>
      <c r="G1302" s="7" t="s">
        <v>82</v>
      </c>
      <c r="H1302" s="7" t="s">
        <v>1243</v>
      </c>
      <c r="I1302" s="7" t="s">
        <v>27</v>
      </c>
    </row>
    <row r="1303">
      <c r="A1303" s="7" t="s">
        <v>428</v>
      </c>
      <c r="B1303" s="7" t="s">
        <v>221</v>
      </c>
      <c r="C1303" s="8">
        <f>IFERROR(__xludf.DUMMYFUNCTION("SPLIT(B1303,""RM"")"),630000.0)</f>
        <v>630000</v>
      </c>
      <c r="D1303" s="7">
        <v>2.0</v>
      </c>
      <c r="E1303" s="7">
        <v>2.0</v>
      </c>
      <c r="F1303" s="7">
        <v>1.0</v>
      </c>
      <c r="G1303" s="7" t="s">
        <v>20</v>
      </c>
      <c r="H1303" s="7" t="s">
        <v>1244</v>
      </c>
      <c r="I1303" s="7" t="s">
        <v>27</v>
      </c>
    </row>
    <row r="1304">
      <c r="A1304" s="7" t="s">
        <v>72</v>
      </c>
      <c r="B1304" s="7" t="s">
        <v>118</v>
      </c>
      <c r="C1304" s="8">
        <f>IFERROR(__xludf.DUMMYFUNCTION("SPLIT(B1304,""RM"")"),1720000.0)</f>
        <v>1720000</v>
      </c>
      <c r="D1304" s="7" t="s">
        <v>57</v>
      </c>
      <c r="E1304" s="7">
        <v>3.0</v>
      </c>
      <c r="G1304" s="7" t="s">
        <v>83</v>
      </c>
      <c r="H1304" s="7" t="s">
        <v>404</v>
      </c>
      <c r="I1304" s="7" t="s">
        <v>22</v>
      </c>
    </row>
    <row r="1305">
      <c r="A1305" s="7" t="s">
        <v>17</v>
      </c>
      <c r="B1305" s="7" t="s">
        <v>311</v>
      </c>
      <c r="C1305" s="8">
        <f>IFERROR(__xludf.DUMMYFUNCTION("SPLIT(B1305,""RM"")"),1100000.0)</f>
        <v>1100000</v>
      </c>
      <c r="D1305" s="7" t="s">
        <v>288</v>
      </c>
      <c r="E1305" s="7">
        <v>4.0</v>
      </c>
      <c r="G1305" s="7" t="s">
        <v>121</v>
      </c>
      <c r="H1305" s="7" t="s">
        <v>192</v>
      </c>
      <c r="I1305" s="7" t="s">
        <v>22</v>
      </c>
    </row>
    <row r="1306">
      <c r="A1306" s="7" t="s">
        <v>17</v>
      </c>
      <c r="B1306" s="7" t="s">
        <v>302</v>
      </c>
      <c r="C1306" s="8">
        <f>IFERROR(__xludf.DUMMYFUNCTION("SPLIT(B1306,""RM"")"),1260000.0)</f>
        <v>1260000</v>
      </c>
      <c r="D1306" s="7" t="s">
        <v>57</v>
      </c>
      <c r="E1306" s="7">
        <v>4.0</v>
      </c>
      <c r="G1306" s="7" t="s">
        <v>121</v>
      </c>
      <c r="H1306" s="7" t="s">
        <v>490</v>
      </c>
      <c r="I1306" s="7" t="s">
        <v>27</v>
      </c>
    </row>
    <row r="1307">
      <c r="A1307" s="7" t="s">
        <v>17</v>
      </c>
      <c r="B1307" s="7" t="s">
        <v>245</v>
      </c>
      <c r="C1307" s="8">
        <f>IFERROR(__xludf.DUMMYFUNCTION("SPLIT(B1307,""RM"")"),800000.0)</f>
        <v>800000</v>
      </c>
      <c r="D1307" s="7">
        <v>1.0</v>
      </c>
      <c r="E1307" s="7">
        <v>2.0</v>
      </c>
      <c r="G1307" s="7" t="s">
        <v>82</v>
      </c>
      <c r="H1307" s="7" t="s">
        <v>1245</v>
      </c>
      <c r="I1307" s="7" t="s">
        <v>27</v>
      </c>
    </row>
    <row r="1308">
      <c r="A1308" s="7" t="s">
        <v>17</v>
      </c>
      <c r="B1308" s="7" t="s">
        <v>1114</v>
      </c>
      <c r="C1308" s="8">
        <f>IFERROR(__xludf.DUMMYFUNCTION("SPLIT(B1308,""RM"")"),890000.0)</f>
        <v>890000</v>
      </c>
      <c r="D1308" s="7" t="s">
        <v>19</v>
      </c>
      <c r="E1308" s="7">
        <v>3.0</v>
      </c>
      <c r="G1308" s="7" t="s">
        <v>20</v>
      </c>
      <c r="H1308" s="7" t="s">
        <v>519</v>
      </c>
      <c r="I1308" s="7" t="s">
        <v>103</v>
      </c>
    </row>
    <row r="1309">
      <c r="A1309" s="7" t="s">
        <v>17</v>
      </c>
      <c r="B1309" s="7" t="s">
        <v>134</v>
      </c>
      <c r="C1309" s="8">
        <f>IFERROR(__xludf.DUMMYFUNCTION("SPLIT(B1309,""RM"")"),1150000.0)</f>
        <v>1150000</v>
      </c>
      <c r="D1309" s="7" t="s">
        <v>57</v>
      </c>
      <c r="E1309" s="7">
        <v>4.0</v>
      </c>
      <c r="F1309" s="7">
        <v>2.0</v>
      </c>
      <c r="G1309" s="7" t="s">
        <v>82</v>
      </c>
      <c r="H1309" s="7" t="s">
        <v>594</v>
      </c>
      <c r="I1309" s="7" t="s">
        <v>27</v>
      </c>
    </row>
    <row r="1310">
      <c r="A1310" s="7" t="s">
        <v>155</v>
      </c>
      <c r="B1310" s="7" t="s">
        <v>1098</v>
      </c>
      <c r="C1310" s="8">
        <f>IFERROR(__xludf.DUMMYFUNCTION("SPLIT(B1310,""RM"")"),810000.0)</f>
        <v>810000</v>
      </c>
      <c r="D1310" s="7">
        <v>3.0</v>
      </c>
      <c r="E1310" s="7">
        <v>3.0</v>
      </c>
      <c r="F1310" s="7">
        <v>2.0</v>
      </c>
      <c r="G1310" s="7" t="s">
        <v>83</v>
      </c>
      <c r="H1310" s="7" t="s">
        <v>630</v>
      </c>
      <c r="I1310" s="7" t="s">
        <v>27</v>
      </c>
    </row>
    <row r="1311">
      <c r="A1311" s="7" t="s">
        <v>155</v>
      </c>
      <c r="B1311" s="7" t="s">
        <v>156</v>
      </c>
      <c r="C1311" s="8">
        <f>IFERROR(__xludf.DUMMYFUNCTION("SPLIT(B1311,""RM"")"),850000.0)</f>
        <v>850000</v>
      </c>
      <c r="D1311" s="7" t="s">
        <v>57</v>
      </c>
      <c r="E1311" s="7">
        <v>4.0</v>
      </c>
      <c r="F1311" s="7">
        <v>2.0</v>
      </c>
      <c r="G1311" s="7" t="s">
        <v>83</v>
      </c>
      <c r="H1311" s="7" t="s">
        <v>345</v>
      </c>
      <c r="I1311" s="7" t="s">
        <v>27</v>
      </c>
    </row>
    <row r="1312">
      <c r="A1312" s="7" t="s">
        <v>155</v>
      </c>
      <c r="B1312" s="7" t="s">
        <v>967</v>
      </c>
      <c r="C1312" s="8">
        <f>IFERROR(__xludf.DUMMYFUNCTION("SPLIT(B1312,""RM"")"),680000.0)</f>
        <v>680000</v>
      </c>
      <c r="D1312" s="7" t="s">
        <v>19</v>
      </c>
      <c r="E1312" s="7">
        <v>3.0</v>
      </c>
      <c r="F1312" s="7">
        <v>1.0</v>
      </c>
      <c r="G1312" s="7" t="s">
        <v>83</v>
      </c>
      <c r="H1312" s="7" t="s">
        <v>952</v>
      </c>
      <c r="I1312" s="7" t="s">
        <v>27</v>
      </c>
    </row>
    <row r="1313">
      <c r="A1313" s="7" t="s">
        <v>155</v>
      </c>
      <c r="B1313" s="7" t="s">
        <v>229</v>
      </c>
      <c r="C1313" s="8">
        <f>IFERROR(__xludf.DUMMYFUNCTION("SPLIT(B1313,""RM"")"),1050000.0)</f>
        <v>1050000</v>
      </c>
      <c r="D1313" s="7" t="s">
        <v>57</v>
      </c>
      <c r="E1313" s="7">
        <v>4.0</v>
      </c>
      <c r="F1313" s="7">
        <v>2.0</v>
      </c>
      <c r="G1313" s="7" t="s">
        <v>83</v>
      </c>
      <c r="H1313" s="7" t="s">
        <v>1246</v>
      </c>
      <c r="I1313" s="7" t="s">
        <v>27</v>
      </c>
    </row>
    <row r="1314">
      <c r="A1314" s="7" t="s">
        <v>155</v>
      </c>
      <c r="B1314" s="7" t="s">
        <v>191</v>
      </c>
      <c r="C1314" s="8">
        <f>IFERROR(__xludf.DUMMYFUNCTION("SPLIT(B1314,""RM"")"),1000000.0)</f>
        <v>1000000</v>
      </c>
      <c r="D1314" s="7" t="s">
        <v>57</v>
      </c>
      <c r="E1314" s="7">
        <v>4.0</v>
      </c>
      <c r="F1314" s="7">
        <v>2.0</v>
      </c>
      <c r="G1314" s="7" t="s">
        <v>83</v>
      </c>
      <c r="H1314" s="7" t="s">
        <v>382</v>
      </c>
      <c r="I1314" s="7" t="s">
        <v>27</v>
      </c>
    </row>
    <row r="1315">
      <c r="A1315" s="7" t="s">
        <v>100</v>
      </c>
      <c r="B1315" s="7" t="s">
        <v>854</v>
      </c>
      <c r="C1315" s="8">
        <f>IFERROR(__xludf.DUMMYFUNCTION("SPLIT(B1315,""RM"")"),690000.0)</f>
        <v>690000</v>
      </c>
      <c r="D1315" s="7">
        <v>4.0</v>
      </c>
      <c r="E1315" s="7">
        <v>4.0</v>
      </c>
      <c r="F1315" s="7">
        <v>2.0</v>
      </c>
      <c r="G1315" s="7" t="s">
        <v>96</v>
      </c>
      <c r="H1315" s="7" t="s">
        <v>1247</v>
      </c>
      <c r="I1315" s="7" t="s">
        <v>22</v>
      </c>
    </row>
    <row r="1316">
      <c r="A1316" s="7" t="s">
        <v>371</v>
      </c>
      <c r="B1316" s="7" t="s">
        <v>419</v>
      </c>
      <c r="C1316" s="8">
        <f>IFERROR(__xludf.DUMMYFUNCTION("SPLIT(B1316,""RM"")"),990000.0)</f>
        <v>990000</v>
      </c>
      <c r="D1316" s="7" t="s">
        <v>57</v>
      </c>
      <c r="E1316" s="7">
        <v>4.0</v>
      </c>
      <c r="F1316" s="7">
        <v>2.0</v>
      </c>
      <c r="G1316" s="7" t="s">
        <v>96</v>
      </c>
      <c r="H1316" s="7" t="s">
        <v>1198</v>
      </c>
      <c r="I1316" s="7" t="s">
        <v>27</v>
      </c>
    </row>
    <row r="1317">
      <c r="A1317" s="7" t="s">
        <v>188</v>
      </c>
      <c r="B1317" s="7" t="s">
        <v>1248</v>
      </c>
      <c r="C1317" s="8">
        <f>IFERROR(__xludf.DUMMYFUNCTION("SPLIT(B1317,""RM"")"),1285000.0)</f>
        <v>1285000</v>
      </c>
      <c r="D1317" s="7">
        <v>3.0</v>
      </c>
      <c r="E1317" s="7">
        <v>2.0</v>
      </c>
      <c r="F1317" s="7">
        <v>2.0</v>
      </c>
      <c r="G1317" s="7" t="s">
        <v>20</v>
      </c>
      <c r="H1317" s="7" t="s">
        <v>1249</v>
      </c>
      <c r="I1317" s="7" t="s">
        <v>22</v>
      </c>
    </row>
    <row r="1318">
      <c r="A1318" s="7" t="s">
        <v>371</v>
      </c>
      <c r="B1318" s="7" t="s">
        <v>311</v>
      </c>
      <c r="C1318" s="8">
        <f>IFERROR(__xludf.DUMMYFUNCTION("SPLIT(B1318,""RM"")"),1100000.0)</f>
        <v>1100000</v>
      </c>
      <c r="D1318" s="7" t="s">
        <v>57</v>
      </c>
      <c r="E1318" s="7">
        <v>4.0</v>
      </c>
      <c r="F1318" s="7">
        <v>2.0</v>
      </c>
      <c r="G1318" s="7" t="s">
        <v>96</v>
      </c>
      <c r="H1318" s="7" t="s">
        <v>1165</v>
      </c>
      <c r="I1318" s="7" t="s">
        <v>27</v>
      </c>
    </row>
    <row r="1319">
      <c r="A1319" s="7" t="s">
        <v>100</v>
      </c>
      <c r="B1319" s="7" t="s">
        <v>229</v>
      </c>
      <c r="C1319" s="8">
        <f>IFERROR(__xludf.DUMMYFUNCTION("SPLIT(B1319,""RM"")"),1050000.0)</f>
        <v>1050000</v>
      </c>
      <c r="D1319" s="7" t="s">
        <v>57</v>
      </c>
      <c r="E1319" s="7">
        <v>4.0</v>
      </c>
      <c r="F1319" s="7">
        <v>2.0</v>
      </c>
      <c r="G1319" s="7" t="s">
        <v>83</v>
      </c>
      <c r="H1319" s="7" t="s">
        <v>31</v>
      </c>
      <c r="I1319" s="7" t="s">
        <v>103</v>
      </c>
    </row>
    <row r="1320">
      <c r="A1320" s="7" t="s">
        <v>89</v>
      </c>
      <c r="B1320" s="7" t="s">
        <v>1250</v>
      </c>
      <c r="C1320" s="8">
        <f>IFERROR(__xludf.DUMMYFUNCTION("SPLIT(B1320,""RM"")"),3350000.0)</f>
        <v>3350000</v>
      </c>
      <c r="D1320" s="7" t="s">
        <v>35</v>
      </c>
      <c r="E1320" s="7">
        <v>5.0</v>
      </c>
      <c r="F1320" s="7">
        <v>4.0</v>
      </c>
      <c r="G1320" s="7" t="s">
        <v>487</v>
      </c>
      <c r="H1320" s="7" t="s">
        <v>1251</v>
      </c>
      <c r="I1320" s="7" t="s">
        <v>27</v>
      </c>
    </row>
    <row r="1321">
      <c r="A1321" s="7" t="s">
        <v>100</v>
      </c>
      <c r="B1321" s="7" t="s">
        <v>134</v>
      </c>
      <c r="C1321" s="8">
        <f>IFERROR(__xludf.DUMMYFUNCTION("SPLIT(B1321,""RM"")"),1150000.0)</f>
        <v>1150000</v>
      </c>
      <c r="D1321" s="7" t="s">
        <v>288</v>
      </c>
      <c r="E1321" s="7">
        <v>2.0</v>
      </c>
      <c r="F1321" s="7">
        <v>2.0</v>
      </c>
      <c r="G1321" s="7" t="s">
        <v>96</v>
      </c>
      <c r="H1321" s="7" t="s">
        <v>1252</v>
      </c>
      <c r="I1321" s="7" t="s">
        <v>103</v>
      </c>
    </row>
    <row r="1322">
      <c r="A1322" s="7" t="s">
        <v>104</v>
      </c>
      <c r="B1322" s="7" t="s">
        <v>18</v>
      </c>
      <c r="C1322" s="8">
        <f>IFERROR(__xludf.DUMMYFUNCTION("SPLIT(B1322,""RM"")"),1250000.0)</f>
        <v>1250000</v>
      </c>
      <c r="D1322" s="7">
        <v>6.0</v>
      </c>
      <c r="E1322" s="7">
        <v>4.0</v>
      </c>
      <c r="G1322" s="7" t="s">
        <v>184</v>
      </c>
      <c r="H1322" s="7" t="s">
        <v>1253</v>
      </c>
    </row>
    <row r="1323">
      <c r="A1323" s="7" t="s">
        <v>267</v>
      </c>
      <c r="B1323" s="7" t="s">
        <v>221</v>
      </c>
      <c r="C1323" s="8">
        <f>IFERROR(__xludf.DUMMYFUNCTION("SPLIT(B1323,""RM"")"),630000.0)</f>
        <v>630000</v>
      </c>
      <c r="D1323" s="7">
        <v>3.0</v>
      </c>
      <c r="E1323" s="7">
        <v>2.0</v>
      </c>
      <c r="F1323" s="7">
        <v>1.0</v>
      </c>
      <c r="G1323" s="7" t="s">
        <v>20</v>
      </c>
      <c r="H1323" s="7" t="s">
        <v>954</v>
      </c>
      <c r="I1323" s="7" t="s">
        <v>27</v>
      </c>
    </row>
    <row r="1324">
      <c r="A1324" s="7" t="s">
        <v>32</v>
      </c>
      <c r="B1324" s="7" t="s">
        <v>807</v>
      </c>
      <c r="C1324" s="8">
        <f>IFERROR(__xludf.DUMMYFUNCTION("SPLIT(B1324,""RM"")"),1430000.0)</f>
        <v>1430000</v>
      </c>
      <c r="D1324" s="7">
        <v>5.0</v>
      </c>
      <c r="E1324" s="7">
        <v>5.0</v>
      </c>
      <c r="F1324" s="7">
        <v>4.0</v>
      </c>
      <c r="G1324" s="7" t="s">
        <v>90</v>
      </c>
      <c r="H1324" s="7" t="s">
        <v>170</v>
      </c>
      <c r="I1324" s="7" t="s">
        <v>27</v>
      </c>
    </row>
    <row r="1325">
      <c r="A1325" s="7" t="s">
        <v>177</v>
      </c>
      <c r="B1325" s="7" t="s">
        <v>1254</v>
      </c>
      <c r="C1325" s="8">
        <f>IFERROR(__xludf.DUMMYFUNCTION("SPLIT(B1325,""RM"")"),6950000.0)</f>
        <v>6950000</v>
      </c>
      <c r="D1325" s="7" t="s">
        <v>35</v>
      </c>
      <c r="E1325" s="7">
        <v>6.0</v>
      </c>
      <c r="F1325" s="7">
        <v>3.0</v>
      </c>
      <c r="G1325" s="7" t="s">
        <v>30</v>
      </c>
      <c r="H1325" s="7" t="s">
        <v>574</v>
      </c>
      <c r="I1325" s="7" t="s">
        <v>27</v>
      </c>
    </row>
    <row r="1326">
      <c r="A1326" s="7" t="s">
        <v>177</v>
      </c>
      <c r="B1326" s="7" t="s">
        <v>1255</v>
      </c>
      <c r="C1326" s="8">
        <f>IFERROR(__xludf.DUMMYFUNCTION("SPLIT(B1326,""RM"")"),6480000.0)</f>
        <v>6480000</v>
      </c>
      <c r="D1326" s="7" t="s">
        <v>57</v>
      </c>
      <c r="E1326" s="7">
        <v>5.0</v>
      </c>
      <c r="F1326" s="7">
        <v>3.0</v>
      </c>
      <c r="G1326" s="7" t="s">
        <v>30</v>
      </c>
      <c r="H1326" s="7" t="s">
        <v>572</v>
      </c>
      <c r="I1326" s="7" t="s">
        <v>27</v>
      </c>
    </row>
    <row r="1327">
      <c r="A1327" s="7" t="s">
        <v>177</v>
      </c>
      <c r="B1327" s="7" t="s">
        <v>1256</v>
      </c>
      <c r="C1327" s="8">
        <f>IFERROR(__xludf.DUMMYFUNCTION("SPLIT(B1327,""RM"")"),6880000.0)</f>
        <v>6880000</v>
      </c>
      <c r="D1327" s="7" t="s">
        <v>35</v>
      </c>
      <c r="E1327" s="7">
        <v>6.0</v>
      </c>
      <c r="F1327" s="7">
        <v>3.0</v>
      </c>
      <c r="G1327" s="7" t="s">
        <v>30</v>
      </c>
      <c r="H1327" s="7" t="s">
        <v>550</v>
      </c>
      <c r="I1327" s="7" t="s">
        <v>27</v>
      </c>
    </row>
    <row r="1328">
      <c r="A1328" s="7" t="s">
        <v>177</v>
      </c>
      <c r="B1328" s="7" t="s">
        <v>1257</v>
      </c>
      <c r="C1328" s="8">
        <f>IFERROR(__xludf.DUMMYFUNCTION("SPLIT(B1328,""RM"")"),8480000.0)</f>
        <v>8480000</v>
      </c>
      <c r="D1328" s="7" t="s">
        <v>35</v>
      </c>
      <c r="E1328" s="7">
        <v>6.0</v>
      </c>
      <c r="F1328" s="7">
        <v>4.0</v>
      </c>
      <c r="G1328" s="7" t="s">
        <v>30</v>
      </c>
      <c r="H1328" s="7" t="s">
        <v>586</v>
      </c>
      <c r="I1328" s="7" t="s">
        <v>27</v>
      </c>
    </row>
    <row r="1329">
      <c r="A1329" s="7" t="s">
        <v>104</v>
      </c>
      <c r="B1329" s="7" t="s">
        <v>1258</v>
      </c>
      <c r="C1329" s="8">
        <f>IFERROR(__xludf.DUMMYFUNCTION("SPLIT(B1329,""RM"")"),465000.0)</f>
        <v>465000</v>
      </c>
      <c r="D1329" s="7">
        <v>3.0</v>
      </c>
      <c r="E1329" s="7">
        <v>2.0</v>
      </c>
      <c r="F1329" s="7">
        <v>1.0</v>
      </c>
      <c r="G1329" s="7" t="s">
        <v>93</v>
      </c>
      <c r="H1329" s="7" t="s">
        <v>1178</v>
      </c>
      <c r="I1329" s="7" t="s">
        <v>27</v>
      </c>
    </row>
    <row r="1330">
      <c r="A1330" s="7" t="s">
        <v>72</v>
      </c>
      <c r="B1330" s="7" t="s">
        <v>1259</v>
      </c>
      <c r="C1330" s="8">
        <f>IFERROR(__xludf.DUMMYFUNCTION("SPLIT(B1330,""RM"")"),3180000.0)</f>
        <v>3180000</v>
      </c>
      <c r="D1330" s="7" t="s">
        <v>60</v>
      </c>
      <c r="E1330" s="7">
        <v>5.0</v>
      </c>
      <c r="F1330" s="7">
        <v>5.0</v>
      </c>
      <c r="G1330" s="7" t="s">
        <v>43</v>
      </c>
      <c r="H1330" s="7" t="s">
        <v>1260</v>
      </c>
      <c r="I1330" s="7" t="s">
        <v>22</v>
      </c>
    </row>
    <row r="1331">
      <c r="A1331" s="7" t="s">
        <v>72</v>
      </c>
      <c r="B1331" s="7" t="s">
        <v>120</v>
      </c>
      <c r="C1331" s="8">
        <f>IFERROR(__xludf.DUMMYFUNCTION("SPLIT(B1331,""RM"")"),3600000.0)</f>
        <v>3600000</v>
      </c>
      <c r="D1331" s="7">
        <v>4.0</v>
      </c>
      <c r="E1331" s="7">
        <v>4.0</v>
      </c>
      <c r="F1331" s="7">
        <v>4.0</v>
      </c>
      <c r="G1331" s="7" t="s">
        <v>1036</v>
      </c>
      <c r="H1331" s="7" t="s">
        <v>1024</v>
      </c>
      <c r="I1331" s="7" t="s">
        <v>22</v>
      </c>
    </row>
    <row r="1332">
      <c r="A1332" s="7" t="s">
        <v>104</v>
      </c>
      <c r="B1332" s="7" t="s">
        <v>1261</v>
      </c>
      <c r="C1332" s="8">
        <f>IFERROR(__xludf.DUMMYFUNCTION("SPLIT(B1332,""RM"")"),2660000.0)</f>
        <v>2660000</v>
      </c>
      <c r="D1332" s="7">
        <v>6.0</v>
      </c>
      <c r="E1332" s="7">
        <v>5.0</v>
      </c>
      <c r="F1332" s="7">
        <v>6.0</v>
      </c>
      <c r="G1332" s="7" t="s">
        <v>67</v>
      </c>
      <c r="H1332" s="7" t="s">
        <v>631</v>
      </c>
      <c r="I1332" s="7" t="s">
        <v>27</v>
      </c>
    </row>
    <row r="1333">
      <c r="A1333" s="7" t="s">
        <v>104</v>
      </c>
      <c r="B1333" s="7" t="s">
        <v>403</v>
      </c>
      <c r="C1333" s="8">
        <f>IFERROR(__xludf.DUMMYFUNCTION("SPLIT(B1333,""RM"")"),1600000.0)</f>
        <v>1600000</v>
      </c>
      <c r="D1333" s="7">
        <v>5.0</v>
      </c>
      <c r="E1333" s="7">
        <v>4.0</v>
      </c>
      <c r="F1333" s="7">
        <v>5.0</v>
      </c>
      <c r="G1333" s="7" t="s">
        <v>184</v>
      </c>
      <c r="H1333" s="7" t="s">
        <v>1117</v>
      </c>
      <c r="I1333" s="7" t="s">
        <v>27</v>
      </c>
    </row>
    <row r="1334">
      <c r="A1334" s="7" t="s">
        <v>104</v>
      </c>
      <c r="B1334" s="7" t="s">
        <v>45</v>
      </c>
      <c r="C1334" s="8">
        <f>IFERROR(__xludf.DUMMYFUNCTION("SPLIT(B1334,""RM"")"),1950000.0)</f>
        <v>1950000</v>
      </c>
      <c r="D1334" s="7" t="s">
        <v>70</v>
      </c>
      <c r="E1334" s="7">
        <v>5.0</v>
      </c>
      <c r="F1334" s="7">
        <v>3.0</v>
      </c>
      <c r="G1334" s="7" t="s">
        <v>43</v>
      </c>
      <c r="H1334" s="7" t="s">
        <v>1262</v>
      </c>
      <c r="I1334" s="7" t="s">
        <v>27</v>
      </c>
    </row>
    <row r="1335">
      <c r="A1335" s="7" t="s">
        <v>358</v>
      </c>
      <c r="B1335" s="7" t="s">
        <v>210</v>
      </c>
      <c r="C1335" s="8">
        <f>IFERROR(__xludf.DUMMYFUNCTION("SPLIT(B1335,""RM"")"),1630000.0)</f>
        <v>1630000</v>
      </c>
      <c r="D1335" s="7">
        <v>5.0</v>
      </c>
      <c r="E1335" s="7">
        <v>5.0</v>
      </c>
      <c r="F1335" s="7">
        <v>2.0</v>
      </c>
      <c r="G1335" s="7" t="s">
        <v>90</v>
      </c>
      <c r="H1335" s="7" t="s">
        <v>211</v>
      </c>
      <c r="I1335" s="7" t="s">
        <v>27</v>
      </c>
    </row>
    <row r="1336">
      <c r="A1336" s="7" t="s">
        <v>72</v>
      </c>
      <c r="B1336" s="7" t="s">
        <v>130</v>
      </c>
      <c r="C1336" s="8">
        <f>IFERROR(__xludf.DUMMYFUNCTION("SPLIT(B1336,""RM"")"),2700000.0)</f>
        <v>2700000</v>
      </c>
      <c r="D1336" s="7">
        <v>5.0</v>
      </c>
      <c r="E1336" s="7">
        <v>5.0</v>
      </c>
      <c r="F1336" s="7">
        <v>3.0</v>
      </c>
      <c r="G1336" s="7" t="s">
        <v>43</v>
      </c>
      <c r="H1336" s="7" t="s">
        <v>1263</v>
      </c>
      <c r="I1336" s="7" t="s">
        <v>22</v>
      </c>
    </row>
    <row r="1337">
      <c r="A1337" s="7" t="s">
        <v>580</v>
      </c>
      <c r="B1337" s="7" t="s">
        <v>53</v>
      </c>
      <c r="C1337" s="8">
        <f>IFERROR(__xludf.DUMMYFUNCTION("SPLIT(B1337,""RM"")"),1680000.0)</f>
        <v>1680000</v>
      </c>
      <c r="D1337" s="7">
        <v>6.0</v>
      </c>
      <c r="E1337" s="7">
        <v>4.0</v>
      </c>
      <c r="F1337" s="7">
        <v>2.0</v>
      </c>
      <c r="G1337" s="7" t="s">
        <v>184</v>
      </c>
      <c r="H1337" s="7" t="s">
        <v>1264</v>
      </c>
      <c r="I1337" s="7" t="s">
        <v>27</v>
      </c>
    </row>
    <row r="1338" hidden="1">
      <c r="A1338" s="7" t="s">
        <v>177</v>
      </c>
      <c r="C1338" s="7" t="str">
        <f>IFERROR(__xludf.DUMMYFUNCTION("SPLIT(B1338,""RM"")"),"#VALUE!")</f>
        <v>#VALUE!</v>
      </c>
      <c r="D1338" s="7">
        <v>3.0</v>
      </c>
      <c r="E1338" s="7">
        <v>3.0</v>
      </c>
      <c r="F1338" s="7">
        <v>1.0</v>
      </c>
      <c r="G1338" s="7" t="s">
        <v>54</v>
      </c>
      <c r="H1338" s="7" t="s">
        <v>719</v>
      </c>
      <c r="I1338" s="7" t="s">
        <v>27</v>
      </c>
    </row>
    <row r="1339">
      <c r="A1339" s="7" t="s">
        <v>100</v>
      </c>
      <c r="B1339" s="7" t="s">
        <v>1104</v>
      </c>
      <c r="C1339" s="8">
        <f>IFERROR(__xludf.DUMMYFUNCTION("SPLIT(B1339,""RM"")"),995000.0)</f>
        <v>995000</v>
      </c>
      <c r="D1339" s="7" t="s">
        <v>57</v>
      </c>
      <c r="E1339" s="7">
        <v>3.0</v>
      </c>
      <c r="F1339" s="7">
        <v>2.0</v>
      </c>
      <c r="G1339" s="7" t="s">
        <v>93</v>
      </c>
      <c r="H1339" s="7" t="s">
        <v>1190</v>
      </c>
      <c r="I1339" s="7" t="s">
        <v>27</v>
      </c>
    </row>
    <row r="1340">
      <c r="A1340" s="7" t="s">
        <v>358</v>
      </c>
      <c r="B1340" s="7" t="s">
        <v>1265</v>
      </c>
      <c r="C1340" s="8">
        <f>IFERROR(__xludf.DUMMYFUNCTION("SPLIT(B1340,""RM"")"),338000.0)</f>
        <v>338000</v>
      </c>
      <c r="D1340" s="7">
        <v>2.0</v>
      </c>
      <c r="E1340" s="7">
        <v>2.0</v>
      </c>
      <c r="G1340" s="7" t="s">
        <v>54</v>
      </c>
      <c r="H1340" s="7" t="s">
        <v>1141</v>
      </c>
      <c r="I1340" s="7" t="s">
        <v>27</v>
      </c>
    </row>
    <row r="1341">
      <c r="A1341" s="7" t="s">
        <v>28</v>
      </c>
      <c r="B1341" s="7" t="s">
        <v>139</v>
      </c>
      <c r="C1341" s="8">
        <f>IFERROR(__xludf.DUMMYFUNCTION("SPLIT(B1341,""RM"")"),780000.0)</f>
        <v>780000</v>
      </c>
      <c r="D1341" s="7">
        <v>3.0</v>
      </c>
      <c r="E1341" s="7">
        <v>2.0</v>
      </c>
      <c r="F1341" s="7">
        <v>2.0</v>
      </c>
      <c r="G1341" s="7" t="s">
        <v>30</v>
      </c>
      <c r="I1341" s="7" t="s">
        <v>103</v>
      </c>
    </row>
    <row r="1342">
      <c r="A1342" s="7" t="s">
        <v>177</v>
      </c>
      <c r="B1342" s="7" t="s">
        <v>1124</v>
      </c>
      <c r="C1342" s="8">
        <f>IFERROR(__xludf.DUMMYFUNCTION("SPLIT(B1342,""RM"")"),2080000.0)</f>
        <v>2080000</v>
      </c>
      <c r="D1342" s="7">
        <v>3.0</v>
      </c>
      <c r="E1342" s="7">
        <v>3.0</v>
      </c>
      <c r="F1342" s="7">
        <v>1.0</v>
      </c>
      <c r="G1342" s="7" t="s">
        <v>54</v>
      </c>
      <c r="H1342" s="7" t="s">
        <v>719</v>
      </c>
      <c r="I1342" s="7" t="s">
        <v>27</v>
      </c>
    </row>
    <row r="1343">
      <c r="A1343" s="7" t="s">
        <v>33</v>
      </c>
      <c r="B1343" s="7" t="s">
        <v>206</v>
      </c>
      <c r="C1343" s="8">
        <f>IFERROR(__xludf.DUMMYFUNCTION("SPLIT(B1343,""RM"")"),920000.0)</f>
        <v>920000</v>
      </c>
      <c r="D1343" s="7">
        <v>3.0</v>
      </c>
      <c r="E1343" s="7">
        <v>2.0</v>
      </c>
      <c r="F1343" s="7">
        <v>2.0</v>
      </c>
      <c r="G1343" s="7" t="s">
        <v>20</v>
      </c>
      <c r="H1343" s="7" t="s">
        <v>795</v>
      </c>
      <c r="I1343" s="7" t="s">
        <v>27</v>
      </c>
    </row>
    <row r="1344">
      <c r="A1344" s="7" t="s">
        <v>33</v>
      </c>
      <c r="B1344" s="7" t="s">
        <v>245</v>
      </c>
      <c r="C1344" s="8">
        <f>IFERROR(__xludf.DUMMYFUNCTION("SPLIT(B1344,""RM"")"),800000.0)</f>
        <v>800000</v>
      </c>
      <c r="D1344" s="7">
        <v>3.0</v>
      </c>
      <c r="E1344" s="7">
        <v>2.0</v>
      </c>
      <c r="F1344" s="7">
        <v>2.0</v>
      </c>
      <c r="G1344" s="7" t="s">
        <v>20</v>
      </c>
      <c r="H1344" s="7" t="s">
        <v>795</v>
      </c>
      <c r="I1344" s="7" t="s">
        <v>27</v>
      </c>
    </row>
    <row r="1345">
      <c r="A1345" s="7" t="s">
        <v>33</v>
      </c>
      <c r="B1345" s="7" t="s">
        <v>1266</v>
      </c>
      <c r="C1345" s="8">
        <f>IFERROR(__xludf.DUMMYFUNCTION("SPLIT(B1345,""RM"")"),740000.0)</f>
        <v>740000</v>
      </c>
      <c r="D1345" s="7">
        <v>2.0</v>
      </c>
      <c r="E1345" s="7">
        <v>2.0</v>
      </c>
      <c r="F1345" s="7">
        <v>1.0</v>
      </c>
      <c r="G1345" s="7" t="s">
        <v>20</v>
      </c>
      <c r="H1345" s="7" t="s">
        <v>976</v>
      </c>
      <c r="I1345" s="7" t="s">
        <v>27</v>
      </c>
    </row>
    <row r="1346">
      <c r="A1346" s="7" t="s">
        <v>33</v>
      </c>
      <c r="B1346" s="7" t="s">
        <v>1267</v>
      </c>
      <c r="C1346" s="8">
        <f>IFERROR(__xludf.DUMMYFUNCTION("SPLIT(B1346,""RM"")"),648000.0)</f>
        <v>648000</v>
      </c>
      <c r="D1346" s="7" t="s">
        <v>197</v>
      </c>
      <c r="E1346" s="7">
        <v>1.0</v>
      </c>
      <c r="F1346" s="7">
        <v>1.0</v>
      </c>
      <c r="G1346" s="7" t="s">
        <v>82</v>
      </c>
      <c r="H1346" s="7" t="s">
        <v>583</v>
      </c>
      <c r="I1346" s="7" t="s">
        <v>27</v>
      </c>
    </row>
    <row r="1347">
      <c r="A1347" s="7" t="s">
        <v>33</v>
      </c>
      <c r="B1347" s="7" t="s">
        <v>1268</v>
      </c>
      <c r="C1347" s="8">
        <f>IFERROR(__xludf.DUMMYFUNCTION("SPLIT(B1347,""RM"")"),1999999.0)</f>
        <v>1999999</v>
      </c>
      <c r="D1347" s="7" t="s">
        <v>35</v>
      </c>
      <c r="E1347" s="7">
        <v>5.0</v>
      </c>
      <c r="F1347" s="7">
        <v>3.0</v>
      </c>
      <c r="G1347" s="7" t="s">
        <v>312</v>
      </c>
      <c r="H1347" s="7" t="s">
        <v>1269</v>
      </c>
      <c r="I1347" s="7" t="s">
        <v>27</v>
      </c>
    </row>
    <row r="1348">
      <c r="A1348" s="7" t="s">
        <v>164</v>
      </c>
      <c r="B1348" s="7" t="s">
        <v>279</v>
      </c>
      <c r="C1348" s="8">
        <f>IFERROR(__xludf.DUMMYFUNCTION("SPLIT(B1348,""RM"")"),1380000.0)</f>
        <v>1380000</v>
      </c>
      <c r="D1348" s="7">
        <v>3.0</v>
      </c>
      <c r="E1348" s="7">
        <v>2.0</v>
      </c>
      <c r="F1348" s="7">
        <v>1.0</v>
      </c>
      <c r="G1348" s="7" t="s">
        <v>83</v>
      </c>
      <c r="H1348" s="7" t="s">
        <v>845</v>
      </c>
      <c r="I1348" s="7" t="s">
        <v>22</v>
      </c>
    </row>
    <row r="1349">
      <c r="A1349" s="7" t="s">
        <v>89</v>
      </c>
      <c r="B1349" s="7" t="s">
        <v>603</v>
      </c>
      <c r="C1349" s="8">
        <f>IFERROR(__xludf.DUMMYFUNCTION("SPLIT(B1349,""RM"")"),628000.0)</f>
        <v>628000</v>
      </c>
      <c r="D1349" s="7" t="s">
        <v>19</v>
      </c>
      <c r="E1349" s="7">
        <v>2.0</v>
      </c>
      <c r="F1349" s="7">
        <v>2.0</v>
      </c>
      <c r="G1349" s="7" t="s">
        <v>82</v>
      </c>
      <c r="H1349" s="7" t="s">
        <v>764</v>
      </c>
      <c r="I1349" s="7" t="s">
        <v>27</v>
      </c>
    </row>
    <row r="1350">
      <c r="A1350" s="7" t="s">
        <v>32</v>
      </c>
      <c r="B1350" s="7" t="s">
        <v>1218</v>
      </c>
      <c r="C1350" s="8">
        <f>IFERROR(__xludf.DUMMYFUNCTION("SPLIT(B1350,""RM"")"),280000.0)</f>
        <v>280000</v>
      </c>
      <c r="D1350" s="7">
        <v>3.0</v>
      </c>
      <c r="E1350" s="7">
        <v>2.0</v>
      </c>
      <c r="F1350" s="7">
        <v>1.0</v>
      </c>
      <c r="G1350" s="7" t="s">
        <v>354</v>
      </c>
      <c r="H1350" s="7" t="s">
        <v>1270</v>
      </c>
      <c r="I1350" s="7" t="s">
        <v>27</v>
      </c>
    </row>
    <row r="1351">
      <c r="A1351" s="7" t="s">
        <v>89</v>
      </c>
      <c r="B1351" s="7" t="s">
        <v>105</v>
      </c>
      <c r="C1351" s="8">
        <f>IFERROR(__xludf.DUMMYFUNCTION("SPLIT(B1351,""RM"")"),560000.0)</f>
        <v>560000</v>
      </c>
      <c r="D1351" s="7">
        <v>3.0</v>
      </c>
      <c r="E1351" s="7">
        <v>2.0</v>
      </c>
      <c r="F1351" s="7">
        <v>2.0</v>
      </c>
      <c r="G1351" s="7" t="s">
        <v>30</v>
      </c>
      <c r="H1351" s="7" t="s">
        <v>1271</v>
      </c>
      <c r="I1351" s="7" t="s">
        <v>22</v>
      </c>
    </row>
    <row r="1352">
      <c r="A1352" s="7" t="s">
        <v>100</v>
      </c>
      <c r="B1352" s="7" t="s">
        <v>1272</v>
      </c>
      <c r="C1352" s="8">
        <f>IFERROR(__xludf.DUMMYFUNCTION("SPLIT(B1352,""RM"")"),1288000.0)</f>
        <v>1288000</v>
      </c>
      <c r="D1352" s="7" t="s">
        <v>79</v>
      </c>
      <c r="E1352" s="7">
        <v>4.0</v>
      </c>
      <c r="F1352" s="7">
        <v>3.0</v>
      </c>
      <c r="G1352" s="7" t="s">
        <v>93</v>
      </c>
      <c r="H1352" s="7" t="s">
        <v>741</v>
      </c>
      <c r="I1352" s="7" t="s">
        <v>27</v>
      </c>
    </row>
    <row r="1353">
      <c r="A1353" s="7" t="s">
        <v>155</v>
      </c>
      <c r="B1353" s="7" t="s">
        <v>967</v>
      </c>
      <c r="C1353" s="8">
        <f>IFERROR(__xludf.DUMMYFUNCTION("SPLIT(B1353,""RM"")"),680000.0)</f>
        <v>680000</v>
      </c>
      <c r="D1353" s="7" t="s">
        <v>19</v>
      </c>
      <c r="E1353" s="7">
        <v>3.0</v>
      </c>
      <c r="F1353" s="7">
        <v>1.0</v>
      </c>
      <c r="G1353" s="7" t="s">
        <v>83</v>
      </c>
      <c r="H1353" s="7" t="s">
        <v>952</v>
      </c>
      <c r="I1353" s="7" t="s">
        <v>103</v>
      </c>
    </row>
    <row r="1354">
      <c r="A1354" s="7" t="s">
        <v>155</v>
      </c>
      <c r="B1354" s="7" t="s">
        <v>221</v>
      </c>
      <c r="C1354" s="8">
        <f>IFERROR(__xludf.DUMMYFUNCTION("SPLIT(B1354,""RM"")"),630000.0)</f>
        <v>630000</v>
      </c>
      <c r="D1354" s="7">
        <v>2.0</v>
      </c>
      <c r="E1354" s="7">
        <v>2.0</v>
      </c>
      <c r="F1354" s="7">
        <v>1.0</v>
      </c>
      <c r="G1354" s="7" t="s">
        <v>83</v>
      </c>
      <c r="H1354" s="7" t="s">
        <v>1273</v>
      </c>
      <c r="I1354" s="7" t="s">
        <v>27</v>
      </c>
    </row>
    <row r="1355">
      <c r="A1355" s="7" t="s">
        <v>33</v>
      </c>
      <c r="B1355" s="7" t="s">
        <v>372</v>
      </c>
      <c r="C1355" s="8">
        <f>IFERROR(__xludf.DUMMYFUNCTION("SPLIT(B1355,""RM"")"),700000.0)</f>
        <v>700000</v>
      </c>
      <c r="D1355" s="7" t="s">
        <v>57</v>
      </c>
      <c r="E1355" s="7">
        <v>3.0</v>
      </c>
      <c r="F1355" s="7">
        <v>2.0</v>
      </c>
      <c r="G1355" s="7" t="s">
        <v>30</v>
      </c>
      <c r="H1355" s="7" t="s">
        <v>1274</v>
      </c>
      <c r="I1355" s="7" t="s">
        <v>103</v>
      </c>
    </row>
    <row r="1356">
      <c r="A1356" s="7" t="s">
        <v>17</v>
      </c>
      <c r="B1356" s="7" t="s">
        <v>277</v>
      </c>
      <c r="C1356" s="8">
        <f>IFERROR(__xludf.DUMMYFUNCTION("SPLIT(B1356,""RM"")"),2200000.0)</f>
        <v>2200000</v>
      </c>
      <c r="D1356" s="7" t="s">
        <v>35</v>
      </c>
      <c r="E1356" s="7">
        <v>6.0</v>
      </c>
      <c r="F1356" s="7">
        <v>2.0</v>
      </c>
      <c r="G1356" s="7" t="s">
        <v>30</v>
      </c>
      <c r="H1356" s="7" t="s">
        <v>1275</v>
      </c>
      <c r="I1356" s="7" t="s">
        <v>27</v>
      </c>
    </row>
    <row r="1357">
      <c r="A1357" s="7" t="s">
        <v>17</v>
      </c>
      <c r="B1357" s="7" t="s">
        <v>281</v>
      </c>
      <c r="C1357" s="8">
        <f>IFERROR(__xludf.DUMMYFUNCTION("SPLIT(B1357,""RM"")"),2500000.0)</f>
        <v>2500000</v>
      </c>
      <c r="D1357" s="7" t="s">
        <v>35</v>
      </c>
      <c r="E1357" s="7">
        <v>6.0</v>
      </c>
      <c r="F1357" s="7">
        <v>2.0</v>
      </c>
      <c r="G1357" s="7" t="s">
        <v>30</v>
      </c>
      <c r="H1357" s="7" t="s">
        <v>1275</v>
      </c>
      <c r="I1357" s="7" t="s">
        <v>27</v>
      </c>
    </row>
    <row r="1358">
      <c r="A1358" s="7" t="s">
        <v>72</v>
      </c>
      <c r="B1358" s="7" t="s">
        <v>1276</v>
      </c>
      <c r="C1358" s="8">
        <f>IFERROR(__xludf.DUMMYFUNCTION("SPLIT(B1358,""RM"")"),1496000.0)</f>
        <v>1496000</v>
      </c>
      <c r="D1358" s="7" t="s">
        <v>57</v>
      </c>
      <c r="E1358" s="7">
        <v>4.0</v>
      </c>
      <c r="F1358" s="7">
        <v>3.0</v>
      </c>
      <c r="G1358" s="7" t="s">
        <v>83</v>
      </c>
      <c r="H1358" s="7" t="s">
        <v>334</v>
      </c>
      <c r="I1358" s="7" t="s">
        <v>27</v>
      </c>
    </row>
    <row r="1359">
      <c r="A1359" s="7" t="s">
        <v>17</v>
      </c>
      <c r="B1359" s="7" t="s">
        <v>1277</v>
      </c>
      <c r="C1359" s="8">
        <f>IFERROR(__xludf.DUMMYFUNCTION("SPLIT(B1359,""RM"")"),1295000.0)</f>
        <v>1295000</v>
      </c>
      <c r="D1359" s="7">
        <v>2.0</v>
      </c>
      <c r="E1359" s="7">
        <v>2.0</v>
      </c>
      <c r="F1359" s="7">
        <v>2.0</v>
      </c>
      <c r="G1359" s="7" t="s">
        <v>30</v>
      </c>
      <c r="H1359" s="7" t="s">
        <v>1243</v>
      </c>
      <c r="I1359" s="7" t="s">
        <v>22</v>
      </c>
    </row>
    <row r="1360">
      <c r="A1360" s="7" t="s">
        <v>32</v>
      </c>
      <c r="B1360" s="7" t="s">
        <v>73</v>
      </c>
      <c r="C1360" s="8">
        <f>IFERROR(__xludf.DUMMYFUNCTION("SPLIT(B1360,""RM"")"),1780000.0)</f>
        <v>1780000</v>
      </c>
      <c r="D1360" s="7">
        <v>6.0</v>
      </c>
      <c r="E1360" s="7">
        <v>6.0</v>
      </c>
      <c r="F1360" s="7">
        <v>4.0</v>
      </c>
      <c r="G1360" s="7" t="s">
        <v>487</v>
      </c>
      <c r="H1360" s="7" t="s">
        <v>1278</v>
      </c>
      <c r="I1360" s="7" t="s">
        <v>103</v>
      </c>
    </row>
    <row r="1361">
      <c r="A1361" s="7" t="s">
        <v>371</v>
      </c>
      <c r="B1361" s="7" t="s">
        <v>511</v>
      </c>
      <c r="C1361" s="8">
        <f>IFERROR(__xludf.DUMMYFUNCTION("SPLIT(B1361,""RM"")"),1198000.0)</f>
        <v>1198000</v>
      </c>
      <c r="D1361" s="7">
        <v>5.0</v>
      </c>
      <c r="E1361" s="7">
        <v>3.0</v>
      </c>
      <c r="F1361" s="7">
        <v>3.0</v>
      </c>
      <c r="G1361" s="7" t="s">
        <v>30</v>
      </c>
      <c r="H1361" s="7" t="s">
        <v>905</v>
      </c>
      <c r="I1361" s="7" t="s">
        <v>27</v>
      </c>
    </row>
    <row r="1362">
      <c r="A1362" s="7" t="s">
        <v>1158</v>
      </c>
      <c r="B1362" s="7" t="s">
        <v>346</v>
      </c>
      <c r="C1362" s="8">
        <f>IFERROR(__xludf.DUMMYFUNCTION("SPLIT(B1362,""RM"")"),638000.0)</f>
        <v>638000</v>
      </c>
      <c r="D1362" s="7" t="s">
        <v>325</v>
      </c>
      <c r="E1362" s="7">
        <v>1.0</v>
      </c>
      <c r="G1362" s="7" t="s">
        <v>82</v>
      </c>
      <c r="H1362" s="7" t="s">
        <v>1279</v>
      </c>
      <c r="I1362" s="7" t="s">
        <v>22</v>
      </c>
    </row>
    <row r="1363">
      <c r="A1363" s="7" t="s">
        <v>72</v>
      </c>
      <c r="B1363" s="7" t="s">
        <v>401</v>
      </c>
      <c r="C1363" s="8">
        <f>IFERROR(__xludf.DUMMYFUNCTION("SPLIT(B1363,""RM"")"),3380000.0)</f>
        <v>3380000</v>
      </c>
      <c r="D1363" s="7" t="s">
        <v>218</v>
      </c>
      <c r="E1363" s="7">
        <v>7.0</v>
      </c>
      <c r="G1363" s="7" t="s">
        <v>378</v>
      </c>
      <c r="H1363" s="7" t="s">
        <v>987</v>
      </c>
      <c r="I1363" s="7" t="s">
        <v>27</v>
      </c>
    </row>
    <row r="1364">
      <c r="A1364" s="7" t="s">
        <v>17</v>
      </c>
      <c r="B1364" s="7" t="s">
        <v>174</v>
      </c>
      <c r="C1364" s="8">
        <f>IFERROR(__xludf.DUMMYFUNCTION("SPLIT(B1364,""RM"")"),3000000.0)</f>
        <v>3000000</v>
      </c>
      <c r="D1364" s="7" t="s">
        <v>39</v>
      </c>
      <c r="E1364" s="7">
        <v>6.0</v>
      </c>
      <c r="G1364" s="7" t="s">
        <v>30</v>
      </c>
      <c r="H1364" s="7" t="s">
        <v>1174</v>
      </c>
      <c r="I1364" s="7" t="s">
        <v>27</v>
      </c>
    </row>
    <row r="1365">
      <c r="A1365" s="7" t="s">
        <v>72</v>
      </c>
      <c r="B1365" s="7" t="s">
        <v>174</v>
      </c>
      <c r="C1365" s="8">
        <f>IFERROR(__xludf.DUMMYFUNCTION("SPLIT(B1365,""RM"")"),3000000.0)</f>
        <v>3000000</v>
      </c>
      <c r="D1365" s="7" t="s">
        <v>39</v>
      </c>
      <c r="E1365" s="7">
        <v>6.0</v>
      </c>
      <c r="F1365" s="7">
        <v>3.0</v>
      </c>
      <c r="G1365" s="7" t="s">
        <v>30</v>
      </c>
      <c r="H1365" s="7" t="s">
        <v>933</v>
      </c>
      <c r="I1365" s="7" t="s">
        <v>27</v>
      </c>
    </row>
    <row r="1366">
      <c r="A1366" s="7" t="s">
        <v>180</v>
      </c>
      <c r="B1366" s="7" t="s">
        <v>292</v>
      </c>
      <c r="C1366" s="8">
        <f>IFERROR(__xludf.DUMMYFUNCTION("SPLIT(B1366,""RM"")"),3400000.0)</f>
        <v>3400000</v>
      </c>
      <c r="D1366" s="7" t="s">
        <v>57</v>
      </c>
      <c r="E1366" s="7">
        <v>4.0</v>
      </c>
      <c r="G1366" s="7" t="s">
        <v>30</v>
      </c>
      <c r="H1366" s="7" t="s">
        <v>1280</v>
      </c>
      <c r="I1366" s="7" t="s">
        <v>27</v>
      </c>
    </row>
    <row r="1367">
      <c r="A1367" s="7" t="s">
        <v>180</v>
      </c>
      <c r="B1367" s="7" t="s">
        <v>447</v>
      </c>
      <c r="C1367" s="8">
        <f>IFERROR(__xludf.DUMMYFUNCTION("SPLIT(B1367,""RM"")"),3700000.0)</f>
        <v>3700000</v>
      </c>
      <c r="D1367" s="7" t="s">
        <v>57</v>
      </c>
      <c r="E1367" s="7">
        <v>5.0</v>
      </c>
      <c r="G1367" s="7" t="s">
        <v>30</v>
      </c>
      <c r="H1367" s="7" t="s">
        <v>1280</v>
      </c>
      <c r="I1367" s="7" t="s">
        <v>27</v>
      </c>
    </row>
    <row r="1368">
      <c r="A1368" s="7" t="s">
        <v>180</v>
      </c>
      <c r="B1368" s="7" t="s">
        <v>499</v>
      </c>
      <c r="C1368" s="8">
        <f>IFERROR(__xludf.DUMMYFUNCTION("SPLIT(B1368,""RM"")"),3900000.0)</f>
        <v>3900000</v>
      </c>
      <c r="D1368" s="7" t="s">
        <v>39</v>
      </c>
      <c r="E1368" s="7">
        <v>5.0</v>
      </c>
      <c r="G1368" s="7" t="s">
        <v>30</v>
      </c>
      <c r="H1368" s="7" t="s">
        <v>1281</v>
      </c>
      <c r="I1368" s="7" t="s">
        <v>27</v>
      </c>
    </row>
    <row r="1369">
      <c r="A1369" s="7" t="s">
        <v>72</v>
      </c>
      <c r="B1369" s="7" t="s">
        <v>125</v>
      </c>
      <c r="C1369" s="8">
        <f>IFERROR(__xludf.DUMMYFUNCTION("SPLIT(B1369,""RM"")"),2300000.0)</f>
        <v>2300000</v>
      </c>
      <c r="D1369" s="7" t="s">
        <v>39</v>
      </c>
      <c r="E1369" s="7">
        <v>6.0</v>
      </c>
      <c r="F1369" s="7">
        <v>3.0</v>
      </c>
      <c r="G1369" s="7" t="s">
        <v>30</v>
      </c>
      <c r="H1369" s="7" t="s">
        <v>115</v>
      </c>
      <c r="I1369" s="7" t="s">
        <v>27</v>
      </c>
    </row>
    <row r="1370">
      <c r="A1370" s="7" t="s">
        <v>17</v>
      </c>
      <c r="B1370" s="7" t="s">
        <v>858</v>
      </c>
      <c r="C1370" s="8">
        <f>IFERROR(__xludf.DUMMYFUNCTION("SPLIT(B1370,""RM"")"),1.05E7)</f>
        <v>10500000</v>
      </c>
      <c r="D1370" s="7" t="s">
        <v>57</v>
      </c>
      <c r="E1370" s="7">
        <v>5.0</v>
      </c>
      <c r="F1370" s="7">
        <v>3.0</v>
      </c>
      <c r="G1370" s="7" t="s">
        <v>30</v>
      </c>
      <c r="H1370" s="7" t="s">
        <v>1282</v>
      </c>
      <c r="I1370" s="7" t="s">
        <v>22</v>
      </c>
    </row>
    <row r="1371">
      <c r="A1371" s="7" t="s">
        <v>72</v>
      </c>
      <c r="B1371" s="7" t="s">
        <v>101</v>
      </c>
      <c r="C1371" s="8">
        <f>IFERROR(__xludf.DUMMYFUNCTION("SPLIT(B1371,""RM"")"),3300000.0)</f>
        <v>3300000</v>
      </c>
      <c r="D1371" s="7" t="s">
        <v>39</v>
      </c>
      <c r="E1371" s="7">
        <v>6.0</v>
      </c>
      <c r="G1371" s="7" t="s">
        <v>30</v>
      </c>
      <c r="H1371" s="7" t="s">
        <v>1283</v>
      </c>
      <c r="I1371" s="7" t="s">
        <v>27</v>
      </c>
    </row>
    <row r="1372">
      <c r="A1372" s="7" t="s">
        <v>72</v>
      </c>
      <c r="B1372" s="7" t="s">
        <v>993</v>
      </c>
      <c r="C1372" s="8">
        <f>IFERROR(__xludf.DUMMYFUNCTION("SPLIT(B1372,""RM"")"),2980000.0)</f>
        <v>2980000</v>
      </c>
      <c r="D1372" s="7" t="s">
        <v>35</v>
      </c>
      <c r="E1372" s="7">
        <v>6.0</v>
      </c>
      <c r="G1372" s="7" t="s">
        <v>30</v>
      </c>
      <c r="H1372" s="7" t="s">
        <v>994</v>
      </c>
      <c r="I1372" s="7" t="s">
        <v>27</v>
      </c>
    </row>
    <row r="1373">
      <c r="A1373" s="7" t="s">
        <v>17</v>
      </c>
      <c r="B1373" s="7" t="s">
        <v>149</v>
      </c>
      <c r="C1373" s="8">
        <f>IFERROR(__xludf.DUMMYFUNCTION("SPLIT(B1373,""RM"")"),4000000.0)</f>
        <v>4000000</v>
      </c>
      <c r="D1373" s="7" t="s">
        <v>57</v>
      </c>
      <c r="E1373" s="7">
        <v>4.0</v>
      </c>
      <c r="F1373" s="7">
        <v>2.0</v>
      </c>
      <c r="G1373" s="7" t="s">
        <v>121</v>
      </c>
      <c r="H1373" s="7" t="s">
        <v>124</v>
      </c>
      <c r="I1373" s="7" t="s">
        <v>27</v>
      </c>
    </row>
    <row r="1374">
      <c r="A1374" s="7" t="s">
        <v>72</v>
      </c>
      <c r="B1374" s="7" t="s">
        <v>110</v>
      </c>
      <c r="C1374" s="8">
        <f>IFERROR(__xludf.DUMMYFUNCTION("SPLIT(B1374,""RM"")"),2400000.0)</f>
        <v>2400000</v>
      </c>
      <c r="D1374" s="7" t="s">
        <v>39</v>
      </c>
      <c r="E1374" s="7">
        <v>6.0</v>
      </c>
      <c r="F1374" s="7">
        <v>3.0</v>
      </c>
      <c r="G1374" s="7" t="s">
        <v>30</v>
      </c>
      <c r="H1374" s="7" t="s">
        <v>767</v>
      </c>
      <c r="I1374" s="7" t="s">
        <v>27</v>
      </c>
    </row>
    <row r="1375">
      <c r="A1375" s="7" t="s">
        <v>17</v>
      </c>
      <c r="B1375" s="7" t="s">
        <v>45</v>
      </c>
      <c r="C1375" s="8">
        <f>IFERROR(__xludf.DUMMYFUNCTION("SPLIT(B1375,""RM"")"),1950000.0)</f>
        <v>1950000</v>
      </c>
      <c r="D1375" s="7">
        <v>2.0</v>
      </c>
      <c r="E1375" s="7">
        <v>2.0</v>
      </c>
      <c r="F1375" s="7">
        <v>1.0</v>
      </c>
      <c r="G1375" s="7" t="s">
        <v>20</v>
      </c>
      <c r="H1375" s="7" t="s">
        <v>342</v>
      </c>
      <c r="I1375" s="7" t="s">
        <v>27</v>
      </c>
    </row>
    <row r="1376">
      <c r="A1376" s="7" t="s">
        <v>17</v>
      </c>
      <c r="B1376" s="7" t="s">
        <v>130</v>
      </c>
      <c r="C1376" s="8">
        <f>IFERROR(__xludf.DUMMYFUNCTION("SPLIT(B1376,""RM"")"),2700000.0)</f>
        <v>2700000</v>
      </c>
      <c r="D1376" s="7" t="s">
        <v>39</v>
      </c>
      <c r="E1376" s="7">
        <v>6.0</v>
      </c>
      <c r="G1376" s="7" t="s">
        <v>30</v>
      </c>
      <c r="H1376" s="7" t="s">
        <v>1174</v>
      </c>
      <c r="I1376" s="7" t="s">
        <v>27</v>
      </c>
    </row>
    <row r="1377">
      <c r="A1377" s="7" t="s">
        <v>72</v>
      </c>
      <c r="B1377" s="7" t="s">
        <v>125</v>
      </c>
      <c r="C1377" s="8">
        <f>IFERROR(__xludf.DUMMYFUNCTION("SPLIT(B1377,""RM"")"),2300000.0)</f>
        <v>2300000</v>
      </c>
      <c r="D1377" s="7" t="s">
        <v>39</v>
      </c>
      <c r="E1377" s="7">
        <v>6.0</v>
      </c>
      <c r="G1377" s="7" t="s">
        <v>30</v>
      </c>
      <c r="H1377" s="7" t="s">
        <v>431</v>
      </c>
      <c r="I1377" s="7" t="s">
        <v>27</v>
      </c>
    </row>
    <row r="1378">
      <c r="A1378" s="7" t="s">
        <v>17</v>
      </c>
      <c r="B1378" s="7" t="s">
        <v>386</v>
      </c>
      <c r="C1378" s="8">
        <f>IFERROR(__xludf.DUMMYFUNCTION("SPLIT(B1378,""RM"")"),2380000.0)</f>
        <v>2380000</v>
      </c>
      <c r="D1378" s="7" t="s">
        <v>57</v>
      </c>
      <c r="E1378" s="7">
        <v>2.0</v>
      </c>
      <c r="G1378" s="7" t="s">
        <v>93</v>
      </c>
      <c r="H1378" s="7" t="s">
        <v>483</v>
      </c>
      <c r="I1378" s="7" t="s">
        <v>27</v>
      </c>
    </row>
    <row r="1379">
      <c r="A1379" s="7" t="s">
        <v>72</v>
      </c>
      <c r="B1379" s="7" t="s">
        <v>658</v>
      </c>
      <c r="C1379" s="8">
        <f>IFERROR(__xludf.DUMMYFUNCTION("SPLIT(B1379,""RM"")"),2650000.0)</f>
        <v>2650000</v>
      </c>
      <c r="D1379" s="7" t="s">
        <v>39</v>
      </c>
      <c r="E1379" s="7">
        <v>6.0</v>
      </c>
      <c r="F1379" s="7">
        <v>3.0</v>
      </c>
      <c r="G1379" s="7" t="s">
        <v>30</v>
      </c>
      <c r="H1379" s="7" t="s">
        <v>1284</v>
      </c>
      <c r="I1379" s="7" t="s">
        <v>27</v>
      </c>
    </row>
    <row r="1380">
      <c r="A1380" s="7" t="s">
        <v>72</v>
      </c>
      <c r="B1380" s="7" t="s">
        <v>227</v>
      </c>
      <c r="C1380" s="8">
        <f>IFERROR(__xludf.DUMMYFUNCTION("SPLIT(B1380,""RM"")"),2850000.0)</f>
        <v>2850000</v>
      </c>
      <c r="D1380" s="7" t="s">
        <v>35</v>
      </c>
      <c r="E1380" s="7">
        <v>6.0</v>
      </c>
      <c r="F1380" s="7">
        <v>3.0</v>
      </c>
      <c r="G1380" s="7" t="s">
        <v>30</v>
      </c>
      <c r="H1380" s="7" t="s">
        <v>622</v>
      </c>
      <c r="I1380" s="7" t="s">
        <v>27</v>
      </c>
    </row>
    <row r="1381">
      <c r="A1381" s="7" t="s">
        <v>33</v>
      </c>
      <c r="B1381" s="7" t="s">
        <v>309</v>
      </c>
      <c r="C1381" s="8">
        <f>IFERROR(__xludf.DUMMYFUNCTION("SPLIT(B1381,""RM"")"),2100000.0)</f>
        <v>2100000</v>
      </c>
      <c r="D1381" s="7">
        <v>6.0</v>
      </c>
      <c r="E1381" s="7">
        <v>6.0</v>
      </c>
      <c r="G1381" s="7" t="s">
        <v>562</v>
      </c>
      <c r="H1381" s="7" t="s">
        <v>1285</v>
      </c>
    </row>
    <row r="1382">
      <c r="A1382" s="7" t="s">
        <v>267</v>
      </c>
      <c r="B1382" s="7" t="s">
        <v>1286</v>
      </c>
      <c r="C1382" s="8">
        <f>IFERROR(__xludf.DUMMYFUNCTION("SPLIT(B1382,""RM"")"),437400.0)</f>
        <v>437400</v>
      </c>
      <c r="D1382" s="7">
        <v>3.0</v>
      </c>
      <c r="E1382" s="7">
        <v>2.0</v>
      </c>
      <c r="G1382" s="7" t="s">
        <v>20</v>
      </c>
      <c r="H1382" s="7" t="s">
        <v>1020</v>
      </c>
      <c r="I1382" s="7" t="s">
        <v>27</v>
      </c>
    </row>
    <row r="1383">
      <c r="A1383" s="7" t="s">
        <v>17</v>
      </c>
      <c r="B1383" s="7" t="s">
        <v>130</v>
      </c>
      <c r="C1383" s="8">
        <f>IFERROR(__xludf.DUMMYFUNCTION("SPLIT(B1383,""RM"")"),2700000.0)</f>
        <v>2700000</v>
      </c>
      <c r="D1383" s="7" t="s">
        <v>35</v>
      </c>
      <c r="E1383" s="7">
        <v>6.0</v>
      </c>
      <c r="F1383" s="7">
        <v>3.0</v>
      </c>
      <c r="G1383" s="7" t="s">
        <v>30</v>
      </c>
      <c r="H1383" s="7" t="s">
        <v>1174</v>
      </c>
      <c r="I1383" s="7" t="s">
        <v>27</v>
      </c>
    </row>
    <row r="1384">
      <c r="A1384" s="7" t="s">
        <v>17</v>
      </c>
      <c r="B1384" s="7" t="s">
        <v>130</v>
      </c>
      <c r="C1384" s="8">
        <f>IFERROR(__xludf.DUMMYFUNCTION("SPLIT(B1384,""RM"")"),2700000.0)</f>
        <v>2700000</v>
      </c>
      <c r="D1384" s="7" t="s">
        <v>35</v>
      </c>
      <c r="E1384" s="7">
        <v>6.0</v>
      </c>
      <c r="F1384" s="7">
        <v>3.0</v>
      </c>
      <c r="G1384" s="7" t="s">
        <v>30</v>
      </c>
      <c r="H1384" s="7" t="s">
        <v>1174</v>
      </c>
      <c r="I1384" s="7" t="s">
        <v>22</v>
      </c>
    </row>
    <row r="1385">
      <c r="A1385" s="7" t="s">
        <v>72</v>
      </c>
      <c r="B1385" s="7" t="s">
        <v>1287</v>
      </c>
      <c r="C1385" s="8">
        <f>IFERROR(__xludf.DUMMYFUNCTION("SPLIT(B1385,""RM"")"),3190000.0)</f>
        <v>3190000</v>
      </c>
      <c r="D1385" s="7" t="s">
        <v>35</v>
      </c>
      <c r="E1385" s="7">
        <v>5.0</v>
      </c>
      <c r="F1385" s="7">
        <v>3.0</v>
      </c>
      <c r="G1385" s="7" t="s">
        <v>30</v>
      </c>
      <c r="H1385" s="7" t="s">
        <v>1283</v>
      </c>
      <c r="I1385" s="7" t="s">
        <v>27</v>
      </c>
    </row>
    <row r="1386">
      <c r="A1386" s="7" t="s">
        <v>72</v>
      </c>
      <c r="B1386" s="7" t="s">
        <v>1288</v>
      </c>
      <c r="C1386" s="8">
        <f>IFERROR(__xludf.DUMMYFUNCTION("SPLIT(B1386,""RM"")"),2320000.0)</f>
        <v>2320000</v>
      </c>
      <c r="D1386" s="7" t="s">
        <v>35</v>
      </c>
      <c r="E1386" s="7">
        <v>5.0</v>
      </c>
      <c r="G1386" s="7" t="s">
        <v>83</v>
      </c>
      <c r="H1386" s="7" t="s">
        <v>431</v>
      </c>
    </row>
    <row r="1387">
      <c r="A1387" s="7" t="s">
        <v>72</v>
      </c>
      <c r="B1387" s="7" t="s">
        <v>75</v>
      </c>
      <c r="C1387" s="8">
        <f>IFERROR(__xludf.DUMMYFUNCTION("SPLIT(B1387,""RM"")"),3450000.0)</f>
        <v>3450000</v>
      </c>
      <c r="D1387" s="7" t="s">
        <v>35</v>
      </c>
      <c r="E1387" s="7">
        <v>5.0</v>
      </c>
      <c r="G1387" s="7" t="s">
        <v>30</v>
      </c>
      <c r="H1387" s="7" t="s">
        <v>76</v>
      </c>
      <c r="I1387" s="7" t="s">
        <v>22</v>
      </c>
    </row>
    <row r="1388">
      <c r="A1388" s="7" t="s">
        <v>72</v>
      </c>
      <c r="B1388" s="7" t="s">
        <v>1289</v>
      </c>
      <c r="C1388" s="8">
        <f>IFERROR(__xludf.DUMMYFUNCTION("SPLIT(B1388,""RM"")"),2730000.0)</f>
        <v>2730000</v>
      </c>
      <c r="D1388" s="7" t="s">
        <v>35</v>
      </c>
      <c r="E1388" s="7">
        <v>5.0</v>
      </c>
      <c r="G1388" s="7" t="s">
        <v>30</v>
      </c>
      <c r="H1388" s="7" t="s">
        <v>926</v>
      </c>
      <c r="I1388" s="7" t="s">
        <v>27</v>
      </c>
    </row>
    <row r="1389">
      <c r="A1389" s="7" t="s">
        <v>104</v>
      </c>
      <c r="B1389" s="7" t="s">
        <v>132</v>
      </c>
      <c r="C1389" s="8">
        <f>IFERROR(__xludf.DUMMYFUNCTION("SPLIT(B1389,""RM"")"),1080000.0)</f>
        <v>1080000</v>
      </c>
      <c r="D1389" s="7">
        <v>6.0</v>
      </c>
      <c r="E1389" s="7">
        <v>4.0</v>
      </c>
      <c r="F1389" s="7">
        <v>2.0</v>
      </c>
      <c r="G1389" s="7" t="s">
        <v>203</v>
      </c>
      <c r="H1389" s="7" t="s">
        <v>1119</v>
      </c>
      <c r="I1389" s="7" t="s">
        <v>103</v>
      </c>
    </row>
    <row r="1390">
      <c r="A1390" s="7" t="s">
        <v>28</v>
      </c>
      <c r="B1390" s="7" t="s">
        <v>311</v>
      </c>
      <c r="C1390" s="8">
        <f>IFERROR(__xludf.DUMMYFUNCTION("SPLIT(B1390,""RM"")"),1100000.0)</f>
        <v>1100000</v>
      </c>
      <c r="D1390" s="7" t="s">
        <v>57</v>
      </c>
      <c r="E1390" s="7">
        <v>4.0</v>
      </c>
      <c r="G1390" s="7" t="s">
        <v>30</v>
      </c>
      <c r="H1390" s="7" t="s">
        <v>1290</v>
      </c>
      <c r="I1390" s="7" t="s">
        <v>27</v>
      </c>
    </row>
    <row r="1391">
      <c r="A1391" s="7" t="s">
        <v>28</v>
      </c>
      <c r="B1391" s="7" t="s">
        <v>78</v>
      </c>
      <c r="C1391" s="8">
        <f>IFERROR(__xludf.DUMMYFUNCTION("SPLIT(B1391,""RM"")"),1500000.0)</f>
        <v>1500000</v>
      </c>
      <c r="D1391" s="7" t="s">
        <v>57</v>
      </c>
      <c r="G1391" s="7" t="s">
        <v>30</v>
      </c>
      <c r="H1391" s="7" t="s">
        <v>1291</v>
      </c>
      <c r="I1391" s="7" t="s">
        <v>27</v>
      </c>
    </row>
    <row r="1392">
      <c r="A1392" s="7" t="s">
        <v>28</v>
      </c>
      <c r="B1392" s="7" t="s">
        <v>1292</v>
      </c>
      <c r="C1392" s="8">
        <f>IFERROR(__xludf.DUMMYFUNCTION("SPLIT(B1392,""RM"")"),1560000.0)</f>
        <v>1560000</v>
      </c>
      <c r="D1392" s="7" t="s">
        <v>35</v>
      </c>
      <c r="E1392" s="7">
        <v>5.0</v>
      </c>
      <c r="G1392" s="7" t="s">
        <v>30</v>
      </c>
      <c r="H1392" s="7" t="s">
        <v>1293</v>
      </c>
      <c r="I1392" s="7" t="s">
        <v>27</v>
      </c>
    </row>
    <row r="1393">
      <c r="A1393" s="7" t="s">
        <v>28</v>
      </c>
      <c r="B1393" s="7" t="s">
        <v>138</v>
      </c>
      <c r="C1393" s="8">
        <f>IFERROR(__xludf.DUMMYFUNCTION("SPLIT(B1393,""RM"")"),930000.0)</f>
        <v>930000</v>
      </c>
      <c r="D1393" s="7">
        <v>3.0</v>
      </c>
      <c r="E1393" s="7">
        <v>3.0</v>
      </c>
      <c r="G1393" s="7" t="s">
        <v>83</v>
      </c>
      <c r="H1393" s="7" t="s">
        <v>1294</v>
      </c>
      <c r="I1393" s="7" t="s">
        <v>27</v>
      </c>
    </row>
    <row r="1394">
      <c r="A1394" s="7" t="s">
        <v>28</v>
      </c>
      <c r="B1394" s="7" t="s">
        <v>18</v>
      </c>
      <c r="C1394" s="8">
        <f>IFERROR(__xludf.DUMMYFUNCTION("SPLIT(B1394,""RM"")"),1250000.0)</f>
        <v>1250000</v>
      </c>
      <c r="D1394" s="7" t="s">
        <v>35</v>
      </c>
      <c r="E1394" s="7">
        <v>4.0</v>
      </c>
      <c r="G1394" s="7" t="s">
        <v>30</v>
      </c>
      <c r="H1394" s="7" t="s">
        <v>1295</v>
      </c>
      <c r="I1394" s="7" t="s">
        <v>27</v>
      </c>
    </row>
    <row r="1395">
      <c r="A1395" s="7" t="s">
        <v>28</v>
      </c>
      <c r="B1395" s="7" t="s">
        <v>899</v>
      </c>
      <c r="C1395" s="8">
        <f>IFERROR(__xludf.DUMMYFUNCTION("SPLIT(B1395,""RM"")"),1160000.0)</f>
        <v>1160000</v>
      </c>
      <c r="D1395" s="7" t="s">
        <v>57</v>
      </c>
      <c r="E1395" s="7">
        <v>4.0</v>
      </c>
      <c r="G1395" s="7" t="s">
        <v>83</v>
      </c>
      <c r="H1395" s="7" t="s">
        <v>1290</v>
      </c>
      <c r="I1395" s="7" t="s">
        <v>22</v>
      </c>
    </row>
    <row r="1396">
      <c r="A1396" s="7" t="s">
        <v>148</v>
      </c>
      <c r="B1396" s="7" t="s">
        <v>260</v>
      </c>
      <c r="C1396" s="8">
        <f>IFERROR(__xludf.DUMMYFUNCTION("SPLIT(B1396,""RM"")"),1480000.0)</f>
        <v>1480000</v>
      </c>
      <c r="D1396" s="7" t="s">
        <v>35</v>
      </c>
      <c r="E1396" s="7">
        <v>4.0</v>
      </c>
      <c r="F1396" s="7">
        <v>2.0</v>
      </c>
      <c r="G1396" s="7" t="s">
        <v>169</v>
      </c>
      <c r="H1396" s="7" t="s">
        <v>1296</v>
      </c>
      <c r="I1396" s="7" t="s">
        <v>27</v>
      </c>
    </row>
    <row r="1397">
      <c r="A1397" s="7" t="s">
        <v>267</v>
      </c>
      <c r="B1397" s="7" t="s">
        <v>1297</v>
      </c>
      <c r="C1397" s="8">
        <f>IFERROR(__xludf.DUMMYFUNCTION("SPLIT(B1397,""RM"")"),585000.0)</f>
        <v>585000</v>
      </c>
      <c r="D1397" s="7">
        <v>3.0</v>
      </c>
      <c r="E1397" s="7">
        <v>2.0</v>
      </c>
      <c r="F1397" s="7">
        <v>1.0</v>
      </c>
      <c r="G1397" s="7" t="s">
        <v>82</v>
      </c>
      <c r="H1397" s="7" t="s">
        <v>954</v>
      </c>
      <c r="I1397" s="7" t="s">
        <v>103</v>
      </c>
    </row>
    <row r="1398">
      <c r="A1398" s="7" t="s">
        <v>164</v>
      </c>
      <c r="B1398" s="7" t="s">
        <v>501</v>
      </c>
      <c r="C1398" s="8">
        <f>IFERROR(__xludf.DUMMYFUNCTION("SPLIT(B1398,""RM"")"),1240000.0)</f>
        <v>1240000</v>
      </c>
      <c r="D1398" s="7" t="s">
        <v>197</v>
      </c>
      <c r="E1398" s="7">
        <v>2.0</v>
      </c>
      <c r="F1398" s="7">
        <v>1.0</v>
      </c>
      <c r="G1398" s="7" t="s">
        <v>20</v>
      </c>
      <c r="H1398" s="7" t="s">
        <v>237</v>
      </c>
      <c r="I1398" s="7" t="s">
        <v>22</v>
      </c>
    </row>
    <row r="1399">
      <c r="A1399" s="7" t="s">
        <v>164</v>
      </c>
      <c r="B1399" s="7" t="s">
        <v>1298</v>
      </c>
      <c r="C1399" s="8">
        <f>IFERROR(__xludf.DUMMYFUNCTION("SPLIT(B1399,""RM"")"),2499999.0)</f>
        <v>2499999</v>
      </c>
      <c r="D1399" s="7" t="s">
        <v>57</v>
      </c>
      <c r="E1399" s="7">
        <v>4.0</v>
      </c>
      <c r="F1399" s="7">
        <v>2.0</v>
      </c>
      <c r="G1399" s="7" t="s">
        <v>20</v>
      </c>
      <c r="H1399" s="7" t="s">
        <v>1299</v>
      </c>
      <c r="I1399" s="7" t="s">
        <v>22</v>
      </c>
    </row>
    <row r="1400">
      <c r="A1400" s="7" t="s">
        <v>164</v>
      </c>
      <c r="B1400" s="7" t="s">
        <v>1268</v>
      </c>
      <c r="C1400" s="8">
        <f>IFERROR(__xludf.DUMMYFUNCTION("SPLIT(B1400,""RM"")"),1999999.0)</f>
        <v>1999999</v>
      </c>
      <c r="D1400" s="7" t="s">
        <v>19</v>
      </c>
      <c r="E1400" s="7">
        <v>3.0</v>
      </c>
      <c r="F1400" s="7">
        <v>1.0</v>
      </c>
      <c r="G1400" s="7" t="s">
        <v>20</v>
      </c>
      <c r="H1400" s="7" t="s">
        <v>303</v>
      </c>
      <c r="I1400" s="7" t="s">
        <v>22</v>
      </c>
    </row>
    <row r="1401">
      <c r="A1401" s="7" t="s">
        <v>72</v>
      </c>
      <c r="B1401" s="7" t="s">
        <v>327</v>
      </c>
      <c r="C1401" s="8">
        <f>IFERROR(__xludf.DUMMYFUNCTION("SPLIT(B1401,""RM"")"),1300000.0)</f>
        <v>1300000</v>
      </c>
      <c r="D1401" s="7">
        <v>3.0</v>
      </c>
      <c r="E1401" s="7">
        <v>2.0</v>
      </c>
      <c r="F1401" s="7">
        <v>2.0</v>
      </c>
      <c r="G1401" s="7" t="s">
        <v>83</v>
      </c>
      <c r="H1401" s="7" t="s">
        <v>135</v>
      </c>
      <c r="I1401" s="7" t="s">
        <v>27</v>
      </c>
    </row>
    <row r="1402">
      <c r="A1402" s="7" t="s">
        <v>33</v>
      </c>
      <c r="B1402" s="7" t="s">
        <v>245</v>
      </c>
      <c r="C1402" s="8">
        <f>IFERROR(__xludf.DUMMYFUNCTION("SPLIT(B1402,""RM"")"),800000.0)</f>
        <v>800000</v>
      </c>
      <c r="D1402" s="7">
        <v>3.0</v>
      </c>
      <c r="E1402" s="7">
        <v>2.0</v>
      </c>
      <c r="F1402" s="7">
        <v>2.0</v>
      </c>
      <c r="G1402" s="7" t="s">
        <v>82</v>
      </c>
      <c r="H1402" s="7" t="s">
        <v>1119</v>
      </c>
      <c r="I1402" s="7" t="s">
        <v>27</v>
      </c>
    </row>
    <row r="1403">
      <c r="A1403" s="7" t="s">
        <v>428</v>
      </c>
      <c r="B1403" s="7" t="s">
        <v>1300</v>
      </c>
      <c r="C1403" s="8">
        <f>IFERROR(__xludf.DUMMYFUNCTION("SPLIT(B1403,""RM"")"),2772100.0)</f>
        <v>2772100</v>
      </c>
      <c r="D1403" s="7" t="s">
        <v>70</v>
      </c>
      <c r="E1403" s="7">
        <v>7.0</v>
      </c>
      <c r="F1403" s="7">
        <v>3.0</v>
      </c>
      <c r="G1403" s="7" t="s">
        <v>61</v>
      </c>
      <c r="H1403" s="7" t="s">
        <v>1301</v>
      </c>
      <c r="I1403" s="7" t="s">
        <v>27</v>
      </c>
    </row>
    <row r="1404">
      <c r="A1404" s="7" t="s">
        <v>171</v>
      </c>
      <c r="B1404" s="7" t="s">
        <v>18</v>
      </c>
      <c r="C1404" s="8">
        <f>IFERROR(__xludf.DUMMYFUNCTION("SPLIT(B1404,""RM"")"),1250000.0)</f>
        <v>1250000</v>
      </c>
      <c r="D1404" s="7">
        <v>3.0</v>
      </c>
      <c r="E1404" s="7">
        <v>3.0</v>
      </c>
      <c r="G1404" s="7" t="s">
        <v>793</v>
      </c>
      <c r="H1404" s="7" t="s">
        <v>1302</v>
      </c>
    </row>
    <row r="1405">
      <c r="A1405" s="7" t="s">
        <v>28</v>
      </c>
      <c r="B1405" s="7" t="s">
        <v>249</v>
      </c>
      <c r="C1405" s="8">
        <f>IFERROR(__xludf.DUMMYFUNCTION("SPLIT(B1405,""RM"")"),1035000.0)</f>
        <v>1035000</v>
      </c>
      <c r="D1405" s="7" t="s">
        <v>57</v>
      </c>
      <c r="E1405" s="7">
        <v>5.0</v>
      </c>
      <c r="F1405" s="7">
        <v>2.0</v>
      </c>
      <c r="G1405" s="7" t="s">
        <v>93</v>
      </c>
      <c r="H1405" s="7" t="s">
        <v>31</v>
      </c>
      <c r="I1405" s="7" t="s">
        <v>27</v>
      </c>
    </row>
    <row r="1406">
      <c r="A1406" s="7" t="s">
        <v>65</v>
      </c>
      <c r="B1406" s="7" t="s">
        <v>398</v>
      </c>
      <c r="C1406" s="8">
        <f>IFERROR(__xludf.DUMMYFUNCTION("SPLIT(B1406,""RM"")"),2280000.0)</f>
        <v>2280000</v>
      </c>
      <c r="D1406" s="7" t="s">
        <v>79</v>
      </c>
      <c r="E1406" s="7">
        <v>5.0</v>
      </c>
      <c r="F1406" s="7">
        <v>4.0</v>
      </c>
      <c r="G1406" s="7" t="s">
        <v>30</v>
      </c>
      <c r="H1406" s="7" t="s">
        <v>400</v>
      </c>
      <c r="I1406" s="7" t="s">
        <v>22</v>
      </c>
    </row>
    <row r="1407">
      <c r="A1407" s="7" t="s">
        <v>28</v>
      </c>
      <c r="B1407" s="7" t="s">
        <v>279</v>
      </c>
      <c r="C1407" s="8">
        <f>IFERROR(__xludf.DUMMYFUNCTION("SPLIT(B1407,""RM"")"),1380000.0)</f>
        <v>1380000</v>
      </c>
      <c r="D1407" s="7" t="s">
        <v>35</v>
      </c>
      <c r="E1407" s="7">
        <v>6.0</v>
      </c>
      <c r="F1407" s="7">
        <v>2.0</v>
      </c>
      <c r="G1407" s="7" t="s">
        <v>93</v>
      </c>
      <c r="H1407" s="7" t="s">
        <v>400</v>
      </c>
      <c r="I1407" s="7" t="s">
        <v>27</v>
      </c>
    </row>
    <row r="1408">
      <c r="A1408" s="7" t="s">
        <v>72</v>
      </c>
      <c r="B1408" s="7" t="s">
        <v>158</v>
      </c>
      <c r="C1408" s="8">
        <f>IFERROR(__xludf.DUMMYFUNCTION("SPLIT(B1408,""RM"")"),1850000.0)</f>
        <v>1850000</v>
      </c>
      <c r="D1408" s="7" t="s">
        <v>35</v>
      </c>
      <c r="E1408" s="7">
        <v>4.0</v>
      </c>
      <c r="F1408" s="7">
        <v>2.0</v>
      </c>
      <c r="G1408" s="7" t="s">
        <v>83</v>
      </c>
      <c r="H1408" s="7" t="s">
        <v>74</v>
      </c>
      <c r="I1408" s="7" t="s">
        <v>27</v>
      </c>
    </row>
    <row r="1409">
      <c r="A1409" s="7" t="s">
        <v>33</v>
      </c>
      <c r="B1409" s="7" t="s">
        <v>759</v>
      </c>
      <c r="C1409" s="8">
        <f>IFERROR(__xludf.DUMMYFUNCTION("SPLIT(B1409,""RM"")"),520000.0)</f>
        <v>520000</v>
      </c>
      <c r="D1409" s="7">
        <v>3.0</v>
      </c>
      <c r="E1409" s="7">
        <v>3.0</v>
      </c>
      <c r="F1409" s="7">
        <v>2.0</v>
      </c>
      <c r="G1409" s="7" t="s">
        <v>83</v>
      </c>
      <c r="H1409" s="7" t="s">
        <v>1156</v>
      </c>
      <c r="I1409" s="7" t="s">
        <v>103</v>
      </c>
    </row>
    <row r="1410">
      <c r="A1410" s="7" t="s">
        <v>17</v>
      </c>
      <c r="B1410" s="7" t="s">
        <v>599</v>
      </c>
      <c r="C1410" s="8">
        <f>IFERROR(__xludf.DUMMYFUNCTION("SPLIT(B1410,""RM"")"),950000.0)</f>
        <v>950000</v>
      </c>
      <c r="D1410" s="7">
        <v>2.0</v>
      </c>
      <c r="E1410" s="7">
        <v>1.0</v>
      </c>
      <c r="F1410" s="7">
        <v>2.0</v>
      </c>
      <c r="G1410" s="7" t="s">
        <v>121</v>
      </c>
      <c r="H1410" s="7" t="s">
        <v>1303</v>
      </c>
      <c r="I1410" s="7" t="s">
        <v>22</v>
      </c>
    </row>
    <row r="1411">
      <c r="A1411" s="7" t="s">
        <v>17</v>
      </c>
      <c r="B1411" s="7" t="s">
        <v>1304</v>
      </c>
      <c r="C1411" s="8">
        <f>IFERROR(__xludf.DUMMYFUNCTION("SPLIT(B1411,""RM"")"),7318000.0)</f>
        <v>7318000</v>
      </c>
      <c r="D1411" s="7" t="s">
        <v>35</v>
      </c>
      <c r="E1411" s="7">
        <v>5.0</v>
      </c>
      <c r="F1411" s="7">
        <v>4.0</v>
      </c>
      <c r="G1411" s="7" t="s">
        <v>83</v>
      </c>
      <c r="H1411" s="7" t="s">
        <v>1305</v>
      </c>
      <c r="I1411" s="7" t="s">
        <v>27</v>
      </c>
    </row>
    <row r="1412">
      <c r="A1412" s="7" t="s">
        <v>171</v>
      </c>
      <c r="B1412" s="7" t="s">
        <v>1306</v>
      </c>
      <c r="C1412" s="8">
        <f>IFERROR(__xludf.DUMMYFUNCTION("SPLIT(B1412,""RM"")"),198000.0)</f>
        <v>198000</v>
      </c>
      <c r="D1412" s="7">
        <v>3.0</v>
      </c>
      <c r="E1412" s="7">
        <v>1.0</v>
      </c>
      <c r="G1412" s="7" t="s">
        <v>354</v>
      </c>
    </row>
    <row r="1413">
      <c r="A1413" s="7" t="s">
        <v>171</v>
      </c>
      <c r="B1413" s="7" t="s">
        <v>1307</v>
      </c>
      <c r="C1413" s="8">
        <f>IFERROR(__xludf.DUMMYFUNCTION("SPLIT(B1413,""RM"")"),270000.0)</f>
        <v>270000</v>
      </c>
      <c r="D1413" s="7">
        <v>2.0</v>
      </c>
      <c r="E1413" s="7">
        <v>1.0</v>
      </c>
      <c r="F1413" s="7">
        <v>1.0</v>
      </c>
      <c r="G1413" s="7" t="s">
        <v>354</v>
      </c>
      <c r="H1413" s="7" t="s">
        <v>961</v>
      </c>
    </row>
    <row r="1414">
      <c r="A1414" s="7" t="s">
        <v>89</v>
      </c>
      <c r="B1414" s="7" t="s">
        <v>1308</v>
      </c>
      <c r="C1414" s="8">
        <f>IFERROR(__xludf.DUMMYFUNCTION("SPLIT(B1414,""RM"")"),365000.0)</f>
        <v>365000</v>
      </c>
      <c r="D1414" s="7">
        <v>3.0</v>
      </c>
      <c r="E1414" s="7">
        <v>2.0</v>
      </c>
      <c r="G1414" s="7" t="s">
        <v>82</v>
      </c>
      <c r="H1414" s="7" t="s">
        <v>242</v>
      </c>
      <c r="I1414" s="7" t="s">
        <v>22</v>
      </c>
    </row>
    <row r="1415">
      <c r="A1415" s="7" t="s">
        <v>428</v>
      </c>
      <c r="B1415" s="7" t="s">
        <v>322</v>
      </c>
      <c r="C1415" s="8">
        <f>IFERROR(__xludf.DUMMYFUNCTION("SPLIT(B1415,""RM"")"),1900000.0)</f>
        <v>1900000</v>
      </c>
      <c r="D1415" s="7" t="s">
        <v>70</v>
      </c>
      <c r="E1415" s="7">
        <v>6.0</v>
      </c>
      <c r="F1415" s="7">
        <v>3.0</v>
      </c>
      <c r="G1415" s="7" t="s">
        <v>61</v>
      </c>
      <c r="H1415" s="7" t="s">
        <v>1309</v>
      </c>
      <c r="I1415" s="7" t="s">
        <v>27</v>
      </c>
    </row>
    <row r="1416">
      <c r="A1416" s="7" t="s">
        <v>28</v>
      </c>
      <c r="B1416" s="7" t="s">
        <v>29</v>
      </c>
      <c r="C1416" s="8">
        <f>IFERROR(__xludf.DUMMYFUNCTION("SPLIT(B1416,""RM"")"),1030000.0)</f>
        <v>1030000</v>
      </c>
      <c r="D1416" s="7" t="s">
        <v>57</v>
      </c>
      <c r="E1416" s="7">
        <v>5.0</v>
      </c>
      <c r="F1416" s="7">
        <v>2.0</v>
      </c>
      <c r="G1416" s="7" t="s">
        <v>93</v>
      </c>
      <c r="H1416" s="7" t="s">
        <v>250</v>
      </c>
      <c r="I1416" s="7" t="s">
        <v>27</v>
      </c>
    </row>
    <row r="1417">
      <c r="A1417" s="7" t="s">
        <v>23</v>
      </c>
      <c r="B1417" s="7" t="s">
        <v>120</v>
      </c>
      <c r="C1417" s="8">
        <f>IFERROR(__xludf.DUMMYFUNCTION("SPLIT(B1417,""RM"")"),3600000.0)</f>
        <v>3600000</v>
      </c>
      <c r="D1417" s="7" t="s">
        <v>35</v>
      </c>
      <c r="E1417" s="7">
        <v>5.0</v>
      </c>
      <c r="F1417" s="7">
        <v>4.0</v>
      </c>
      <c r="G1417" s="7" t="s">
        <v>736</v>
      </c>
      <c r="H1417" s="7" t="s">
        <v>631</v>
      </c>
    </row>
    <row r="1418">
      <c r="A1418" s="7" t="s">
        <v>65</v>
      </c>
      <c r="B1418" s="7" t="s">
        <v>81</v>
      </c>
      <c r="C1418" s="8">
        <f>IFERROR(__xludf.DUMMYFUNCTION("SPLIT(B1418,""RM"")"),1550000.0)</f>
        <v>1550000</v>
      </c>
      <c r="D1418" s="7">
        <v>4.0</v>
      </c>
      <c r="E1418" s="7">
        <v>4.0</v>
      </c>
      <c r="F1418" s="7">
        <v>1.0</v>
      </c>
      <c r="G1418" s="7" t="s">
        <v>83</v>
      </c>
      <c r="H1418" s="7" t="s">
        <v>1105</v>
      </c>
      <c r="I1418" s="7" t="s">
        <v>22</v>
      </c>
    </row>
    <row r="1419">
      <c r="A1419" s="7" t="s">
        <v>37</v>
      </c>
      <c r="B1419" s="7" t="s">
        <v>260</v>
      </c>
      <c r="C1419" s="8">
        <f>IFERROR(__xludf.DUMMYFUNCTION("SPLIT(B1419,""RM"")"),1480000.0)</f>
        <v>1480000</v>
      </c>
      <c r="D1419" s="7">
        <v>4.0</v>
      </c>
      <c r="E1419" s="7">
        <v>3.0</v>
      </c>
      <c r="F1419" s="7">
        <v>2.0</v>
      </c>
      <c r="G1419" s="7" t="s">
        <v>54</v>
      </c>
      <c r="H1419" s="7" t="s">
        <v>1310</v>
      </c>
      <c r="I1419" s="7" t="s">
        <v>27</v>
      </c>
    </row>
    <row r="1420">
      <c r="A1420" s="7" t="s">
        <v>23</v>
      </c>
      <c r="B1420" s="7" t="s">
        <v>545</v>
      </c>
      <c r="C1420" s="8">
        <f>IFERROR(__xludf.DUMMYFUNCTION("SPLIT(B1420,""RM"")"),1.0E7)</f>
        <v>10000000</v>
      </c>
      <c r="D1420" s="7">
        <v>6.0</v>
      </c>
      <c r="E1420" s="7">
        <v>7.0</v>
      </c>
      <c r="F1420" s="7">
        <v>4.0</v>
      </c>
      <c r="G1420" s="7" t="s">
        <v>25</v>
      </c>
      <c r="H1420" s="7" t="s">
        <v>1311</v>
      </c>
    </row>
    <row r="1421">
      <c r="A1421" s="7" t="s">
        <v>37</v>
      </c>
      <c r="B1421" s="7" t="s">
        <v>56</v>
      </c>
      <c r="C1421" s="8">
        <f>IFERROR(__xludf.DUMMYFUNCTION("SPLIT(B1421,""RM"")"),1700000.0)</f>
        <v>1700000</v>
      </c>
      <c r="D1421" s="7">
        <v>4.0</v>
      </c>
      <c r="E1421" s="7">
        <v>3.0</v>
      </c>
      <c r="F1421" s="7">
        <v>3.0</v>
      </c>
      <c r="G1421" s="7" t="s">
        <v>169</v>
      </c>
      <c r="H1421" s="7" t="s">
        <v>211</v>
      </c>
      <c r="I1421" s="7" t="s">
        <v>27</v>
      </c>
    </row>
    <row r="1422">
      <c r="A1422" s="7" t="s">
        <v>37</v>
      </c>
      <c r="B1422" s="7" t="s">
        <v>277</v>
      </c>
      <c r="C1422" s="8">
        <f>IFERROR(__xludf.DUMMYFUNCTION("SPLIT(B1422,""RM"")"),2200000.0)</f>
        <v>2200000</v>
      </c>
      <c r="D1422" s="7" t="s">
        <v>35</v>
      </c>
      <c r="E1422" s="7">
        <v>3.0</v>
      </c>
      <c r="F1422" s="7">
        <v>4.0</v>
      </c>
      <c r="G1422" s="7" t="s">
        <v>46</v>
      </c>
      <c r="H1422" s="7" t="s">
        <v>1312</v>
      </c>
      <c r="I1422" s="7" t="s">
        <v>22</v>
      </c>
    </row>
    <row r="1423">
      <c r="A1423" s="7" t="s">
        <v>23</v>
      </c>
      <c r="B1423" s="7" t="s">
        <v>411</v>
      </c>
      <c r="C1423" s="8">
        <f>IFERROR(__xludf.DUMMYFUNCTION("SPLIT(B1423,""RM"")"),2150000.0)</f>
        <v>2150000</v>
      </c>
      <c r="D1423" s="7">
        <v>4.0</v>
      </c>
      <c r="E1423" s="7">
        <v>3.0</v>
      </c>
      <c r="F1423" s="7">
        <v>3.0</v>
      </c>
      <c r="G1423" s="7" t="s">
        <v>54</v>
      </c>
      <c r="H1423" s="7" t="s">
        <v>211</v>
      </c>
      <c r="I1423" s="7" t="s">
        <v>27</v>
      </c>
    </row>
    <row r="1424">
      <c r="A1424" s="7" t="s">
        <v>100</v>
      </c>
      <c r="B1424" s="7" t="s">
        <v>281</v>
      </c>
      <c r="C1424" s="8">
        <f>IFERROR(__xludf.DUMMYFUNCTION("SPLIT(B1424,""RM"")"),2500000.0)</f>
        <v>2500000</v>
      </c>
      <c r="D1424" s="7" t="s">
        <v>60</v>
      </c>
      <c r="E1424" s="7">
        <v>7.0</v>
      </c>
      <c r="F1424" s="7">
        <v>5.0</v>
      </c>
      <c r="G1424" s="7" t="s">
        <v>25</v>
      </c>
      <c r="H1424" s="7" t="s">
        <v>1313</v>
      </c>
      <c r="I1424" s="7" t="s">
        <v>22</v>
      </c>
    </row>
    <row r="1425">
      <c r="A1425" s="7" t="s">
        <v>65</v>
      </c>
      <c r="B1425" s="7" t="s">
        <v>530</v>
      </c>
      <c r="C1425" s="8">
        <f>IFERROR(__xludf.DUMMYFUNCTION("SPLIT(B1425,""RM"")"),5000000.0)</f>
        <v>5000000</v>
      </c>
      <c r="D1425" s="7">
        <v>6.0</v>
      </c>
      <c r="E1425" s="7">
        <v>6.0</v>
      </c>
      <c r="F1425" s="7">
        <v>4.0</v>
      </c>
      <c r="G1425" s="7" t="s">
        <v>43</v>
      </c>
      <c r="H1425" s="7" t="s">
        <v>1314</v>
      </c>
      <c r="I1425" s="7" t="s">
        <v>27</v>
      </c>
    </row>
    <row r="1426">
      <c r="A1426" s="7" t="s">
        <v>1315</v>
      </c>
      <c r="B1426" s="7" t="s">
        <v>1316</v>
      </c>
      <c r="C1426" s="8">
        <f>IFERROR(__xludf.DUMMYFUNCTION("SPLIT(B1426,""RM"")"),1.85E7)</f>
        <v>18500000</v>
      </c>
      <c r="G1426" s="7" t="s">
        <v>667</v>
      </c>
      <c r="H1426" s="7" t="s">
        <v>1317</v>
      </c>
    </row>
    <row r="1427">
      <c r="A1427" s="7" t="s">
        <v>177</v>
      </c>
      <c r="B1427" s="7" t="s">
        <v>616</v>
      </c>
      <c r="C1427" s="8">
        <f>IFERROR(__xludf.DUMMYFUNCTION("SPLIT(B1427,""RM"")"),7500000.0)</f>
        <v>7500000</v>
      </c>
      <c r="D1427" s="7" t="s">
        <v>299</v>
      </c>
      <c r="E1427" s="7">
        <v>7.0</v>
      </c>
      <c r="F1427" s="7">
        <v>6.0</v>
      </c>
      <c r="G1427" s="7" t="s">
        <v>25</v>
      </c>
      <c r="H1427" s="7" t="s">
        <v>696</v>
      </c>
      <c r="I1427" s="7" t="s">
        <v>27</v>
      </c>
    </row>
    <row r="1428">
      <c r="A1428" s="7" t="s">
        <v>33</v>
      </c>
      <c r="B1428" s="7" t="s">
        <v>759</v>
      </c>
      <c r="C1428" s="8">
        <f>IFERROR(__xludf.DUMMYFUNCTION("SPLIT(B1428,""RM"")"),520000.0)</f>
        <v>520000</v>
      </c>
      <c r="D1428" s="7">
        <v>3.0</v>
      </c>
      <c r="E1428" s="7">
        <v>3.0</v>
      </c>
      <c r="F1428" s="7">
        <v>2.0</v>
      </c>
      <c r="G1428" s="7" t="s">
        <v>30</v>
      </c>
      <c r="H1428" s="7" t="s">
        <v>1156</v>
      </c>
      <c r="I1428" s="7" t="s">
        <v>27</v>
      </c>
    </row>
    <row r="1429">
      <c r="A1429" s="7" t="s">
        <v>72</v>
      </c>
      <c r="B1429" s="7" t="s">
        <v>468</v>
      </c>
      <c r="C1429" s="8">
        <f>IFERROR(__xludf.DUMMYFUNCTION("SPLIT(B1429,""RM"")"),2750000.0)</f>
        <v>2750000</v>
      </c>
      <c r="D1429" s="7" t="s">
        <v>35</v>
      </c>
      <c r="E1429" s="7">
        <v>7.0</v>
      </c>
      <c r="F1429" s="7">
        <v>3.0</v>
      </c>
      <c r="G1429" s="7" t="s">
        <v>30</v>
      </c>
      <c r="H1429" s="7" t="s">
        <v>933</v>
      </c>
      <c r="I1429" s="7" t="s">
        <v>27</v>
      </c>
    </row>
    <row r="1430">
      <c r="A1430" s="7" t="s">
        <v>17</v>
      </c>
      <c r="B1430" s="7" t="s">
        <v>536</v>
      </c>
      <c r="C1430" s="8">
        <f>IFERROR(__xludf.DUMMYFUNCTION("SPLIT(B1430,""RM"")"),495000.0)</f>
        <v>495000</v>
      </c>
      <c r="D1430" s="7" t="s">
        <v>325</v>
      </c>
      <c r="E1430" s="7">
        <v>1.0</v>
      </c>
      <c r="G1430" s="7" t="s">
        <v>20</v>
      </c>
      <c r="H1430" s="7" t="s">
        <v>980</v>
      </c>
      <c r="I1430" s="7" t="s">
        <v>22</v>
      </c>
    </row>
    <row r="1431">
      <c r="A1431" s="7" t="s">
        <v>89</v>
      </c>
      <c r="B1431" s="7" t="s">
        <v>563</v>
      </c>
      <c r="C1431" s="8">
        <f>IFERROR(__xludf.DUMMYFUNCTION("SPLIT(B1431,""RM"")"),600000.0)</f>
        <v>600000</v>
      </c>
      <c r="D1431" s="7" t="s">
        <v>19</v>
      </c>
      <c r="E1431" s="7">
        <v>2.0</v>
      </c>
      <c r="F1431" s="7">
        <v>2.0</v>
      </c>
      <c r="G1431" s="7" t="s">
        <v>121</v>
      </c>
      <c r="H1431" s="7" t="s">
        <v>764</v>
      </c>
      <c r="I1431" s="7" t="s">
        <v>27</v>
      </c>
    </row>
    <row r="1432">
      <c r="A1432" s="7" t="s">
        <v>89</v>
      </c>
      <c r="B1432" s="7" t="s">
        <v>1318</v>
      </c>
      <c r="C1432" s="8">
        <f>IFERROR(__xludf.DUMMYFUNCTION("SPLIT(B1432,""RM"")"),470000.0)</f>
        <v>470000</v>
      </c>
      <c r="D1432" s="7">
        <v>1.0</v>
      </c>
      <c r="E1432" s="7">
        <v>1.0</v>
      </c>
      <c r="F1432" s="7">
        <v>1.0</v>
      </c>
      <c r="G1432" s="7" t="s">
        <v>121</v>
      </c>
      <c r="H1432" s="7" t="s">
        <v>1270</v>
      </c>
      <c r="I1432" s="7" t="s">
        <v>27</v>
      </c>
    </row>
    <row r="1433">
      <c r="A1433" s="7" t="s">
        <v>171</v>
      </c>
      <c r="B1433" s="7" t="s">
        <v>510</v>
      </c>
      <c r="C1433" s="8">
        <f>IFERROR(__xludf.DUMMYFUNCTION("SPLIT(B1433,""RM"")"),380000.0)</f>
        <v>380000</v>
      </c>
      <c r="D1433" s="7">
        <v>3.0</v>
      </c>
      <c r="E1433" s="7">
        <v>2.0</v>
      </c>
      <c r="G1433" s="7" t="s">
        <v>20</v>
      </c>
      <c r="H1433" s="7" t="s">
        <v>1319</v>
      </c>
    </row>
    <row r="1434">
      <c r="A1434" s="7" t="s">
        <v>171</v>
      </c>
      <c r="B1434" s="7" t="s">
        <v>353</v>
      </c>
      <c r="C1434" s="8">
        <f>IFERROR(__xludf.DUMMYFUNCTION("SPLIT(B1434,""RM"")"),350000.0)</f>
        <v>350000</v>
      </c>
      <c r="D1434" s="7">
        <v>2.0</v>
      </c>
      <c r="E1434" s="7">
        <v>2.0</v>
      </c>
      <c r="F1434" s="7">
        <v>2.0</v>
      </c>
      <c r="G1434" s="7" t="s">
        <v>20</v>
      </c>
      <c r="H1434" s="7" t="s">
        <v>1244</v>
      </c>
    </row>
    <row r="1435">
      <c r="A1435" s="7" t="s">
        <v>171</v>
      </c>
      <c r="B1435" s="7" t="s">
        <v>191</v>
      </c>
      <c r="C1435" s="8">
        <f>IFERROR(__xludf.DUMMYFUNCTION("SPLIT(B1435,""RM"")"),1000000.0)</f>
        <v>1000000</v>
      </c>
      <c r="D1435" s="7" t="s">
        <v>79</v>
      </c>
      <c r="E1435" s="7">
        <v>2.0</v>
      </c>
      <c r="F1435" s="7">
        <v>1.0</v>
      </c>
      <c r="G1435" s="7" t="s">
        <v>667</v>
      </c>
      <c r="H1435" s="7" t="s">
        <v>1320</v>
      </c>
    </row>
    <row r="1436">
      <c r="A1436" s="7" t="s">
        <v>17</v>
      </c>
      <c r="B1436" s="7" t="s">
        <v>475</v>
      </c>
      <c r="C1436" s="8">
        <f>IFERROR(__xludf.DUMMYFUNCTION("SPLIT(B1436,""RM"")"),2800000.0)</f>
        <v>2800000</v>
      </c>
      <c r="D1436" s="7">
        <v>4.0</v>
      </c>
      <c r="G1436" s="7" t="s">
        <v>20</v>
      </c>
      <c r="H1436" s="7" t="s">
        <v>1321</v>
      </c>
    </row>
    <row r="1437">
      <c r="A1437" s="7" t="s">
        <v>17</v>
      </c>
      <c r="B1437" s="7" t="s">
        <v>534</v>
      </c>
      <c r="C1437" s="8">
        <f>IFERROR(__xludf.DUMMYFUNCTION("SPLIT(B1437,""RM"")"),3200000.0)</f>
        <v>3200000</v>
      </c>
      <c r="D1437" s="7" t="s">
        <v>57</v>
      </c>
      <c r="E1437" s="7">
        <v>3.0</v>
      </c>
      <c r="F1437" s="7">
        <v>2.0</v>
      </c>
      <c r="G1437" s="7" t="s">
        <v>20</v>
      </c>
      <c r="H1437" s="7" t="s">
        <v>1322</v>
      </c>
      <c r="I1437" s="7" t="s">
        <v>27</v>
      </c>
    </row>
    <row r="1438">
      <c r="A1438" s="7" t="s">
        <v>104</v>
      </c>
      <c r="B1438" s="7" t="s">
        <v>761</v>
      </c>
      <c r="C1438" s="8">
        <f>IFERROR(__xludf.DUMMYFUNCTION("SPLIT(B1438,""RM"")"),480000.0)</f>
        <v>480000</v>
      </c>
      <c r="D1438" s="7">
        <v>3.0</v>
      </c>
      <c r="E1438" s="7">
        <v>3.0</v>
      </c>
      <c r="F1438" s="7">
        <v>1.0</v>
      </c>
      <c r="G1438" s="7" t="s">
        <v>203</v>
      </c>
      <c r="H1438" s="7" t="s">
        <v>1323</v>
      </c>
      <c r="I1438" s="7" t="s">
        <v>27</v>
      </c>
    </row>
    <row r="1439">
      <c r="A1439" s="7" t="s">
        <v>33</v>
      </c>
      <c r="B1439" s="7" t="s">
        <v>329</v>
      </c>
      <c r="C1439" s="8">
        <f>IFERROR(__xludf.DUMMYFUNCTION("SPLIT(B1439,""RM"")"),1200000.0)</f>
        <v>1200000</v>
      </c>
      <c r="D1439" s="7" t="s">
        <v>57</v>
      </c>
      <c r="E1439" s="7">
        <v>3.0</v>
      </c>
      <c r="F1439" s="7">
        <v>2.0</v>
      </c>
      <c r="G1439" s="7" t="s">
        <v>83</v>
      </c>
      <c r="H1439" s="7" t="s">
        <v>1324</v>
      </c>
    </row>
    <row r="1440">
      <c r="A1440" s="7" t="s">
        <v>692</v>
      </c>
      <c r="B1440" s="7" t="s">
        <v>18</v>
      </c>
      <c r="C1440" s="8">
        <f>IFERROR(__xludf.DUMMYFUNCTION("SPLIT(B1440,""RM"")"),1250000.0)</f>
        <v>1250000</v>
      </c>
      <c r="D1440" s="7" t="s">
        <v>57</v>
      </c>
      <c r="E1440" s="7">
        <v>4.0</v>
      </c>
      <c r="G1440" s="7" t="s">
        <v>1325</v>
      </c>
      <c r="H1440" s="7" t="s">
        <v>528</v>
      </c>
      <c r="I1440" s="7" t="s">
        <v>27</v>
      </c>
    </row>
    <row r="1441">
      <c r="A1441" s="7" t="s">
        <v>72</v>
      </c>
      <c r="B1441" s="7" t="s">
        <v>236</v>
      </c>
      <c r="C1441" s="8">
        <f>IFERROR(__xludf.DUMMYFUNCTION("SPLIT(B1441,""RM"")"),2000000.0)</f>
        <v>2000000</v>
      </c>
      <c r="D1441" s="7" t="s">
        <v>57</v>
      </c>
      <c r="E1441" s="7">
        <v>3.0</v>
      </c>
      <c r="G1441" s="7" t="s">
        <v>83</v>
      </c>
      <c r="H1441" s="7" t="s">
        <v>561</v>
      </c>
      <c r="I1441" s="7" t="s">
        <v>22</v>
      </c>
    </row>
    <row r="1442">
      <c r="A1442" s="7" t="s">
        <v>77</v>
      </c>
      <c r="B1442" s="7" t="s">
        <v>970</v>
      </c>
      <c r="C1442" s="8">
        <f>IFERROR(__xludf.DUMMYFUNCTION("SPLIT(B1442,""RM"")"),5200000.0)</f>
        <v>5200000</v>
      </c>
      <c r="D1442" s="7" t="s">
        <v>218</v>
      </c>
      <c r="E1442" s="7">
        <v>7.0</v>
      </c>
      <c r="G1442" s="7" t="s">
        <v>1036</v>
      </c>
      <c r="H1442" s="7" t="s">
        <v>1326</v>
      </c>
      <c r="I1442" s="7" t="s">
        <v>27</v>
      </c>
    </row>
    <row r="1443">
      <c r="A1443" s="7" t="s">
        <v>77</v>
      </c>
      <c r="B1443" s="7" t="s">
        <v>329</v>
      </c>
      <c r="C1443" s="8">
        <f>IFERROR(__xludf.DUMMYFUNCTION("SPLIT(B1443,""RM"")"),1200000.0)</f>
        <v>1200000</v>
      </c>
      <c r="D1443" s="7" t="s">
        <v>19</v>
      </c>
      <c r="E1443" s="7">
        <v>3.0</v>
      </c>
      <c r="F1443" s="7">
        <v>2.0</v>
      </c>
      <c r="G1443" s="7" t="s">
        <v>93</v>
      </c>
      <c r="H1443" s="7" t="s">
        <v>845</v>
      </c>
      <c r="I1443" s="7" t="s">
        <v>22</v>
      </c>
    </row>
    <row r="1444">
      <c r="A1444" s="7" t="s">
        <v>77</v>
      </c>
      <c r="B1444" s="7" t="s">
        <v>475</v>
      </c>
      <c r="C1444" s="8">
        <f>IFERROR(__xludf.DUMMYFUNCTION("SPLIT(B1444,""RM"")"),2800000.0)</f>
        <v>2800000</v>
      </c>
      <c r="D1444" s="7" t="s">
        <v>57</v>
      </c>
      <c r="E1444" s="7">
        <v>5.0</v>
      </c>
      <c r="G1444" s="7" t="s">
        <v>90</v>
      </c>
      <c r="H1444" s="7" t="s">
        <v>1027</v>
      </c>
      <c r="I1444" s="7" t="s">
        <v>27</v>
      </c>
    </row>
    <row r="1445">
      <c r="A1445" s="7" t="s">
        <v>72</v>
      </c>
      <c r="B1445" s="7" t="s">
        <v>563</v>
      </c>
      <c r="C1445" s="8">
        <f>IFERROR(__xludf.DUMMYFUNCTION("SPLIT(B1445,""RM"")"),600000.0)</f>
        <v>600000</v>
      </c>
      <c r="D1445" s="7">
        <v>1.0</v>
      </c>
      <c r="E1445" s="7">
        <v>1.0</v>
      </c>
      <c r="F1445" s="7">
        <v>1.0</v>
      </c>
      <c r="G1445" s="7" t="s">
        <v>121</v>
      </c>
      <c r="H1445" s="7" t="s">
        <v>685</v>
      </c>
      <c r="I1445" s="7" t="s">
        <v>22</v>
      </c>
    </row>
    <row r="1446">
      <c r="A1446" s="7" t="s">
        <v>580</v>
      </c>
      <c r="B1446" s="7" t="s">
        <v>63</v>
      </c>
      <c r="C1446" s="8">
        <f>IFERROR(__xludf.DUMMYFUNCTION("SPLIT(B1446,""RM"")"),3100000.0)</f>
        <v>3100000</v>
      </c>
      <c r="D1446" s="7" t="s">
        <v>70</v>
      </c>
      <c r="E1446" s="7">
        <v>5.0</v>
      </c>
      <c r="G1446" s="7" t="s">
        <v>43</v>
      </c>
      <c r="H1446" s="7" t="s">
        <v>1327</v>
      </c>
      <c r="I1446" s="7" t="s">
        <v>27</v>
      </c>
    </row>
    <row r="1447">
      <c r="A1447" s="7" t="s">
        <v>72</v>
      </c>
      <c r="B1447" s="7" t="s">
        <v>1328</v>
      </c>
      <c r="C1447" s="8">
        <f>IFERROR(__xludf.DUMMYFUNCTION("SPLIT(B1447,""RM"")"),650000.0)</f>
        <v>650000</v>
      </c>
      <c r="D1447" s="7">
        <v>1.0</v>
      </c>
      <c r="E1447" s="7">
        <v>1.0</v>
      </c>
      <c r="F1447" s="7">
        <v>1.0</v>
      </c>
      <c r="G1447" s="7" t="s">
        <v>82</v>
      </c>
      <c r="H1447" s="7" t="s">
        <v>1329</v>
      </c>
      <c r="I1447" s="7" t="s">
        <v>22</v>
      </c>
    </row>
    <row r="1448">
      <c r="A1448" s="7" t="s">
        <v>371</v>
      </c>
      <c r="B1448" s="7" t="s">
        <v>629</v>
      </c>
      <c r="C1448" s="8">
        <f>IFERROR(__xludf.DUMMYFUNCTION("SPLIT(B1448,""RM"")"),770000.0)</f>
        <v>770000</v>
      </c>
      <c r="D1448" s="7">
        <v>3.0</v>
      </c>
      <c r="E1448" s="7">
        <v>2.0</v>
      </c>
      <c r="F1448" s="7">
        <v>2.0</v>
      </c>
      <c r="G1448" s="7" t="s">
        <v>30</v>
      </c>
      <c r="H1448" s="7" t="s">
        <v>959</v>
      </c>
      <c r="I1448" s="7" t="s">
        <v>103</v>
      </c>
    </row>
    <row r="1449">
      <c r="A1449" s="7" t="s">
        <v>371</v>
      </c>
      <c r="B1449" s="7" t="s">
        <v>311</v>
      </c>
      <c r="C1449" s="8">
        <f>IFERROR(__xludf.DUMMYFUNCTION("SPLIT(B1449,""RM"")"),1100000.0)</f>
        <v>1100000</v>
      </c>
      <c r="D1449" s="7" t="s">
        <v>57</v>
      </c>
      <c r="E1449" s="7">
        <v>4.0</v>
      </c>
      <c r="F1449" s="7">
        <v>2.0</v>
      </c>
      <c r="G1449" s="7" t="s">
        <v>30</v>
      </c>
      <c r="H1449" s="7" t="s">
        <v>1165</v>
      </c>
      <c r="I1449" s="7" t="s">
        <v>103</v>
      </c>
    </row>
    <row r="1450">
      <c r="A1450" s="7" t="s">
        <v>155</v>
      </c>
      <c r="B1450" s="7" t="s">
        <v>967</v>
      </c>
      <c r="C1450" s="8">
        <f>IFERROR(__xludf.DUMMYFUNCTION("SPLIT(B1450,""RM"")"),680000.0)</f>
        <v>680000</v>
      </c>
      <c r="D1450" s="7">
        <v>2.0</v>
      </c>
      <c r="E1450" s="7">
        <v>2.0</v>
      </c>
      <c r="F1450" s="7">
        <v>1.0</v>
      </c>
      <c r="G1450" s="7" t="s">
        <v>93</v>
      </c>
      <c r="H1450" s="7" t="s">
        <v>1330</v>
      </c>
      <c r="I1450" s="7" t="s">
        <v>27</v>
      </c>
    </row>
    <row r="1451">
      <c r="A1451" s="7" t="s">
        <v>155</v>
      </c>
      <c r="B1451" s="7" t="s">
        <v>813</v>
      </c>
      <c r="C1451" s="8">
        <f>IFERROR(__xludf.DUMMYFUNCTION("SPLIT(B1451,""RM"")"),2290000.0)</f>
        <v>2290000</v>
      </c>
      <c r="D1451" s="7" t="s">
        <v>70</v>
      </c>
      <c r="E1451" s="7">
        <v>6.0</v>
      </c>
      <c r="F1451" s="7">
        <v>4.0</v>
      </c>
      <c r="G1451" s="7" t="s">
        <v>30</v>
      </c>
      <c r="H1451" s="7" t="s">
        <v>1331</v>
      </c>
      <c r="I1451" s="7" t="s">
        <v>103</v>
      </c>
    </row>
    <row r="1452">
      <c r="A1452" s="7" t="s">
        <v>155</v>
      </c>
      <c r="B1452" s="7" t="s">
        <v>599</v>
      </c>
      <c r="C1452" s="8">
        <f>IFERROR(__xludf.DUMMYFUNCTION("SPLIT(B1452,""RM"")"),950000.0)</f>
        <v>950000</v>
      </c>
      <c r="D1452" s="7" t="s">
        <v>57</v>
      </c>
      <c r="E1452" s="7">
        <v>4.0</v>
      </c>
      <c r="F1452" s="7">
        <v>2.0</v>
      </c>
      <c r="G1452" s="7" t="s">
        <v>30</v>
      </c>
      <c r="H1452" s="7" t="s">
        <v>382</v>
      </c>
      <c r="I1452" s="7" t="s">
        <v>27</v>
      </c>
    </row>
    <row r="1453">
      <c r="A1453" s="7" t="s">
        <v>155</v>
      </c>
      <c r="B1453" s="7" t="s">
        <v>372</v>
      </c>
      <c r="C1453" s="8">
        <f>IFERROR(__xludf.DUMMYFUNCTION("SPLIT(B1453,""RM"")"),700000.0)</f>
        <v>700000</v>
      </c>
      <c r="D1453" s="7" t="s">
        <v>19</v>
      </c>
      <c r="E1453" s="7">
        <v>3.0</v>
      </c>
      <c r="F1453" s="7">
        <v>1.0</v>
      </c>
      <c r="G1453" s="7" t="s">
        <v>93</v>
      </c>
      <c r="H1453" s="7" t="s">
        <v>952</v>
      </c>
      <c r="I1453" s="7" t="s">
        <v>103</v>
      </c>
    </row>
    <row r="1454">
      <c r="A1454" s="7" t="s">
        <v>100</v>
      </c>
      <c r="B1454" s="7" t="s">
        <v>1328</v>
      </c>
      <c r="C1454" s="8">
        <f>IFERROR(__xludf.DUMMYFUNCTION("SPLIT(B1454,""RM"")"),650000.0)</f>
        <v>650000</v>
      </c>
      <c r="D1454" s="7">
        <v>2.0</v>
      </c>
      <c r="E1454" s="7">
        <v>2.0</v>
      </c>
      <c r="G1454" s="7" t="s">
        <v>93</v>
      </c>
      <c r="H1454" s="7" t="s">
        <v>1332</v>
      </c>
      <c r="I1454" s="7" t="s">
        <v>103</v>
      </c>
    </row>
    <row r="1455">
      <c r="A1455" s="7" t="s">
        <v>32</v>
      </c>
      <c r="B1455" s="7" t="s">
        <v>1333</v>
      </c>
      <c r="C1455" s="8">
        <f>IFERROR(__xludf.DUMMYFUNCTION("SPLIT(B1455,""RM"")"),535400.0)</f>
        <v>535400</v>
      </c>
      <c r="D1455" s="7">
        <v>1.0</v>
      </c>
      <c r="E1455" s="7">
        <v>2.0</v>
      </c>
      <c r="F1455" s="7">
        <v>1.0</v>
      </c>
      <c r="G1455" s="7" t="s">
        <v>145</v>
      </c>
      <c r="H1455" s="7" t="s">
        <v>678</v>
      </c>
      <c r="I1455" s="7" t="s">
        <v>27</v>
      </c>
    </row>
    <row r="1456">
      <c r="A1456" s="7" t="s">
        <v>155</v>
      </c>
      <c r="B1456" s="7" t="s">
        <v>1334</v>
      </c>
      <c r="C1456" s="8">
        <f>IFERROR(__xludf.DUMMYFUNCTION("SPLIT(B1456,""RM"")"),808000.0)</f>
        <v>808000</v>
      </c>
      <c r="D1456" s="7" t="s">
        <v>57</v>
      </c>
      <c r="E1456" s="7">
        <v>4.0</v>
      </c>
      <c r="F1456" s="7">
        <v>1.0</v>
      </c>
      <c r="G1456" s="7" t="s">
        <v>30</v>
      </c>
      <c r="H1456" s="7" t="s">
        <v>345</v>
      </c>
      <c r="I1456" s="7" t="s">
        <v>27</v>
      </c>
    </row>
    <row r="1457">
      <c r="A1457" s="7" t="s">
        <v>155</v>
      </c>
      <c r="B1457" s="7" t="s">
        <v>243</v>
      </c>
      <c r="C1457" s="8">
        <f>IFERROR(__xludf.DUMMYFUNCTION("SPLIT(B1457,""RM"")"),1350000.0)</f>
        <v>1350000</v>
      </c>
      <c r="D1457" s="7" t="s">
        <v>35</v>
      </c>
      <c r="E1457" s="7">
        <v>5.0</v>
      </c>
      <c r="F1457" s="7">
        <v>2.0</v>
      </c>
      <c r="G1457" s="7" t="s">
        <v>93</v>
      </c>
      <c r="H1457" s="7" t="s">
        <v>1335</v>
      </c>
      <c r="I1457" s="7" t="s">
        <v>103</v>
      </c>
    </row>
    <row r="1458">
      <c r="A1458" s="7" t="s">
        <v>155</v>
      </c>
      <c r="B1458" s="7" t="s">
        <v>953</v>
      </c>
      <c r="C1458" s="8">
        <f>IFERROR(__xludf.DUMMYFUNCTION("SPLIT(B1458,""RM"")"),730000.0)</f>
        <v>730000</v>
      </c>
      <c r="D1458" s="7" t="s">
        <v>19</v>
      </c>
      <c r="E1458" s="7">
        <v>3.0</v>
      </c>
      <c r="F1458" s="7">
        <v>1.0</v>
      </c>
      <c r="G1458" s="7" t="s">
        <v>93</v>
      </c>
      <c r="H1458" s="7" t="s">
        <v>1336</v>
      </c>
      <c r="I1458" s="7" t="s">
        <v>103</v>
      </c>
    </row>
    <row r="1459">
      <c r="A1459" s="7" t="s">
        <v>155</v>
      </c>
      <c r="B1459" s="7" t="s">
        <v>132</v>
      </c>
      <c r="C1459" s="8">
        <f>IFERROR(__xludf.DUMMYFUNCTION("SPLIT(B1459,""RM"")"),1080000.0)</f>
        <v>1080000</v>
      </c>
      <c r="D1459" s="7" t="s">
        <v>57</v>
      </c>
      <c r="E1459" s="7">
        <v>5.0</v>
      </c>
      <c r="F1459" s="7">
        <v>2.0</v>
      </c>
      <c r="G1459" s="7" t="s">
        <v>30</v>
      </c>
      <c r="H1459" s="7" t="s">
        <v>1246</v>
      </c>
      <c r="I1459" s="7" t="s">
        <v>103</v>
      </c>
    </row>
    <row r="1460">
      <c r="A1460" s="7" t="s">
        <v>33</v>
      </c>
      <c r="B1460" s="7" t="s">
        <v>329</v>
      </c>
      <c r="C1460" s="8">
        <f>IFERROR(__xludf.DUMMYFUNCTION("SPLIT(B1460,""RM"")"),1200000.0)</f>
        <v>1200000</v>
      </c>
      <c r="D1460" s="7">
        <v>5.0</v>
      </c>
      <c r="E1460" s="7">
        <v>4.0</v>
      </c>
      <c r="G1460" s="7" t="s">
        <v>90</v>
      </c>
    </row>
    <row r="1461">
      <c r="A1461" s="7" t="s">
        <v>32</v>
      </c>
      <c r="B1461" s="7" t="s">
        <v>1337</v>
      </c>
      <c r="C1461" s="8">
        <f>IFERROR(__xludf.DUMMYFUNCTION("SPLIT(B1461,""RM"")"),376000.0)</f>
        <v>376000</v>
      </c>
      <c r="D1461" s="7">
        <v>2.0</v>
      </c>
      <c r="E1461" s="7">
        <v>2.0</v>
      </c>
      <c r="F1461" s="7">
        <v>1.0</v>
      </c>
      <c r="G1461" s="7" t="s">
        <v>20</v>
      </c>
    </row>
    <row r="1462">
      <c r="A1462" s="7" t="s">
        <v>171</v>
      </c>
      <c r="B1462" s="7" t="s">
        <v>759</v>
      </c>
      <c r="C1462" s="8">
        <f>IFERROR(__xludf.DUMMYFUNCTION("SPLIT(B1462,""RM"")"),520000.0)</f>
        <v>520000</v>
      </c>
      <c r="D1462" s="7">
        <v>3.0</v>
      </c>
      <c r="E1462" s="7">
        <v>2.0</v>
      </c>
      <c r="F1462" s="7">
        <v>2.0</v>
      </c>
      <c r="G1462" s="7" t="s">
        <v>83</v>
      </c>
      <c r="H1462" s="7" t="s">
        <v>192</v>
      </c>
      <c r="I1462" s="7" t="s">
        <v>27</v>
      </c>
    </row>
    <row r="1463">
      <c r="A1463" s="7" t="s">
        <v>171</v>
      </c>
      <c r="B1463" s="7" t="s">
        <v>955</v>
      </c>
      <c r="C1463" s="8">
        <f>IFERROR(__xludf.DUMMYFUNCTION("SPLIT(B1463,""RM"")"),498000.0)</f>
        <v>498000</v>
      </c>
      <c r="D1463" s="7">
        <v>4.0</v>
      </c>
      <c r="E1463" s="7">
        <v>2.0</v>
      </c>
      <c r="F1463" s="7">
        <v>2.0</v>
      </c>
      <c r="G1463" s="7" t="s">
        <v>83</v>
      </c>
      <c r="H1463" s="7" t="s">
        <v>1068</v>
      </c>
      <c r="I1463" s="7" t="s">
        <v>103</v>
      </c>
    </row>
    <row r="1464">
      <c r="A1464" s="7" t="s">
        <v>155</v>
      </c>
      <c r="B1464" s="7" t="s">
        <v>1338</v>
      </c>
      <c r="C1464" s="8">
        <f>IFERROR(__xludf.DUMMYFUNCTION("SPLIT(B1464,""RM"")"),898000.0)</f>
        <v>898000</v>
      </c>
      <c r="D1464" s="7" t="s">
        <v>57</v>
      </c>
      <c r="E1464" s="7">
        <v>4.0</v>
      </c>
      <c r="F1464" s="7">
        <v>1.0</v>
      </c>
      <c r="G1464" s="7" t="s">
        <v>83</v>
      </c>
      <c r="H1464" s="7" t="s">
        <v>345</v>
      </c>
      <c r="I1464" s="7" t="s">
        <v>22</v>
      </c>
    </row>
    <row r="1465">
      <c r="A1465" s="7" t="s">
        <v>17</v>
      </c>
      <c r="B1465" s="7" t="s">
        <v>398</v>
      </c>
      <c r="C1465" s="8">
        <f>IFERROR(__xludf.DUMMYFUNCTION("SPLIT(B1465,""RM"")"),2280000.0)</f>
        <v>2280000</v>
      </c>
      <c r="D1465" s="7">
        <v>2.0</v>
      </c>
      <c r="E1465" s="7">
        <v>1.0</v>
      </c>
      <c r="F1465" s="7">
        <v>1.0</v>
      </c>
      <c r="G1465" s="7" t="s">
        <v>82</v>
      </c>
      <c r="H1465" s="7" t="s">
        <v>544</v>
      </c>
      <c r="I1465" s="7" t="s">
        <v>27</v>
      </c>
    </row>
    <row r="1466">
      <c r="A1466" s="7" t="s">
        <v>155</v>
      </c>
      <c r="B1466" s="7" t="s">
        <v>967</v>
      </c>
      <c r="C1466" s="8">
        <f>IFERROR(__xludf.DUMMYFUNCTION("SPLIT(B1466,""RM"")"),680000.0)</f>
        <v>680000</v>
      </c>
      <c r="D1466" s="7" t="s">
        <v>19</v>
      </c>
      <c r="E1466" s="7">
        <v>3.0</v>
      </c>
      <c r="F1466" s="7">
        <v>1.0</v>
      </c>
      <c r="G1466" s="7" t="s">
        <v>83</v>
      </c>
      <c r="H1466" s="7" t="s">
        <v>952</v>
      </c>
      <c r="I1466" s="7" t="s">
        <v>22</v>
      </c>
    </row>
    <row r="1467">
      <c r="A1467" s="7" t="s">
        <v>155</v>
      </c>
      <c r="B1467" s="7" t="s">
        <v>372</v>
      </c>
      <c r="C1467" s="8">
        <f>IFERROR(__xludf.DUMMYFUNCTION("SPLIT(B1467,""RM"")"),700000.0)</f>
        <v>700000</v>
      </c>
      <c r="D1467" s="7">
        <v>2.0</v>
      </c>
      <c r="E1467" s="7">
        <v>2.0</v>
      </c>
      <c r="F1467" s="7">
        <v>1.0</v>
      </c>
      <c r="G1467" s="7" t="s">
        <v>83</v>
      </c>
      <c r="H1467" s="7" t="s">
        <v>1339</v>
      </c>
      <c r="I1467" s="7" t="s">
        <v>27</v>
      </c>
    </row>
    <row r="1468">
      <c r="A1468" s="7" t="s">
        <v>32</v>
      </c>
      <c r="B1468" s="7" t="s">
        <v>227</v>
      </c>
      <c r="C1468" s="8">
        <f>IFERROR(__xludf.DUMMYFUNCTION("SPLIT(B1468,""RM"")"),2850000.0)</f>
        <v>2850000</v>
      </c>
      <c r="D1468" s="7">
        <v>5.0</v>
      </c>
      <c r="E1468" s="7">
        <v>5.0</v>
      </c>
      <c r="G1468" s="7" t="s">
        <v>61</v>
      </c>
      <c r="H1468" s="7" t="s">
        <v>1340</v>
      </c>
      <c r="I1468" s="7" t="s">
        <v>27</v>
      </c>
    </row>
    <row r="1469">
      <c r="A1469" s="7" t="s">
        <v>32</v>
      </c>
      <c r="B1469" s="7" t="s">
        <v>1341</v>
      </c>
      <c r="C1469" s="8">
        <f>IFERROR(__xludf.DUMMYFUNCTION("SPLIT(B1469,""RM"")"),368000.0)</f>
        <v>368000</v>
      </c>
      <c r="D1469" s="7">
        <v>3.0</v>
      </c>
      <c r="E1469" s="7">
        <v>2.0</v>
      </c>
      <c r="F1469" s="7">
        <v>1.0</v>
      </c>
      <c r="G1469" s="7" t="s">
        <v>494</v>
      </c>
      <c r="H1469" s="7" t="s">
        <v>1342</v>
      </c>
      <c r="I1469" s="7" t="s">
        <v>27</v>
      </c>
    </row>
    <row r="1470">
      <c r="A1470" s="7" t="s">
        <v>32</v>
      </c>
      <c r="B1470" s="7" t="s">
        <v>107</v>
      </c>
      <c r="C1470" s="8">
        <f>IFERROR(__xludf.DUMMYFUNCTION("SPLIT(B1470,""RM"")"),460000.0)</f>
        <v>460000</v>
      </c>
      <c r="D1470" s="7" t="s">
        <v>19</v>
      </c>
      <c r="E1470" s="7">
        <v>2.0</v>
      </c>
      <c r="F1470" s="7">
        <v>1.0</v>
      </c>
      <c r="G1470" s="7" t="s">
        <v>83</v>
      </c>
      <c r="H1470" s="7" t="s">
        <v>725</v>
      </c>
      <c r="I1470" s="7" t="s">
        <v>22</v>
      </c>
    </row>
    <row r="1471">
      <c r="A1471" s="7" t="s">
        <v>32</v>
      </c>
      <c r="B1471" s="7" t="s">
        <v>702</v>
      </c>
      <c r="C1471" s="8">
        <f>IFERROR(__xludf.DUMMYFUNCTION("SPLIT(B1471,""RM"")"),410000.0)</f>
        <v>410000</v>
      </c>
      <c r="D1471" s="7">
        <v>3.0</v>
      </c>
      <c r="E1471" s="7">
        <v>2.0</v>
      </c>
      <c r="F1471" s="7">
        <v>1.0</v>
      </c>
      <c r="G1471" s="7" t="s">
        <v>83</v>
      </c>
      <c r="H1471" s="7" t="s">
        <v>1343</v>
      </c>
      <c r="I1471" s="7" t="s">
        <v>27</v>
      </c>
    </row>
    <row r="1472">
      <c r="A1472" s="7" t="s">
        <v>33</v>
      </c>
      <c r="B1472" s="7" t="s">
        <v>1114</v>
      </c>
      <c r="C1472" s="8">
        <f>IFERROR(__xludf.DUMMYFUNCTION("SPLIT(B1472,""RM"")"),890000.0)</f>
        <v>890000</v>
      </c>
      <c r="D1472" s="7">
        <v>4.0</v>
      </c>
      <c r="E1472" s="7">
        <v>3.0</v>
      </c>
      <c r="G1472" s="7" t="s">
        <v>169</v>
      </c>
      <c r="H1472" s="7" t="s">
        <v>283</v>
      </c>
      <c r="I1472" s="7" t="s">
        <v>27</v>
      </c>
    </row>
    <row r="1473">
      <c r="A1473" s="7" t="s">
        <v>171</v>
      </c>
      <c r="B1473" s="7" t="s">
        <v>761</v>
      </c>
      <c r="C1473" s="8">
        <f>IFERROR(__xludf.DUMMYFUNCTION("SPLIT(B1473,""RM"")"),480000.0)</f>
        <v>480000</v>
      </c>
      <c r="D1473" s="7">
        <v>3.0</v>
      </c>
      <c r="E1473" s="7">
        <v>2.0</v>
      </c>
      <c r="F1473" s="7">
        <v>2.0</v>
      </c>
      <c r="G1473" s="7" t="s">
        <v>121</v>
      </c>
      <c r="H1473" s="7" t="s">
        <v>1319</v>
      </c>
      <c r="I1473" s="7" t="s">
        <v>22</v>
      </c>
    </row>
    <row r="1474">
      <c r="A1474" s="7" t="s">
        <v>89</v>
      </c>
      <c r="B1474" s="7" t="s">
        <v>1344</v>
      </c>
      <c r="C1474" s="8">
        <f>IFERROR(__xludf.DUMMYFUNCTION("SPLIT(B1474,""RM"")"),625000.0)</f>
        <v>625000</v>
      </c>
      <c r="D1474" s="7">
        <v>2.0</v>
      </c>
      <c r="E1474" s="7">
        <v>2.0</v>
      </c>
      <c r="F1474" s="7">
        <v>2.0</v>
      </c>
      <c r="G1474" s="7" t="s">
        <v>82</v>
      </c>
      <c r="H1474" s="7" t="s">
        <v>764</v>
      </c>
      <c r="I1474" s="7" t="s">
        <v>27</v>
      </c>
    </row>
    <row r="1475">
      <c r="A1475" s="7" t="s">
        <v>143</v>
      </c>
      <c r="B1475" s="7" t="s">
        <v>1345</v>
      </c>
      <c r="C1475" s="8">
        <f>IFERROR(__xludf.DUMMYFUNCTION("SPLIT(B1475,""RM"")"),319999.0)</f>
        <v>319999</v>
      </c>
      <c r="D1475" s="7" t="s">
        <v>325</v>
      </c>
      <c r="E1475" s="7">
        <v>1.0</v>
      </c>
      <c r="G1475" s="7" t="s">
        <v>82</v>
      </c>
      <c r="H1475" s="7" t="s">
        <v>1346</v>
      </c>
      <c r="I1475" s="7" t="s">
        <v>22</v>
      </c>
    </row>
    <row r="1476">
      <c r="A1476" s="7" t="s">
        <v>1088</v>
      </c>
      <c r="B1476" s="7" t="s">
        <v>18</v>
      </c>
      <c r="C1476" s="8">
        <f>IFERROR(__xludf.DUMMYFUNCTION("SPLIT(B1476,""RM"")"),1250000.0)</f>
        <v>1250000</v>
      </c>
      <c r="D1476" s="7" t="s">
        <v>19</v>
      </c>
      <c r="E1476" s="7">
        <v>2.0</v>
      </c>
      <c r="G1476" s="7" t="s">
        <v>30</v>
      </c>
      <c r="H1476" s="7" t="s">
        <v>464</v>
      </c>
      <c r="I1476" s="7" t="s">
        <v>22</v>
      </c>
    </row>
    <row r="1477">
      <c r="A1477" s="7" t="s">
        <v>32</v>
      </c>
      <c r="B1477" s="7" t="s">
        <v>710</v>
      </c>
      <c r="C1477" s="8">
        <f>IFERROR(__xludf.DUMMYFUNCTION("SPLIT(B1477,""RM"")"),570000.0)</f>
        <v>570000</v>
      </c>
      <c r="D1477" s="7">
        <v>2.0</v>
      </c>
      <c r="E1477" s="7">
        <v>2.0</v>
      </c>
      <c r="F1477" s="7">
        <v>2.0</v>
      </c>
      <c r="G1477" s="7" t="s">
        <v>83</v>
      </c>
      <c r="H1477" s="7" t="s">
        <v>1347</v>
      </c>
      <c r="I1477" s="7" t="s">
        <v>27</v>
      </c>
    </row>
    <row r="1478">
      <c r="A1478" s="7" t="s">
        <v>17</v>
      </c>
      <c r="B1478" s="7" t="s">
        <v>1348</v>
      </c>
      <c r="C1478" s="8">
        <f>IFERROR(__xludf.DUMMYFUNCTION("SPLIT(B1478,""RM"")"),510000.0)</f>
        <v>510000</v>
      </c>
      <c r="D1478" s="7" t="s">
        <v>325</v>
      </c>
      <c r="E1478" s="7">
        <v>1.0</v>
      </c>
      <c r="G1478" s="7" t="s">
        <v>20</v>
      </c>
      <c r="H1478" s="7" t="s">
        <v>980</v>
      </c>
      <c r="I1478" s="7" t="s">
        <v>22</v>
      </c>
    </row>
    <row r="1479">
      <c r="A1479" s="7" t="s">
        <v>180</v>
      </c>
      <c r="B1479" s="7" t="s">
        <v>1349</v>
      </c>
      <c r="C1479" s="8">
        <f>IFERROR(__xludf.DUMMYFUNCTION("SPLIT(B1479,""RM"")"),1220000.0)</f>
        <v>1220000</v>
      </c>
      <c r="D1479" s="7">
        <v>1.0</v>
      </c>
      <c r="E1479" s="7">
        <v>1.0</v>
      </c>
      <c r="F1479" s="7">
        <v>1.0</v>
      </c>
      <c r="G1479" s="7" t="s">
        <v>20</v>
      </c>
      <c r="H1479" s="7" t="s">
        <v>1113</v>
      </c>
      <c r="I1479" s="7" t="s">
        <v>22</v>
      </c>
    </row>
    <row r="1480">
      <c r="A1480" s="7" t="s">
        <v>17</v>
      </c>
      <c r="B1480" s="7" t="s">
        <v>245</v>
      </c>
      <c r="C1480" s="8">
        <f>IFERROR(__xludf.DUMMYFUNCTION("SPLIT(B1480,""RM"")"),800000.0)</f>
        <v>800000</v>
      </c>
      <c r="D1480" s="7" t="s">
        <v>197</v>
      </c>
      <c r="E1480" s="7">
        <v>1.0</v>
      </c>
      <c r="F1480" s="7">
        <v>1.0</v>
      </c>
      <c r="G1480" s="7" t="s">
        <v>121</v>
      </c>
      <c r="H1480" s="7" t="s">
        <v>1350</v>
      </c>
      <c r="I1480" s="7" t="s">
        <v>27</v>
      </c>
    </row>
    <row r="1481">
      <c r="A1481" s="7" t="s">
        <v>37</v>
      </c>
      <c r="B1481" s="7" t="s">
        <v>1351</v>
      </c>
      <c r="C1481" s="8">
        <f>IFERROR(__xludf.DUMMYFUNCTION("SPLIT(B1481,""RM"")"),1040000.0)</f>
        <v>1040000</v>
      </c>
      <c r="D1481" s="7">
        <v>3.0</v>
      </c>
      <c r="E1481" s="7">
        <v>2.0</v>
      </c>
      <c r="F1481" s="7">
        <v>1.0</v>
      </c>
      <c r="G1481" s="7" t="s">
        <v>121</v>
      </c>
      <c r="H1481" s="7" t="s">
        <v>192</v>
      </c>
      <c r="I1481" s="7" t="s">
        <v>22</v>
      </c>
    </row>
    <row r="1482">
      <c r="A1482" s="7" t="s">
        <v>37</v>
      </c>
      <c r="B1482" s="7" t="s">
        <v>1075</v>
      </c>
      <c r="C1482" s="8">
        <f>IFERROR(__xludf.DUMMYFUNCTION("SPLIT(B1482,""RM"")"),790000.0)</f>
        <v>790000</v>
      </c>
      <c r="D1482" s="7">
        <v>2.0</v>
      </c>
      <c r="E1482" s="7">
        <v>2.0</v>
      </c>
      <c r="F1482" s="7">
        <v>1.0</v>
      </c>
      <c r="G1482" s="7" t="s">
        <v>121</v>
      </c>
      <c r="H1482" s="7" t="s">
        <v>1352</v>
      </c>
      <c r="I1482" s="7" t="s">
        <v>22</v>
      </c>
    </row>
    <row r="1483">
      <c r="A1483" s="7" t="s">
        <v>17</v>
      </c>
      <c r="B1483" s="7" t="s">
        <v>329</v>
      </c>
      <c r="C1483" s="8">
        <f>IFERROR(__xludf.DUMMYFUNCTION("SPLIT(B1483,""RM"")"),1200000.0)</f>
        <v>1200000</v>
      </c>
      <c r="D1483" s="7">
        <v>2.0</v>
      </c>
      <c r="E1483" s="7">
        <v>2.0</v>
      </c>
      <c r="G1483" s="7" t="s">
        <v>83</v>
      </c>
      <c r="H1483" s="7" t="s">
        <v>1353</v>
      </c>
    </row>
    <row r="1484">
      <c r="A1484" s="7" t="s">
        <v>371</v>
      </c>
      <c r="B1484" s="7" t="s">
        <v>1166</v>
      </c>
      <c r="C1484" s="8">
        <f>IFERROR(__xludf.DUMMYFUNCTION("SPLIT(B1484,""RM"")"),760000.0)</f>
        <v>760000</v>
      </c>
      <c r="D1484" s="7">
        <v>3.0</v>
      </c>
      <c r="E1484" s="7">
        <v>2.0</v>
      </c>
      <c r="F1484" s="7">
        <v>2.0</v>
      </c>
      <c r="G1484" s="7" t="s">
        <v>83</v>
      </c>
      <c r="H1484" s="7" t="s">
        <v>1167</v>
      </c>
    </row>
    <row r="1485">
      <c r="A1485" s="7" t="s">
        <v>171</v>
      </c>
      <c r="B1485" s="7" t="s">
        <v>543</v>
      </c>
      <c r="C1485" s="8">
        <f>IFERROR(__xludf.DUMMYFUNCTION("SPLIT(B1485,""RM"")"),425000.0)</f>
        <v>425000</v>
      </c>
      <c r="D1485" s="7">
        <v>3.0</v>
      </c>
      <c r="E1485" s="7">
        <v>2.0</v>
      </c>
      <c r="F1485" s="7">
        <v>2.0</v>
      </c>
      <c r="G1485" s="7" t="s">
        <v>20</v>
      </c>
      <c r="H1485" s="7" t="s">
        <v>1354</v>
      </c>
    </row>
    <row r="1486">
      <c r="A1486" s="7" t="s">
        <v>89</v>
      </c>
      <c r="B1486" s="7" t="s">
        <v>691</v>
      </c>
      <c r="C1486" s="8">
        <f>IFERROR(__xludf.DUMMYFUNCTION("SPLIT(B1486,""RM"")"),370000.0)</f>
        <v>370000</v>
      </c>
      <c r="D1486" s="7">
        <v>2.0</v>
      </c>
      <c r="E1486" s="7">
        <v>2.0</v>
      </c>
      <c r="F1486" s="7">
        <v>1.0</v>
      </c>
      <c r="G1486" s="7" t="s">
        <v>20</v>
      </c>
      <c r="H1486" s="7" t="s">
        <v>242</v>
      </c>
      <c r="I1486" s="7" t="s">
        <v>22</v>
      </c>
    </row>
    <row r="1487">
      <c r="A1487" s="7" t="s">
        <v>148</v>
      </c>
      <c r="B1487" s="7" t="s">
        <v>193</v>
      </c>
      <c r="C1487" s="8">
        <f>IFERROR(__xludf.DUMMYFUNCTION("SPLIT(B1487,""RM"")"),1650000.0)</f>
        <v>1650000</v>
      </c>
      <c r="D1487" s="7" t="s">
        <v>57</v>
      </c>
      <c r="E1487" s="7">
        <v>4.0</v>
      </c>
      <c r="G1487" s="7" t="s">
        <v>470</v>
      </c>
      <c r="H1487" s="7" t="s">
        <v>412</v>
      </c>
      <c r="I1487" s="7" t="s">
        <v>27</v>
      </c>
    </row>
    <row r="1488">
      <c r="A1488" s="7" t="s">
        <v>371</v>
      </c>
      <c r="B1488" s="7" t="s">
        <v>844</v>
      </c>
      <c r="C1488" s="8">
        <f>IFERROR(__xludf.DUMMYFUNCTION("SPLIT(B1488,""RM"")"),1690000.0)</f>
        <v>1690000</v>
      </c>
      <c r="D1488" s="7" t="s">
        <v>57</v>
      </c>
      <c r="E1488" s="7">
        <v>4.0</v>
      </c>
      <c r="F1488" s="7">
        <v>4.0</v>
      </c>
      <c r="G1488" s="7" t="s">
        <v>83</v>
      </c>
      <c r="H1488" s="7" t="s">
        <v>1355</v>
      </c>
    </row>
    <row r="1489">
      <c r="A1489" s="7" t="s">
        <v>148</v>
      </c>
      <c r="B1489" s="7" t="s">
        <v>309</v>
      </c>
      <c r="C1489" s="8">
        <f>IFERROR(__xludf.DUMMYFUNCTION("SPLIT(B1489,""RM"")"),2100000.0)</f>
        <v>2100000</v>
      </c>
      <c r="D1489" s="7" t="s">
        <v>35</v>
      </c>
      <c r="E1489" s="7">
        <v>5.0</v>
      </c>
      <c r="G1489" s="7" t="s">
        <v>562</v>
      </c>
      <c r="H1489" s="7" t="s">
        <v>1208</v>
      </c>
    </row>
    <row r="1490">
      <c r="A1490" s="7" t="s">
        <v>371</v>
      </c>
      <c r="B1490" s="7" t="s">
        <v>18</v>
      </c>
      <c r="C1490" s="8">
        <f>IFERROR(__xludf.DUMMYFUNCTION("SPLIT(B1490,""RM"")"),1250000.0)</f>
        <v>1250000</v>
      </c>
      <c r="D1490" s="7" t="s">
        <v>57</v>
      </c>
      <c r="E1490" s="7">
        <v>4.0</v>
      </c>
      <c r="F1490" s="7">
        <v>3.0</v>
      </c>
      <c r="G1490" s="7" t="s">
        <v>83</v>
      </c>
      <c r="H1490" s="7" t="s">
        <v>1356</v>
      </c>
      <c r="I1490" s="7" t="s">
        <v>103</v>
      </c>
    </row>
    <row r="1491">
      <c r="A1491" s="7" t="s">
        <v>267</v>
      </c>
      <c r="B1491" s="7" t="s">
        <v>507</v>
      </c>
      <c r="C1491" s="8">
        <f>IFERROR(__xludf.DUMMYFUNCTION("SPLIT(B1491,""RM"")"),590000.0)</f>
        <v>590000</v>
      </c>
      <c r="D1491" s="7">
        <v>3.0</v>
      </c>
      <c r="E1491" s="7">
        <v>2.0</v>
      </c>
      <c r="F1491" s="7">
        <v>1.0</v>
      </c>
      <c r="G1491" s="7" t="s">
        <v>20</v>
      </c>
      <c r="H1491" s="7" t="s">
        <v>954</v>
      </c>
      <c r="I1491" s="7" t="s">
        <v>27</v>
      </c>
    </row>
    <row r="1492">
      <c r="A1492" s="7" t="s">
        <v>267</v>
      </c>
      <c r="B1492" s="7" t="s">
        <v>969</v>
      </c>
      <c r="C1492" s="8">
        <f>IFERROR(__xludf.DUMMYFUNCTION("SPLIT(B1492,""RM"")"),430000.0)</f>
        <v>430000</v>
      </c>
      <c r="D1492" s="7">
        <v>2.0</v>
      </c>
      <c r="E1492" s="7">
        <v>2.0</v>
      </c>
      <c r="F1492" s="7">
        <v>1.0</v>
      </c>
      <c r="G1492" s="7" t="s">
        <v>20</v>
      </c>
      <c r="H1492" s="7" t="s">
        <v>1207</v>
      </c>
      <c r="I1492" s="7" t="s">
        <v>27</v>
      </c>
    </row>
    <row r="1493">
      <c r="A1493" s="7" t="s">
        <v>171</v>
      </c>
      <c r="B1493" s="7" t="s">
        <v>606</v>
      </c>
      <c r="C1493" s="8">
        <f>IFERROR(__xludf.DUMMYFUNCTION("SPLIT(B1493,""RM"")"),428000.0)</f>
        <v>428000</v>
      </c>
      <c r="D1493" s="7" t="s">
        <v>57</v>
      </c>
      <c r="E1493" s="7">
        <v>2.0</v>
      </c>
      <c r="G1493" s="7" t="s">
        <v>20</v>
      </c>
      <c r="H1493" s="7" t="s">
        <v>607</v>
      </c>
    </row>
    <row r="1494">
      <c r="A1494" s="7" t="s">
        <v>65</v>
      </c>
      <c r="B1494" s="7" t="s">
        <v>433</v>
      </c>
      <c r="C1494" s="8">
        <f>IFERROR(__xludf.DUMMYFUNCTION("SPLIT(B1494,""RM"")"),1.48E7)</f>
        <v>14800000</v>
      </c>
      <c r="D1494" s="7" t="s">
        <v>39</v>
      </c>
      <c r="E1494" s="7">
        <v>6.0</v>
      </c>
      <c r="F1494" s="7">
        <v>4.0</v>
      </c>
      <c r="G1494" s="7" t="s">
        <v>25</v>
      </c>
      <c r="H1494" s="7" t="s">
        <v>434</v>
      </c>
      <c r="I1494" s="7" t="s">
        <v>22</v>
      </c>
    </row>
    <row r="1495">
      <c r="A1495" s="7" t="s">
        <v>23</v>
      </c>
      <c r="B1495" s="7" t="s">
        <v>797</v>
      </c>
      <c r="C1495" s="8">
        <f>IFERROR(__xludf.DUMMYFUNCTION("SPLIT(B1495,""RM"")"),9600000.0)</f>
        <v>9600000</v>
      </c>
      <c r="D1495" s="7" t="s">
        <v>299</v>
      </c>
      <c r="E1495" s="7">
        <v>11.0</v>
      </c>
      <c r="G1495" s="7" t="s">
        <v>25</v>
      </c>
      <c r="H1495" s="7" t="s">
        <v>1357</v>
      </c>
    </row>
    <row r="1496">
      <c r="A1496" s="7" t="s">
        <v>177</v>
      </c>
      <c r="B1496" s="7" t="s">
        <v>616</v>
      </c>
      <c r="C1496" s="8">
        <f>IFERROR(__xludf.DUMMYFUNCTION("SPLIT(B1496,""RM"")"),7500000.0)</f>
        <v>7500000</v>
      </c>
      <c r="D1496" s="7" t="s">
        <v>60</v>
      </c>
      <c r="E1496" s="7">
        <v>7.0</v>
      </c>
      <c r="G1496" s="7" t="s">
        <v>25</v>
      </c>
      <c r="H1496" s="7" t="s">
        <v>62</v>
      </c>
      <c r="I1496" s="7" t="s">
        <v>27</v>
      </c>
    </row>
    <row r="1497">
      <c r="A1497" s="7" t="s">
        <v>65</v>
      </c>
      <c r="B1497" s="7" t="s">
        <v>433</v>
      </c>
      <c r="C1497" s="8">
        <f>IFERROR(__xludf.DUMMYFUNCTION("SPLIT(B1497,""RM"")"),1.48E7)</f>
        <v>14800000</v>
      </c>
      <c r="D1497" s="7" t="s">
        <v>299</v>
      </c>
      <c r="E1497" s="7">
        <v>9.0</v>
      </c>
      <c r="F1497" s="7">
        <v>6.0</v>
      </c>
      <c r="G1497" s="7" t="s">
        <v>67</v>
      </c>
      <c r="H1497" s="7" t="s">
        <v>593</v>
      </c>
      <c r="I1497" s="7" t="s">
        <v>27</v>
      </c>
    </row>
    <row r="1498">
      <c r="A1498" s="7" t="s">
        <v>155</v>
      </c>
      <c r="B1498" s="7" t="s">
        <v>245</v>
      </c>
      <c r="C1498" s="8">
        <f>IFERROR(__xludf.DUMMYFUNCTION("SPLIT(B1498,""RM"")"),800000.0)</f>
        <v>800000</v>
      </c>
      <c r="D1498" s="7" t="s">
        <v>57</v>
      </c>
      <c r="E1498" s="7">
        <v>3.0</v>
      </c>
      <c r="F1498" s="7">
        <v>1.0</v>
      </c>
      <c r="G1498" s="7" t="s">
        <v>83</v>
      </c>
      <c r="H1498" s="7" t="s">
        <v>630</v>
      </c>
      <c r="I1498" s="7" t="s">
        <v>103</v>
      </c>
    </row>
    <row r="1499">
      <c r="A1499" s="7" t="s">
        <v>17</v>
      </c>
      <c r="B1499" s="7" t="s">
        <v>475</v>
      </c>
      <c r="C1499" s="8">
        <f>IFERROR(__xludf.DUMMYFUNCTION("SPLIT(B1499,""RM"")"),2800000.0)</f>
        <v>2800000</v>
      </c>
      <c r="D1499" s="7" t="s">
        <v>57</v>
      </c>
      <c r="E1499" s="7">
        <v>4.0</v>
      </c>
      <c r="F1499" s="7">
        <v>2.0</v>
      </c>
      <c r="G1499" s="7" t="s">
        <v>20</v>
      </c>
      <c r="H1499" s="7" t="s">
        <v>1358</v>
      </c>
      <c r="I1499" s="7" t="s">
        <v>22</v>
      </c>
    </row>
    <row r="1500">
      <c r="A1500" s="7" t="s">
        <v>32</v>
      </c>
      <c r="B1500" s="7" t="s">
        <v>1111</v>
      </c>
      <c r="C1500" s="8">
        <f>IFERROR(__xludf.DUMMYFUNCTION("SPLIT(B1500,""RM"")"),390000.0)</f>
        <v>390000</v>
      </c>
      <c r="D1500" s="7">
        <v>3.0</v>
      </c>
      <c r="E1500" s="7">
        <v>2.0</v>
      </c>
      <c r="F1500" s="7">
        <v>1.0</v>
      </c>
      <c r="G1500" s="7" t="s">
        <v>20</v>
      </c>
      <c r="H1500" s="7" t="s">
        <v>1330</v>
      </c>
      <c r="I1500" s="7" t="s">
        <v>27</v>
      </c>
    </row>
    <row r="1501">
      <c r="A1501" s="7" t="s">
        <v>32</v>
      </c>
      <c r="B1501" s="7" t="s">
        <v>475</v>
      </c>
      <c r="C1501" s="8">
        <f>IFERROR(__xludf.DUMMYFUNCTION("SPLIT(B1501,""RM"")"),2800000.0)</f>
        <v>2800000</v>
      </c>
      <c r="D1501" s="7" t="s">
        <v>39</v>
      </c>
      <c r="E1501" s="7">
        <v>4.0</v>
      </c>
      <c r="F1501" s="7">
        <v>5.0</v>
      </c>
      <c r="G1501" s="7" t="s">
        <v>25</v>
      </c>
      <c r="H1501" s="7" t="s">
        <v>62</v>
      </c>
    </row>
    <row r="1502">
      <c r="A1502" s="7" t="s">
        <v>100</v>
      </c>
      <c r="B1502" s="7" t="s">
        <v>201</v>
      </c>
      <c r="C1502" s="8">
        <f>IFERROR(__xludf.DUMMYFUNCTION("SPLIT(B1502,""RM"")"),620000.0)</f>
        <v>620000</v>
      </c>
      <c r="D1502" s="7">
        <v>3.0</v>
      </c>
      <c r="E1502" s="7">
        <v>2.0</v>
      </c>
      <c r="F1502" s="7">
        <v>2.0</v>
      </c>
      <c r="G1502" s="7" t="s">
        <v>121</v>
      </c>
      <c r="H1502" s="7" t="s">
        <v>1359</v>
      </c>
      <c r="I1502" s="7" t="s">
        <v>27</v>
      </c>
    </row>
    <row r="1503">
      <c r="A1503" s="7" t="s">
        <v>188</v>
      </c>
      <c r="B1503" s="7" t="s">
        <v>967</v>
      </c>
      <c r="C1503" s="8">
        <f>IFERROR(__xludf.DUMMYFUNCTION("SPLIT(B1503,""RM"")"),680000.0)</f>
        <v>680000</v>
      </c>
      <c r="D1503" s="7">
        <v>2.0</v>
      </c>
      <c r="E1503" s="7">
        <v>2.0</v>
      </c>
      <c r="F1503" s="7">
        <v>1.0</v>
      </c>
      <c r="G1503" s="7" t="s">
        <v>121</v>
      </c>
      <c r="H1503" s="7" t="s">
        <v>1360</v>
      </c>
      <c r="I1503" s="7" t="s">
        <v>22</v>
      </c>
    </row>
    <row r="1504">
      <c r="A1504" s="7" t="s">
        <v>17</v>
      </c>
      <c r="B1504" s="7" t="s">
        <v>134</v>
      </c>
      <c r="C1504" s="8">
        <f>IFERROR(__xludf.DUMMYFUNCTION("SPLIT(B1504,""RM"")"),1150000.0)</f>
        <v>1150000</v>
      </c>
      <c r="D1504" s="7">
        <v>2.0</v>
      </c>
      <c r="E1504" s="7">
        <v>2.0</v>
      </c>
      <c r="G1504" s="7" t="s">
        <v>385</v>
      </c>
      <c r="H1504" s="7" t="s">
        <v>1361</v>
      </c>
      <c r="I1504" s="7" t="s">
        <v>22</v>
      </c>
    </row>
    <row r="1505">
      <c r="A1505" s="7" t="s">
        <v>17</v>
      </c>
      <c r="B1505" s="7" t="s">
        <v>127</v>
      </c>
      <c r="C1505" s="8">
        <f>IFERROR(__xludf.DUMMYFUNCTION("SPLIT(B1505,""RM"")"),4200000.0)</f>
        <v>4200000</v>
      </c>
      <c r="D1505" s="7" t="s">
        <v>19</v>
      </c>
      <c r="E1505" s="7">
        <v>2.0</v>
      </c>
      <c r="F1505" s="7">
        <v>1.0</v>
      </c>
      <c r="G1505" s="7" t="s">
        <v>121</v>
      </c>
      <c r="H1505" s="7" t="s">
        <v>99</v>
      </c>
      <c r="I1505" s="7" t="s">
        <v>27</v>
      </c>
    </row>
    <row r="1506">
      <c r="A1506" s="7" t="s">
        <v>17</v>
      </c>
      <c r="B1506" s="7" t="s">
        <v>158</v>
      </c>
      <c r="C1506" s="8">
        <f>IFERROR(__xludf.DUMMYFUNCTION("SPLIT(B1506,""RM"")"),1850000.0)</f>
        <v>1850000</v>
      </c>
      <c r="D1506" s="7" t="s">
        <v>19</v>
      </c>
      <c r="E1506" s="7">
        <v>1.0</v>
      </c>
      <c r="G1506" s="7" t="s">
        <v>121</v>
      </c>
      <c r="H1506" s="7" t="s">
        <v>394</v>
      </c>
      <c r="I1506" s="7" t="s">
        <v>22</v>
      </c>
    </row>
    <row r="1507">
      <c r="A1507" s="7" t="s">
        <v>17</v>
      </c>
      <c r="B1507" s="7" t="s">
        <v>1362</v>
      </c>
      <c r="C1507" s="8">
        <f>IFERROR(__xludf.DUMMYFUNCTION("SPLIT(B1507,""RM"")"),1178850.0)</f>
        <v>1178850</v>
      </c>
      <c r="D1507" s="7" t="s">
        <v>19</v>
      </c>
      <c r="E1507" s="7">
        <v>2.0</v>
      </c>
      <c r="G1507" s="7" t="s">
        <v>20</v>
      </c>
      <c r="H1507" s="7" t="s">
        <v>650</v>
      </c>
      <c r="I1507" s="7" t="s">
        <v>27</v>
      </c>
    </row>
    <row r="1508">
      <c r="A1508" s="7" t="s">
        <v>17</v>
      </c>
      <c r="B1508" s="7" t="s">
        <v>132</v>
      </c>
      <c r="C1508" s="8">
        <f>IFERROR(__xludf.DUMMYFUNCTION("SPLIT(B1508,""RM"")"),1080000.0)</f>
        <v>1080000</v>
      </c>
      <c r="D1508" s="7" t="s">
        <v>197</v>
      </c>
      <c r="E1508" s="7">
        <v>1.0</v>
      </c>
      <c r="G1508" s="7" t="s">
        <v>82</v>
      </c>
      <c r="H1508" s="7" t="s">
        <v>949</v>
      </c>
      <c r="I1508" s="7" t="s">
        <v>22</v>
      </c>
    </row>
    <row r="1509">
      <c r="A1509" s="7" t="s">
        <v>17</v>
      </c>
      <c r="B1509" s="7" t="s">
        <v>407</v>
      </c>
      <c r="C1509" s="8">
        <f>IFERROR(__xludf.DUMMYFUNCTION("SPLIT(B1509,""RM"")"),880000.0)</f>
        <v>880000</v>
      </c>
      <c r="D1509" s="7" t="s">
        <v>197</v>
      </c>
      <c r="E1509" s="7">
        <v>1.0</v>
      </c>
      <c r="G1509" s="7" t="s">
        <v>82</v>
      </c>
      <c r="H1509" s="7" t="s">
        <v>1363</v>
      </c>
      <c r="I1509" s="7" t="s">
        <v>22</v>
      </c>
    </row>
    <row r="1510">
      <c r="A1510" s="7" t="s">
        <v>17</v>
      </c>
      <c r="B1510" s="7" t="s">
        <v>78</v>
      </c>
      <c r="C1510" s="8">
        <f>IFERROR(__xludf.DUMMYFUNCTION("SPLIT(B1510,""RM"")"),1500000.0)</f>
        <v>1500000</v>
      </c>
      <c r="D1510" s="7" t="s">
        <v>19</v>
      </c>
      <c r="E1510" s="7">
        <v>2.0</v>
      </c>
      <c r="F1510" s="7">
        <v>1.0</v>
      </c>
      <c r="G1510" s="7" t="s">
        <v>93</v>
      </c>
      <c r="H1510" s="7" t="s">
        <v>74</v>
      </c>
      <c r="I1510" s="7" t="s">
        <v>27</v>
      </c>
    </row>
    <row r="1511">
      <c r="A1511" s="7" t="s">
        <v>72</v>
      </c>
      <c r="B1511" s="7" t="s">
        <v>411</v>
      </c>
      <c r="C1511" s="8">
        <f>IFERROR(__xludf.DUMMYFUNCTION("SPLIT(B1511,""RM"")"),2150000.0)</f>
        <v>2150000</v>
      </c>
      <c r="D1511" s="7" t="s">
        <v>57</v>
      </c>
      <c r="E1511" s="7">
        <v>3.0</v>
      </c>
      <c r="F1511" s="7">
        <v>3.0</v>
      </c>
      <c r="G1511" s="7" t="s">
        <v>30</v>
      </c>
      <c r="H1511" s="7" t="s">
        <v>561</v>
      </c>
      <c r="I1511" s="7" t="s">
        <v>27</v>
      </c>
    </row>
    <row r="1512">
      <c r="A1512" s="7" t="s">
        <v>171</v>
      </c>
      <c r="B1512" s="7" t="s">
        <v>1364</v>
      </c>
      <c r="C1512" s="8">
        <f>IFERROR(__xludf.DUMMYFUNCTION("SPLIT(B1512,""RM"")"),895000.0)</f>
        <v>895000</v>
      </c>
      <c r="D1512" s="7" t="s">
        <v>57</v>
      </c>
      <c r="E1512" s="7">
        <v>3.0</v>
      </c>
      <c r="F1512" s="7">
        <v>2.0</v>
      </c>
      <c r="G1512" s="7" t="s">
        <v>83</v>
      </c>
      <c r="H1512" s="7" t="s">
        <v>551</v>
      </c>
      <c r="I1512" s="7" t="s">
        <v>27</v>
      </c>
    </row>
    <row r="1513">
      <c r="A1513" s="7" t="s">
        <v>371</v>
      </c>
      <c r="B1513" s="7" t="s">
        <v>755</v>
      </c>
      <c r="C1513" s="8">
        <f>IFERROR(__xludf.DUMMYFUNCTION("SPLIT(B1513,""RM"")"),970000.0)</f>
        <v>970000</v>
      </c>
      <c r="D1513" s="7" t="s">
        <v>79</v>
      </c>
      <c r="E1513" s="7">
        <v>3.0</v>
      </c>
      <c r="F1513" s="7">
        <v>2.0</v>
      </c>
      <c r="G1513" s="7" t="s">
        <v>30</v>
      </c>
      <c r="H1513" s="7" t="s">
        <v>1365</v>
      </c>
      <c r="I1513" s="7" t="s">
        <v>27</v>
      </c>
    </row>
    <row r="1514">
      <c r="A1514" s="7" t="s">
        <v>171</v>
      </c>
      <c r="B1514" s="7" t="s">
        <v>139</v>
      </c>
      <c r="C1514" s="8">
        <f>IFERROR(__xludf.DUMMYFUNCTION("SPLIT(B1514,""RM"")"),780000.0)</f>
        <v>780000</v>
      </c>
      <c r="D1514" s="7">
        <v>3.0</v>
      </c>
      <c r="E1514" s="7">
        <v>3.0</v>
      </c>
      <c r="F1514" s="7">
        <v>2.0</v>
      </c>
      <c r="G1514" s="7" t="s">
        <v>83</v>
      </c>
      <c r="H1514" s="7" t="s">
        <v>1366</v>
      </c>
      <c r="I1514" s="7" t="s">
        <v>27</v>
      </c>
    </row>
    <row r="1515">
      <c r="A1515" s="7" t="s">
        <v>371</v>
      </c>
      <c r="B1515" s="7" t="s">
        <v>629</v>
      </c>
      <c r="C1515" s="8">
        <f>IFERROR(__xludf.DUMMYFUNCTION("SPLIT(B1515,""RM"")"),770000.0)</f>
        <v>770000</v>
      </c>
      <c r="D1515" s="7">
        <v>3.0</v>
      </c>
      <c r="E1515" s="7">
        <v>2.0</v>
      </c>
      <c r="F1515" s="7">
        <v>2.0</v>
      </c>
      <c r="G1515" s="7" t="s">
        <v>93</v>
      </c>
      <c r="H1515" s="7" t="s">
        <v>1367</v>
      </c>
      <c r="I1515" s="7" t="s">
        <v>103</v>
      </c>
    </row>
    <row r="1516">
      <c r="A1516" s="7" t="s">
        <v>171</v>
      </c>
      <c r="B1516" s="7" t="s">
        <v>191</v>
      </c>
      <c r="C1516" s="8">
        <f>IFERROR(__xludf.DUMMYFUNCTION("SPLIT(B1516,""RM"")"),1000000.0)</f>
        <v>1000000</v>
      </c>
      <c r="D1516" s="7">
        <v>4.0</v>
      </c>
      <c r="E1516" s="7">
        <v>3.0</v>
      </c>
      <c r="F1516" s="7">
        <v>2.0</v>
      </c>
      <c r="G1516" s="7" t="s">
        <v>54</v>
      </c>
      <c r="H1516" s="7" t="s">
        <v>211</v>
      </c>
      <c r="I1516" s="7" t="s">
        <v>27</v>
      </c>
    </row>
    <row r="1517">
      <c r="A1517" s="7" t="s">
        <v>171</v>
      </c>
      <c r="B1517" s="7" t="s">
        <v>641</v>
      </c>
      <c r="C1517" s="8">
        <f>IFERROR(__xludf.DUMMYFUNCTION("SPLIT(B1517,""RM"")"),830000.0)</f>
        <v>830000</v>
      </c>
      <c r="D1517" s="7" t="s">
        <v>57</v>
      </c>
      <c r="E1517" s="7">
        <v>4.0</v>
      </c>
      <c r="F1517" s="7">
        <v>3.0</v>
      </c>
      <c r="G1517" s="7" t="s">
        <v>83</v>
      </c>
      <c r="H1517" s="7" t="s">
        <v>1368</v>
      </c>
      <c r="I1517" s="7" t="s">
        <v>27</v>
      </c>
    </row>
    <row r="1518">
      <c r="A1518" s="7" t="s">
        <v>358</v>
      </c>
      <c r="B1518" s="7" t="s">
        <v>316</v>
      </c>
      <c r="C1518" s="8">
        <f>IFERROR(__xludf.DUMMYFUNCTION("SPLIT(B1518,""RM"")"),820000.0)</f>
        <v>820000</v>
      </c>
      <c r="D1518" s="7" t="s">
        <v>57</v>
      </c>
      <c r="E1518" s="7">
        <v>3.0</v>
      </c>
      <c r="F1518" s="7">
        <v>2.0</v>
      </c>
      <c r="G1518" s="7" t="s">
        <v>83</v>
      </c>
      <c r="H1518" s="7" t="s">
        <v>1369</v>
      </c>
      <c r="I1518" s="7" t="s">
        <v>22</v>
      </c>
    </row>
    <row r="1519">
      <c r="A1519" s="7" t="s">
        <v>371</v>
      </c>
      <c r="B1519" s="7" t="s">
        <v>229</v>
      </c>
      <c r="C1519" s="8">
        <f>IFERROR(__xludf.DUMMYFUNCTION("SPLIT(B1519,""RM"")"),1050000.0)</f>
        <v>1050000</v>
      </c>
      <c r="D1519" s="7" t="s">
        <v>57</v>
      </c>
      <c r="E1519" s="7">
        <v>4.0</v>
      </c>
      <c r="F1519" s="7">
        <v>2.0</v>
      </c>
      <c r="G1519" s="7" t="s">
        <v>30</v>
      </c>
      <c r="H1519" s="7" t="s">
        <v>1370</v>
      </c>
      <c r="I1519" s="7" t="s">
        <v>103</v>
      </c>
    </row>
    <row r="1520">
      <c r="A1520" s="7" t="s">
        <v>171</v>
      </c>
      <c r="B1520" s="7" t="s">
        <v>733</v>
      </c>
      <c r="C1520" s="8">
        <f>IFERROR(__xludf.DUMMYFUNCTION("SPLIT(B1520,""RM"")"),565000.0)</f>
        <v>565000</v>
      </c>
      <c r="D1520" s="7" t="s">
        <v>57</v>
      </c>
      <c r="E1520" s="7">
        <v>3.0</v>
      </c>
      <c r="F1520" s="7">
        <v>2.0</v>
      </c>
      <c r="G1520" s="7" t="s">
        <v>83</v>
      </c>
      <c r="H1520" s="7" t="s">
        <v>1371</v>
      </c>
      <c r="I1520" s="7" t="s">
        <v>27</v>
      </c>
    </row>
    <row r="1521">
      <c r="A1521" s="7" t="s">
        <v>171</v>
      </c>
      <c r="B1521" s="7" t="s">
        <v>1372</v>
      </c>
      <c r="C1521" s="8">
        <f>IFERROR(__xludf.DUMMYFUNCTION("SPLIT(B1521,""RM"")"),1370650.0)</f>
        <v>1370650</v>
      </c>
      <c r="D1521" s="7" t="s">
        <v>70</v>
      </c>
      <c r="E1521" s="7">
        <v>5.0</v>
      </c>
      <c r="F1521" s="7">
        <v>3.0</v>
      </c>
      <c r="G1521" s="7" t="s">
        <v>378</v>
      </c>
      <c r="H1521" s="7" t="s">
        <v>1373</v>
      </c>
      <c r="I1521" s="7" t="s">
        <v>103</v>
      </c>
    </row>
    <row r="1522">
      <c r="A1522" s="7" t="s">
        <v>171</v>
      </c>
      <c r="B1522" s="7" t="s">
        <v>1374</v>
      </c>
      <c r="C1522" s="8">
        <f>IFERROR(__xludf.DUMMYFUNCTION("SPLIT(B1522,""RM"")"),1360000.0)</f>
        <v>1360000</v>
      </c>
      <c r="D1522" s="7" t="s">
        <v>35</v>
      </c>
      <c r="E1522" s="7">
        <v>5.0</v>
      </c>
      <c r="F1522" s="7">
        <v>3.0</v>
      </c>
      <c r="G1522" s="7" t="s">
        <v>30</v>
      </c>
      <c r="H1522" s="7" t="s">
        <v>1375</v>
      </c>
    </row>
    <row r="1523">
      <c r="A1523" s="7" t="s">
        <v>72</v>
      </c>
      <c r="B1523" s="7" t="s">
        <v>837</v>
      </c>
      <c r="C1523" s="8">
        <f>IFERROR(__xludf.DUMMYFUNCTION("SPLIT(B1523,""RM"")"),1840000.0)</f>
        <v>1840000</v>
      </c>
      <c r="D1523" s="7" t="s">
        <v>57</v>
      </c>
      <c r="E1523" s="7">
        <v>4.0</v>
      </c>
      <c r="F1523" s="7">
        <v>3.0</v>
      </c>
      <c r="G1523" s="7" t="s">
        <v>30</v>
      </c>
      <c r="H1523" s="7" t="s">
        <v>838</v>
      </c>
      <c r="I1523" s="7" t="s">
        <v>27</v>
      </c>
    </row>
    <row r="1524">
      <c r="A1524" s="7" t="s">
        <v>77</v>
      </c>
      <c r="B1524" s="7" t="s">
        <v>1376</v>
      </c>
      <c r="C1524" s="8">
        <f>IFERROR(__xludf.DUMMYFUNCTION("SPLIT(B1524,""RM"")"),1960000.0)</f>
        <v>1960000</v>
      </c>
      <c r="D1524" s="7" t="s">
        <v>57</v>
      </c>
      <c r="E1524" s="7">
        <v>4.0</v>
      </c>
      <c r="F1524" s="7">
        <v>3.0</v>
      </c>
      <c r="G1524" s="7" t="s">
        <v>169</v>
      </c>
      <c r="H1524" s="7" t="s">
        <v>307</v>
      </c>
      <c r="I1524" s="7" t="s">
        <v>27</v>
      </c>
    </row>
    <row r="1525">
      <c r="A1525" s="7" t="s">
        <v>143</v>
      </c>
      <c r="B1525" s="7" t="s">
        <v>953</v>
      </c>
      <c r="C1525" s="8">
        <f>IFERROR(__xludf.DUMMYFUNCTION("SPLIT(B1525,""RM"")"),730000.0)</f>
        <v>730000</v>
      </c>
      <c r="D1525" s="7">
        <v>1.0</v>
      </c>
      <c r="E1525" s="7">
        <v>1.0</v>
      </c>
      <c r="F1525" s="7">
        <v>1.0</v>
      </c>
      <c r="G1525" s="7" t="s">
        <v>20</v>
      </c>
      <c r="H1525" s="7" t="s">
        <v>1361</v>
      </c>
      <c r="I1525" s="7" t="s">
        <v>22</v>
      </c>
    </row>
    <row r="1526">
      <c r="A1526" s="7" t="s">
        <v>104</v>
      </c>
      <c r="B1526" s="7" t="s">
        <v>214</v>
      </c>
      <c r="C1526" s="8">
        <f>IFERROR(__xludf.DUMMYFUNCTION("SPLIT(B1526,""RM"")"),1180000.0)</f>
        <v>1180000</v>
      </c>
      <c r="D1526" s="7">
        <v>6.0</v>
      </c>
      <c r="E1526" s="7">
        <v>6.0</v>
      </c>
      <c r="F1526" s="7">
        <v>2.0</v>
      </c>
      <c r="G1526" s="7" t="s">
        <v>681</v>
      </c>
      <c r="H1526" s="7" t="s">
        <v>1377</v>
      </c>
      <c r="I1526" s="7" t="s">
        <v>27</v>
      </c>
    </row>
    <row r="1527">
      <c r="A1527" s="7" t="s">
        <v>104</v>
      </c>
      <c r="B1527" s="7" t="s">
        <v>419</v>
      </c>
      <c r="C1527" s="8">
        <f>IFERROR(__xludf.DUMMYFUNCTION("SPLIT(B1527,""RM"")"),990000.0)</f>
        <v>990000</v>
      </c>
      <c r="D1527" s="7">
        <v>3.0</v>
      </c>
      <c r="E1527" s="7">
        <v>2.0</v>
      </c>
      <c r="F1527" s="7">
        <v>4.0</v>
      </c>
      <c r="G1527" s="7" t="s">
        <v>1378</v>
      </c>
      <c r="H1527" s="7" t="s">
        <v>1379</v>
      </c>
      <c r="I1527" s="7" t="s">
        <v>27</v>
      </c>
    </row>
    <row r="1528">
      <c r="A1528" s="7" t="s">
        <v>692</v>
      </c>
      <c r="B1528" s="7" t="s">
        <v>844</v>
      </c>
      <c r="C1528" s="8">
        <f>IFERROR(__xludf.DUMMYFUNCTION("SPLIT(B1528,""RM"")"),1690000.0)</f>
        <v>1690000</v>
      </c>
      <c r="D1528" s="7" t="s">
        <v>70</v>
      </c>
      <c r="E1528" s="7">
        <v>4.0</v>
      </c>
      <c r="F1528" s="7">
        <v>4.0</v>
      </c>
      <c r="G1528" s="7" t="s">
        <v>203</v>
      </c>
      <c r="H1528" s="7" t="s">
        <v>283</v>
      </c>
      <c r="I1528" s="7" t="s">
        <v>22</v>
      </c>
    </row>
    <row r="1529">
      <c r="A1529" s="7" t="s">
        <v>77</v>
      </c>
      <c r="B1529" s="7" t="s">
        <v>1380</v>
      </c>
      <c r="C1529" s="8">
        <f>IFERROR(__xludf.DUMMYFUNCTION("SPLIT(B1529,""RM"")"),1110000.0)</f>
        <v>1110000</v>
      </c>
      <c r="D1529" s="7" t="s">
        <v>19</v>
      </c>
      <c r="E1529" s="7">
        <v>2.0</v>
      </c>
      <c r="F1529" s="7">
        <v>2.0</v>
      </c>
      <c r="G1529" s="7" t="s">
        <v>83</v>
      </c>
      <c r="H1529" s="7" t="s">
        <v>1381</v>
      </c>
      <c r="I1529" s="7" t="s">
        <v>27</v>
      </c>
    </row>
    <row r="1530">
      <c r="A1530" s="7" t="s">
        <v>77</v>
      </c>
      <c r="B1530" s="7" t="s">
        <v>421</v>
      </c>
      <c r="C1530" s="8">
        <f>IFERROR(__xludf.DUMMYFUNCTION("SPLIT(B1530,""RM"")"),5460000.0)</f>
        <v>5460000</v>
      </c>
      <c r="D1530" s="7" t="s">
        <v>299</v>
      </c>
      <c r="E1530" s="7">
        <v>9.0</v>
      </c>
      <c r="F1530" s="7">
        <v>6.0</v>
      </c>
      <c r="G1530" s="7" t="s">
        <v>1036</v>
      </c>
      <c r="H1530" s="7" t="s">
        <v>301</v>
      </c>
      <c r="I1530" s="7" t="s">
        <v>27</v>
      </c>
    </row>
    <row r="1531">
      <c r="A1531" s="7" t="s">
        <v>171</v>
      </c>
      <c r="B1531" s="7" t="s">
        <v>1382</v>
      </c>
      <c r="C1531" s="8">
        <f>IFERROR(__xludf.DUMMYFUNCTION("SPLIT(B1531,""RM"")"),525000.0)</f>
        <v>525000</v>
      </c>
      <c r="D1531" s="7">
        <v>4.0</v>
      </c>
      <c r="E1531" s="7">
        <v>2.0</v>
      </c>
      <c r="F1531" s="7">
        <v>2.0</v>
      </c>
      <c r="G1531" s="7" t="s">
        <v>83</v>
      </c>
      <c r="H1531" s="7" t="s">
        <v>760</v>
      </c>
    </row>
    <row r="1532">
      <c r="A1532" s="7" t="s">
        <v>77</v>
      </c>
      <c r="B1532" s="7" t="s">
        <v>1383</v>
      </c>
      <c r="C1532" s="8">
        <f>IFERROR(__xludf.DUMMYFUNCTION("SPLIT(B1532,""RM"")"),1303000.0)</f>
        <v>1303000</v>
      </c>
      <c r="D1532" s="7">
        <v>2.0</v>
      </c>
      <c r="E1532" s="7">
        <v>2.0</v>
      </c>
      <c r="F1532" s="7">
        <v>2.0</v>
      </c>
      <c r="G1532" s="7" t="s">
        <v>30</v>
      </c>
      <c r="H1532" s="7" t="s">
        <v>492</v>
      </c>
      <c r="I1532" s="7" t="s">
        <v>27</v>
      </c>
    </row>
    <row r="1533">
      <c r="A1533" s="7" t="s">
        <v>77</v>
      </c>
      <c r="B1533" s="7" t="s">
        <v>613</v>
      </c>
      <c r="C1533" s="8">
        <f>IFERROR(__xludf.DUMMYFUNCTION("SPLIT(B1533,""RM"")"),1890000.0)</f>
        <v>1890000</v>
      </c>
      <c r="D1533" s="7">
        <v>3.0</v>
      </c>
      <c r="E1533" s="7">
        <v>3.0</v>
      </c>
      <c r="F1533" s="7">
        <v>3.0</v>
      </c>
      <c r="G1533" s="7" t="s">
        <v>169</v>
      </c>
      <c r="H1533" s="7" t="s">
        <v>283</v>
      </c>
      <c r="I1533" s="7" t="s">
        <v>27</v>
      </c>
    </row>
    <row r="1534">
      <c r="A1534" s="7" t="s">
        <v>77</v>
      </c>
      <c r="B1534" s="7" t="s">
        <v>110</v>
      </c>
      <c r="C1534" s="8">
        <f>IFERROR(__xludf.DUMMYFUNCTION("SPLIT(B1534,""RM"")"),2400000.0)</f>
        <v>2400000</v>
      </c>
      <c r="D1534" s="7">
        <v>7.0</v>
      </c>
      <c r="E1534" s="7">
        <v>6.0</v>
      </c>
      <c r="F1534" s="7">
        <v>4.0</v>
      </c>
      <c r="G1534" s="7" t="s">
        <v>90</v>
      </c>
      <c r="H1534" s="7" t="s">
        <v>211</v>
      </c>
      <c r="I1534" s="7" t="s">
        <v>27</v>
      </c>
    </row>
    <row r="1535">
      <c r="A1535" s="7" t="s">
        <v>32</v>
      </c>
      <c r="B1535" s="7" t="s">
        <v>575</v>
      </c>
      <c r="C1535" s="8">
        <f>IFERROR(__xludf.DUMMYFUNCTION("SPLIT(B1535,""RM"")"),660000.0)</f>
        <v>660000</v>
      </c>
      <c r="D1535" s="7" t="s">
        <v>57</v>
      </c>
      <c r="E1535" s="7">
        <v>3.0</v>
      </c>
      <c r="F1535" s="7">
        <v>2.0</v>
      </c>
      <c r="G1535" s="7" t="s">
        <v>82</v>
      </c>
      <c r="H1535" s="7" t="s">
        <v>1384</v>
      </c>
      <c r="I1535" s="7" t="s">
        <v>27</v>
      </c>
    </row>
    <row r="1536">
      <c r="A1536" s="7" t="s">
        <v>77</v>
      </c>
      <c r="B1536" s="7" t="s">
        <v>1385</v>
      </c>
      <c r="C1536" s="8">
        <f>IFERROR(__xludf.DUMMYFUNCTION("SPLIT(B1536,""RM"")"),1410000.0)</f>
        <v>1410000</v>
      </c>
      <c r="D1536" s="7">
        <v>2.0</v>
      </c>
      <c r="E1536" s="7">
        <v>2.0</v>
      </c>
      <c r="F1536" s="7">
        <v>2.0</v>
      </c>
      <c r="G1536" s="7" t="s">
        <v>93</v>
      </c>
      <c r="H1536" s="7" t="s">
        <v>321</v>
      </c>
      <c r="I1536" s="7" t="s">
        <v>27</v>
      </c>
    </row>
    <row r="1537">
      <c r="A1537" s="7" t="s">
        <v>77</v>
      </c>
      <c r="B1537" s="7" t="s">
        <v>193</v>
      </c>
      <c r="C1537" s="8">
        <f>IFERROR(__xludf.DUMMYFUNCTION("SPLIT(B1537,""RM"")"),1650000.0)</f>
        <v>1650000</v>
      </c>
      <c r="D1537" s="7" t="s">
        <v>57</v>
      </c>
      <c r="E1537" s="7">
        <v>3.0</v>
      </c>
      <c r="F1537" s="7">
        <v>2.0</v>
      </c>
      <c r="G1537" s="7" t="s">
        <v>681</v>
      </c>
      <c r="H1537" s="7" t="s">
        <v>461</v>
      </c>
      <c r="I1537" s="7" t="s">
        <v>27</v>
      </c>
    </row>
    <row r="1538">
      <c r="A1538" s="7" t="s">
        <v>692</v>
      </c>
      <c r="B1538" s="7" t="s">
        <v>329</v>
      </c>
      <c r="C1538" s="8">
        <f>IFERROR(__xludf.DUMMYFUNCTION("SPLIT(B1538,""RM"")"),1200000.0)</f>
        <v>1200000</v>
      </c>
      <c r="D1538" s="7" t="s">
        <v>57</v>
      </c>
      <c r="E1538" s="7">
        <v>4.0</v>
      </c>
      <c r="G1538" s="7" t="s">
        <v>494</v>
      </c>
      <c r="H1538" s="7" t="s">
        <v>1000</v>
      </c>
      <c r="I1538" s="7" t="s">
        <v>27</v>
      </c>
    </row>
    <row r="1539">
      <c r="A1539" s="7" t="s">
        <v>100</v>
      </c>
      <c r="B1539" s="7" t="s">
        <v>1225</v>
      </c>
      <c r="C1539" s="8">
        <f>IFERROR(__xludf.DUMMYFUNCTION("SPLIT(B1539,""RM"")"),1290000.0)</f>
        <v>1290000</v>
      </c>
      <c r="D1539" s="7" t="s">
        <v>79</v>
      </c>
      <c r="E1539" s="7">
        <v>4.0</v>
      </c>
      <c r="F1539" s="7">
        <v>3.0</v>
      </c>
      <c r="G1539" s="7" t="s">
        <v>93</v>
      </c>
      <c r="H1539" s="7" t="s">
        <v>741</v>
      </c>
      <c r="I1539" s="7" t="s">
        <v>22</v>
      </c>
    </row>
    <row r="1540">
      <c r="A1540" s="7" t="s">
        <v>77</v>
      </c>
      <c r="B1540" s="7" t="s">
        <v>85</v>
      </c>
      <c r="C1540" s="8">
        <f>IFERROR(__xludf.DUMMYFUNCTION("SPLIT(B1540,""RM"")"),1450000.0)</f>
        <v>1450000</v>
      </c>
      <c r="D1540" s="7" t="s">
        <v>79</v>
      </c>
      <c r="E1540" s="7">
        <v>4.0</v>
      </c>
      <c r="F1540" s="7">
        <v>2.0</v>
      </c>
      <c r="G1540" s="7" t="s">
        <v>494</v>
      </c>
      <c r="H1540" s="7" t="s">
        <v>1386</v>
      </c>
      <c r="I1540" s="7" t="s">
        <v>27</v>
      </c>
    </row>
    <row r="1541">
      <c r="A1541" s="7" t="s">
        <v>100</v>
      </c>
      <c r="B1541" s="7" t="s">
        <v>918</v>
      </c>
      <c r="C1541" s="8">
        <f>IFERROR(__xludf.DUMMYFUNCTION("SPLIT(B1541,""RM"")"),738000.0)</f>
        <v>738000</v>
      </c>
      <c r="D1541" s="7">
        <v>3.0</v>
      </c>
      <c r="E1541" s="7">
        <v>2.0</v>
      </c>
      <c r="G1541" s="7" t="s">
        <v>93</v>
      </c>
      <c r="H1541" s="7" t="s">
        <v>1387</v>
      </c>
      <c r="I1541" s="7" t="s">
        <v>103</v>
      </c>
    </row>
    <row r="1542">
      <c r="A1542" s="7" t="s">
        <v>37</v>
      </c>
      <c r="B1542" s="7" t="s">
        <v>356</v>
      </c>
      <c r="C1542" s="8">
        <f>IFERROR(__xludf.DUMMYFUNCTION("SPLIT(B1542,""RM"")"),1790000.0)</f>
        <v>1790000</v>
      </c>
      <c r="D1542" s="7">
        <v>4.0</v>
      </c>
      <c r="E1542" s="7">
        <v>3.0</v>
      </c>
      <c r="F1542" s="7">
        <v>2.0</v>
      </c>
      <c r="G1542" s="7" t="s">
        <v>54</v>
      </c>
      <c r="H1542" s="7" t="s">
        <v>1388</v>
      </c>
      <c r="I1542" s="7" t="s">
        <v>22</v>
      </c>
    </row>
    <row r="1543">
      <c r="A1543" s="7" t="s">
        <v>77</v>
      </c>
      <c r="B1543" s="7" t="s">
        <v>712</v>
      </c>
      <c r="C1543" s="8">
        <f>IFERROR(__xludf.DUMMYFUNCTION("SPLIT(B1543,""RM"")"),1880000.0)</f>
        <v>1880000</v>
      </c>
      <c r="D1543" s="7">
        <v>4.0</v>
      </c>
      <c r="E1543" s="7">
        <v>4.0</v>
      </c>
      <c r="F1543" s="7">
        <v>2.0</v>
      </c>
      <c r="G1543" s="7" t="s">
        <v>54</v>
      </c>
      <c r="H1543" s="7" t="s">
        <v>1389</v>
      </c>
      <c r="I1543" s="7" t="s">
        <v>27</v>
      </c>
    </row>
    <row r="1544">
      <c r="A1544" s="7" t="s">
        <v>32</v>
      </c>
      <c r="B1544" s="7" t="s">
        <v>1390</v>
      </c>
      <c r="C1544" s="8">
        <f>IFERROR(__xludf.DUMMYFUNCTION("SPLIT(B1544,""RM"")"),615000.0)</f>
        <v>615000</v>
      </c>
      <c r="D1544" s="7">
        <v>4.0</v>
      </c>
      <c r="E1544" s="7">
        <v>4.0</v>
      </c>
      <c r="G1544" s="7" t="s">
        <v>681</v>
      </c>
      <c r="H1544" s="7" t="s">
        <v>1391</v>
      </c>
    </row>
    <row r="1545">
      <c r="A1545" s="7" t="s">
        <v>28</v>
      </c>
      <c r="B1545" s="7" t="s">
        <v>1392</v>
      </c>
      <c r="C1545" s="8">
        <f>IFERROR(__xludf.DUMMYFUNCTION("SPLIT(B1545,""RM"")"),518000.0)</f>
        <v>518000</v>
      </c>
      <c r="D1545" s="7">
        <v>3.0</v>
      </c>
      <c r="E1545" s="7">
        <v>2.0</v>
      </c>
      <c r="F1545" s="7">
        <v>1.0</v>
      </c>
      <c r="G1545" s="7" t="s">
        <v>83</v>
      </c>
      <c r="H1545" s="7" t="s">
        <v>734</v>
      </c>
      <c r="I1545" s="7" t="s">
        <v>27</v>
      </c>
    </row>
    <row r="1546">
      <c r="A1546" s="7" t="s">
        <v>104</v>
      </c>
      <c r="B1546" s="7" t="s">
        <v>201</v>
      </c>
      <c r="C1546" s="8">
        <f>IFERROR(__xludf.DUMMYFUNCTION("SPLIT(B1546,""RM"")"),620000.0)</f>
        <v>620000</v>
      </c>
      <c r="D1546" s="7" t="s">
        <v>57</v>
      </c>
      <c r="E1546" s="7">
        <v>2.0</v>
      </c>
      <c r="F1546" s="7">
        <v>3.0</v>
      </c>
      <c r="G1546" s="7" t="s">
        <v>121</v>
      </c>
      <c r="H1546" s="7" t="s">
        <v>321</v>
      </c>
      <c r="I1546" s="7" t="s">
        <v>27</v>
      </c>
    </row>
    <row r="1547">
      <c r="A1547" s="7" t="s">
        <v>28</v>
      </c>
      <c r="B1547" s="7" t="s">
        <v>172</v>
      </c>
      <c r="C1547" s="8">
        <f>IFERROR(__xludf.DUMMYFUNCTION("SPLIT(B1547,""RM"")"),580000.0)</f>
        <v>580000</v>
      </c>
      <c r="D1547" s="7" t="s">
        <v>19</v>
      </c>
      <c r="E1547" s="7">
        <v>2.0</v>
      </c>
      <c r="F1547" s="7">
        <v>2.0</v>
      </c>
      <c r="G1547" s="7" t="s">
        <v>20</v>
      </c>
      <c r="H1547" s="7" t="s">
        <v>1393</v>
      </c>
      <c r="I1547" s="7" t="s">
        <v>27</v>
      </c>
    </row>
    <row r="1548">
      <c r="A1548" s="7" t="s">
        <v>28</v>
      </c>
      <c r="B1548" s="7" t="s">
        <v>1394</v>
      </c>
      <c r="C1548" s="8">
        <f>IFERROR(__xludf.DUMMYFUNCTION("SPLIT(B1548,""RM"")"),633000.0)</f>
        <v>633000</v>
      </c>
      <c r="D1548" s="7">
        <v>3.0</v>
      </c>
      <c r="E1548" s="7">
        <v>2.0</v>
      </c>
      <c r="F1548" s="7">
        <v>2.0</v>
      </c>
      <c r="G1548" s="7" t="s">
        <v>20</v>
      </c>
      <c r="H1548" s="7" t="s">
        <v>1395</v>
      </c>
    </row>
    <row r="1549">
      <c r="A1549" s="7" t="s">
        <v>177</v>
      </c>
      <c r="B1549" s="7" t="s">
        <v>24</v>
      </c>
      <c r="C1549" s="8">
        <f>IFERROR(__xludf.DUMMYFUNCTION("SPLIT(B1549,""RM"")"),6800000.0)</f>
        <v>6800000</v>
      </c>
      <c r="D1549" s="7" t="s">
        <v>70</v>
      </c>
      <c r="E1549" s="7">
        <v>6.0</v>
      </c>
      <c r="G1549" s="7" t="s">
        <v>25</v>
      </c>
      <c r="H1549" s="7" t="s">
        <v>1396</v>
      </c>
      <c r="I1549" s="7" t="s">
        <v>27</v>
      </c>
    </row>
    <row r="1550">
      <c r="A1550" s="7" t="s">
        <v>177</v>
      </c>
      <c r="B1550" s="7" t="s">
        <v>1094</v>
      </c>
      <c r="C1550" s="8">
        <f>IFERROR(__xludf.DUMMYFUNCTION("SPLIT(B1550,""RM"")"),4700000.0)</f>
        <v>4700000</v>
      </c>
      <c r="G1550" s="7" t="s">
        <v>61</v>
      </c>
      <c r="H1550" s="7" t="s">
        <v>1397</v>
      </c>
      <c r="I1550" s="7" t="s">
        <v>103</v>
      </c>
    </row>
    <row r="1551">
      <c r="A1551" s="7" t="s">
        <v>177</v>
      </c>
      <c r="B1551" s="7" t="s">
        <v>1094</v>
      </c>
      <c r="C1551" s="8">
        <f>IFERROR(__xludf.DUMMYFUNCTION("SPLIT(B1551,""RM"")"),4700000.0)</f>
        <v>4700000</v>
      </c>
      <c r="D1551" s="7" t="s">
        <v>70</v>
      </c>
      <c r="E1551" s="7">
        <v>4.0</v>
      </c>
      <c r="G1551" s="7" t="s">
        <v>61</v>
      </c>
      <c r="H1551" s="7" t="s">
        <v>1398</v>
      </c>
      <c r="I1551" s="7" t="s">
        <v>27</v>
      </c>
    </row>
    <row r="1552">
      <c r="A1552" s="7" t="s">
        <v>177</v>
      </c>
      <c r="B1552" s="7" t="s">
        <v>783</v>
      </c>
      <c r="C1552" s="8">
        <f>IFERROR(__xludf.DUMMYFUNCTION("SPLIT(B1552,""RM"")"),8200000.0)</f>
        <v>8200000</v>
      </c>
      <c r="D1552" s="7" t="s">
        <v>218</v>
      </c>
      <c r="E1552" s="7">
        <v>4.0</v>
      </c>
      <c r="G1552" s="7" t="s">
        <v>25</v>
      </c>
      <c r="H1552" s="7" t="s">
        <v>1399</v>
      </c>
      <c r="I1552" s="7" t="s">
        <v>27</v>
      </c>
    </row>
    <row r="1553">
      <c r="A1553" s="7" t="s">
        <v>177</v>
      </c>
      <c r="B1553" s="7" t="s">
        <v>893</v>
      </c>
      <c r="C1553" s="8">
        <f>IFERROR(__xludf.DUMMYFUNCTION("SPLIT(B1553,""RM"")"),7000000.0)</f>
        <v>7000000</v>
      </c>
      <c r="D1553" s="7" t="s">
        <v>218</v>
      </c>
      <c r="E1553" s="7">
        <v>5.0</v>
      </c>
      <c r="G1553" s="7" t="s">
        <v>25</v>
      </c>
      <c r="H1553" s="7" t="s">
        <v>264</v>
      </c>
      <c r="I1553" s="7" t="s">
        <v>27</v>
      </c>
    </row>
    <row r="1554">
      <c r="A1554" s="7" t="s">
        <v>23</v>
      </c>
      <c r="B1554" s="7" t="s">
        <v>596</v>
      </c>
      <c r="C1554" s="8">
        <f>IFERROR(__xludf.DUMMYFUNCTION("SPLIT(B1554,""RM"")"),8280000.0)</f>
        <v>8280000</v>
      </c>
      <c r="D1554" s="7" t="s">
        <v>591</v>
      </c>
      <c r="E1554" s="7">
        <v>6.0</v>
      </c>
      <c r="G1554" s="7" t="s">
        <v>25</v>
      </c>
      <c r="H1554" s="7" t="s">
        <v>593</v>
      </c>
      <c r="I1554" s="7" t="s">
        <v>27</v>
      </c>
    </row>
    <row r="1555">
      <c r="A1555" s="7" t="s">
        <v>177</v>
      </c>
      <c r="B1555" s="7" t="s">
        <v>1400</v>
      </c>
      <c r="C1555" s="8">
        <f>IFERROR(__xludf.DUMMYFUNCTION("SPLIT(B1555,""RM"")"),7048350.0)</f>
        <v>7048350</v>
      </c>
      <c r="D1555" s="7" t="s">
        <v>35</v>
      </c>
      <c r="E1555" s="7">
        <v>4.0</v>
      </c>
      <c r="G1555" s="7" t="s">
        <v>83</v>
      </c>
      <c r="H1555" s="7" t="s">
        <v>1401</v>
      </c>
      <c r="I1555" s="7" t="s">
        <v>27</v>
      </c>
    </row>
    <row r="1556">
      <c r="A1556" s="7" t="s">
        <v>177</v>
      </c>
      <c r="B1556" s="7" t="s">
        <v>1402</v>
      </c>
      <c r="C1556" s="8">
        <f>IFERROR(__xludf.DUMMYFUNCTION("SPLIT(B1556,""RM"")"),8406500.0)</f>
        <v>8406500</v>
      </c>
      <c r="D1556" s="7" t="s">
        <v>35</v>
      </c>
      <c r="E1556" s="7">
        <v>5.0</v>
      </c>
      <c r="G1556" s="7" t="s">
        <v>83</v>
      </c>
      <c r="H1556" s="7" t="s">
        <v>574</v>
      </c>
      <c r="I1556" s="7" t="s">
        <v>27</v>
      </c>
    </row>
    <row r="1557">
      <c r="A1557" s="7" t="s">
        <v>177</v>
      </c>
      <c r="B1557" s="7" t="s">
        <v>1403</v>
      </c>
      <c r="C1557" s="8">
        <f>IFERROR(__xludf.DUMMYFUNCTION("SPLIT(B1557,""RM"")"),7043750.0)</f>
        <v>7043750</v>
      </c>
      <c r="D1557" s="7" t="s">
        <v>57</v>
      </c>
      <c r="E1557" s="7">
        <v>5.0</v>
      </c>
      <c r="F1557" s="7">
        <v>4.0</v>
      </c>
      <c r="G1557" s="7" t="s">
        <v>83</v>
      </c>
      <c r="H1557" s="7" t="s">
        <v>572</v>
      </c>
      <c r="I1557" s="7" t="s">
        <v>27</v>
      </c>
    </row>
    <row r="1558">
      <c r="A1558" s="7" t="s">
        <v>177</v>
      </c>
      <c r="B1558" s="7" t="s">
        <v>1404</v>
      </c>
      <c r="C1558" s="8">
        <f>IFERROR(__xludf.DUMMYFUNCTION("SPLIT(B1558,""RM"")"),1.073475E7)</f>
        <v>10734750</v>
      </c>
      <c r="D1558" s="7" t="s">
        <v>35</v>
      </c>
      <c r="E1558" s="7">
        <v>6.0</v>
      </c>
      <c r="G1558" s="7" t="s">
        <v>83</v>
      </c>
      <c r="H1558" s="7" t="s">
        <v>550</v>
      </c>
      <c r="I1558" s="7" t="s">
        <v>27</v>
      </c>
    </row>
    <row r="1559">
      <c r="A1559" s="7" t="s">
        <v>177</v>
      </c>
      <c r="B1559" s="7" t="s">
        <v>1405</v>
      </c>
      <c r="C1559" s="8">
        <f>IFERROR(__xludf.DUMMYFUNCTION("SPLIT(B1559,""RM"")"),1.555425E7)</f>
        <v>15554250</v>
      </c>
      <c r="D1559" s="7" t="s">
        <v>39</v>
      </c>
      <c r="E1559" s="7">
        <v>7.0</v>
      </c>
      <c r="G1559" s="7" t="s">
        <v>83</v>
      </c>
      <c r="H1559" s="7" t="s">
        <v>546</v>
      </c>
      <c r="I1559" s="7" t="s">
        <v>27</v>
      </c>
    </row>
    <row r="1560">
      <c r="A1560" s="7" t="s">
        <v>432</v>
      </c>
      <c r="B1560" s="7" t="s">
        <v>120</v>
      </c>
      <c r="C1560" s="8">
        <f>IFERROR(__xludf.DUMMYFUNCTION("SPLIT(B1560,""RM"")"),3600000.0)</f>
        <v>3600000</v>
      </c>
      <c r="D1560" s="7" t="s">
        <v>70</v>
      </c>
      <c r="E1560" s="7">
        <v>6.0</v>
      </c>
      <c r="G1560" s="7" t="s">
        <v>43</v>
      </c>
      <c r="H1560" s="7" t="s">
        <v>1406</v>
      </c>
      <c r="I1560" s="7" t="s">
        <v>22</v>
      </c>
    </row>
    <row r="1561">
      <c r="A1561" s="7" t="s">
        <v>33</v>
      </c>
      <c r="B1561" s="7" t="s">
        <v>245</v>
      </c>
      <c r="C1561" s="8">
        <f>IFERROR(__xludf.DUMMYFUNCTION("SPLIT(B1561,""RM"")"),800000.0)</f>
        <v>800000</v>
      </c>
      <c r="D1561" s="7">
        <v>3.0</v>
      </c>
      <c r="E1561" s="7">
        <v>2.0</v>
      </c>
      <c r="F1561" s="7">
        <v>2.0</v>
      </c>
      <c r="G1561" s="7" t="s">
        <v>20</v>
      </c>
      <c r="H1561" s="7" t="s">
        <v>795</v>
      </c>
      <c r="I1561" s="7" t="s">
        <v>27</v>
      </c>
    </row>
    <row r="1562">
      <c r="A1562" s="7" t="s">
        <v>33</v>
      </c>
      <c r="B1562" s="7" t="s">
        <v>130</v>
      </c>
      <c r="C1562" s="8">
        <f>IFERROR(__xludf.DUMMYFUNCTION("SPLIT(B1562,""RM"")"),2700000.0)</f>
        <v>2700000</v>
      </c>
      <c r="D1562" s="7" t="s">
        <v>39</v>
      </c>
      <c r="E1562" s="7">
        <v>6.0</v>
      </c>
      <c r="F1562" s="7">
        <v>4.0</v>
      </c>
      <c r="G1562" s="7" t="s">
        <v>83</v>
      </c>
      <c r="H1562" s="7" t="s">
        <v>1407</v>
      </c>
    </row>
    <row r="1563">
      <c r="A1563" s="7" t="s">
        <v>33</v>
      </c>
      <c r="B1563" s="7" t="s">
        <v>42</v>
      </c>
      <c r="C1563" s="8">
        <f>IFERROR(__xludf.DUMMYFUNCTION("SPLIT(B1563,""RM"")"),2600000.0)</f>
        <v>2600000</v>
      </c>
      <c r="D1563" s="7">
        <v>4.0</v>
      </c>
      <c r="E1563" s="7">
        <v>4.0</v>
      </c>
      <c r="F1563" s="7">
        <v>3.0</v>
      </c>
      <c r="G1563" s="7" t="s">
        <v>30</v>
      </c>
      <c r="H1563" s="7" t="s">
        <v>1408</v>
      </c>
    </row>
    <row r="1564">
      <c r="A1564" s="7" t="s">
        <v>77</v>
      </c>
      <c r="B1564" s="7" t="s">
        <v>281</v>
      </c>
      <c r="C1564" s="8">
        <f>IFERROR(__xludf.DUMMYFUNCTION("SPLIT(B1564,""RM"")"),2500000.0)</f>
        <v>2500000</v>
      </c>
      <c r="D1564" s="7" t="s">
        <v>57</v>
      </c>
      <c r="E1564" s="7">
        <v>3.0</v>
      </c>
      <c r="F1564" s="7">
        <v>2.0</v>
      </c>
      <c r="G1564" s="7" t="s">
        <v>282</v>
      </c>
      <c r="H1564" s="7" t="s">
        <v>295</v>
      </c>
      <c r="I1564" s="7" t="s">
        <v>27</v>
      </c>
    </row>
    <row r="1565">
      <c r="A1565" s="7" t="s">
        <v>77</v>
      </c>
      <c r="B1565" s="7" t="s">
        <v>311</v>
      </c>
      <c r="C1565" s="8">
        <f>IFERROR(__xludf.DUMMYFUNCTION("SPLIT(B1565,""RM"")"),1100000.0)</f>
        <v>1100000</v>
      </c>
      <c r="D1565" s="7" t="s">
        <v>19</v>
      </c>
      <c r="E1565" s="7">
        <v>3.0</v>
      </c>
      <c r="F1565" s="7">
        <v>2.0</v>
      </c>
      <c r="G1565" s="7" t="s">
        <v>93</v>
      </c>
      <c r="H1565" s="7" t="s">
        <v>490</v>
      </c>
      <c r="I1565" s="7" t="s">
        <v>22</v>
      </c>
    </row>
    <row r="1566">
      <c r="A1566" s="7" t="s">
        <v>77</v>
      </c>
      <c r="B1566" s="7" t="s">
        <v>311</v>
      </c>
      <c r="C1566" s="8">
        <f>IFERROR(__xludf.DUMMYFUNCTION("SPLIT(B1566,""RM"")"),1100000.0)</f>
        <v>1100000</v>
      </c>
      <c r="D1566" s="7">
        <v>2.0</v>
      </c>
      <c r="E1566" s="7">
        <v>1.0</v>
      </c>
      <c r="F1566" s="7">
        <v>2.0</v>
      </c>
      <c r="G1566" s="7" t="s">
        <v>93</v>
      </c>
      <c r="H1566" s="7" t="s">
        <v>1052</v>
      </c>
      <c r="I1566" s="7" t="s">
        <v>27</v>
      </c>
    </row>
    <row r="1567">
      <c r="A1567" s="7" t="s">
        <v>77</v>
      </c>
      <c r="B1567" s="7" t="s">
        <v>468</v>
      </c>
      <c r="C1567" s="8">
        <f>IFERROR(__xludf.DUMMYFUNCTION("SPLIT(B1567,""RM"")"),2750000.0)</f>
        <v>2750000</v>
      </c>
      <c r="D1567" s="7" t="s">
        <v>57</v>
      </c>
      <c r="E1567" s="7">
        <v>4.0</v>
      </c>
      <c r="F1567" s="7">
        <v>3.0</v>
      </c>
      <c r="G1567" s="7" t="s">
        <v>562</v>
      </c>
      <c r="H1567" s="7" t="s">
        <v>228</v>
      </c>
      <c r="I1567" s="7" t="s">
        <v>103</v>
      </c>
    </row>
    <row r="1568">
      <c r="A1568" s="7" t="s">
        <v>77</v>
      </c>
      <c r="B1568" s="7" t="s">
        <v>306</v>
      </c>
      <c r="C1568" s="8">
        <f>IFERROR(__xludf.DUMMYFUNCTION("SPLIT(B1568,""RM"")"),1990000.0)</f>
        <v>1990000</v>
      </c>
      <c r="D1568" s="7" t="s">
        <v>57</v>
      </c>
      <c r="E1568" s="7">
        <v>4.0</v>
      </c>
      <c r="F1568" s="7">
        <v>2.0</v>
      </c>
      <c r="G1568" s="7" t="s">
        <v>169</v>
      </c>
      <c r="H1568" s="7" t="s">
        <v>1409</v>
      </c>
      <c r="I1568" s="7" t="s">
        <v>27</v>
      </c>
    </row>
    <row r="1569">
      <c r="A1569" s="7" t="s">
        <v>77</v>
      </c>
      <c r="B1569" s="7" t="s">
        <v>279</v>
      </c>
      <c r="C1569" s="8">
        <f>IFERROR(__xludf.DUMMYFUNCTION("SPLIT(B1569,""RM"")"),1380000.0)</f>
        <v>1380000</v>
      </c>
      <c r="D1569" s="7" t="s">
        <v>57</v>
      </c>
      <c r="E1569" s="7">
        <v>3.0</v>
      </c>
      <c r="F1569" s="7">
        <v>2.0</v>
      </c>
      <c r="G1569" s="7" t="s">
        <v>83</v>
      </c>
      <c r="H1569" s="7" t="s">
        <v>318</v>
      </c>
      <c r="I1569" s="7" t="s">
        <v>22</v>
      </c>
    </row>
    <row r="1570">
      <c r="A1570" s="7" t="s">
        <v>77</v>
      </c>
      <c r="B1570" s="7" t="s">
        <v>820</v>
      </c>
      <c r="C1570" s="8">
        <f>IFERROR(__xludf.DUMMYFUNCTION("SPLIT(B1570,""RM"")"),938000.0)</f>
        <v>938000</v>
      </c>
      <c r="F1570" s="7">
        <v>2.0</v>
      </c>
      <c r="G1570" s="7" t="s">
        <v>1410</v>
      </c>
      <c r="H1570" s="7" t="s">
        <v>892</v>
      </c>
      <c r="I1570" s="7" t="s">
        <v>27</v>
      </c>
    </row>
    <row r="1571">
      <c r="A1571" s="7" t="s">
        <v>358</v>
      </c>
      <c r="B1571" s="7" t="s">
        <v>311</v>
      </c>
      <c r="C1571" s="8">
        <f>IFERROR(__xludf.DUMMYFUNCTION("SPLIT(B1571,""RM"")"),1100000.0)</f>
        <v>1100000</v>
      </c>
      <c r="D1571" s="7" t="s">
        <v>57</v>
      </c>
      <c r="E1571" s="7">
        <v>4.0</v>
      </c>
      <c r="F1571" s="7">
        <v>2.0</v>
      </c>
      <c r="G1571" s="7" t="s">
        <v>83</v>
      </c>
      <c r="H1571" s="7" t="s">
        <v>1411</v>
      </c>
      <c r="I1571" s="7" t="s">
        <v>27</v>
      </c>
    </row>
    <row r="1572">
      <c r="A1572" s="7" t="s">
        <v>358</v>
      </c>
      <c r="B1572" s="7" t="s">
        <v>316</v>
      </c>
      <c r="C1572" s="8">
        <f>IFERROR(__xludf.DUMMYFUNCTION("SPLIT(B1572,""RM"")"),820000.0)</f>
        <v>820000</v>
      </c>
      <c r="D1572" s="7">
        <v>3.0</v>
      </c>
      <c r="E1572" s="7">
        <v>2.0</v>
      </c>
      <c r="F1572" s="7">
        <v>2.0</v>
      </c>
      <c r="G1572" s="7" t="s">
        <v>83</v>
      </c>
      <c r="H1572" s="7" t="s">
        <v>1412</v>
      </c>
      <c r="I1572" s="7" t="s">
        <v>27</v>
      </c>
    </row>
    <row r="1573">
      <c r="A1573" s="7" t="s">
        <v>100</v>
      </c>
      <c r="B1573" s="7" t="s">
        <v>969</v>
      </c>
      <c r="C1573" s="8">
        <f>IFERROR(__xludf.DUMMYFUNCTION("SPLIT(B1573,""RM"")"),430000.0)</f>
        <v>430000</v>
      </c>
      <c r="D1573" s="7">
        <v>1.0</v>
      </c>
      <c r="E1573" s="7">
        <v>2.0</v>
      </c>
      <c r="F1573" s="7">
        <v>1.0</v>
      </c>
      <c r="G1573" s="7" t="s">
        <v>20</v>
      </c>
      <c r="H1573" s="7" t="s">
        <v>786</v>
      </c>
      <c r="I1573" s="7" t="s">
        <v>27</v>
      </c>
    </row>
    <row r="1574">
      <c r="A1574" s="7" t="s">
        <v>72</v>
      </c>
      <c r="B1574" s="7" t="s">
        <v>1328</v>
      </c>
      <c r="C1574" s="8">
        <f>IFERROR(__xludf.DUMMYFUNCTION("SPLIT(B1574,""RM"")"),650000.0)</f>
        <v>650000</v>
      </c>
      <c r="D1574" s="7">
        <v>1.0</v>
      </c>
      <c r="E1574" s="7">
        <v>1.0</v>
      </c>
      <c r="F1574" s="7">
        <v>1.0</v>
      </c>
      <c r="G1574" s="7" t="s">
        <v>82</v>
      </c>
      <c r="H1574" s="7" t="s">
        <v>850</v>
      </c>
      <c r="I1574" s="7" t="s">
        <v>22</v>
      </c>
    </row>
    <row r="1575">
      <c r="A1575" s="7" t="s">
        <v>72</v>
      </c>
      <c r="B1575" s="7" t="s">
        <v>403</v>
      </c>
      <c r="C1575" s="8">
        <f>IFERROR(__xludf.DUMMYFUNCTION("SPLIT(B1575,""RM"")"),1600000.0)</f>
        <v>1600000</v>
      </c>
      <c r="D1575" s="7" t="s">
        <v>57</v>
      </c>
      <c r="E1575" s="7">
        <v>3.0</v>
      </c>
      <c r="F1575" s="7">
        <v>2.0</v>
      </c>
      <c r="G1575" s="7" t="s">
        <v>83</v>
      </c>
      <c r="H1575" s="7" t="s">
        <v>404</v>
      </c>
      <c r="I1575" s="7" t="s">
        <v>27</v>
      </c>
    </row>
    <row r="1576">
      <c r="A1576" s="7" t="s">
        <v>72</v>
      </c>
      <c r="B1576" s="7" t="s">
        <v>332</v>
      </c>
      <c r="C1576" s="8">
        <f>IFERROR(__xludf.DUMMYFUNCTION("SPLIT(B1576,""RM"")"),998000.0)</f>
        <v>998000</v>
      </c>
      <c r="D1576" s="7">
        <v>2.0</v>
      </c>
      <c r="E1576" s="7">
        <v>2.0</v>
      </c>
      <c r="F1576" s="7">
        <v>1.0</v>
      </c>
      <c r="G1576" s="7" t="s">
        <v>121</v>
      </c>
      <c r="H1576" s="7" t="s">
        <v>964</v>
      </c>
      <c r="I1576" s="7" t="s">
        <v>22</v>
      </c>
    </row>
    <row r="1577">
      <c r="A1577" s="7" t="s">
        <v>171</v>
      </c>
      <c r="B1577" s="7" t="s">
        <v>761</v>
      </c>
      <c r="C1577" s="8">
        <f>IFERROR(__xludf.DUMMYFUNCTION("SPLIT(B1577,""RM"")"),480000.0)</f>
        <v>480000</v>
      </c>
      <c r="D1577" s="7">
        <v>3.0</v>
      </c>
      <c r="E1577" s="7">
        <v>2.0</v>
      </c>
      <c r="F1577" s="7">
        <v>2.0</v>
      </c>
      <c r="G1577" s="7" t="s">
        <v>82</v>
      </c>
      <c r="H1577" s="7" t="s">
        <v>1319</v>
      </c>
      <c r="I1577" s="7" t="s">
        <v>22</v>
      </c>
    </row>
    <row r="1578">
      <c r="A1578" s="7" t="s">
        <v>171</v>
      </c>
      <c r="B1578" s="7" t="s">
        <v>761</v>
      </c>
      <c r="C1578" s="8">
        <f>IFERROR(__xludf.DUMMYFUNCTION("SPLIT(B1578,""RM"")"),480000.0)</f>
        <v>480000</v>
      </c>
      <c r="D1578" s="7">
        <v>3.0</v>
      </c>
      <c r="E1578" s="7">
        <v>2.0</v>
      </c>
      <c r="F1578" s="7">
        <v>2.0</v>
      </c>
      <c r="G1578" s="7" t="s">
        <v>82</v>
      </c>
      <c r="H1578" s="7" t="s">
        <v>1319</v>
      </c>
      <c r="I1578" s="7" t="s">
        <v>22</v>
      </c>
    </row>
    <row r="1579">
      <c r="A1579" s="7" t="s">
        <v>100</v>
      </c>
      <c r="B1579" s="7" t="s">
        <v>603</v>
      </c>
      <c r="C1579" s="8">
        <f>IFERROR(__xludf.DUMMYFUNCTION("SPLIT(B1579,""RM"")"),628000.0)</f>
        <v>628000</v>
      </c>
      <c r="D1579" s="7">
        <v>2.0</v>
      </c>
      <c r="E1579" s="7">
        <v>2.0</v>
      </c>
      <c r="F1579" s="7">
        <v>2.0</v>
      </c>
      <c r="G1579" s="7" t="s">
        <v>20</v>
      </c>
      <c r="H1579" s="7" t="s">
        <v>1413</v>
      </c>
      <c r="I1579" s="7" t="s">
        <v>27</v>
      </c>
    </row>
    <row r="1580">
      <c r="A1580" s="7" t="s">
        <v>171</v>
      </c>
      <c r="B1580" s="7" t="s">
        <v>174</v>
      </c>
      <c r="C1580" s="8">
        <f>IFERROR(__xludf.DUMMYFUNCTION("SPLIT(B1580,""RM"")"),3000000.0)</f>
        <v>3000000</v>
      </c>
      <c r="D1580" s="7" t="s">
        <v>60</v>
      </c>
      <c r="E1580" s="7">
        <v>7.0</v>
      </c>
      <c r="G1580" s="7" t="s">
        <v>67</v>
      </c>
      <c r="H1580" s="7" t="s">
        <v>631</v>
      </c>
      <c r="I1580" s="7" t="s">
        <v>27</v>
      </c>
    </row>
    <row r="1581">
      <c r="A1581" s="7" t="s">
        <v>17</v>
      </c>
      <c r="B1581" s="7" t="s">
        <v>1414</v>
      </c>
      <c r="C1581" s="8">
        <f>IFERROR(__xludf.DUMMYFUNCTION("SPLIT(B1581,""RM"")"),2413375.0)</f>
        <v>2413375</v>
      </c>
      <c r="D1581" s="7" t="s">
        <v>57</v>
      </c>
      <c r="E1581" s="7">
        <v>5.0</v>
      </c>
      <c r="F1581" s="7">
        <v>2.0</v>
      </c>
      <c r="G1581" s="7" t="s">
        <v>30</v>
      </c>
      <c r="H1581" s="7" t="s">
        <v>1415</v>
      </c>
      <c r="I1581" s="7" t="s">
        <v>27</v>
      </c>
    </row>
    <row r="1582">
      <c r="A1582" s="7" t="s">
        <v>17</v>
      </c>
      <c r="B1582" s="7" t="s">
        <v>1416</v>
      </c>
      <c r="C1582" s="8">
        <f>IFERROR(__xludf.DUMMYFUNCTION("SPLIT(B1582,""RM"")"),2357250.0)</f>
        <v>2357250</v>
      </c>
      <c r="D1582" s="7" t="s">
        <v>57</v>
      </c>
      <c r="E1582" s="7">
        <v>5.0</v>
      </c>
      <c r="F1582" s="7">
        <v>2.0</v>
      </c>
      <c r="G1582" s="7" t="s">
        <v>30</v>
      </c>
      <c r="H1582" s="7" t="s">
        <v>1415</v>
      </c>
      <c r="I1582" s="7" t="s">
        <v>27</v>
      </c>
    </row>
    <row r="1583">
      <c r="A1583" s="7" t="s">
        <v>17</v>
      </c>
      <c r="B1583" s="7" t="s">
        <v>1417</v>
      </c>
      <c r="C1583" s="8">
        <f>IFERROR(__xludf.DUMMYFUNCTION("SPLIT(B1583,""RM"")"),2715300.0)</f>
        <v>2715300</v>
      </c>
      <c r="D1583" s="7" t="s">
        <v>35</v>
      </c>
      <c r="E1583" s="7">
        <v>6.0</v>
      </c>
      <c r="F1583" s="7">
        <v>2.0</v>
      </c>
      <c r="G1583" s="7" t="s">
        <v>30</v>
      </c>
      <c r="H1583" s="7" t="s">
        <v>1418</v>
      </c>
      <c r="I1583" s="7" t="s">
        <v>27</v>
      </c>
    </row>
    <row r="1584">
      <c r="A1584" s="7" t="s">
        <v>17</v>
      </c>
      <c r="B1584" s="7" t="s">
        <v>191</v>
      </c>
      <c r="C1584" s="8">
        <f>IFERROR(__xludf.DUMMYFUNCTION("SPLIT(B1584,""RM"")"),1000000.0)</f>
        <v>1000000</v>
      </c>
      <c r="D1584" s="7" t="s">
        <v>197</v>
      </c>
      <c r="E1584" s="7">
        <v>1.0</v>
      </c>
      <c r="F1584" s="7">
        <v>1.0</v>
      </c>
      <c r="G1584" s="7" t="s">
        <v>121</v>
      </c>
      <c r="H1584" s="7" t="s">
        <v>323</v>
      </c>
      <c r="I1584" s="7" t="s">
        <v>22</v>
      </c>
    </row>
    <row r="1585">
      <c r="A1585" s="7" t="s">
        <v>17</v>
      </c>
      <c r="B1585" s="7" t="s">
        <v>1206</v>
      </c>
      <c r="C1585" s="8">
        <f>IFERROR(__xludf.DUMMYFUNCTION("SPLIT(B1585,""RM"")"),1435000.0)</f>
        <v>1435000</v>
      </c>
      <c r="D1585" s="7" t="s">
        <v>57</v>
      </c>
      <c r="E1585" s="7">
        <v>4.0</v>
      </c>
      <c r="F1585" s="7">
        <v>2.0</v>
      </c>
      <c r="G1585" s="7" t="s">
        <v>30</v>
      </c>
      <c r="H1585" s="7" t="s">
        <v>99</v>
      </c>
      <c r="I1585" s="7" t="s">
        <v>22</v>
      </c>
    </row>
    <row r="1586">
      <c r="A1586" s="7" t="s">
        <v>28</v>
      </c>
      <c r="B1586" s="7" t="s">
        <v>1419</v>
      </c>
      <c r="C1586" s="8">
        <f>IFERROR(__xludf.DUMMYFUNCTION("SPLIT(B1586,""RM"")"),1155600.0)</f>
        <v>1155600</v>
      </c>
      <c r="D1586" s="7" t="s">
        <v>57</v>
      </c>
      <c r="E1586" s="7">
        <v>4.0</v>
      </c>
      <c r="F1586" s="7">
        <v>2.0</v>
      </c>
      <c r="G1586" s="7" t="s">
        <v>30</v>
      </c>
      <c r="H1586" s="7" t="s">
        <v>1420</v>
      </c>
      <c r="I1586" s="7" t="s">
        <v>27</v>
      </c>
    </row>
    <row r="1587">
      <c r="A1587" s="7" t="s">
        <v>17</v>
      </c>
      <c r="B1587" s="7" t="s">
        <v>130</v>
      </c>
      <c r="C1587" s="8">
        <f>IFERROR(__xludf.DUMMYFUNCTION("SPLIT(B1587,""RM"")"),2700000.0)</f>
        <v>2700000</v>
      </c>
      <c r="D1587" s="7" t="s">
        <v>57</v>
      </c>
      <c r="E1587" s="7">
        <v>5.0</v>
      </c>
      <c r="F1587" s="7">
        <v>2.0</v>
      </c>
      <c r="G1587" s="7" t="s">
        <v>30</v>
      </c>
      <c r="H1587" s="7" t="s">
        <v>829</v>
      </c>
      <c r="I1587" s="7" t="s">
        <v>27</v>
      </c>
    </row>
    <row r="1588">
      <c r="A1588" s="7" t="s">
        <v>17</v>
      </c>
      <c r="B1588" s="7" t="s">
        <v>277</v>
      </c>
      <c r="C1588" s="8">
        <f>IFERROR(__xludf.DUMMYFUNCTION("SPLIT(B1588,""RM"")"),2200000.0)</f>
        <v>2200000</v>
      </c>
      <c r="D1588" s="7" t="s">
        <v>57</v>
      </c>
      <c r="E1588" s="7">
        <v>5.0</v>
      </c>
      <c r="F1588" s="7">
        <v>3.0</v>
      </c>
      <c r="G1588" s="7" t="s">
        <v>30</v>
      </c>
      <c r="H1588" s="7" t="s">
        <v>1421</v>
      </c>
      <c r="I1588" s="7" t="s">
        <v>27</v>
      </c>
    </row>
    <row r="1589">
      <c r="A1589" s="7" t="s">
        <v>72</v>
      </c>
      <c r="B1589" s="7" t="s">
        <v>139</v>
      </c>
      <c r="C1589" s="8">
        <f>IFERROR(__xludf.DUMMYFUNCTION("SPLIT(B1589,""RM"")"),780000.0)</f>
        <v>780000</v>
      </c>
      <c r="D1589" s="7">
        <v>2.0</v>
      </c>
      <c r="E1589" s="7">
        <v>2.0</v>
      </c>
      <c r="F1589" s="7">
        <v>1.0</v>
      </c>
      <c r="G1589" s="7" t="s">
        <v>83</v>
      </c>
      <c r="H1589" s="7" t="s">
        <v>1422</v>
      </c>
      <c r="I1589" s="7" t="s">
        <v>22</v>
      </c>
    </row>
    <row r="1590">
      <c r="A1590" s="7" t="s">
        <v>1014</v>
      </c>
      <c r="B1590" s="7" t="s">
        <v>1423</v>
      </c>
      <c r="C1590" s="8">
        <f>IFERROR(__xludf.DUMMYFUNCTION("SPLIT(B1590,""RM"")"),420000.0)</f>
        <v>420000</v>
      </c>
      <c r="D1590" s="7">
        <v>3.0</v>
      </c>
      <c r="E1590" s="7">
        <v>2.0</v>
      </c>
      <c r="F1590" s="7">
        <v>1.0</v>
      </c>
      <c r="G1590" s="7" t="s">
        <v>82</v>
      </c>
      <c r="H1590" s="7" t="s">
        <v>425</v>
      </c>
      <c r="I1590" s="7" t="s">
        <v>103</v>
      </c>
    </row>
    <row r="1591">
      <c r="A1591" s="7" t="s">
        <v>28</v>
      </c>
      <c r="B1591" s="7" t="s">
        <v>249</v>
      </c>
      <c r="C1591" s="8">
        <f>IFERROR(__xludf.DUMMYFUNCTION("SPLIT(B1591,""RM"")"),1035000.0)</f>
        <v>1035000</v>
      </c>
      <c r="D1591" s="7" t="s">
        <v>57</v>
      </c>
      <c r="E1591" s="7">
        <v>5.0</v>
      </c>
      <c r="F1591" s="7">
        <v>2.0</v>
      </c>
      <c r="G1591" s="7" t="s">
        <v>30</v>
      </c>
      <c r="H1591" s="7" t="s">
        <v>250</v>
      </c>
      <c r="I1591" s="7" t="s">
        <v>27</v>
      </c>
    </row>
    <row r="1592">
      <c r="A1592" s="7" t="s">
        <v>28</v>
      </c>
      <c r="B1592" s="7" t="s">
        <v>1424</v>
      </c>
      <c r="C1592" s="8">
        <f>IFERROR(__xludf.DUMMYFUNCTION("SPLIT(B1592,""RM"")"),1046100.0)</f>
        <v>1046100</v>
      </c>
      <c r="D1592" s="7" t="s">
        <v>57</v>
      </c>
      <c r="E1592" s="7">
        <v>4.0</v>
      </c>
      <c r="F1592" s="7">
        <v>2.0</v>
      </c>
      <c r="G1592" s="7" t="s">
        <v>30</v>
      </c>
      <c r="H1592" s="7" t="s">
        <v>97</v>
      </c>
      <c r="I1592" s="7" t="s">
        <v>27</v>
      </c>
    </row>
    <row r="1593">
      <c r="A1593" s="7" t="s">
        <v>77</v>
      </c>
      <c r="B1593" s="7" t="s">
        <v>236</v>
      </c>
      <c r="C1593" s="8">
        <f>IFERROR(__xludf.DUMMYFUNCTION("SPLIT(B1593,""RM"")"),2000000.0)</f>
        <v>2000000</v>
      </c>
      <c r="D1593" s="7" t="s">
        <v>57</v>
      </c>
      <c r="E1593" s="7">
        <v>3.0</v>
      </c>
      <c r="F1593" s="7">
        <v>2.0</v>
      </c>
      <c r="G1593" s="7" t="s">
        <v>83</v>
      </c>
      <c r="H1593" s="7" t="s">
        <v>1425</v>
      </c>
      <c r="I1593" s="7" t="s">
        <v>27</v>
      </c>
    </row>
    <row r="1594">
      <c r="A1594" s="7" t="s">
        <v>72</v>
      </c>
      <c r="B1594" s="7" t="s">
        <v>388</v>
      </c>
      <c r="C1594" s="8">
        <f>IFERROR(__xludf.DUMMYFUNCTION("SPLIT(B1594,""RM"")"),1210000.0)</f>
        <v>1210000</v>
      </c>
      <c r="D1594" s="7" t="s">
        <v>57</v>
      </c>
      <c r="E1594" s="7">
        <v>3.0</v>
      </c>
      <c r="F1594" s="7">
        <v>2.0</v>
      </c>
      <c r="G1594" s="7" t="s">
        <v>83</v>
      </c>
      <c r="H1594" s="7" t="s">
        <v>99</v>
      </c>
      <c r="I1594" s="7" t="s">
        <v>22</v>
      </c>
    </row>
    <row r="1595">
      <c r="A1595" s="7" t="s">
        <v>171</v>
      </c>
      <c r="B1595" s="7" t="s">
        <v>1426</v>
      </c>
      <c r="C1595" s="8">
        <f>IFERROR(__xludf.DUMMYFUNCTION("SPLIT(B1595,""RM"")"),298000.0)</f>
        <v>298000</v>
      </c>
      <c r="D1595" s="7">
        <v>3.0</v>
      </c>
      <c r="E1595" s="7">
        <v>2.0</v>
      </c>
      <c r="F1595" s="7">
        <v>1.0</v>
      </c>
      <c r="G1595" s="7" t="s">
        <v>50</v>
      </c>
      <c r="H1595" s="7" t="s">
        <v>133</v>
      </c>
      <c r="I1595" s="7" t="s">
        <v>27</v>
      </c>
    </row>
    <row r="1596">
      <c r="A1596" s="7" t="s">
        <v>104</v>
      </c>
      <c r="B1596" s="7" t="s">
        <v>309</v>
      </c>
      <c r="C1596" s="8">
        <f>IFERROR(__xludf.DUMMYFUNCTION("SPLIT(B1596,""RM"")"),2100000.0)</f>
        <v>2100000</v>
      </c>
      <c r="D1596" s="7" t="s">
        <v>70</v>
      </c>
      <c r="E1596" s="7">
        <v>6.0</v>
      </c>
      <c r="F1596" s="7">
        <v>5.0</v>
      </c>
      <c r="G1596" s="7" t="s">
        <v>64</v>
      </c>
      <c r="H1596" s="7" t="s">
        <v>1427</v>
      </c>
      <c r="I1596" s="7" t="s">
        <v>103</v>
      </c>
    </row>
    <row r="1597">
      <c r="A1597" s="7" t="s">
        <v>104</v>
      </c>
      <c r="B1597" s="7" t="s">
        <v>327</v>
      </c>
      <c r="C1597" s="8">
        <f>IFERROR(__xludf.DUMMYFUNCTION("SPLIT(B1597,""RM"")"),1300000.0)</f>
        <v>1300000</v>
      </c>
      <c r="D1597" s="7">
        <v>6.0</v>
      </c>
      <c r="E1597" s="7">
        <v>6.0</v>
      </c>
      <c r="F1597" s="7">
        <v>3.0</v>
      </c>
      <c r="G1597" s="7" t="s">
        <v>203</v>
      </c>
      <c r="H1597" s="7" t="s">
        <v>283</v>
      </c>
      <c r="I1597" s="7" t="s">
        <v>22</v>
      </c>
    </row>
    <row r="1598">
      <c r="A1598" s="7" t="s">
        <v>104</v>
      </c>
      <c r="B1598" s="7" t="s">
        <v>361</v>
      </c>
      <c r="C1598" s="8">
        <f>IFERROR(__xludf.DUMMYFUNCTION("SPLIT(B1598,""RM"")"),530000.0)</f>
        <v>530000</v>
      </c>
      <c r="D1598" s="7">
        <v>3.0</v>
      </c>
      <c r="E1598" s="7">
        <v>2.0</v>
      </c>
      <c r="F1598" s="7">
        <v>2.0</v>
      </c>
      <c r="G1598" s="7" t="s">
        <v>343</v>
      </c>
      <c r="H1598" s="7" t="s">
        <v>718</v>
      </c>
      <c r="I1598" s="7" t="s">
        <v>27</v>
      </c>
    </row>
    <row r="1599">
      <c r="A1599" s="7" t="s">
        <v>358</v>
      </c>
      <c r="B1599" s="7" t="s">
        <v>316</v>
      </c>
      <c r="C1599" s="8">
        <f>IFERROR(__xludf.DUMMYFUNCTION("SPLIT(B1599,""RM"")"),820000.0)</f>
        <v>820000</v>
      </c>
      <c r="D1599" s="7">
        <v>3.0</v>
      </c>
      <c r="E1599" s="7">
        <v>2.0</v>
      </c>
      <c r="F1599" s="7">
        <v>2.0</v>
      </c>
      <c r="G1599" s="7" t="s">
        <v>83</v>
      </c>
      <c r="H1599" s="7" t="s">
        <v>1412</v>
      </c>
      <c r="I1599" s="7" t="s">
        <v>27</v>
      </c>
    </row>
    <row r="1600">
      <c r="A1600" s="7" t="s">
        <v>17</v>
      </c>
      <c r="B1600" s="7" t="s">
        <v>158</v>
      </c>
      <c r="C1600" s="8">
        <f>IFERROR(__xludf.DUMMYFUNCTION("SPLIT(B1600,""RM"")"),1850000.0)</f>
        <v>1850000</v>
      </c>
      <c r="D1600" s="7" t="s">
        <v>19</v>
      </c>
      <c r="E1600" s="7">
        <v>2.0</v>
      </c>
      <c r="F1600" s="7">
        <v>2.0</v>
      </c>
      <c r="G1600" s="7" t="s">
        <v>20</v>
      </c>
      <c r="H1600" s="7" t="s">
        <v>394</v>
      </c>
    </row>
    <row r="1601">
      <c r="A1601" s="7" t="s">
        <v>72</v>
      </c>
      <c r="B1601" s="7" t="s">
        <v>967</v>
      </c>
      <c r="C1601" s="8">
        <f>IFERROR(__xludf.DUMMYFUNCTION("SPLIT(B1601,""RM"")"),680000.0)</f>
        <v>680000</v>
      </c>
      <c r="D1601" s="7">
        <v>1.0</v>
      </c>
      <c r="E1601" s="7">
        <v>1.0</v>
      </c>
      <c r="F1601" s="7">
        <v>1.0</v>
      </c>
      <c r="G1601" s="7" t="s">
        <v>121</v>
      </c>
      <c r="H1601" s="7" t="s">
        <v>1127</v>
      </c>
      <c r="I1601" s="7" t="s">
        <v>22</v>
      </c>
    </row>
    <row r="1602">
      <c r="A1602" s="7" t="s">
        <v>72</v>
      </c>
      <c r="B1602" s="7" t="s">
        <v>403</v>
      </c>
      <c r="C1602" s="8">
        <f>IFERROR(__xludf.DUMMYFUNCTION("SPLIT(B1602,""RM"")"),1600000.0)</f>
        <v>1600000</v>
      </c>
      <c r="D1602" s="7" t="s">
        <v>57</v>
      </c>
      <c r="E1602" s="7">
        <v>3.0</v>
      </c>
      <c r="G1602" s="7" t="s">
        <v>83</v>
      </c>
      <c r="H1602" s="7" t="s">
        <v>404</v>
      </c>
      <c r="I1602" s="7" t="s">
        <v>251</v>
      </c>
    </row>
    <row r="1603">
      <c r="A1603" s="7" t="s">
        <v>17</v>
      </c>
      <c r="B1603" s="7" t="s">
        <v>327</v>
      </c>
      <c r="C1603" s="8">
        <f>IFERROR(__xludf.DUMMYFUNCTION("SPLIT(B1603,""RM"")"),1300000.0)</f>
        <v>1300000</v>
      </c>
      <c r="D1603" s="7">
        <v>2.0</v>
      </c>
      <c r="E1603" s="7">
        <v>2.0</v>
      </c>
      <c r="F1603" s="7">
        <v>1.0</v>
      </c>
      <c r="G1603" s="7" t="s">
        <v>20</v>
      </c>
      <c r="H1603" s="7" t="s">
        <v>1428</v>
      </c>
      <c r="I1603" s="7" t="s">
        <v>22</v>
      </c>
    </row>
    <row r="1604">
      <c r="A1604" s="7" t="s">
        <v>100</v>
      </c>
      <c r="B1604" s="7" t="s">
        <v>372</v>
      </c>
      <c r="C1604" s="8">
        <f>IFERROR(__xludf.DUMMYFUNCTION("SPLIT(B1604,""RM"")"),700000.0)</f>
        <v>700000</v>
      </c>
      <c r="D1604" s="7">
        <v>2.0</v>
      </c>
      <c r="E1604" s="7">
        <v>2.0</v>
      </c>
      <c r="F1604" s="7">
        <v>1.0</v>
      </c>
      <c r="G1604" s="7" t="s">
        <v>83</v>
      </c>
      <c r="H1604" s="7" t="s">
        <v>1429</v>
      </c>
      <c r="I1604" s="7" t="s">
        <v>22</v>
      </c>
    </row>
    <row r="1605">
      <c r="A1605" s="7" t="s">
        <v>89</v>
      </c>
      <c r="B1605" s="7" t="s">
        <v>563</v>
      </c>
      <c r="C1605" s="8">
        <f>IFERROR(__xludf.DUMMYFUNCTION("SPLIT(B1605,""RM"")"),600000.0)</f>
        <v>600000</v>
      </c>
      <c r="D1605" s="7" t="s">
        <v>19</v>
      </c>
      <c r="E1605" s="7">
        <v>2.0</v>
      </c>
      <c r="F1605" s="7">
        <v>2.0</v>
      </c>
      <c r="G1605" s="7" t="s">
        <v>82</v>
      </c>
      <c r="H1605" s="7" t="s">
        <v>764</v>
      </c>
      <c r="I1605" s="7" t="s">
        <v>27</v>
      </c>
    </row>
    <row r="1606">
      <c r="A1606" s="7" t="s">
        <v>77</v>
      </c>
      <c r="B1606" s="7" t="s">
        <v>78</v>
      </c>
      <c r="C1606" s="8">
        <f>IFERROR(__xludf.DUMMYFUNCTION("SPLIT(B1606,""RM"")"),1500000.0)</f>
        <v>1500000</v>
      </c>
      <c r="D1606" s="7" t="s">
        <v>57</v>
      </c>
      <c r="E1606" s="7">
        <v>3.0</v>
      </c>
      <c r="F1606" s="7">
        <v>2.0</v>
      </c>
      <c r="G1606" s="7" t="s">
        <v>30</v>
      </c>
      <c r="H1606" s="7" t="s">
        <v>1430</v>
      </c>
      <c r="I1606" s="7" t="s">
        <v>22</v>
      </c>
    </row>
    <row r="1607">
      <c r="A1607" s="7" t="s">
        <v>77</v>
      </c>
      <c r="B1607" s="7" t="s">
        <v>81</v>
      </c>
      <c r="C1607" s="8">
        <f>IFERROR(__xludf.DUMMYFUNCTION("SPLIT(B1607,""RM"")"),1550000.0)</f>
        <v>1550000</v>
      </c>
      <c r="D1607" s="7" t="s">
        <v>57</v>
      </c>
      <c r="E1607" s="7">
        <v>3.0</v>
      </c>
      <c r="F1607" s="7">
        <v>2.0</v>
      </c>
      <c r="G1607" s="7" t="s">
        <v>30</v>
      </c>
      <c r="H1607" s="7" t="s">
        <v>1430</v>
      </c>
      <c r="I1607" s="7" t="s">
        <v>22</v>
      </c>
    </row>
    <row r="1608">
      <c r="A1608" s="7" t="s">
        <v>77</v>
      </c>
      <c r="B1608" s="7" t="s">
        <v>243</v>
      </c>
      <c r="C1608" s="8">
        <f>IFERROR(__xludf.DUMMYFUNCTION("SPLIT(B1608,""RM"")"),1350000.0)</f>
        <v>1350000</v>
      </c>
      <c r="D1608" s="7" t="s">
        <v>57</v>
      </c>
      <c r="E1608" s="7">
        <v>3.0</v>
      </c>
      <c r="F1608" s="7">
        <v>2.0</v>
      </c>
      <c r="G1608" s="7" t="s">
        <v>93</v>
      </c>
      <c r="H1608" s="7" t="s">
        <v>594</v>
      </c>
      <c r="I1608" s="7" t="s">
        <v>27</v>
      </c>
    </row>
    <row r="1609">
      <c r="A1609" s="7" t="s">
        <v>77</v>
      </c>
      <c r="B1609" s="7" t="s">
        <v>1114</v>
      </c>
      <c r="C1609" s="8">
        <f>IFERROR(__xludf.DUMMYFUNCTION("SPLIT(B1609,""RM"")"),890000.0)</f>
        <v>890000</v>
      </c>
      <c r="D1609" s="7">
        <v>2.0</v>
      </c>
      <c r="E1609" s="7">
        <v>1.0</v>
      </c>
      <c r="F1609" s="7">
        <v>2.0</v>
      </c>
      <c r="G1609" s="7" t="s">
        <v>93</v>
      </c>
      <c r="H1609" s="7" t="s">
        <v>609</v>
      </c>
      <c r="I1609" s="7" t="s">
        <v>22</v>
      </c>
    </row>
    <row r="1610">
      <c r="A1610" s="7" t="s">
        <v>171</v>
      </c>
      <c r="B1610" s="7" t="s">
        <v>1308</v>
      </c>
      <c r="C1610" s="8">
        <f>IFERROR(__xludf.DUMMYFUNCTION("SPLIT(B1610,""RM"")"),365000.0)</f>
        <v>365000</v>
      </c>
      <c r="D1610" s="7">
        <v>3.0</v>
      </c>
      <c r="E1610" s="7">
        <v>2.0</v>
      </c>
      <c r="F1610" s="7">
        <v>1.0</v>
      </c>
      <c r="G1610" s="7" t="s">
        <v>20</v>
      </c>
      <c r="H1610" s="7" t="s">
        <v>1245</v>
      </c>
      <c r="I1610" s="7" t="s">
        <v>27</v>
      </c>
    </row>
    <row r="1611">
      <c r="A1611" s="7" t="s">
        <v>155</v>
      </c>
      <c r="B1611" s="7" t="s">
        <v>221</v>
      </c>
      <c r="C1611" s="8">
        <f>IFERROR(__xludf.DUMMYFUNCTION("SPLIT(B1611,""RM"")"),630000.0)</f>
        <v>630000</v>
      </c>
      <c r="D1611" s="7">
        <v>2.0</v>
      </c>
      <c r="E1611" s="7">
        <v>2.0</v>
      </c>
      <c r="F1611" s="7">
        <v>1.0</v>
      </c>
      <c r="G1611" s="7" t="s">
        <v>83</v>
      </c>
      <c r="H1611" s="7" t="s">
        <v>1431</v>
      </c>
      <c r="I1611" s="7" t="s">
        <v>27</v>
      </c>
    </row>
    <row r="1612">
      <c r="A1612" s="7" t="s">
        <v>77</v>
      </c>
      <c r="B1612" s="7" t="s">
        <v>1432</v>
      </c>
      <c r="C1612" s="8">
        <f>IFERROR(__xludf.DUMMYFUNCTION("SPLIT(B1612,""RM"")"),1320000.0)</f>
        <v>1320000</v>
      </c>
      <c r="D1612" s="7" t="s">
        <v>57</v>
      </c>
      <c r="E1612" s="7">
        <v>3.0</v>
      </c>
      <c r="F1612" s="7">
        <v>2.0</v>
      </c>
      <c r="G1612" s="7" t="s">
        <v>93</v>
      </c>
      <c r="H1612" s="7" t="s">
        <v>318</v>
      </c>
      <c r="I1612" s="7" t="s">
        <v>22</v>
      </c>
    </row>
    <row r="1613">
      <c r="A1613" s="7" t="s">
        <v>77</v>
      </c>
      <c r="B1613" s="7" t="s">
        <v>132</v>
      </c>
      <c r="C1613" s="8">
        <f>IFERROR(__xludf.DUMMYFUNCTION("SPLIT(B1613,""RM"")"),1080000.0)</f>
        <v>1080000</v>
      </c>
      <c r="D1613" s="7">
        <v>3.0</v>
      </c>
      <c r="E1613" s="7">
        <v>2.0</v>
      </c>
      <c r="F1613" s="7">
        <v>2.0</v>
      </c>
      <c r="G1613" s="7" t="s">
        <v>93</v>
      </c>
      <c r="H1613" s="7" t="s">
        <v>230</v>
      </c>
      <c r="I1613" s="7" t="s">
        <v>27</v>
      </c>
    </row>
    <row r="1614">
      <c r="A1614" s="7" t="s">
        <v>77</v>
      </c>
      <c r="B1614" s="7" t="s">
        <v>85</v>
      </c>
      <c r="C1614" s="8">
        <f>IFERROR(__xludf.DUMMYFUNCTION("SPLIT(B1614,""RM"")"),1450000.0)</f>
        <v>1450000</v>
      </c>
      <c r="D1614" s="7" t="s">
        <v>57</v>
      </c>
      <c r="E1614" s="7">
        <v>3.0</v>
      </c>
      <c r="F1614" s="7">
        <v>2.0</v>
      </c>
      <c r="G1614" s="7" t="s">
        <v>83</v>
      </c>
      <c r="H1614" s="7" t="s">
        <v>1007</v>
      </c>
      <c r="I1614" s="7" t="s">
        <v>22</v>
      </c>
    </row>
    <row r="1615">
      <c r="A1615" s="7" t="s">
        <v>104</v>
      </c>
      <c r="B1615" s="7" t="s">
        <v>87</v>
      </c>
      <c r="C1615" s="8">
        <f>IFERROR(__xludf.DUMMYFUNCTION("SPLIT(B1615,""RM"")"),490000.0)</f>
        <v>490000</v>
      </c>
      <c r="D1615" s="7">
        <v>3.0</v>
      </c>
      <c r="E1615" s="7">
        <v>2.0</v>
      </c>
      <c r="F1615" s="7">
        <v>1.0</v>
      </c>
      <c r="G1615" s="7" t="s">
        <v>93</v>
      </c>
      <c r="H1615" s="7" t="s">
        <v>1178</v>
      </c>
      <c r="I1615" s="7" t="s">
        <v>27</v>
      </c>
    </row>
    <row r="1616">
      <c r="A1616" s="7" t="s">
        <v>37</v>
      </c>
      <c r="B1616" s="7" t="s">
        <v>277</v>
      </c>
      <c r="C1616" s="8">
        <f>IFERROR(__xludf.DUMMYFUNCTION("SPLIT(B1616,""RM"")"),2200000.0)</f>
        <v>2200000</v>
      </c>
      <c r="D1616" s="7">
        <v>5.0</v>
      </c>
      <c r="E1616" s="7">
        <v>3.0</v>
      </c>
      <c r="F1616" s="7">
        <v>2.0</v>
      </c>
      <c r="G1616" s="7" t="s">
        <v>184</v>
      </c>
      <c r="H1616" s="7" t="s">
        <v>1118</v>
      </c>
      <c r="I1616" s="7" t="s">
        <v>27</v>
      </c>
    </row>
    <row r="1617">
      <c r="A1617" s="7" t="s">
        <v>32</v>
      </c>
      <c r="B1617" s="7" t="s">
        <v>1433</v>
      </c>
      <c r="C1617" s="8">
        <f>IFERROR(__xludf.DUMMYFUNCTION("SPLIT(B1617,""RM"")"),849000.0)</f>
        <v>849000</v>
      </c>
      <c r="D1617" s="7">
        <v>4.0</v>
      </c>
      <c r="E1617" s="7">
        <v>3.0</v>
      </c>
      <c r="F1617" s="7">
        <v>4.0</v>
      </c>
      <c r="G1617" s="7" t="s">
        <v>54</v>
      </c>
      <c r="H1617" s="7" t="s">
        <v>1434</v>
      </c>
      <c r="I1617" s="7" t="s">
        <v>27</v>
      </c>
    </row>
    <row r="1618">
      <c r="A1618" s="7" t="s">
        <v>32</v>
      </c>
      <c r="B1618" s="7" t="s">
        <v>520</v>
      </c>
      <c r="C1618" s="8">
        <f>IFERROR(__xludf.DUMMYFUNCTION("SPLIT(B1618,""RM"")"),320000.0)</f>
        <v>320000</v>
      </c>
      <c r="D1618" s="7">
        <v>3.0</v>
      </c>
      <c r="E1618" s="7">
        <v>2.0</v>
      </c>
      <c r="F1618" s="7">
        <v>2.0</v>
      </c>
      <c r="G1618" s="7" t="s">
        <v>494</v>
      </c>
      <c r="H1618" s="7" t="s">
        <v>135</v>
      </c>
      <c r="I1618" s="7" t="s">
        <v>103</v>
      </c>
    </row>
    <row r="1619">
      <c r="A1619" s="7" t="s">
        <v>171</v>
      </c>
      <c r="B1619" s="7" t="s">
        <v>1435</v>
      </c>
      <c r="C1619" s="8">
        <f>IFERROR(__xludf.DUMMYFUNCTION("SPLIT(B1619,""RM"")"),788000.0)</f>
        <v>788000</v>
      </c>
      <c r="D1619" s="7" t="s">
        <v>35</v>
      </c>
      <c r="E1619" s="7">
        <v>3.0</v>
      </c>
      <c r="F1619" s="7">
        <v>5.0</v>
      </c>
      <c r="G1619" s="7" t="s">
        <v>184</v>
      </c>
      <c r="I1619" s="7" t="s">
        <v>27</v>
      </c>
    </row>
    <row r="1620">
      <c r="A1620" s="7" t="s">
        <v>48</v>
      </c>
      <c r="B1620" s="7" t="s">
        <v>243</v>
      </c>
      <c r="C1620" s="8">
        <f>IFERROR(__xludf.DUMMYFUNCTION("SPLIT(B1620,""RM"")"),1350000.0)</f>
        <v>1350000</v>
      </c>
      <c r="D1620" s="7">
        <v>6.0</v>
      </c>
      <c r="E1620" s="7">
        <v>4.0</v>
      </c>
      <c r="F1620" s="7">
        <v>4.0</v>
      </c>
      <c r="G1620" s="7" t="s">
        <v>90</v>
      </c>
      <c r="H1620" s="7" t="s">
        <v>211</v>
      </c>
      <c r="I1620" s="7" t="s">
        <v>27</v>
      </c>
    </row>
    <row r="1621">
      <c r="A1621" s="7" t="s">
        <v>48</v>
      </c>
      <c r="B1621" s="7" t="s">
        <v>511</v>
      </c>
      <c r="C1621" s="8">
        <f>IFERROR(__xludf.DUMMYFUNCTION("SPLIT(B1621,""RM"")"),1198000.0)</f>
        <v>1198000</v>
      </c>
      <c r="D1621" s="7">
        <v>5.0</v>
      </c>
      <c r="E1621" s="7">
        <v>3.0</v>
      </c>
      <c r="F1621" s="7">
        <v>3.0</v>
      </c>
      <c r="G1621" s="7" t="s">
        <v>203</v>
      </c>
      <c r="H1621" s="7" t="s">
        <v>211</v>
      </c>
      <c r="I1621" s="7" t="s">
        <v>27</v>
      </c>
    </row>
    <row r="1622">
      <c r="A1622" s="7" t="s">
        <v>32</v>
      </c>
      <c r="B1622" s="7" t="s">
        <v>49</v>
      </c>
      <c r="C1622" s="8">
        <f>IFERROR(__xludf.DUMMYFUNCTION("SPLIT(B1622,""RM"")"),385000.0)</f>
        <v>385000</v>
      </c>
      <c r="D1622" s="7">
        <v>3.0</v>
      </c>
      <c r="E1622" s="7">
        <v>2.0</v>
      </c>
      <c r="F1622" s="7">
        <v>1.0</v>
      </c>
      <c r="G1622" s="7" t="s">
        <v>82</v>
      </c>
      <c r="H1622" s="7" t="s">
        <v>1330</v>
      </c>
      <c r="I1622" s="7" t="s">
        <v>27</v>
      </c>
    </row>
    <row r="1623">
      <c r="A1623" s="7" t="s">
        <v>77</v>
      </c>
      <c r="B1623" s="7" t="s">
        <v>227</v>
      </c>
      <c r="C1623" s="8">
        <f>IFERROR(__xludf.DUMMYFUNCTION("SPLIT(B1623,""RM"")"),2850000.0)</f>
        <v>2850000</v>
      </c>
      <c r="D1623" s="7" t="s">
        <v>57</v>
      </c>
      <c r="E1623" s="7">
        <v>5.0</v>
      </c>
      <c r="F1623" s="7">
        <v>3.0</v>
      </c>
      <c r="G1623" s="7" t="s">
        <v>90</v>
      </c>
      <c r="H1623" s="7" t="s">
        <v>228</v>
      </c>
      <c r="I1623" s="7" t="s">
        <v>27</v>
      </c>
    </row>
    <row r="1624">
      <c r="A1624" s="7" t="s">
        <v>77</v>
      </c>
      <c r="B1624" s="7" t="s">
        <v>306</v>
      </c>
      <c r="C1624" s="8">
        <f>IFERROR(__xludf.DUMMYFUNCTION("SPLIT(B1624,""RM"")"),1990000.0)</f>
        <v>1990000</v>
      </c>
      <c r="D1624" s="7" t="s">
        <v>57</v>
      </c>
      <c r="E1624" s="7">
        <v>4.0</v>
      </c>
      <c r="F1624" s="7">
        <v>2.0</v>
      </c>
      <c r="G1624" s="7" t="s">
        <v>54</v>
      </c>
      <c r="H1624" s="7" t="s">
        <v>283</v>
      </c>
      <c r="I1624" s="7" t="s">
        <v>22</v>
      </c>
    </row>
    <row r="1625">
      <c r="A1625" s="7" t="s">
        <v>77</v>
      </c>
      <c r="B1625" s="7" t="s">
        <v>214</v>
      </c>
      <c r="C1625" s="8">
        <f>IFERROR(__xludf.DUMMYFUNCTION("SPLIT(B1625,""RM"")"),1180000.0)</f>
        <v>1180000</v>
      </c>
      <c r="D1625" s="7">
        <v>2.0</v>
      </c>
      <c r="E1625" s="7">
        <v>2.0</v>
      </c>
      <c r="F1625" s="7">
        <v>2.0</v>
      </c>
      <c r="G1625" s="7" t="s">
        <v>83</v>
      </c>
      <c r="H1625" s="7" t="s">
        <v>237</v>
      </c>
      <c r="I1625" s="7" t="s">
        <v>22</v>
      </c>
    </row>
    <row r="1626">
      <c r="A1626" s="7" t="s">
        <v>77</v>
      </c>
      <c r="B1626" s="7" t="s">
        <v>281</v>
      </c>
      <c r="C1626" s="8">
        <f>IFERROR(__xludf.DUMMYFUNCTION("SPLIT(B1626,""RM"")"),2500000.0)</f>
        <v>2500000</v>
      </c>
      <c r="D1626" s="7" t="s">
        <v>35</v>
      </c>
      <c r="E1626" s="7">
        <v>5.0</v>
      </c>
      <c r="F1626" s="7">
        <v>2.0</v>
      </c>
      <c r="G1626" s="7" t="s">
        <v>90</v>
      </c>
      <c r="H1626" s="7" t="s">
        <v>220</v>
      </c>
      <c r="I1626" s="7" t="s">
        <v>22</v>
      </c>
    </row>
    <row r="1627">
      <c r="A1627" s="7" t="s">
        <v>72</v>
      </c>
      <c r="B1627" s="7" t="s">
        <v>174</v>
      </c>
      <c r="C1627" s="8">
        <f>IFERROR(__xludf.DUMMYFUNCTION("SPLIT(B1627,""RM"")"),3000000.0)</f>
        <v>3000000</v>
      </c>
      <c r="D1627" s="7" t="s">
        <v>35</v>
      </c>
      <c r="E1627" s="7">
        <v>6.0</v>
      </c>
      <c r="F1627" s="7">
        <v>3.0</v>
      </c>
      <c r="G1627" s="7" t="s">
        <v>83</v>
      </c>
      <c r="H1627" s="7" t="s">
        <v>933</v>
      </c>
    </row>
    <row r="1628">
      <c r="A1628" s="7" t="s">
        <v>17</v>
      </c>
      <c r="B1628" s="7" t="s">
        <v>309</v>
      </c>
      <c r="C1628" s="8">
        <f>IFERROR(__xludf.DUMMYFUNCTION("SPLIT(B1628,""RM"")"),2100000.0)</f>
        <v>2100000</v>
      </c>
      <c r="D1628" s="7" t="s">
        <v>197</v>
      </c>
      <c r="E1628" s="7">
        <v>2.0</v>
      </c>
      <c r="F1628" s="7">
        <v>1.0</v>
      </c>
      <c r="G1628" s="7" t="s">
        <v>20</v>
      </c>
      <c r="H1628" s="7" t="s">
        <v>237</v>
      </c>
    </row>
    <row r="1629">
      <c r="A1629" s="7" t="s">
        <v>72</v>
      </c>
      <c r="B1629" s="7" t="s">
        <v>475</v>
      </c>
      <c r="C1629" s="8">
        <f>IFERROR(__xludf.DUMMYFUNCTION("SPLIT(B1629,""RM"")"),2800000.0)</f>
        <v>2800000</v>
      </c>
      <c r="D1629" s="7" t="s">
        <v>35</v>
      </c>
      <c r="E1629" s="7">
        <v>6.0</v>
      </c>
      <c r="F1629" s="7">
        <v>3.0</v>
      </c>
      <c r="G1629" s="7" t="s">
        <v>83</v>
      </c>
      <c r="H1629" s="7" t="s">
        <v>933</v>
      </c>
    </row>
    <row r="1630">
      <c r="A1630" s="7" t="s">
        <v>33</v>
      </c>
      <c r="B1630" s="7" t="s">
        <v>245</v>
      </c>
      <c r="C1630" s="8">
        <f>IFERROR(__xludf.DUMMYFUNCTION("SPLIT(B1630,""RM"")"),800000.0)</f>
        <v>800000</v>
      </c>
      <c r="D1630" s="7">
        <v>3.0</v>
      </c>
      <c r="E1630" s="7">
        <v>2.0</v>
      </c>
      <c r="F1630" s="7">
        <v>2.0</v>
      </c>
      <c r="G1630" s="7" t="s">
        <v>20</v>
      </c>
      <c r="H1630" s="7" t="s">
        <v>795</v>
      </c>
      <c r="I1630" s="7" t="s">
        <v>22</v>
      </c>
    </row>
    <row r="1631">
      <c r="A1631" s="7" t="s">
        <v>72</v>
      </c>
      <c r="B1631" s="7" t="s">
        <v>712</v>
      </c>
      <c r="C1631" s="8">
        <f>IFERROR(__xludf.DUMMYFUNCTION("SPLIT(B1631,""RM"")"),1880000.0)</f>
        <v>1880000</v>
      </c>
      <c r="D1631" s="7" t="s">
        <v>57</v>
      </c>
      <c r="E1631" s="7">
        <v>4.0</v>
      </c>
      <c r="F1631" s="7">
        <v>3.0</v>
      </c>
      <c r="G1631" s="7" t="s">
        <v>83</v>
      </c>
      <c r="H1631" s="7" t="s">
        <v>561</v>
      </c>
    </row>
    <row r="1632">
      <c r="A1632" s="7" t="s">
        <v>72</v>
      </c>
      <c r="B1632" s="7" t="s">
        <v>475</v>
      </c>
      <c r="C1632" s="8">
        <f>IFERROR(__xludf.DUMMYFUNCTION("SPLIT(B1632,""RM"")"),2800000.0)</f>
        <v>2800000</v>
      </c>
      <c r="D1632" s="7" t="s">
        <v>35</v>
      </c>
      <c r="E1632" s="7">
        <v>6.0</v>
      </c>
      <c r="F1632" s="7">
        <v>3.0</v>
      </c>
      <c r="G1632" s="7" t="s">
        <v>83</v>
      </c>
      <c r="H1632" s="7" t="s">
        <v>1436</v>
      </c>
    </row>
    <row r="1633">
      <c r="A1633" s="7" t="s">
        <v>72</v>
      </c>
      <c r="B1633" s="7" t="s">
        <v>931</v>
      </c>
      <c r="C1633" s="8">
        <f>IFERROR(__xludf.DUMMYFUNCTION("SPLIT(B1633,""RM"")"),2450000.0)</f>
        <v>2450000</v>
      </c>
      <c r="D1633" s="7" t="s">
        <v>35</v>
      </c>
      <c r="E1633" s="7">
        <v>6.0</v>
      </c>
      <c r="F1633" s="7">
        <v>3.0</v>
      </c>
      <c r="G1633" s="7" t="s">
        <v>83</v>
      </c>
      <c r="H1633" s="7" t="s">
        <v>431</v>
      </c>
    </row>
    <row r="1634">
      <c r="A1634" s="7" t="s">
        <v>72</v>
      </c>
      <c r="B1634" s="7" t="s">
        <v>227</v>
      </c>
      <c r="C1634" s="8">
        <f>IFERROR(__xludf.DUMMYFUNCTION("SPLIT(B1634,""RM"")"),2850000.0)</f>
        <v>2850000</v>
      </c>
      <c r="D1634" s="7" t="s">
        <v>35</v>
      </c>
      <c r="E1634" s="7">
        <v>6.0</v>
      </c>
      <c r="F1634" s="7">
        <v>3.0</v>
      </c>
      <c r="G1634" s="7" t="s">
        <v>83</v>
      </c>
      <c r="H1634" s="7" t="s">
        <v>933</v>
      </c>
    </row>
    <row r="1635">
      <c r="A1635" s="7" t="s">
        <v>32</v>
      </c>
      <c r="B1635" s="7" t="s">
        <v>1437</v>
      </c>
      <c r="C1635" s="8">
        <f>IFERROR(__xludf.DUMMYFUNCTION("SPLIT(B1635,""RM"")"),298888.0)</f>
        <v>298888</v>
      </c>
      <c r="D1635" s="7">
        <v>2.0</v>
      </c>
      <c r="E1635" s="7">
        <v>2.0</v>
      </c>
      <c r="F1635" s="7">
        <v>1.0</v>
      </c>
      <c r="G1635" s="7" t="s">
        <v>20</v>
      </c>
      <c r="H1635" s="7" t="s">
        <v>242</v>
      </c>
      <c r="I1635" s="7" t="s">
        <v>27</v>
      </c>
    </row>
    <row r="1636">
      <c r="A1636" s="7" t="s">
        <v>72</v>
      </c>
      <c r="B1636" s="7" t="s">
        <v>426</v>
      </c>
      <c r="C1636" s="8">
        <f>IFERROR(__xludf.DUMMYFUNCTION("SPLIT(B1636,""RM"")"),1530000.0)</f>
        <v>1530000</v>
      </c>
      <c r="D1636" s="7" t="s">
        <v>57</v>
      </c>
      <c r="E1636" s="7">
        <v>4.0</v>
      </c>
      <c r="F1636" s="7">
        <v>2.0</v>
      </c>
      <c r="G1636" s="7" t="s">
        <v>83</v>
      </c>
      <c r="H1636" s="7" t="s">
        <v>334</v>
      </c>
      <c r="I1636" s="7" t="s">
        <v>27</v>
      </c>
    </row>
    <row r="1637">
      <c r="A1637" s="7" t="s">
        <v>72</v>
      </c>
      <c r="B1637" s="7" t="s">
        <v>399</v>
      </c>
      <c r="C1637" s="8">
        <f>IFERROR(__xludf.DUMMYFUNCTION("SPLIT(B1637,""RM"")"),1750000.0)</f>
        <v>1750000</v>
      </c>
      <c r="D1637" s="7" t="s">
        <v>35</v>
      </c>
      <c r="E1637" s="7">
        <v>5.0</v>
      </c>
      <c r="G1637" s="7" t="s">
        <v>83</v>
      </c>
      <c r="H1637" s="7" t="s">
        <v>1438</v>
      </c>
      <c r="I1637" s="7" t="s">
        <v>22</v>
      </c>
    </row>
    <row r="1638">
      <c r="A1638" s="7" t="s">
        <v>89</v>
      </c>
      <c r="B1638" s="7" t="s">
        <v>243</v>
      </c>
      <c r="C1638" s="8">
        <f>IFERROR(__xludf.DUMMYFUNCTION("SPLIT(B1638,""RM"")"),1350000.0)</f>
        <v>1350000</v>
      </c>
      <c r="D1638" s="7">
        <v>6.0</v>
      </c>
      <c r="E1638" s="7">
        <v>5.0</v>
      </c>
      <c r="G1638" s="7" t="s">
        <v>562</v>
      </c>
      <c r="H1638" s="7" t="s">
        <v>211</v>
      </c>
      <c r="I1638" s="7" t="s">
        <v>22</v>
      </c>
    </row>
    <row r="1639">
      <c r="A1639" s="7" t="s">
        <v>17</v>
      </c>
      <c r="B1639" s="7" t="s">
        <v>956</v>
      </c>
      <c r="C1639" s="8">
        <f>IFERROR(__xludf.DUMMYFUNCTION("SPLIT(B1639,""RM"")"),860000.0)</f>
        <v>860000</v>
      </c>
      <c r="D1639" s="7" t="s">
        <v>19</v>
      </c>
      <c r="E1639" s="7">
        <v>2.0</v>
      </c>
      <c r="G1639" s="7" t="s">
        <v>20</v>
      </c>
      <c r="H1639" s="7" t="s">
        <v>418</v>
      </c>
      <c r="I1639" s="7" t="s">
        <v>22</v>
      </c>
    </row>
    <row r="1640">
      <c r="A1640" s="7" t="s">
        <v>188</v>
      </c>
      <c r="B1640" s="7" t="s">
        <v>329</v>
      </c>
      <c r="C1640" s="8">
        <f>IFERROR(__xludf.DUMMYFUNCTION("SPLIT(B1640,""RM"")"),1200000.0)</f>
        <v>1200000</v>
      </c>
      <c r="D1640" s="7">
        <v>2.0</v>
      </c>
      <c r="E1640" s="7">
        <v>2.0</v>
      </c>
      <c r="G1640" s="7" t="s">
        <v>121</v>
      </c>
      <c r="H1640" s="7" t="s">
        <v>1439</v>
      </c>
      <c r="I1640" s="7" t="s">
        <v>22</v>
      </c>
    </row>
    <row r="1641">
      <c r="A1641" s="7" t="s">
        <v>171</v>
      </c>
      <c r="B1641" s="7" t="s">
        <v>543</v>
      </c>
      <c r="C1641" s="8">
        <f>IFERROR(__xludf.DUMMYFUNCTION("SPLIT(B1641,""RM"")"),425000.0)</f>
        <v>425000</v>
      </c>
      <c r="D1641" s="7" t="s">
        <v>57</v>
      </c>
      <c r="E1641" s="7">
        <v>2.0</v>
      </c>
      <c r="F1641" s="7">
        <v>2.0</v>
      </c>
      <c r="G1641" s="7" t="s">
        <v>82</v>
      </c>
      <c r="H1641" s="7" t="s">
        <v>1440</v>
      </c>
      <c r="I1641" s="7" t="s">
        <v>103</v>
      </c>
    </row>
    <row r="1642">
      <c r="A1642" s="7" t="s">
        <v>1014</v>
      </c>
      <c r="B1642" s="7" t="s">
        <v>890</v>
      </c>
      <c r="C1642" s="8">
        <f>IFERROR(__xludf.DUMMYFUNCTION("SPLIT(B1642,""RM"")"),450000.0)</f>
        <v>450000</v>
      </c>
      <c r="D1642" s="7">
        <v>4.0</v>
      </c>
      <c r="E1642" s="7">
        <v>2.0</v>
      </c>
      <c r="F1642" s="7">
        <v>2.0</v>
      </c>
      <c r="G1642" s="7" t="s">
        <v>494</v>
      </c>
      <c r="H1642" s="7" t="s">
        <v>1441</v>
      </c>
      <c r="I1642" s="7" t="s">
        <v>27</v>
      </c>
    </row>
    <row r="1643">
      <c r="A1643" s="7" t="s">
        <v>171</v>
      </c>
      <c r="B1643" s="7" t="s">
        <v>1075</v>
      </c>
      <c r="C1643" s="8">
        <f>IFERROR(__xludf.DUMMYFUNCTION("SPLIT(B1643,""RM"")"),790000.0)</f>
        <v>790000</v>
      </c>
      <c r="D1643" s="7">
        <v>4.0</v>
      </c>
      <c r="E1643" s="7">
        <v>3.0</v>
      </c>
      <c r="F1643" s="7">
        <v>2.0</v>
      </c>
      <c r="G1643" s="7" t="s">
        <v>54</v>
      </c>
      <c r="H1643" s="7" t="s">
        <v>674</v>
      </c>
      <c r="I1643" s="7" t="s">
        <v>27</v>
      </c>
    </row>
    <row r="1644">
      <c r="A1644" s="7" t="s">
        <v>77</v>
      </c>
      <c r="B1644" s="7" t="s">
        <v>411</v>
      </c>
      <c r="C1644" s="8">
        <f>IFERROR(__xludf.DUMMYFUNCTION("SPLIT(B1644,""RM"")"),2150000.0)</f>
        <v>2150000</v>
      </c>
      <c r="D1644" s="7" t="s">
        <v>57</v>
      </c>
      <c r="E1644" s="7">
        <v>4.0</v>
      </c>
      <c r="F1644" s="7">
        <v>2.0</v>
      </c>
      <c r="G1644" s="7" t="s">
        <v>30</v>
      </c>
      <c r="H1644" s="7" t="s">
        <v>1425</v>
      </c>
      <c r="I1644" s="7" t="s">
        <v>103</v>
      </c>
    </row>
    <row r="1645">
      <c r="A1645" s="7" t="s">
        <v>100</v>
      </c>
      <c r="B1645" s="7" t="s">
        <v>510</v>
      </c>
      <c r="C1645" s="8">
        <f>IFERROR(__xludf.DUMMYFUNCTION("SPLIT(B1645,""RM"")"),380000.0)</f>
        <v>380000</v>
      </c>
      <c r="D1645" s="7">
        <v>1.0</v>
      </c>
      <c r="E1645" s="7">
        <v>2.0</v>
      </c>
      <c r="F1645" s="7">
        <v>1.0</v>
      </c>
      <c r="G1645" s="7" t="s">
        <v>145</v>
      </c>
      <c r="H1645" s="7" t="s">
        <v>786</v>
      </c>
    </row>
    <row r="1646">
      <c r="A1646" s="7" t="s">
        <v>1014</v>
      </c>
      <c r="B1646" s="7" t="s">
        <v>372</v>
      </c>
      <c r="C1646" s="8">
        <f>IFERROR(__xludf.DUMMYFUNCTION("SPLIT(B1646,""RM"")"),700000.0)</f>
        <v>700000</v>
      </c>
      <c r="D1646" s="7">
        <v>4.0</v>
      </c>
      <c r="E1646" s="7">
        <v>3.0</v>
      </c>
      <c r="F1646" s="7">
        <v>2.0</v>
      </c>
      <c r="G1646" s="7" t="s">
        <v>494</v>
      </c>
      <c r="H1646" s="7" t="s">
        <v>711</v>
      </c>
      <c r="I1646" s="7" t="s">
        <v>27</v>
      </c>
    </row>
    <row r="1647">
      <c r="A1647" s="7" t="s">
        <v>180</v>
      </c>
      <c r="B1647" s="7" t="s">
        <v>236</v>
      </c>
      <c r="C1647" s="8">
        <f>IFERROR(__xludf.DUMMYFUNCTION("SPLIT(B1647,""RM"")"),2000000.0)</f>
        <v>2000000</v>
      </c>
      <c r="D1647" s="7">
        <v>2.0</v>
      </c>
      <c r="E1647" s="7">
        <v>2.0</v>
      </c>
      <c r="F1647" s="7">
        <v>1.0</v>
      </c>
      <c r="G1647" s="7" t="s">
        <v>20</v>
      </c>
      <c r="H1647" s="7" t="s">
        <v>216</v>
      </c>
      <c r="I1647" s="7" t="s">
        <v>22</v>
      </c>
    </row>
    <row r="1648">
      <c r="A1648" s="7" t="s">
        <v>17</v>
      </c>
      <c r="B1648" s="7" t="s">
        <v>125</v>
      </c>
      <c r="C1648" s="8">
        <f>IFERROR(__xludf.DUMMYFUNCTION("SPLIT(B1648,""RM"")"),2300000.0)</f>
        <v>2300000</v>
      </c>
      <c r="D1648" s="7">
        <v>5.0</v>
      </c>
      <c r="E1648" s="7">
        <v>5.0</v>
      </c>
      <c r="F1648" s="7">
        <v>2.0</v>
      </c>
      <c r="G1648" s="7" t="s">
        <v>20</v>
      </c>
      <c r="H1648" s="7" t="s">
        <v>1442</v>
      </c>
      <c r="I1648" s="7" t="s">
        <v>27</v>
      </c>
    </row>
    <row r="1649">
      <c r="A1649" s="7" t="s">
        <v>17</v>
      </c>
      <c r="B1649" s="7" t="s">
        <v>582</v>
      </c>
      <c r="C1649" s="8">
        <f>IFERROR(__xludf.DUMMYFUNCTION("SPLIT(B1649,""RM"")"),2999000.0)</f>
        <v>2999000</v>
      </c>
      <c r="D1649" s="7" t="s">
        <v>19</v>
      </c>
      <c r="E1649" s="7">
        <v>2.0</v>
      </c>
      <c r="F1649" s="7">
        <v>2.0</v>
      </c>
      <c r="G1649" s="7" t="s">
        <v>20</v>
      </c>
      <c r="H1649" s="7" t="s">
        <v>99</v>
      </c>
      <c r="I1649" s="7" t="s">
        <v>27</v>
      </c>
    </row>
    <row r="1650">
      <c r="A1650" s="7" t="s">
        <v>104</v>
      </c>
      <c r="B1650" s="7" t="s">
        <v>599</v>
      </c>
      <c r="C1650" s="8">
        <f>IFERROR(__xludf.DUMMYFUNCTION("SPLIT(B1650,""RM"")"),950000.0)</f>
        <v>950000</v>
      </c>
      <c r="D1650" s="7">
        <v>5.0</v>
      </c>
      <c r="E1650" s="7">
        <v>3.0</v>
      </c>
      <c r="F1650" s="7">
        <v>2.0</v>
      </c>
      <c r="G1650" s="7" t="s">
        <v>54</v>
      </c>
      <c r="H1650" s="7" t="s">
        <v>333</v>
      </c>
      <c r="I1650" s="7" t="s">
        <v>27</v>
      </c>
    </row>
    <row r="1651">
      <c r="A1651" s="7" t="s">
        <v>104</v>
      </c>
      <c r="B1651" s="7" t="s">
        <v>759</v>
      </c>
      <c r="C1651" s="8">
        <f>IFERROR(__xludf.DUMMYFUNCTION("SPLIT(B1651,""RM"")"),520000.0)</f>
        <v>520000</v>
      </c>
      <c r="D1651" s="7">
        <v>3.0</v>
      </c>
      <c r="E1651" s="7">
        <v>2.0</v>
      </c>
      <c r="F1651" s="7">
        <v>2.0</v>
      </c>
      <c r="G1651" s="7" t="s">
        <v>343</v>
      </c>
      <c r="H1651" s="7" t="s">
        <v>283</v>
      </c>
      <c r="I1651" s="7" t="s">
        <v>103</v>
      </c>
    </row>
    <row r="1652">
      <c r="A1652" s="7" t="s">
        <v>432</v>
      </c>
      <c r="B1652" s="7" t="s">
        <v>105</v>
      </c>
      <c r="C1652" s="8">
        <f>IFERROR(__xludf.DUMMYFUNCTION("SPLIT(B1652,""RM"")"),560000.0)</f>
        <v>560000</v>
      </c>
      <c r="D1652" s="7">
        <v>2.0</v>
      </c>
      <c r="E1652" s="7">
        <v>2.0</v>
      </c>
      <c r="G1652" s="7" t="s">
        <v>20</v>
      </c>
      <c r="H1652" s="7" t="s">
        <v>1443</v>
      </c>
      <c r="I1652" s="7" t="s">
        <v>22</v>
      </c>
    </row>
    <row r="1653">
      <c r="A1653" s="7" t="s">
        <v>1014</v>
      </c>
      <c r="B1653" s="7" t="s">
        <v>902</v>
      </c>
      <c r="C1653" s="8">
        <f>IFERROR(__xludf.DUMMYFUNCTION("SPLIT(B1653,""RM"")"),710000.0)</f>
        <v>710000</v>
      </c>
      <c r="D1653" s="7">
        <v>3.0</v>
      </c>
      <c r="E1653" s="7">
        <v>3.0</v>
      </c>
      <c r="G1653" s="7" t="s">
        <v>494</v>
      </c>
      <c r="H1653" s="7" t="s">
        <v>1444</v>
      </c>
      <c r="I1653" s="7" t="s">
        <v>27</v>
      </c>
    </row>
    <row r="1654">
      <c r="A1654" s="7" t="s">
        <v>358</v>
      </c>
      <c r="B1654" s="7" t="s">
        <v>752</v>
      </c>
      <c r="C1654" s="8">
        <f>IFERROR(__xludf.DUMMYFUNCTION("SPLIT(B1654,""RM"")"),375000.0)</f>
        <v>375000</v>
      </c>
      <c r="D1654" s="7">
        <v>3.0</v>
      </c>
      <c r="E1654" s="7">
        <v>2.0</v>
      </c>
      <c r="F1654" s="7">
        <v>1.0</v>
      </c>
      <c r="G1654" s="7" t="s">
        <v>50</v>
      </c>
      <c r="H1654" s="7" t="s">
        <v>126</v>
      </c>
      <c r="I1654" s="7" t="s">
        <v>27</v>
      </c>
    </row>
    <row r="1655">
      <c r="A1655" s="7" t="s">
        <v>17</v>
      </c>
      <c r="B1655" s="7" t="s">
        <v>956</v>
      </c>
      <c r="C1655" s="8">
        <f>IFERROR(__xludf.DUMMYFUNCTION("SPLIT(B1655,""RM"")"),860000.0)</f>
        <v>860000</v>
      </c>
      <c r="D1655" s="7" t="s">
        <v>19</v>
      </c>
      <c r="E1655" s="7">
        <v>2.0</v>
      </c>
      <c r="G1655" s="7" t="s">
        <v>20</v>
      </c>
      <c r="H1655" s="7" t="s">
        <v>418</v>
      </c>
      <c r="I1655" s="7" t="s">
        <v>22</v>
      </c>
    </row>
    <row r="1656">
      <c r="A1656" s="7" t="s">
        <v>100</v>
      </c>
      <c r="B1656" s="7" t="s">
        <v>510</v>
      </c>
      <c r="C1656" s="8">
        <f>IFERROR(__xludf.DUMMYFUNCTION("SPLIT(B1656,""RM"")"),380000.0)</f>
        <v>380000</v>
      </c>
      <c r="D1656" s="7">
        <v>1.0</v>
      </c>
      <c r="E1656" s="7">
        <v>2.0</v>
      </c>
      <c r="F1656" s="7">
        <v>1.0</v>
      </c>
      <c r="G1656" s="7" t="s">
        <v>20</v>
      </c>
      <c r="H1656" s="7" t="s">
        <v>786</v>
      </c>
      <c r="I1656" s="7" t="s">
        <v>22</v>
      </c>
    </row>
    <row r="1657">
      <c r="A1657" s="7" t="s">
        <v>358</v>
      </c>
      <c r="B1657" s="7" t="s">
        <v>1074</v>
      </c>
      <c r="C1657" s="8">
        <f>IFERROR(__xludf.DUMMYFUNCTION("SPLIT(B1657,""RM"")"),1130000.0)</f>
        <v>1130000</v>
      </c>
      <c r="D1657" s="7" t="s">
        <v>57</v>
      </c>
      <c r="E1657" s="7">
        <v>4.0</v>
      </c>
      <c r="F1657" s="7">
        <v>2.0</v>
      </c>
      <c r="G1657" s="7" t="s">
        <v>30</v>
      </c>
      <c r="H1657" s="7" t="s">
        <v>1411</v>
      </c>
      <c r="I1657" s="7" t="s">
        <v>27</v>
      </c>
    </row>
    <row r="1658">
      <c r="A1658" s="7" t="s">
        <v>358</v>
      </c>
      <c r="B1658" s="7" t="s">
        <v>156</v>
      </c>
      <c r="C1658" s="8">
        <f>IFERROR(__xludf.DUMMYFUNCTION("SPLIT(B1658,""RM"")"),850000.0)</f>
        <v>850000</v>
      </c>
      <c r="D1658" s="7">
        <v>3.0</v>
      </c>
      <c r="E1658" s="7">
        <v>2.0</v>
      </c>
      <c r="F1658" s="7">
        <v>2.0</v>
      </c>
      <c r="G1658" s="7" t="s">
        <v>30</v>
      </c>
      <c r="H1658" s="7" t="s">
        <v>1445</v>
      </c>
      <c r="I1658" s="7" t="s">
        <v>27</v>
      </c>
    </row>
    <row r="1659">
      <c r="A1659" s="7" t="s">
        <v>358</v>
      </c>
      <c r="B1659" s="7" t="s">
        <v>407</v>
      </c>
      <c r="C1659" s="8">
        <f>IFERROR(__xludf.DUMMYFUNCTION("SPLIT(B1659,""RM"")"),880000.0)</f>
        <v>880000</v>
      </c>
      <c r="D1659" s="7">
        <v>3.0</v>
      </c>
      <c r="E1659" s="7">
        <v>2.0</v>
      </c>
      <c r="F1659" s="7">
        <v>3.0</v>
      </c>
      <c r="G1659" s="7" t="s">
        <v>30</v>
      </c>
      <c r="H1659" s="7" t="s">
        <v>1445</v>
      </c>
      <c r="I1659" s="7" t="s">
        <v>27</v>
      </c>
    </row>
    <row r="1660">
      <c r="A1660" s="7" t="s">
        <v>33</v>
      </c>
      <c r="B1660" s="7" t="s">
        <v>1446</v>
      </c>
      <c r="C1660" s="8">
        <f>IFERROR(__xludf.DUMMYFUNCTION("SPLIT(B1660,""RM"")"),999999.0)</f>
        <v>999999</v>
      </c>
      <c r="D1660" s="7">
        <v>4.0</v>
      </c>
      <c r="E1660" s="7">
        <v>3.0</v>
      </c>
      <c r="F1660" s="7">
        <v>3.0</v>
      </c>
      <c r="G1660" s="7" t="s">
        <v>83</v>
      </c>
      <c r="H1660" s="7" t="s">
        <v>36</v>
      </c>
      <c r="I1660" s="7" t="s">
        <v>27</v>
      </c>
    </row>
    <row r="1661">
      <c r="A1661" s="7" t="s">
        <v>171</v>
      </c>
      <c r="B1661" s="7" t="s">
        <v>391</v>
      </c>
      <c r="C1661" s="8">
        <f>IFERROR(__xludf.DUMMYFUNCTION("SPLIT(B1661,""RM"")"),240000.0)</f>
        <v>240000</v>
      </c>
      <c r="D1661" s="7">
        <v>3.0</v>
      </c>
      <c r="E1661" s="7">
        <v>1.0</v>
      </c>
      <c r="F1661" s="7">
        <v>1.0</v>
      </c>
      <c r="G1661" s="7" t="s">
        <v>50</v>
      </c>
      <c r="H1661" s="7" t="s">
        <v>1447</v>
      </c>
      <c r="I1661" s="7" t="s">
        <v>27</v>
      </c>
    </row>
    <row r="1662">
      <c r="A1662" s="7" t="s">
        <v>171</v>
      </c>
      <c r="B1662" s="7" t="s">
        <v>1448</v>
      </c>
      <c r="C1662" s="8">
        <f>IFERROR(__xludf.DUMMYFUNCTION("SPLIT(B1662,""RM"")"),248000.0)</f>
        <v>248000</v>
      </c>
      <c r="D1662" s="7">
        <v>3.0</v>
      </c>
      <c r="E1662" s="7">
        <v>2.0</v>
      </c>
      <c r="F1662" s="7">
        <v>1.0</v>
      </c>
      <c r="G1662" s="7" t="s">
        <v>93</v>
      </c>
      <c r="H1662" s="7" t="s">
        <v>392</v>
      </c>
      <c r="I1662" s="7" t="s">
        <v>27</v>
      </c>
    </row>
    <row r="1663">
      <c r="A1663" s="7" t="s">
        <v>171</v>
      </c>
      <c r="B1663" s="7" t="s">
        <v>1140</v>
      </c>
      <c r="C1663" s="8">
        <f>IFERROR(__xludf.DUMMYFUNCTION("SPLIT(B1663,""RM"")"),330000.0)</f>
        <v>330000</v>
      </c>
      <c r="D1663" s="7">
        <v>3.0</v>
      </c>
      <c r="E1663" s="7">
        <v>2.0</v>
      </c>
      <c r="F1663" s="7">
        <v>2.0</v>
      </c>
      <c r="G1663" s="7" t="s">
        <v>93</v>
      </c>
      <c r="H1663" s="7" t="s">
        <v>1449</v>
      </c>
      <c r="I1663" s="7" t="s">
        <v>27</v>
      </c>
    </row>
    <row r="1664">
      <c r="A1664" s="7" t="s">
        <v>171</v>
      </c>
      <c r="B1664" s="7" t="s">
        <v>1426</v>
      </c>
      <c r="C1664" s="8">
        <f>IFERROR(__xludf.DUMMYFUNCTION("SPLIT(B1664,""RM"")"),298000.0)</f>
        <v>298000</v>
      </c>
      <c r="D1664" s="7">
        <v>3.0</v>
      </c>
      <c r="E1664" s="7">
        <v>2.0</v>
      </c>
      <c r="F1664" s="7">
        <v>1.0</v>
      </c>
      <c r="G1664" s="7" t="s">
        <v>30</v>
      </c>
      <c r="H1664" s="7" t="s">
        <v>1449</v>
      </c>
      <c r="I1664" s="7" t="s">
        <v>103</v>
      </c>
    </row>
    <row r="1665">
      <c r="A1665" s="7" t="s">
        <v>371</v>
      </c>
      <c r="B1665" s="7" t="s">
        <v>1111</v>
      </c>
      <c r="C1665" s="8">
        <f>IFERROR(__xludf.DUMMYFUNCTION("SPLIT(B1665,""RM"")"),390000.0)</f>
        <v>390000</v>
      </c>
      <c r="D1665" s="7">
        <v>3.0</v>
      </c>
      <c r="E1665" s="7">
        <v>2.0</v>
      </c>
      <c r="F1665" s="7">
        <v>1.0</v>
      </c>
      <c r="G1665" s="7" t="s">
        <v>203</v>
      </c>
      <c r="H1665" s="7" t="s">
        <v>1450</v>
      </c>
      <c r="I1665" s="7" t="s">
        <v>103</v>
      </c>
    </row>
    <row r="1666">
      <c r="A1666" s="7" t="s">
        <v>104</v>
      </c>
      <c r="B1666" s="7" t="s">
        <v>1435</v>
      </c>
      <c r="C1666" s="8">
        <f>IFERROR(__xludf.DUMMYFUNCTION("SPLIT(B1666,""RM"")"),788000.0)</f>
        <v>788000</v>
      </c>
      <c r="D1666" s="7">
        <v>4.0</v>
      </c>
      <c r="E1666" s="7">
        <v>3.0</v>
      </c>
      <c r="F1666" s="7">
        <v>3.0</v>
      </c>
      <c r="G1666" s="7" t="s">
        <v>54</v>
      </c>
      <c r="H1666" s="7" t="s">
        <v>211</v>
      </c>
      <c r="I1666" s="7" t="s">
        <v>27</v>
      </c>
    </row>
    <row r="1667">
      <c r="A1667" s="7" t="s">
        <v>171</v>
      </c>
      <c r="B1667" s="7" t="s">
        <v>955</v>
      </c>
      <c r="C1667" s="8">
        <f>IFERROR(__xludf.DUMMYFUNCTION("SPLIT(B1667,""RM"")"),498000.0)</f>
        <v>498000</v>
      </c>
      <c r="D1667" s="7">
        <v>3.0</v>
      </c>
      <c r="E1667" s="7">
        <v>2.0</v>
      </c>
      <c r="F1667" s="7">
        <v>2.0</v>
      </c>
      <c r="G1667" s="7" t="s">
        <v>54</v>
      </c>
      <c r="H1667" s="7" t="s">
        <v>106</v>
      </c>
    </row>
    <row r="1668">
      <c r="A1668" s="7" t="s">
        <v>371</v>
      </c>
      <c r="B1668" s="7" t="s">
        <v>507</v>
      </c>
      <c r="C1668" s="8">
        <f>IFERROR(__xludf.DUMMYFUNCTION("SPLIT(B1668,""RM"")"),590000.0)</f>
        <v>590000</v>
      </c>
      <c r="D1668" s="7">
        <v>3.0</v>
      </c>
      <c r="E1668" s="7">
        <v>2.0</v>
      </c>
      <c r="F1668" s="7">
        <v>2.0</v>
      </c>
      <c r="G1668" s="7" t="s">
        <v>54</v>
      </c>
      <c r="H1668" s="7" t="s">
        <v>106</v>
      </c>
      <c r="I1668" s="7" t="s">
        <v>27</v>
      </c>
    </row>
    <row r="1669">
      <c r="A1669" s="7" t="s">
        <v>171</v>
      </c>
      <c r="B1669" s="7" t="s">
        <v>507</v>
      </c>
      <c r="C1669" s="8">
        <f>IFERROR(__xludf.DUMMYFUNCTION("SPLIT(B1669,""RM"")"),590000.0)</f>
        <v>590000</v>
      </c>
      <c r="D1669" s="7">
        <v>3.0</v>
      </c>
      <c r="E1669" s="7">
        <v>3.0</v>
      </c>
      <c r="F1669" s="7">
        <v>1.0</v>
      </c>
      <c r="G1669" s="7" t="s">
        <v>54</v>
      </c>
      <c r="H1669" s="7" t="s">
        <v>106</v>
      </c>
      <c r="I1669" s="7" t="s">
        <v>27</v>
      </c>
    </row>
    <row r="1670">
      <c r="A1670" s="7" t="s">
        <v>33</v>
      </c>
      <c r="B1670" s="7" t="s">
        <v>655</v>
      </c>
      <c r="C1670" s="8">
        <f>IFERROR(__xludf.DUMMYFUNCTION("SPLIT(B1670,""RM"")"),2550000.0)</f>
        <v>2550000</v>
      </c>
      <c r="D1670" s="7">
        <v>5.0</v>
      </c>
      <c r="E1670" s="7">
        <v>4.0</v>
      </c>
      <c r="G1670" s="7" t="s">
        <v>273</v>
      </c>
      <c r="H1670" s="7" t="s">
        <v>1451</v>
      </c>
      <c r="I1670" s="7" t="s">
        <v>27</v>
      </c>
    </row>
    <row r="1671">
      <c r="A1671" s="7" t="s">
        <v>428</v>
      </c>
      <c r="B1671" s="7" t="s">
        <v>239</v>
      </c>
      <c r="C1671" s="8">
        <f>IFERROR(__xludf.DUMMYFUNCTION("SPLIT(B1671,""RM"")"),1280000.0)</f>
        <v>1280000</v>
      </c>
      <c r="D1671" s="7" t="s">
        <v>60</v>
      </c>
      <c r="E1671" s="7">
        <v>7.0</v>
      </c>
      <c r="G1671" s="7" t="s">
        <v>90</v>
      </c>
      <c r="H1671" s="7" t="s">
        <v>283</v>
      </c>
      <c r="I1671" s="7" t="s">
        <v>103</v>
      </c>
    </row>
    <row r="1672">
      <c r="A1672" s="7" t="s">
        <v>148</v>
      </c>
      <c r="B1672" s="7" t="s">
        <v>78</v>
      </c>
      <c r="C1672" s="8">
        <f>IFERROR(__xludf.DUMMYFUNCTION("SPLIT(B1672,""RM"")"),1500000.0)</f>
        <v>1500000</v>
      </c>
      <c r="D1672" s="7" t="s">
        <v>35</v>
      </c>
      <c r="E1672" s="7">
        <v>4.0</v>
      </c>
      <c r="F1672" s="7">
        <v>2.0</v>
      </c>
      <c r="G1672" s="7" t="s">
        <v>54</v>
      </c>
      <c r="H1672" s="7" t="s">
        <v>1296</v>
      </c>
      <c r="I1672" s="7" t="s">
        <v>27</v>
      </c>
    </row>
    <row r="1673">
      <c r="A1673" s="7" t="s">
        <v>72</v>
      </c>
      <c r="B1673" s="7" t="s">
        <v>1452</v>
      </c>
      <c r="C1673" s="8">
        <f>IFERROR(__xludf.DUMMYFUNCTION("SPLIT(B1673,""RM"")"),4030000.0)</f>
        <v>4030000</v>
      </c>
      <c r="G1673" s="7" t="s">
        <v>1453</v>
      </c>
      <c r="H1673" s="7" t="s">
        <v>1120</v>
      </c>
      <c r="I1673" s="7" t="s">
        <v>251</v>
      </c>
    </row>
    <row r="1674">
      <c r="A1674" s="7" t="s">
        <v>17</v>
      </c>
      <c r="B1674" s="7" t="s">
        <v>191</v>
      </c>
      <c r="C1674" s="8">
        <f>IFERROR(__xludf.DUMMYFUNCTION("SPLIT(B1674,""RM"")"),1000000.0)</f>
        <v>1000000</v>
      </c>
      <c r="D1674" s="7" t="s">
        <v>19</v>
      </c>
      <c r="E1674" s="7">
        <v>2.0</v>
      </c>
      <c r="G1674" s="7" t="s">
        <v>20</v>
      </c>
      <c r="H1674" s="7" t="s">
        <v>1454</v>
      </c>
      <c r="I1674" s="7" t="s">
        <v>27</v>
      </c>
    </row>
    <row r="1675">
      <c r="A1675" s="7" t="s">
        <v>33</v>
      </c>
      <c r="B1675" s="7" t="s">
        <v>1455</v>
      </c>
      <c r="C1675" s="8">
        <f>IFERROR(__xludf.DUMMYFUNCTION("SPLIT(B1675,""RM"")"),549000.0)</f>
        <v>549000</v>
      </c>
      <c r="D1675" s="7">
        <v>3.0</v>
      </c>
      <c r="E1675" s="7">
        <v>2.0</v>
      </c>
      <c r="F1675" s="7">
        <v>1.0</v>
      </c>
      <c r="G1675" s="7" t="s">
        <v>96</v>
      </c>
      <c r="I1675" s="7" t="s">
        <v>27</v>
      </c>
    </row>
    <row r="1676">
      <c r="A1676" s="7" t="s">
        <v>100</v>
      </c>
      <c r="B1676" s="7" t="s">
        <v>1069</v>
      </c>
      <c r="C1676" s="8">
        <f>IFERROR(__xludf.DUMMYFUNCTION("SPLIT(B1676,""RM"")"),883000.0)</f>
        <v>883000</v>
      </c>
      <c r="D1676" s="7">
        <v>2.0</v>
      </c>
      <c r="E1676" s="7">
        <v>2.0</v>
      </c>
      <c r="F1676" s="7">
        <v>1.0</v>
      </c>
      <c r="G1676" s="7" t="s">
        <v>83</v>
      </c>
      <c r="H1676" s="7" t="s">
        <v>1352</v>
      </c>
      <c r="I1676" s="7" t="s">
        <v>22</v>
      </c>
    </row>
    <row r="1677">
      <c r="A1677" s="7" t="s">
        <v>1456</v>
      </c>
      <c r="B1677" s="7" t="s">
        <v>1457</v>
      </c>
      <c r="C1677" s="8">
        <f>IFERROR(__xludf.DUMMYFUNCTION("SPLIT(B1677,""RM"")"),659000.0)</f>
        <v>659000</v>
      </c>
      <c r="D1677" s="7">
        <v>4.0</v>
      </c>
      <c r="E1677" s="7">
        <v>3.0</v>
      </c>
      <c r="G1677" s="7" t="s">
        <v>54</v>
      </c>
      <c r="H1677" s="7" t="s">
        <v>1458</v>
      </c>
      <c r="I1677" s="7" t="s">
        <v>27</v>
      </c>
    </row>
    <row r="1678">
      <c r="A1678" s="7" t="s">
        <v>177</v>
      </c>
      <c r="B1678" s="7" t="s">
        <v>1459</v>
      </c>
      <c r="C1678" s="8">
        <f>IFERROR(__xludf.DUMMYFUNCTION("SPLIT(B1678,""RM"")"),8070240.0)</f>
        <v>8070240</v>
      </c>
      <c r="D1678" s="7" t="s">
        <v>35</v>
      </c>
      <c r="E1678" s="7">
        <v>6.0</v>
      </c>
      <c r="F1678" s="7">
        <v>5.0</v>
      </c>
      <c r="G1678" s="7" t="s">
        <v>83</v>
      </c>
      <c r="H1678" s="7" t="s">
        <v>574</v>
      </c>
      <c r="I1678" s="7" t="s">
        <v>27</v>
      </c>
    </row>
    <row r="1679">
      <c r="A1679" s="7" t="s">
        <v>177</v>
      </c>
      <c r="B1679" s="7" t="s">
        <v>616</v>
      </c>
      <c r="C1679" s="8">
        <f>IFERROR(__xludf.DUMMYFUNCTION("SPLIT(B1679,""RM"")"),7500000.0)</f>
        <v>7500000</v>
      </c>
      <c r="D1679" s="7" t="s">
        <v>35</v>
      </c>
      <c r="E1679" s="7">
        <v>6.0</v>
      </c>
      <c r="F1679" s="7">
        <v>5.0</v>
      </c>
      <c r="G1679" s="7" t="s">
        <v>83</v>
      </c>
      <c r="H1679" s="7" t="s">
        <v>1401</v>
      </c>
    </row>
    <row r="1680">
      <c r="A1680" s="7" t="s">
        <v>65</v>
      </c>
      <c r="B1680" s="7" t="s">
        <v>1460</v>
      </c>
      <c r="C1680" s="8">
        <f>IFERROR(__xludf.DUMMYFUNCTION("SPLIT(B1680,""RM"")"),1.7E7)</f>
        <v>17000000</v>
      </c>
      <c r="D1680" s="7" t="s">
        <v>39</v>
      </c>
      <c r="E1680" s="7">
        <v>8.0</v>
      </c>
      <c r="F1680" s="7">
        <v>6.0</v>
      </c>
      <c r="G1680" s="7" t="s">
        <v>25</v>
      </c>
      <c r="H1680" s="7" t="s">
        <v>1461</v>
      </c>
      <c r="I1680" s="7" t="s">
        <v>27</v>
      </c>
    </row>
    <row r="1681">
      <c r="A1681" s="7" t="s">
        <v>65</v>
      </c>
      <c r="B1681" s="7" t="s">
        <v>433</v>
      </c>
      <c r="C1681" s="8">
        <f>IFERROR(__xludf.DUMMYFUNCTION("SPLIT(B1681,""RM"")"),1.48E7)</f>
        <v>14800000</v>
      </c>
      <c r="D1681" s="7" t="s">
        <v>299</v>
      </c>
      <c r="E1681" s="7">
        <v>8.0</v>
      </c>
      <c r="F1681" s="7">
        <v>8.0</v>
      </c>
      <c r="G1681" s="7" t="s">
        <v>25</v>
      </c>
      <c r="H1681" s="7" t="s">
        <v>1462</v>
      </c>
      <c r="I1681" s="7" t="s">
        <v>27</v>
      </c>
    </row>
    <row r="1682">
      <c r="A1682" s="7" t="s">
        <v>65</v>
      </c>
      <c r="B1682" s="7" t="s">
        <v>1460</v>
      </c>
      <c r="C1682" s="8">
        <f>IFERROR(__xludf.DUMMYFUNCTION("SPLIT(B1682,""RM"")"),1.7E7)</f>
        <v>17000000</v>
      </c>
      <c r="D1682" s="7" t="s">
        <v>60</v>
      </c>
      <c r="E1682" s="7">
        <v>9.0</v>
      </c>
      <c r="F1682" s="7">
        <v>5.0</v>
      </c>
      <c r="G1682" s="7" t="s">
        <v>61</v>
      </c>
      <c r="H1682" s="7" t="s">
        <v>1463</v>
      </c>
      <c r="I1682" s="7" t="s">
        <v>27</v>
      </c>
    </row>
    <row r="1683">
      <c r="A1683" s="7" t="s">
        <v>267</v>
      </c>
      <c r="B1683" s="7" t="s">
        <v>951</v>
      </c>
      <c r="C1683" s="8">
        <f>IFERROR(__xludf.DUMMYFUNCTION("SPLIT(B1683,""RM"")"),415000.0)</f>
        <v>415000</v>
      </c>
      <c r="D1683" s="7">
        <v>1.0</v>
      </c>
      <c r="E1683" s="7">
        <v>1.0</v>
      </c>
      <c r="F1683" s="7">
        <v>1.0</v>
      </c>
      <c r="G1683" s="7" t="s">
        <v>82</v>
      </c>
      <c r="H1683" s="7" t="s">
        <v>1207</v>
      </c>
      <c r="I1683" s="7" t="s">
        <v>27</v>
      </c>
    </row>
    <row r="1684">
      <c r="A1684" s="7" t="s">
        <v>100</v>
      </c>
      <c r="B1684" s="7" t="s">
        <v>419</v>
      </c>
      <c r="C1684" s="8">
        <f>IFERROR(__xludf.DUMMYFUNCTION("SPLIT(B1684,""RM"")"),990000.0)</f>
        <v>990000</v>
      </c>
      <c r="D1684" s="7" t="s">
        <v>57</v>
      </c>
      <c r="E1684" s="7">
        <v>4.0</v>
      </c>
      <c r="F1684" s="7">
        <v>2.0</v>
      </c>
      <c r="G1684" s="7" t="s">
        <v>30</v>
      </c>
      <c r="H1684" s="7" t="s">
        <v>1149</v>
      </c>
      <c r="I1684" s="7" t="s">
        <v>103</v>
      </c>
    </row>
    <row r="1685">
      <c r="A1685" s="7" t="s">
        <v>100</v>
      </c>
      <c r="B1685" s="7" t="s">
        <v>1140</v>
      </c>
      <c r="C1685" s="8">
        <f>IFERROR(__xludf.DUMMYFUNCTION("SPLIT(B1685,""RM"")"),330000.0)</f>
        <v>330000</v>
      </c>
      <c r="D1685" s="7">
        <v>3.0</v>
      </c>
      <c r="E1685" s="7">
        <v>2.0</v>
      </c>
      <c r="F1685" s="7">
        <v>1.0</v>
      </c>
      <c r="G1685" s="7" t="s">
        <v>20</v>
      </c>
      <c r="H1685" s="7" t="s">
        <v>491</v>
      </c>
    </row>
    <row r="1686">
      <c r="A1686" s="7" t="s">
        <v>72</v>
      </c>
      <c r="B1686" s="7" t="s">
        <v>712</v>
      </c>
      <c r="C1686" s="8">
        <f>IFERROR(__xludf.DUMMYFUNCTION("SPLIT(B1686,""RM"")"),1880000.0)</f>
        <v>1880000</v>
      </c>
      <c r="D1686" s="7" t="s">
        <v>57</v>
      </c>
      <c r="E1686" s="7">
        <v>4.0</v>
      </c>
      <c r="G1686" s="7" t="s">
        <v>83</v>
      </c>
      <c r="H1686" s="7" t="s">
        <v>867</v>
      </c>
      <c r="I1686" s="7" t="s">
        <v>22</v>
      </c>
    </row>
    <row r="1687">
      <c r="A1687" s="7" t="s">
        <v>428</v>
      </c>
      <c r="B1687" s="7" t="s">
        <v>1382</v>
      </c>
      <c r="C1687" s="8">
        <f>IFERROR(__xludf.DUMMYFUNCTION("SPLIT(B1687,""RM"")"),525000.0)</f>
        <v>525000</v>
      </c>
      <c r="D1687" s="7">
        <v>1.0</v>
      </c>
      <c r="E1687" s="7">
        <v>1.0</v>
      </c>
      <c r="F1687" s="7">
        <v>1.0</v>
      </c>
      <c r="G1687" s="7" t="s">
        <v>93</v>
      </c>
      <c r="H1687" s="7" t="s">
        <v>1464</v>
      </c>
      <c r="I1687" s="7" t="s">
        <v>27</v>
      </c>
    </row>
    <row r="1688">
      <c r="A1688" s="7" t="s">
        <v>72</v>
      </c>
      <c r="B1688" s="7" t="s">
        <v>236</v>
      </c>
      <c r="C1688" s="8">
        <f>IFERROR(__xludf.DUMMYFUNCTION("SPLIT(B1688,""RM"")"),2000000.0)</f>
        <v>2000000</v>
      </c>
      <c r="D1688" s="7" t="s">
        <v>79</v>
      </c>
      <c r="E1688" s="7">
        <v>5.0</v>
      </c>
      <c r="F1688" s="7">
        <v>3.0</v>
      </c>
      <c r="G1688" s="7" t="s">
        <v>30</v>
      </c>
      <c r="H1688" s="7" t="s">
        <v>376</v>
      </c>
      <c r="I1688" s="7" t="s">
        <v>22</v>
      </c>
    </row>
    <row r="1689">
      <c r="A1689" s="7" t="s">
        <v>72</v>
      </c>
      <c r="B1689" s="7" t="s">
        <v>281</v>
      </c>
      <c r="C1689" s="8">
        <f>IFERROR(__xludf.DUMMYFUNCTION("SPLIT(B1689,""RM"")"),2500000.0)</f>
        <v>2500000</v>
      </c>
      <c r="D1689" s="7" t="s">
        <v>35</v>
      </c>
      <c r="E1689" s="7">
        <v>6.0</v>
      </c>
      <c r="G1689" s="7" t="s">
        <v>83</v>
      </c>
      <c r="H1689" s="7" t="s">
        <v>933</v>
      </c>
      <c r="I1689" s="7" t="s">
        <v>27</v>
      </c>
    </row>
    <row r="1690">
      <c r="A1690" s="7" t="s">
        <v>72</v>
      </c>
      <c r="B1690" s="7" t="s">
        <v>1465</v>
      </c>
      <c r="C1690" s="8">
        <f>IFERROR(__xludf.DUMMYFUNCTION("SPLIT(B1690,""RM"")"),2268000.0)</f>
        <v>2268000</v>
      </c>
      <c r="D1690" s="7" t="s">
        <v>39</v>
      </c>
      <c r="E1690" s="7">
        <v>6.0</v>
      </c>
      <c r="F1690" s="7">
        <v>3.0</v>
      </c>
      <c r="G1690" s="7" t="s">
        <v>30</v>
      </c>
      <c r="H1690" s="7" t="s">
        <v>176</v>
      </c>
    </row>
    <row r="1691">
      <c r="A1691" s="7" t="s">
        <v>72</v>
      </c>
      <c r="B1691" s="7" t="s">
        <v>193</v>
      </c>
      <c r="C1691" s="8">
        <f>IFERROR(__xludf.DUMMYFUNCTION("SPLIT(B1691,""RM"")"),1650000.0)</f>
        <v>1650000</v>
      </c>
      <c r="D1691" s="7" t="s">
        <v>57</v>
      </c>
      <c r="E1691" s="7">
        <v>4.0</v>
      </c>
      <c r="F1691" s="7">
        <v>2.0</v>
      </c>
      <c r="G1691" s="7" t="s">
        <v>30</v>
      </c>
      <c r="H1691" s="7" t="s">
        <v>404</v>
      </c>
      <c r="I1691" s="7" t="s">
        <v>27</v>
      </c>
    </row>
    <row r="1692">
      <c r="A1692" s="7" t="s">
        <v>72</v>
      </c>
      <c r="B1692" s="7" t="s">
        <v>125</v>
      </c>
      <c r="C1692" s="8">
        <f>IFERROR(__xludf.DUMMYFUNCTION("SPLIT(B1692,""RM"")"),2300000.0)</f>
        <v>2300000</v>
      </c>
      <c r="D1692" s="7" t="s">
        <v>35</v>
      </c>
      <c r="E1692" s="7">
        <v>6.0</v>
      </c>
      <c r="F1692" s="7">
        <v>3.0</v>
      </c>
      <c r="G1692" s="7" t="s">
        <v>30</v>
      </c>
      <c r="H1692" s="7" t="s">
        <v>803</v>
      </c>
      <c r="I1692" s="7" t="s">
        <v>27</v>
      </c>
    </row>
    <row r="1693">
      <c r="A1693" s="7" t="s">
        <v>17</v>
      </c>
      <c r="B1693" s="7" t="s">
        <v>1466</v>
      </c>
      <c r="C1693" s="8">
        <f>IFERROR(__xludf.DUMMYFUNCTION("SPLIT(B1693,""RM"")"),6441600.0)</f>
        <v>6441600</v>
      </c>
      <c r="D1693" s="7" t="s">
        <v>57</v>
      </c>
      <c r="E1693" s="7">
        <v>4.0</v>
      </c>
      <c r="F1693" s="7">
        <v>2.0</v>
      </c>
      <c r="G1693" s="7" t="s">
        <v>30</v>
      </c>
      <c r="H1693" s="7" t="s">
        <v>680</v>
      </c>
      <c r="I1693" s="7" t="s">
        <v>27</v>
      </c>
    </row>
    <row r="1694">
      <c r="A1694" s="7" t="s">
        <v>72</v>
      </c>
      <c r="B1694" s="7" t="s">
        <v>329</v>
      </c>
      <c r="C1694" s="8">
        <f>IFERROR(__xludf.DUMMYFUNCTION("SPLIT(B1694,""RM"")"),1200000.0)</f>
        <v>1200000</v>
      </c>
      <c r="D1694" s="7">
        <v>3.0</v>
      </c>
      <c r="E1694" s="7">
        <v>2.0</v>
      </c>
      <c r="F1694" s="7">
        <v>1.0</v>
      </c>
      <c r="G1694" s="7" t="s">
        <v>30</v>
      </c>
      <c r="H1694" s="7" t="s">
        <v>135</v>
      </c>
      <c r="I1694" s="7" t="s">
        <v>27</v>
      </c>
    </row>
    <row r="1695">
      <c r="A1695" s="7" t="s">
        <v>72</v>
      </c>
      <c r="B1695" s="7" t="s">
        <v>1467</v>
      </c>
      <c r="C1695" s="8">
        <f>IFERROR(__xludf.DUMMYFUNCTION("SPLIT(B1695,""RM"")"),1475000.0)</f>
        <v>1475000</v>
      </c>
      <c r="D1695" s="7" t="s">
        <v>57</v>
      </c>
      <c r="E1695" s="7">
        <v>4.0</v>
      </c>
      <c r="F1695" s="7">
        <v>2.0</v>
      </c>
      <c r="G1695" s="7" t="s">
        <v>30</v>
      </c>
      <c r="H1695" s="7" t="s">
        <v>334</v>
      </c>
      <c r="I1695" s="7" t="s">
        <v>27</v>
      </c>
    </row>
    <row r="1696">
      <c r="A1696" s="7" t="s">
        <v>72</v>
      </c>
      <c r="B1696" s="7" t="s">
        <v>158</v>
      </c>
      <c r="C1696" s="8">
        <f>IFERROR(__xludf.DUMMYFUNCTION("SPLIT(B1696,""RM"")"),1850000.0)</f>
        <v>1850000</v>
      </c>
      <c r="D1696" s="7" t="s">
        <v>57</v>
      </c>
      <c r="E1696" s="7">
        <v>4.0</v>
      </c>
      <c r="F1696" s="7">
        <v>2.0</v>
      </c>
      <c r="G1696" s="7" t="s">
        <v>30</v>
      </c>
      <c r="H1696" s="7" t="s">
        <v>714</v>
      </c>
      <c r="I1696" s="7" t="s">
        <v>27</v>
      </c>
    </row>
    <row r="1697">
      <c r="A1697" s="7" t="s">
        <v>17</v>
      </c>
      <c r="B1697" s="7" t="s">
        <v>236</v>
      </c>
      <c r="C1697" s="8">
        <f>IFERROR(__xludf.DUMMYFUNCTION("SPLIT(B1697,""RM"")"),2000000.0)</f>
        <v>2000000</v>
      </c>
      <c r="D1697" s="7" t="s">
        <v>35</v>
      </c>
      <c r="E1697" s="7">
        <v>6.0</v>
      </c>
      <c r="F1697" s="7">
        <v>2.0</v>
      </c>
      <c r="G1697" s="7" t="s">
        <v>30</v>
      </c>
      <c r="H1697" s="7" t="s">
        <v>387</v>
      </c>
      <c r="I1697" s="7" t="s">
        <v>27</v>
      </c>
    </row>
    <row r="1698">
      <c r="A1698" s="7" t="s">
        <v>72</v>
      </c>
      <c r="B1698" s="7" t="s">
        <v>1468</v>
      </c>
      <c r="C1698" s="8">
        <f>IFERROR(__xludf.DUMMYFUNCTION("SPLIT(B1698,""RM"")"),1731000.0)</f>
        <v>1731000</v>
      </c>
      <c r="D1698" s="7" t="s">
        <v>57</v>
      </c>
      <c r="E1698" s="7">
        <v>4.0</v>
      </c>
      <c r="F1698" s="7">
        <v>2.0</v>
      </c>
      <c r="G1698" s="7" t="s">
        <v>30</v>
      </c>
      <c r="H1698" s="7" t="s">
        <v>99</v>
      </c>
      <c r="I1698" s="7" t="s">
        <v>27</v>
      </c>
    </row>
    <row r="1699">
      <c r="A1699" s="7" t="s">
        <v>17</v>
      </c>
      <c r="B1699" s="7" t="s">
        <v>1469</v>
      </c>
      <c r="C1699" s="8">
        <f>IFERROR(__xludf.DUMMYFUNCTION("SPLIT(B1699,""RM"")"),2715000.0)</f>
        <v>2715000</v>
      </c>
      <c r="D1699" s="7" t="s">
        <v>57</v>
      </c>
      <c r="E1699" s="7">
        <v>5.0</v>
      </c>
      <c r="F1699" s="7">
        <v>2.0</v>
      </c>
      <c r="G1699" s="7" t="s">
        <v>30</v>
      </c>
      <c r="H1699" s="7" t="s">
        <v>1418</v>
      </c>
    </row>
    <row r="1700">
      <c r="A1700" s="7" t="s">
        <v>72</v>
      </c>
      <c r="B1700" s="7" t="s">
        <v>475</v>
      </c>
      <c r="C1700" s="8">
        <f>IFERROR(__xludf.DUMMYFUNCTION("SPLIT(B1700,""RM"")"),2800000.0)</f>
        <v>2800000</v>
      </c>
      <c r="D1700" s="7" t="s">
        <v>39</v>
      </c>
      <c r="E1700" s="7">
        <v>6.0</v>
      </c>
      <c r="F1700" s="7">
        <v>3.0</v>
      </c>
      <c r="G1700" s="7" t="s">
        <v>30</v>
      </c>
      <c r="H1700" s="7" t="s">
        <v>1436</v>
      </c>
      <c r="I1700" s="7" t="s">
        <v>27</v>
      </c>
    </row>
    <row r="1701">
      <c r="A1701" s="7" t="s">
        <v>155</v>
      </c>
      <c r="B1701" s="7" t="s">
        <v>1470</v>
      </c>
      <c r="C1701" s="8">
        <f>IFERROR(__xludf.DUMMYFUNCTION("SPLIT(B1701,""RM"")"),825000.0)</f>
        <v>825000</v>
      </c>
      <c r="D1701" s="7" t="s">
        <v>19</v>
      </c>
      <c r="E1701" s="7">
        <v>2.0</v>
      </c>
      <c r="F1701" s="7">
        <v>1.0</v>
      </c>
      <c r="G1701" s="7" t="s">
        <v>93</v>
      </c>
      <c r="H1701" s="7" t="s">
        <v>1471</v>
      </c>
      <c r="I1701" s="7" t="s">
        <v>27</v>
      </c>
    </row>
    <row r="1702">
      <c r="A1702" s="7" t="s">
        <v>171</v>
      </c>
      <c r="B1702" s="7" t="s">
        <v>268</v>
      </c>
      <c r="C1702" s="8">
        <f>IFERROR(__xludf.DUMMYFUNCTION("SPLIT(B1702,""RM"")"),500000.0)</f>
        <v>500000</v>
      </c>
      <c r="D1702" s="7">
        <v>4.0</v>
      </c>
      <c r="E1702" s="7">
        <v>2.0</v>
      </c>
      <c r="F1702" s="7">
        <v>2.0</v>
      </c>
      <c r="G1702" s="7" t="s">
        <v>83</v>
      </c>
      <c r="H1702" s="7" t="s">
        <v>1472</v>
      </c>
      <c r="I1702" s="7" t="s">
        <v>27</v>
      </c>
    </row>
    <row r="1703">
      <c r="A1703" s="7" t="s">
        <v>171</v>
      </c>
      <c r="B1703" s="7" t="s">
        <v>172</v>
      </c>
      <c r="C1703" s="8">
        <f>IFERROR(__xludf.DUMMYFUNCTION("SPLIT(B1703,""RM"")"),580000.0)</f>
        <v>580000</v>
      </c>
      <c r="D1703" s="7" t="s">
        <v>19</v>
      </c>
      <c r="E1703" s="7">
        <v>2.0</v>
      </c>
      <c r="F1703" s="7">
        <v>2.0</v>
      </c>
      <c r="G1703" s="7" t="s">
        <v>83</v>
      </c>
      <c r="H1703" s="7" t="s">
        <v>892</v>
      </c>
      <c r="I1703" s="7" t="s">
        <v>27</v>
      </c>
    </row>
    <row r="1704">
      <c r="A1704" s="7" t="s">
        <v>171</v>
      </c>
      <c r="B1704" s="7" t="s">
        <v>1473</v>
      </c>
      <c r="C1704" s="8">
        <f>IFERROR(__xludf.DUMMYFUNCTION("SPLIT(B1704,""RM"")"),230000.0)</f>
        <v>230000</v>
      </c>
      <c r="D1704" s="7">
        <v>3.0</v>
      </c>
      <c r="E1704" s="7">
        <v>2.0</v>
      </c>
      <c r="F1704" s="7">
        <v>1.0</v>
      </c>
      <c r="G1704" s="7" t="s">
        <v>83</v>
      </c>
      <c r="H1704" s="7" t="s">
        <v>1474</v>
      </c>
      <c r="I1704" s="7" t="s">
        <v>27</v>
      </c>
    </row>
    <row r="1705">
      <c r="A1705" s="7" t="s">
        <v>17</v>
      </c>
      <c r="B1705" s="7" t="s">
        <v>610</v>
      </c>
      <c r="C1705" s="8">
        <f>IFERROR(__xludf.DUMMYFUNCTION("SPLIT(B1705,""RM"")"),2250000.0)</f>
        <v>2250000</v>
      </c>
      <c r="D1705" s="7" t="s">
        <v>19</v>
      </c>
      <c r="E1705" s="7">
        <v>2.0</v>
      </c>
      <c r="G1705" s="7" t="s">
        <v>20</v>
      </c>
      <c r="H1705" s="7" t="s">
        <v>1475</v>
      </c>
      <c r="I1705" s="7" t="s">
        <v>22</v>
      </c>
    </row>
    <row r="1706">
      <c r="A1706" s="7" t="s">
        <v>17</v>
      </c>
      <c r="B1706" s="7" t="s">
        <v>18</v>
      </c>
      <c r="C1706" s="8">
        <f>IFERROR(__xludf.DUMMYFUNCTION("SPLIT(B1706,""RM"")"),1250000.0)</f>
        <v>1250000</v>
      </c>
      <c r="D1706" s="7">
        <v>1.0</v>
      </c>
      <c r="E1706" s="7">
        <v>1.0</v>
      </c>
      <c r="F1706" s="7">
        <v>1.0</v>
      </c>
      <c r="G1706" s="7" t="s">
        <v>20</v>
      </c>
      <c r="H1706" s="7" t="s">
        <v>392</v>
      </c>
      <c r="I1706" s="7" t="s">
        <v>22</v>
      </c>
    </row>
    <row r="1707">
      <c r="A1707" s="7" t="s">
        <v>17</v>
      </c>
      <c r="B1707" s="7" t="s">
        <v>712</v>
      </c>
      <c r="C1707" s="8">
        <f>IFERROR(__xludf.DUMMYFUNCTION("SPLIT(B1707,""RM"")"),1880000.0)</f>
        <v>1880000</v>
      </c>
      <c r="D1707" s="7" t="s">
        <v>19</v>
      </c>
      <c r="E1707" s="7">
        <v>2.0</v>
      </c>
      <c r="G1707" s="7" t="s">
        <v>20</v>
      </c>
      <c r="H1707" s="7" t="s">
        <v>1004</v>
      </c>
      <c r="I1707" s="7" t="s">
        <v>22</v>
      </c>
    </row>
    <row r="1708">
      <c r="A1708" s="7" t="s">
        <v>1476</v>
      </c>
      <c r="B1708" s="7" t="s">
        <v>1477</v>
      </c>
      <c r="C1708" s="8">
        <f>IFERROR(__xludf.DUMMYFUNCTION("SPLIT(B1708,""RM"")"),265000.0)</f>
        <v>265000</v>
      </c>
      <c r="D1708" s="7">
        <v>3.0</v>
      </c>
      <c r="E1708" s="7">
        <v>2.0</v>
      </c>
      <c r="F1708" s="7">
        <v>1.0</v>
      </c>
      <c r="G1708" s="7" t="s">
        <v>50</v>
      </c>
      <c r="H1708" s="7" t="s">
        <v>1478</v>
      </c>
      <c r="I1708" s="7" t="s">
        <v>27</v>
      </c>
    </row>
    <row r="1709">
      <c r="A1709" s="7" t="s">
        <v>32</v>
      </c>
      <c r="B1709" s="7" t="s">
        <v>1479</v>
      </c>
      <c r="C1709" s="8">
        <f>IFERROR(__xludf.DUMMYFUNCTION("SPLIT(B1709,""RM"")"),130000.0)</f>
        <v>130000</v>
      </c>
      <c r="D1709" s="7">
        <v>3.0</v>
      </c>
      <c r="E1709" s="7">
        <v>2.0</v>
      </c>
      <c r="G1709" s="7" t="s">
        <v>50</v>
      </c>
      <c r="H1709" s="7" t="s">
        <v>242</v>
      </c>
      <c r="I1709" s="7" t="s">
        <v>27</v>
      </c>
    </row>
    <row r="1710">
      <c r="A1710" s="7" t="s">
        <v>267</v>
      </c>
      <c r="B1710" s="7" t="s">
        <v>543</v>
      </c>
      <c r="C1710" s="8">
        <f>IFERROR(__xludf.DUMMYFUNCTION("SPLIT(B1710,""RM"")"),425000.0)</f>
        <v>425000</v>
      </c>
      <c r="D1710" s="7">
        <v>1.0</v>
      </c>
      <c r="E1710" s="7">
        <v>1.0</v>
      </c>
      <c r="F1710" s="7">
        <v>1.0</v>
      </c>
      <c r="G1710" s="7" t="s">
        <v>82</v>
      </c>
      <c r="H1710" s="7" t="s">
        <v>1480</v>
      </c>
      <c r="I1710" s="7" t="s">
        <v>27</v>
      </c>
    </row>
    <row r="1711">
      <c r="A1711" s="7" t="s">
        <v>267</v>
      </c>
      <c r="B1711" s="7" t="s">
        <v>947</v>
      </c>
      <c r="C1711" s="8">
        <f>IFERROR(__xludf.DUMMYFUNCTION("SPLIT(B1711,""RM"")"),528000.0)</f>
        <v>528000</v>
      </c>
      <c r="D1711" s="7">
        <v>2.0</v>
      </c>
      <c r="E1711" s="7">
        <v>2.0</v>
      </c>
      <c r="F1711" s="7">
        <v>1.0</v>
      </c>
      <c r="G1711" s="7" t="s">
        <v>82</v>
      </c>
      <c r="H1711" s="7" t="s">
        <v>269</v>
      </c>
      <c r="I1711" s="7" t="s">
        <v>27</v>
      </c>
    </row>
    <row r="1712">
      <c r="A1712" s="7" t="s">
        <v>171</v>
      </c>
      <c r="B1712" s="7" t="s">
        <v>1297</v>
      </c>
      <c r="C1712" s="8">
        <f>IFERROR(__xludf.DUMMYFUNCTION("SPLIT(B1712,""RM"")"),585000.0)</f>
        <v>585000</v>
      </c>
      <c r="D1712" s="7">
        <v>3.0</v>
      </c>
      <c r="E1712" s="7">
        <v>2.0</v>
      </c>
      <c r="G1712" s="7" t="s">
        <v>83</v>
      </c>
      <c r="H1712" s="7" t="s">
        <v>192</v>
      </c>
      <c r="I1712" s="7" t="s">
        <v>22</v>
      </c>
    </row>
    <row r="1713">
      <c r="A1713" s="7" t="s">
        <v>32</v>
      </c>
      <c r="B1713" s="7" t="s">
        <v>1341</v>
      </c>
      <c r="C1713" s="8">
        <f>IFERROR(__xludf.DUMMYFUNCTION("SPLIT(B1713,""RM"")"),368000.0)</f>
        <v>368000</v>
      </c>
      <c r="D1713" s="7">
        <v>3.0</v>
      </c>
      <c r="E1713" s="7">
        <v>2.0</v>
      </c>
      <c r="F1713" s="7">
        <v>1.0</v>
      </c>
      <c r="G1713" s="7" t="s">
        <v>93</v>
      </c>
      <c r="H1713" s="7" t="s">
        <v>1481</v>
      </c>
      <c r="I1713" s="7" t="s">
        <v>27</v>
      </c>
    </row>
    <row r="1714">
      <c r="A1714" s="7" t="s">
        <v>180</v>
      </c>
      <c r="B1714" s="7" t="s">
        <v>214</v>
      </c>
      <c r="C1714" s="8">
        <f>IFERROR(__xludf.DUMMYFUNCTION("SPLIT(B1714,""RM"")"),1180000.0)</f>
        <v>1180000</v>
      </c>
      <c r="D1714" s="7" t="s">
        <v>57</v>
      </c>
      <c r="E1714" s="7">
        <v>3.0</v>
      </c>
      <c r="F1714" s="7">
        <v>1.0</v>
      </c>
      <c r="G1714" s="7" t="s">
        <v>93</v>
      </c>
      <c r="H1714" s="7" t="s">
        <v>1482</v>
      </c>
      <c r="I1714" s="7" t="s">
        <v>22</v>
      </c>
    </row>
    <row r="1715">
      <c r="A1715" s="7" t="s">
        <v>432</v>
      </c>
      <c r="B1715" s="7" t="s">
        <v>534</v>
      </c>
      <c r="C1715" s="8">
        <f>IFERROR(__xludf.DUMMYFUNCTION("SPLIT(B1715,""RM"")"),3200000.0)</f>
        <v>3200000</v>
      </c>
      <c r="D1715" s="7" t="s">
        <v>70</v>
      </c>
      <c r="E1715" s="7">
        <v>6.0</v>
      </c>
      <c r="G1715" s="7" t="s">
        <v>43</v>
      </c>
      <c r="H1715" s="7" t="s">
        <v>1483</v>
      </c>
      <c r="I1715" s="7" t="s">
        <v>27</v>
      </c>
    </row>
    <row r="1716">
      <c r="A1716" s="7" t="s">
        <v>104</v>
      </c>
      <c r="B1716" s="7" t="s">
        <v>144</v>
      </c>
      <c r="C1716" s="8">
        <f>IFERROR(__xludf.DUMMYFUNCTION("SPLIT(B1716,""RM"")"),1800000.0)</f>
        <v>1800000</v>
      </c>
      <c r="D1716" s="7" t="s">
        <v>70</v>
      </c>
      <c r="E1716" s="7">
        <v>5.0</v>
      </c>
      <c r="F1716" s="7">
        <v>2.0</v>
      </c>
      <c r="G1716" s="7" t="s">
        <v>64</v>
      </c>
      <c r="H1716" s="7" t="s">
        <v>1484</v>
      </c>
      <c r="I1716" s="7" t="s">
        <v>27</v>
      </c>
    </row>
    <row r="1717">
      <c r="A1717" s="7" t="s">
        <v>33</v>
      </c>
      <c r="B1717" s="7" t="s">
        <v>691</v>
      </c>
      <c r="C1717" s="8">
        <f>IFERROR(__xludf.DUMMYFUNCTION("SPLIT(B1717,""RM"")"),370000.0)</f>
        <v>370000</v>
      </c>
      <c r="D1717" s="7">
        <v>3.0</v>
      </c>
      <c r="E1717" s="7">
        <v>2.0</v>
      </c>
      <c r="F1717" s="7">
        <v>1.0</v>
      </c>
      <c r="G1717" s="7" t="s">
        <v>503</v>
      </c>
      <c r="H1717" s="7" t="s">
        <v>1485</v>
      </c>
    </row>
    <row r="1718">
      <c r="A1718" s="7" t="s">
        <v>33</v>
      </c>
      <c r="B1718" s="7" t="s">
        <v>1382</v>
      </c>
      <c r="C1718" s="8">
        <f>IFERROR(__xludf.DUMMYFUNCTION("SPLIT(B1718,""RM"")"),525000.0)</f>
        <v>525000</v>
      </c>
      <c r="D1718" s="7">
        <v>3.0</v>
      </c>
      <c r="E1718" s="7">
        <v>3.0</v>
      </c>
      <c r="F1718" s="7">
        <v>2.0</v>
      </c>
      <c r="G1718" s="7" t="s">
        <v>93</v>
      </c>
      <c r="H1718" s="7" t="s">
        <v>1156</v>
      </c>
      <c r="I1718" s="7" t="s">
        <v>103</v>
      </c>
    </row>
    <row r="1719">
      <c r="A1719" s="7" t="s">
        <v>432</v>
      </c>
      <c r="B1719" s="7" t="s">
        <v>101</v>
      </c>
      <c r="C1719" s="8">
        <f>IFERROR(__xludf.DUMMYFUNCTION("SPLIT(B1719,""RM"")"),3300000.0)</f>
        <v>3300000</v>
      </c>
      <c r="D1719" s="7" t="s">
        <v>70</v>
      </c>
      <c r="E1719" s="7">
        <v>6.0</v>
      </c>
      <c r="G1719" s="7" t="s">
        <v>64</v>
      </c>
      <c r="H1719" s="7" t="s">
        <v>256</v>
      </c>
      <c r="I1719" s="7" t="s">
        <v>27</v>
      </c>
    </row>
    <row r="1720">
      <c r="A1720" s="7" t="s">
        <v>72</v>
      </c>
      <c r="B1720" s="7" t="s">
        <v>693</v>
      </c>
      <c r="C1720" s="8">
        <f>IFERROR(__xludf.DUMMYFUNCTION("SPLIT(B1720,""RM"")"),6700000.0)</f>
        <v>6700000</v>
      </c>
      <c r="D1720" s="7" t="s">
        <v>60</v>
      </c>
      <c r="E1720" s="7">
        <v>7.0</v>
      </c>
      <c r="G1720" s="7" t="s">
        <v>61</v>
      </c>
      <c r="H1720" s="7" t="s">
        <v>1486</v>
      </c>
      <c r="I1720" s="7" t="s">
        <v>27</v>
      </c>
    </row>
    <row r="1721">
      <c r="A1721" s="7" t="s">
        <v>432</v>
      </c>
      <c r="B1721" s="7" t="s">
        <v>174</v>
      </c>
      <c r="C1721" s="8">
        <f>IFERROR(__xludf.DUMMYFUNCTION("SPLIT(B1721,""RM"")"),3000000.0)</f>
        <v>3000000</v>
      </c>
      <c r="D1721" s="7" t="s">
        <v>70</v>
      </c>
      <c r="E1721" s="7">
        <v>5.0</v>
      </c>
      <c r="F1721" s="7">
        <v>4.0</v>
      </c>
      <c r="G1721" s="7" t="s">
        <v>64</v>
      </c>
      <c r="H1721" s="7" t="s">
        <v>1202</v>
      </c>
      <c r="I1721" s="7" t="s">
        <v>22</v>
      </c>
    </row>
    <row r="1722">
      <c r="A1722" s="7" t="s">
        <v>432</v>
      </c>
      <c r="B1722" s="7" t="s">
        <v>120</v>
      </c>
      <c r="C1722" s="8">
        <f>IFERROR(__xludf.DUMMYFUNCTION("SPLIT(B1722,""RM"")"),3600000.0)</f>
        <v>3600000</v>
      </c>
      <c r="D1722" s="7" t="s">
        <v>70</v>
      </c>
      <c r="E1722" s="7">
        <v>6.0</v>
      </c>
      <c r="G1722" s="7" t="s">
        <v>300</v>
      </c>
      <c r="H1722" s="7" t="s">
        <v>1487</v>
      </c>
      <c r="I1722" s="7" t="s">
        <v>27</v>
      </c>
    </row>
    <row r="1723">
      <c r="A1723" s="7" t="s">
        <v>72</v>
      </c>
      <c r="B1723" s="7" t="s">
        <v>468</v>
      </c>
      <c r="C1723" s="8">
        <f>IFERROR(__xludf.DUMMYFUNCTION("SPLIT(B1723,""RM"")"),2750000.0)</f>
        <v>2750000</v>
      </c>
      <c r="D1723" s="7" t="s">
        <v>70</v>
      </c>
      <c r="E1723" s="7">
        <v>5.0</v>
      </c>
      <c r="G1723" s="7" t="s">
        <v>487</v>
      </c>
      <c r="H1723" s="7" t="s">
        <v>1314</v>
      </c>
      <c r="I1723" s="7" t="s">
        <v>27</v>
      </c>
    </row>
    <row r="1724">
      <c r="A1724" s="7" t="s">
        <v>358</v>
      </c>
      <c r="B1724" s="7" t="s">
        <v>899</v>
      </c>
      <c r="C1724" s="8">
        <f>IFERROR(__xludf.DUMMYFUNCTION("SPLIT(B1724,""RM"")"),1160000.0)</f>
        <v>1160000</v>
      </c>
      <c r="D1724" s="7" t="s">
        <v>57</v>
      </c>
      <c r="E1724" s="7">
        <v>4.0</v>
      </c>
      <c r="G1724" s="7" t="s">
        <v>93</v>
      </c>
      <c r="H1724" s="7" t="s">
        <v>1411</v>
      </c>
      <c r="I1724" s="7" t="s">
        <v>27</v>
      </c>
    </row>
    <row r="1725">
      <c r="A1725" s="7" t="s">
        <v>432</v>
      </c>
      <c r="B1725" s="7" t="s">
        <v>484</v>
      </c>
      <c r="C1725" s="8">
        <f>IFERROR(__xludf.DUMMYFUNCTION("SPLIT(B1725,""RM"")"),2950000.0)</f>
        <v>2950000</v>
      </c>
      <c r="D1725" s="7" t="s">
        <v>70</v>
      </c>
      <c r="E1725" s="7">
        <v>5.0</v>
      </c>
      <c r="F1725" s="7">
        <v>4.0</v>
      </c>
      <c r="G1725" s="7" t="s">
        <v>64</v>
      </c>
      <c r="H1725" s="7" t="s">
        <v>860</v>
      </c>
      <c r="I1725" s="7" t="s">
        <v>22</v>
      </c>
    </row>
    <row r="1726">
      <c r="A1726" s="7" t="s">
        <v>432</v>
      </c>
      <c r="B1726" s="7" t="s">
        <v>993</v>
      </c>
      <c r="C1726" s="8">
        <f>IFERROR(__xludf.DUMMYFUNCTION("SPLIT(B1726,""RM"")"),2980000.0)</f>
        <v>2980000</v>
      </c>
      <c r="D1726" s="7" t="s">
        <v>70</v>
      </c>
      <c r="E1726" s="7">
        <v>6.0</v>
      </c>
      <c r="G1726" s="7" t="s">
        <v>64</v>
      </c>
      <c r="H1726" s="7" t="s">
        <v>944</v>
      </c>
      <c r="I1726" s="7" t="s">
        <v>27</v>
      </c>
    </row>
    <row r="1727">
      <c r="A1727" s="7" t="s">
        <v>72</v>
      </c>
      <c r="B1727" s="7" t="s">
        <v>69</v>
      </c>
      <c r="C1727" s="8">
        <f>IFERROR(__xludf.DUMMYFUNCTION("SPLIT(B1727,""RM"")"),4500000.0)</f>
        <v>4500000</v>
      </c>
      <c r="D1727" s="7" t="s">
        <v>70</v>
      </c>
      <c r="E1727" s="7">
        <v>6.0</v>
      </c>
      <c r="G1727" s="7" t="s">
        <v>64</v>
      </c>
      <c r="H1727" s="7" t="s">
        <v>860</v>
      </c>
      <c r="I1727" s="7" t="s">
        <v>27</v>
      </c>
    </row>
    <row r="1728">
      <c r="A1728" s="7" t="s">
        <v>432</v>
      </c>
      <c r="B1728" s="7" t="s">
        <v>63</v>
      </c>
      <c r="C1728" s="8">
        <f>IFERROR(__xludf.DUMMYFUNCTION("SPLIT(B1728,""RM"")"),3100000.0)</f>
        <v>3100000</v>
      </c>
      <c r="D1728" s="7" t="s">
        <v>70</v>
      </c>
      <c r="E1728" s="7">
        <v>6.0</v>
      </c>
      <c r="G1728" s="7" t="s">
        <v>64</v>
      </c>
      <c r="H1728" s="7" t="s">
        <v>944</v>
      </c>
      <c r="I1728" s="7" t="s">
        <v>27</v>
      </c>
    </row>
    <row r="1729">
      <c r="A1729" s="7" t="s">
        <v>358</v>
      </c>
      <c r="B1729" s="7" t="s">
        <v>1074</v>
      </c>
      <c r="C1729" s="8">
        <f>IFERROR(__xludf.DUMMYFUNCTION("SPLIT(B1729,""RM"")"),1130000.0)</f>
        <v>1130000</v>
      </c>
      <c r="D1729" s="7" t="s">
        <v>57</v>
      </c>
      <c r="E1729" s="7">
        <v>4.0</v>
      </c>
      <c r="G1729" s="7" t="s">
        <v>93</v>
      </c>
      <c r="H1729" s="7" t="s">
        <v>1411</v>
      </c>
      <c r="I1729" s="7" t="s">
        <v>27</v>
      </c>
    </row>
    <row r="1730">
      <c r="A1730" s="7" t="s">
        <v>358</v>
      </c>
      <c r="B1730" s="7" t="s">
        <v>316</v>
      </c>
      <c r="C1730" s="8">
        <f>IFERROR(__xludf.DUMMYFUNCTION("SPLIT(B1730,""RM"")"),820000.0)</f>
        <v>820000</v>
      </c>
      <c r="D1730" s="7">
        <v>3.0</v>
      </c>
      <c r="E1730" s="7">
        <v>2.0</v>
      </c>
      <c r="F1730" s="7">
        <v>2.0</v>
      </c>
      <c r="G1730" s="7" t="s">
        <v>93</v>
      </c>
      <c r="H1730" s="7" t="s">
        <v>1412</v>
      </c>
      <c r="I1730" s="7" t="s">
        <v>27</v>
      </c>
    </row>
    <row r="1731">
      <c r="A1731" s="7" t="s">
        <v>358</v>
      </c>
      <c r="B1731" s="7" t="s">
        <v>641</v>
      </c>
      <c r="C1731" s="8">
        <f>IFERROR(__xludf.DUMMYFUNCTION("SPLIT(B1731,""RM"")"),830000.0)</f>
        <v>830000</v>
      </c>
      <c r="D1731" s="7">
        <v>3.0</v>
      </c>
      <c r="E1731" s="7">
        <v>2.0</v>
      </c>
      <c r="F1731" s="7">
        <v>2.0</v>
      </c>
      <c r="G1731" s="7" t="s">
        <v>93</v>
      </c>
      <c r="H1731" s="7" t="s">
        <v>1412</v>
      </c>
      <c r="I1731" s="7" t="s">
        <v>27</v>
      </c>
    </row>
    <row r="1732">
      <c r="A1732" s="7" t="s">
        <v>72</v>
      </c>
      <c r="B1732" s="7" t="s">
        <v>281</v>
      </c>
      <c r="C1732" s="8">
        <f>IFERROR(__xludf.DUMMYFUNCTION("SPLIT(B1732,""RM"")"),2500000.0)</f>
        <v>2500000</v>
      </c>
      <c r="D1732" s="7" t="s">
        <v>70</v>
      </c>
      <c r="E1732" s="7">
        <v>6.0</v>
      </c>
      <c r="G1732" s="7" t="s">
        <v>64</v>
      </c>
      <c r="H1732" s="7" t="s">
        <v>1488</v>
      </c>
      <c r="I1732" s="7" t="s">
        <v>27</v>
      </c>
    </row>
    <row r="1733">
      <c r="A1733" s="7" t="s">
        <v>358</v>
      </c>
      <c r="B1733" s="7" t="s">
        <v>45</v>
      </c>
      <c r="C1733" s="8">
        <f>IFERROR(__xludf.DUMMYFUNCTION("SPLIT(B1733,""RM"")"),1950000.0)</f>
        <v>1950000</v>
      </c>
      <c r="D1733" s="7" t="s">
        <v>70</v>
      </c>
      <c r="E1733" s="7">
        <v>6.0</v>
      </c>
      <c r="F1733" s="7">
        <v>5.0</v>
      </c>
      <c r="G1733" s="7" t="s">
        <v>90</v>
      </c>
      <c r="H1733" s="7" t="s">
        <v>1489</v>
      </c>
      <c r="I1733" s="7" t="s">
        <v>103</v>
      </c>
    </row>
    <row r="1734">
      <c r="A1734" s="7" t="s">
        <v>72</v>
      </c>
      <c r="B1734" s="7" t="s">
        <v>327</v>
      </c>
      <c r="C1734" s="8">
        <f>IFERROR(__xludf.DUMMYFUNCTION("SPLIT(B1734,""RM"")"),1300000.0)</f>
        <v>1300000</v>
      </c>
      <c r="D1734" s="7" t="s">
        <v>57</v>
      </c>
      <c r="E1734" s="7">
        <v>3.0</v>
      </c>
      <c r="F1734" s="7">
        <v>2.0</v>
      </c>
      <c r="G1734" s="7" t="s">
        <v>83</v>
      </c>
      <c r="H1734" s="7" t="s">
        <v>1490</v>
      </c>
      <c r="I1734" s="7" t="s">
        <v>27</v>
      </c>
    </row>
    <row r="1735">
      <c r="A1735" s="7" t="s">
        <v>72</v>
      </c>
      <c r="B1735" s="7" t="s">
        <v>532</v>
      </c>
      <c r="C1735" s="8">
        <f>IFERROR(__xludf.DUMMYFUNCTION("SPLIT(B1735,""RM"")"),7300000.0)</f>
        <v>7300000</v>
      </c>
      <c r="D1735" s="7" t="s">
        <v>218</v>
      </c>
      <c r="E1735" s="7">
        <v>6.0</v>
      </c>
      <c r="G1735" s="7" t="s">
        <v>67</v>
      </c>
      <c r="H1735" s="7" t="s">
        <v>271</v>
      </c>
      <c r="I1735" s="7" t="s">
        <v>27</v>
      </c>
    </row>
    <row r="1736">
      <c r="A1736" s="7" t="s">
        <v>72</v>
      </c>
      <c r="B1736" s="7" t="s">
        <v>281</v>
      </c>
      <c r="C1736" s="8">
        <f>IFERROR(__xludf.DUMMYFUNCTION("SPLIT(B1736,""RM"")"),2500000.0)</f>
        <v>2500000</v>
      </c>
      <c r="D1736" s="7" t="s">
        <v>70</v>
      </c>
      <c r="E1736" s="7">
        <v>6.0</v>
      </c>
      <c r="G1736" s="7" t="s">
        <v>64</v>
      </c>
      <c r="H1736" s="7" t="s">
        <v>1154</v>
      </c>
      <c r="I1736" s="7" t="s">
        <v>27</v>
      </c>
    </row>
    <row r="1737">
      <c r="A1737" s="7" t="s">
        <v>72</v>
      </c>
      <c r="B1737" s="7" t="s">
        <v>120</v>
      </c>
      <c r="C1737" s="8">
        <f>IFERROR(__xludf.DUMMYFUNCTION("SPLIT(B1737,""RM"")"),3600000.0)</f>
        <v>3600000</v>
      </c>
      <c r="D1737" s="7">
        <v>5.0</v>
      </c>
      <c r="E1737" s="7">
        <v>5.0</v>
      </c>
      <c r="G1737" s="7" t="s">
        <v>64</v>
      </c>
      <c r="H1737" s="7" t="s">
        <v>1491</v>
      </c>
      <c r="I1737" s="7" t="s">
        <v>27</v>
      </c>
    </row>
    <row r="1738">
      <c r="A1738" s="7" t="s">
        <v>72</v>
      </c>
      <c r="B1738" s="7" t="s">
        <v>1492</v>
      </c>
      <c r="C1738" s="8">
        <f>IFERROR(__xludf.DUMMYFUNCTION("SPLIT(B1738,""RM"")"),4450000.0)</f>
        <v>4450000</v>
      </c>
      <c r="D1738" s="7" t="s">
        <v>70</v>
      </c>
      <c r="E1738" s="7">
        <v>5.0</v>
      </c>
      <c r="G1738" s="7" t="s">
        <v>64</v>
      </c>
      <c r="H1738" s="7" t="s">
        <v>860</v>
      </c>
      <c r="I1738" s="7" t="s">
        <v>27</v>
      </c>
    </row>
    <row r="1739">
      <c r="A1739" s="7" t="s">
        <v>33</v>
      </c>
      <c r="B1739" s="7" t="s">
        <v>1493</v>
      </c>
      <c r="C1739" s="8">
        <f>IFERROR(__xludf.DUMMYFUNCTION("SPLIT(B1739,""RM"")"),537000.0)</f>
        <v>537000</v>
      </c>
      <c r="D1739" s="7">
        <v>3.0</v>
      </c>
      <c r="E1739" s="7">
        <v>2.0</v>
      </c>
      <c r="F1739" s="7">
        <v>2.0</v>
      </c>
      <c r="G1739" s="7" t="s">
        <v>83</v>
      </c>
      <c r="H1739" s="7" t="s">
        <v>734</v>
      </c>
    </row>
    <row r="1740">
      <c r="A1740" s="7" t="s">
        <v>72</v>
      </c>
      <c r="B1740" s="7" t="s">
        <v>372</v>
      </c>
      <c r="C1740" s="8">
        <f>IFERROR(__xludf.DUMMYFUNCTION("SPLIT(B1740,""RM"")"),700000.0)</f>
        <v>700000</v>
      </c>
      <c r="D1740" s="7" t="s">
        <v>57</v>
      </c>
      <c r="E1740" s="7">
        <v>2.0</v>
      </c>
      <c r="G1740" s="7" t="s">
        <v>83</v>
      </c>
      <c r="H1740" s="7" t="s">
        <v>1494</v>
      </c>
      <c r="I1740" s="7" t="s">
        <v>22</v>
      </c>
    </row>
    <row r="1741">
      <c r="A1741" s="7" t="s">
        <v>72</v>
      </c>
      <c r="B1741" s="7" t="s">
        <v>156</v>
      </c>
      <c r="C1741" s="8">
        <f>IFERROR(__xludf.DUMMYFUNCTION("SPLIT(B1741,""RM"")"),850000.0)</f>
        <v>850000</v>
      </c>
      <c r="D1741" s="7">
        <v>3.0</v>
      </c>
      <c r="E1741" s="7">
        <v>2.0</v>
      </c>
      <c r="G1741" s="7" t="s">
        <v>83</v>
      </c>
      <c r="H1741" s="7" t="s">
        <v>473</v>
      </c>
      <c r="I1741" s="7" t="s">
        <v>27</v>
      </c>
    </row>
    <row r="1742">
      <c r="A1742" s="7" t="s">
        <v>33</v>
      </c>
      <c r="B1742" s="7" t="s">
        <v>571</v>
      </c>
      <c r="C1742" s="8">
        <f>IFERROR(__xludf.DUMMYFUNCTION("SPLIT(B1742,""RM"")"),597000.0)</f>
        <v>597000</v>
      </c>
      <c r="D1742" s="7">
        <v>3.0</v>
      </c>
      <c r="E1742" s="7">
        <v>2.0</v>
      </c>
      <c r="F1742" s="7">
        <v>2.0</v>
      </c>
      <c r="G1742" s="7" t="s">
        <v>83</v>
      </c>
      <c r="H1742" s="7" t="s">
        <v>845</v>
      </c>
    </row>
    <row r="1743">
      <c r="A1743" s="7" t="s">
        <v>109</v>
      </c>
      <c r="B1743" s="7" t="s">
        <v>168</v>
      </c>
      <c r="C1743" s="8">
        <f>IFERROR(__xludf.DUMMYFUNCTION("SPLIT(B1743,""RM"")"),750000.0)</f>
        <v>750000</v>
      </c>
      <c r="D1743" s="7" t="s">
        <v>57</v>
      </c>
      <c r="E1743" s="7">
        <v>2.0</v>
      </c>
      <c r="F1743" s="7">
        <v>2.0</v>
      </c>
      <c r="G1743" s="7" t="s">
        <v>83</v>
      </c>
      <c r="H1743" s="7" t="s">
        <v>551</v>
      </c>
      <c r="I1743" s="7" t="s">
        <v>27</v>
      </c>
    </row>
    <row r="1744">
      <c r="A1744" s="7" t="s">
        <v>432</v>
      </c>
      <c r="B1744" s="7" t="s">
        <v>658</v>
      </c>
      <c r="C1744" s="8">
        <f>IFERROR(__xludf.DUMMYFUNCTION("SPLIT(B1744,""RM"")"),2650000.0)</f>
        <v>2650000</v>
      </c>
      <c r="D1744" s="7" t="s">
        <v>35</v>
      </c>
      <c r="E1744" s="7">
        <v>6.0</v>
      </c>
      <c r="G1744" s="7" t="s">
        <v>83</v>
      </c>
      <c r="H1744" s="7" t="s">
        <v>1495</v>
      </c>
      <c r="I1744" s="7" t="s">
        <v>27</v>
      </c>
    </row>
    <row r="1745">
      <c r="A1745" s="7" t="s">
        <v>177</v>
      </c>
      <c r="B1745" s="7" t="s">
        <v>85</v>
      </c>
      <c r="C1745" s="8">
        <f>IFERROR(__xludf.DUMMYFUNCTION("SPLIT(B1745,""RM"")"),1450000.0)</f>
        <v>1450000</v>
      </c>
      <c r="D1745" s="7">
        <v>4.0</v>
      </c>
      <c r="E1745" s="7">
        <v>3.0</v>
      </c>
      <c r="G1745" s="7" t="s">
        <v>54</v>
      </c>
      <c r="H1745" s="7" t="s">
        <v>47</v>
      </c>
      <c r="I1745" s="7" t="s">
        <v>27</v>
      </c>
    </row>
    <row r="1746">
      <c r="A1746" s="7" t="s">
        <v>177</v>
      </c>
      <c r="B1746" s="7" t="s">
        <v>1146</v>
      </c>
      <c r="C1746" s="8">
        <f>IFERROR(__xludf.DUMMYFUNCTION("SPLIT(B1746,""RM"")"),1490000.0)</f>
        <v>1490000</v>
      </c>
      <c r="D1746" s="7">
        <v>3.0</v>
      </c>
      <c r="E1746" s="7">
        <v>2.0</v>
      </c>
      <c r="F1746" s="7">
        <v>2.0</v>
      </c>
      <c r="G1746" s="7" t="s">
        <v>494</v>
      </c>
      <c r="H1746" s="7" t="s">
        <v>150</v>
      </c>
      <c r="I1746" s="7" t="s">
        <v>22</v>
      </c>
    </row>
    <row r="1747">
      <c r="A1747" s="7" t="s">
        <v>177</v>
      </c>
      <c r="B1747" s="7" t="s">
        <v>81</v>
      </c>
      <c r="C1747" s="8">
        <f>IFERROR(__xludf.DUMMYFUNCTION("SPLIT(B1747,""RM"")"),1550000.0)</f>
        <v>1550000</v>
      </c>
      <c r="D1747" s="7">
        <v>4.0</v>
      </c>
      <c r="E1747" s="7">
        <v>3.0</v>
      </c>
      <c r="F1747" s="7">
        <v>2.0</v>
      </c>
      <c r="G1747" s="7" t="s">
        <v>494</v>
      </c>
      <c r="H1747" s="7" t="s">
        <v>400</v>
      </c>
      <c r="I1747" s="7" t="s">
        <v>27</v>
      </c>
    </row>
    <row r="1748">
      <c r="A1748" s="7" t="s">
        <v>177</v>
      </c>
      <c r="B1748" s="7" t="s">
        <v>479</v>
      </c>
      <c r="C1748" s="8">
        <f>IFERROR(__xludf.DUMMYFUNCTION("SPLIT(B1748,""RM"")"),5500000.0)</f>
        <v>5500000</v>
      </c>
      <c r="D1748" s="7">
        <v>5.0</v>
      </c>
      <c r="E1748" s="7">
        <v>5.0</v>
      </c>
      <c r="F1748" s="7">
        <v>4.0</v>
      </c>
      <c r="G1748" s="7" t="s">
        <v>67</v>
      </c>
      <c r="H1748" s="7" t="s">
        <v>1496</v>
      </c>
      <c r="I1748" s="7" t="s">
        <v>27</v>
      </c>
    </row>
    <row r="1749">
      <c r="A1749" s="7" t="s">
        <v>177</v>
      </c>
      <c r="B1749" s="7" t="s">
        <v>18</v>
      </c>
      <c r="C1749" s="8">
        <f>IFERROR(__xludf.DUMMYFUNCTION("SPLIT(B1749,""RM"")"),1250000.0)</f>
        <v>1250000</v>
      </c>
      <c r="D1749" s="7" t="s">
        <v>70</v>
      </c>
      <c r="E1749" s="7">
        <v>2.0</v>
      </c>
      <c r="F1749" s="7">
        <v>2.0</v>
      </c>
      <c r="G1749" s="7" t="s">
        <v>1497</v>
      </c>
      <c r="H1749" s="7" t="s">
        <v>1498</v>
      </c>
      <c r="I1749" s="7" t="s">
        <v>27</v>
      </c>
    </row>
    <row r="1750">
      <c r="A1750" s="7" t="s">
        <v>89</v>
      </c>
      <c r="B1750" s="7" t="s">
        <v>353</v>
      </c>
      <c r="C1750" s="8">
        <f>IFERROR(__xludf.DUMMYFUNCTION("SPLIT(B1750,""RM"")"),350000.0)</f>
        <v>350000</v>
      </c>
      <c r="D1750" s="7">
        <v>3.0</v>
      </c>
      <c r="E1750" s="7">
        <v>2.0</v>
      </c>
      <c r="F1750" s="7">
        <v>1.0</v>
      </c>
      <c r="G1750" s="7" t="s">
        <v>83</v>
      </c>
      <c r="H1750" s="7" t="s">
        <v>392</v>
      </c>
    </row>
    <row r="1751">
      <c r="A1751" s="7" t="s">
        <v>177</v>
      </c>
      <c r="B1751" s="7" t="s">
        <v>361</v>
      </c>
      <c r="C1751" s="8">
        <f>IFERROR(__xludf.DUMMYFUNCTION("SPLIT(B1751,""RM"")"),530000.0)</f>
        <v>530000</v>
      </c>
      <c r="D1751" s="7" t="s">
        <v>197</v>
      </c>
      <c r="E1751" s="7">
        <v>1.0</v>
      </c>
      <c r="G1751" s="7" t="s">
        <v>93</v>
      </c>
      <c r="H1751" s="7" t="s">
        <v>1499</v>
      </c>
      <c r="I1751" s="7" t="s">
        <v>22</v>
      </c>
    </row>
    <row r="1752">
      <c r="A1752" s="7" t="s">
        <v>177</v>
      </c>
      <c r="B1752" s="7" t="s">
        <v>139</v>
      </c>
      <c r="C1752" s="8">
        <f>IFERROR(__xludf.DUMMYFUNCTION("SPLIT(B1752,""RM"")"),780000.0)</f>
        <v>780000</v>
      </c>
      <c r="D1752" s="7" t="s">
        <v>19</v>
      </c>
      <c r="E1752" s="7">
        <v>2.0</v>
      </c>
      <c r="F1752" s="7">
        <v>1.0</v>
      </c>
      <c r="G1752" s="7" t="s">
        <v>30</v>
      </c>
      <c r="H1752" s="7" t="s">
        <v>135</v>
      </c>
      <c r="I1752" s="7" t="s">
        <v>22</v>
      </c>
    </row>
    <row r="1753">
      <c r="A1753" s="7" t="s">
        <v>177</v>
      </c>
      <c r="B1753" s="7" t="s">
        <v>407</v>
      </c>
      <c r="C1753" s="8">
        <f>IFERROR(__xludf.DUMMYFUNCTION("SPLIT(B1753,""RM"")"),880000.0)</f>
        <v>880000</v>
      </c>
      <c r="D1753" s="7" t="s">
        <v>288</v>
      </c>
      <c r="E1753" s="7">
        <v>3.0</v>
      </c>
      <c r="F1753" s="7">
        <v>1.0</v>
      </c>
      <c r="G1753" s="7" t="s">
        <v>30</v>
      </c>
      <c r="H1753" s="7" t="s">
        <v>394</v>
      </c>
      <c r="I1753" s="7" t="s">
        <v>22</v>
      </c>
    </row>
    <row r="1754">
      <c r="A1754" s="7" t="s">
        <v>72</v>
      </c>
      <c r="B1754" s="7" t="s">
        <v>165</v>
      </c>
      <c r="C1754" s="8">
        <f>IFERROR(__xludf.DUMMYFUNCTION("SPLIT(B1754,""RM"")"),3500000.0)</f>
        <v>3500000</v>
      </c>
      <c r="D1754" s="7" t="s">
        <v>35</v>
      </c>
      <c r="E1754" s="7">
        <v>5.0</v>
      </c>
      <c r="F1754" s="7">
        <v>3.0</v>
      </c>
      <c r="G1754" s="7" t="s">
        <v>30</v>
      </c>
      <c r="H1754" s="7" t="s">
        <v>76</v>
      </c>
      <c r="I1754" s="7" t="s">
        <v>27</v>
      </c>
    </row>
    <row r="1755">
      <c r="A1755" s="7" t="s">
        <v>72</v>
      </c>
      <c r="B1755" s="7" t="s">
        <v>101</v>
      </c>
      <c r="C1755" s="8">
        <f>IFERROR(__xludf.DUMMYFUNCTION("SPLIT(B1755,""RM"")"),3300000.0)</f>
        <v>3300000</v>
      </c>
      <c r="D1755" s="7" t="s">
        <v>35</v>
      </c>
      <c r="E1755" s="7">
        <v>5.0</v>
      </c>
      <c r="F1755" s="7">
        <v>3.0</v>
      </c>
      <c r="G1755" s="7" t="s">
        <v>30</v>
      </c>
      <c r="H1755" s="7" t="s">
        <v>76</v>
      </c>
      <c r="I1755" s="7" t="s">
        <v>27</v>
      </c>
    </row>
    <row r="1756">
      <c r="A1756" s="7" t="s">
        <v>72</v>
      </c>
      <c r="B1756" s="7" t="s">
        <v>849</v>
      </c>
      <c r="C1756" s="8">
        <f>IFERROR(__xludf.DUMMYFUNCTION("SPLIT(B1756,""RM"")"),2890000.0)</f>
        <v>2890000</v>
      </c>
      <c r="D1756" s="7" t="s">
        <v>35</v>
      </c>
      <c r="E1756" s="7">
        <v>5.0</v>
      </c>
      <c r="F1756" s="7">
        <v>3.0</v>
      </c>
      <c r="G1756" s="7" t="s">
        <v>30</v>
      </c>
      <c r="H1756" s="7" t="s">
        <v>622</v>
      </c>
      <c r="I1756" s="7" t="s">
        <v>22</v>
      </c>
    </row>
    <row r="1757">
      <c r="A1757" s="7" t="s">
        <v>72</v>
      </c>
      <c r="B1757" s="7" t="s">
        <v>956</v>
      </c>
      <c r="C1757" s="8">
        <f>IFERROR(__xludf.DUMMYFUNCTION("SPLIT(B1757,""RM"")"),860000.0)</f>
        <v>860000</v>
      </c>
      <c r="D1757" s="7">
        <v>2.0</v>
      </c>
      <c r="E1757" s="7">
        <v>3.0</v>
      </c>
      <c r="F1757" s="7">
        <v>1.0</v>
      </c>
      <c r="G1757" s="7" t="s">
        <v>93</v>
      </c>
      <c r="H1757" s="7" t="s">
        <v>1500</v>
      </c>
      <c r="I1757" s="7" t="s">
        <v>27</v>
      </c>
    </row>
    <row r="1758">
      <c r="A1758" s="7" t="s">
        <v>72</v>
      </c>
      <c r="B1758" s="7" t="s">
        <v>281</v>
      </c>
      <c r="C1758" s="8">
        <f>IFERROR(__xludf.DUMMYFUNCTION("SPLIT(B1758,""RM"")"),2500000.0)</f>
        <v>2500000</v>
      </c>
      <c r="D1758" s="7" t="s">
        <v>57</v>
      </c>
      <c r="E1758" s="7">
        <v>3.0</v>
      </c>
      <c r="F1758" s="7">
        <v>2.0</v>
      </c>
      <c r="G1758" s="7" t="s">
        <v>83</v>
      </c>
      <c r="H1758" s="7" t="s">
        <v>1501</v>
      </c>
      <c r="I1758" s="7" t="s">
        <v>27</v>
      </c>
    </row>
    <row r="1759">
      <c r="A1759" s="7" t="s">
        <v>72</v>
      </c>
      <c r="B1759" s="7" t="s">
        <v>902</v>
      </c>
      <c r="C1759" s="8">
        <f>IFERROR(__xludf.DUMMYFUNCTION("SPLIT(B1759,""RM"")"),710000.0)</f>
        <v>710000</v>
      </c>
      <c r="D1759" s="7">
        <v>1.0</v>
      </c>
      <c r="E1759" s="7">
        <v>1.0</v>
      </c>
      <c r="F1759" s="7">
        <v>1.0</v>
      </c>
      <c r="G1759" s="7" t="s">
        <v>82</v>
      </c>
      <c r="H1759" s="7" t="s">
        <v>850</v>
      </c>
      <c r="I1759" s="7" t="s">
        <v>22</v>
      </c>
    </row>
    <row r="1760">
      <c r="A1760" s="7" t="s">
        <v>72</v>
      </c>
      <c r="B1760" s="7" t="s">
        <v>599</v>
      </c>
      <c r="C1760" s="8">
        <f>IFERROR(__xludf.DUMMYFUNCTION("SPLIT(B1760,""RM"")"),950000.0)</f>
        <v>950000</v>
      </c>
      <c r="D1760" s="7">
        <v>2.0</v>
      </c>
      <c r="E1760" s="7">
        <v>2.0</v>
      </c>
      <c r="F1760" s="7">
        <v>2.0</v>
      </c>
      <c r="G1760" s="7" t="s">
        <v>121</v>
      </c>
      <c r="H1760" s="7" t="s">
        <v>1502</v>
      </c>
      <c r="I1760" s="7" t="s">
        <v>27</v>
      </c>
    </row>
    <row r="1761">
      <c r="A1761" s="7" t="s">
        <v>72</v>
      </c>
      <c r="B1761" s="7" t="s">
        <v>1432</v>
      </c>
      <c r="C1761" s="8">
        <f>IFERROR(__xludf.DUMMYFUNCTION("SPLIT(B1761,""RM"")"),1320000.0)</f>
        <v>1320000</v>
      </c>
      <c r="D1761" s="7">
        <v>3.0</v>
      </c>
      <c r="E1761" s="7">
        <v>2.0</v>
      </c>
      <c r="F1761" s="7">
        <v>2.0</v>
      </c>
      <c r="G1761" s="7" t="s">
        <v>83</v>
      </c>
      <c r="H1761" s="7" t="s">
        <v>135</v>
      </c>
    </row>
    <row r="1762">
      <c r="A1762" s="7" t="s">
        <v>72</v>
      </c>
      <c r="B1762" s="7" t="s">
        <v>134</v>
      </c>
      <c r="C1762" s="8">
        <f>IFERROR(__xludf.DUMMYFUNCTION("SPLIT(B1762,""RM"")"),1150000.0)</f>
        <v>1150000</v>
      </c>
      <c r="D1762" s="7">
        <v>2.0</v>
      </c>
      <c r="E1762" s="7">
        <v>2.0</v>
      </c>
      <c r="F1762" s="7">
        <v>1.0</v>
      </c>
      <c r="G1762" s="7" t="s">
        <v>82</v>
      </c>
      <c r="H1762" s="7" t="s">
        <v>747</v>
      </c>
      <c r="I1762" s="7" t="s">
        <v>27</v>
      </c>
    </row>
    <row r="1763">
      <c r="A1763" s="7" t="s">
        <v>171</v>
      </c>
      <c r="B1763" s="7" t="s">
        <v>268</v>
      </c>
      <c r="C1763" s="8">
        <f>IFERROR(__xludf.DUMMYFUNCTION("SPLIT(B1763,""RM"")"),500000.0)</f>
        <v>500000</v>
      </c>
      <c r="D1763" s="7">
        <v>4.0</v>
      </c>
      <c r="E1763" s="7">
        <v>2.0</v>
      </c>
      <c r="F1763" s="7">
        <v>2.0</v>
      </c>
      <c r="G1763" s="7" t="s">
        <v>93</v>
      </c>
      <c r="H1763" s="7" t="s">
        <v>192</v>
      </c>
      <c r="I1763" s="7" t="s">
        <v>103</v>
      </c>
    </row>
    <row r="1764">
      <c r="A1764" s="7" t="s">
        <v>100</v>
      </c>
      <c r="B1764" s="7" t="s">
        <v>658</v>
      </c>
      <c r="C1764" s="8">
        <f>IFERROR(__xludf.DUMMYFUNCTION("SPLIT(B1764,""RM"")"),2650000.0)</f>
        <v>2650000</v>
      </c>
      <c r="D1764" s="7" t="s">
        <v>218</v>
      </c>
      <c r="E1764" s="7">
        <v>6.0</v>
      </c>
      <c r="F1764" s="7">
        <v>4.0</v>
      </c>
      <c r="G1764" s="7" t="s">
        <v>67</v>
      </c>
      <c r="H1764" s="7" t="s">
        <v>1503</v>
      </c>
      <c r="I1764" s="7" t="s">
        <v>27</v>
      </c>
    </row>
    <row r="1765">
      <c r="A1765" s="7" t="s">
        <v>267</v>
      </c>
      <c r="B1765" s="7" t="s">
        <v>281</v>
      </c>
      <c r="C1765" s="8">
        <f>IFERROR(__xludf.DUMMYFUNCTION("SPLIT(B1765,""RM"")"),2500000.0)</f>
        <v>2500000</v>
      </c>
      <c r="D1765" s="7" t="s">
        <v>70</v>
      </c>
      <c r="E1765" s="7">
        <v>3.0</v>
      </c>
      <c r="G1765" s="7" t="s">
        <v>64</v>
      </c>
      <c r="H1765" s="7" t="s">
        <v>1504</v>
      </c>
      <c r="I1765" s="7" t="s">
        <v>27</v>
      </c>
    </row>
    <row r="1766">
      <c r="A1766" s="7" t="s">
        <v>23</v>
      </c>
      <c r="B1766" s="7" t="s">
        <v>191</v>
      </c>
      <c r="C1766" s="8">
        <f>IFERROR(__xludf.DUMMYFUNCTION("SPLIT(B1766,""RM"")"),1000000.0)</f>
        <v>1000000</v>
      </c>
      <c r="D1766" s="7">
        <v>1.0</v>
      </c>
      <c r="E1766" s="7">
        <v>2.0</v>
      </c>
      <c r="F1766" s="7">
        <v>1.0</v>
      </c>
      <c r="G1766" s="7" t="s">
        <v>20</v>
      </c>
      <c r="H1766" s="7" t="s">
        <v>952</v>
      </c>
      <c r="I1766" s="7" t="s">
        <v>22</v>
      </c>
    </row>
    <row r="1767">
      <c r="A1767" s="7" t="s">
        <v>104</v>
      </c>
      <c r="B1767" s="7" t="s">
        <v>1166</v>
      </c>
      <c r="C1767" s="8">
        <f>IFERROR(__xludf.DUMMYFUNCTION("SPLIT(B1767,""RM"")"),760000.0)</f>
        <v>760000</v>
      </c>
      <c r="D1767" s="7">
        <v>4.0</v>
      </c>
      <c r="E1767" s="7">
        <v>3.0</v>
      </c>
      <c r="F1767" s="7">
        <v>2.0</v>
      </c>
      <c r="G1767" s="7" t="s">
        <v>54</v>
      </c>
      <c r="H1767" s="7" t="s">
        <v>1119</v>
      </c>
      <c r="I1767" s="7" t="s">
        <v>27</v>
      </c>
    </row>
    <row r="1768">
      <c r="A1768" s="7" t="s">
        <v>171</v>
      </c>
      <c r="B1768" s="7" t="s">
        <v>563</v>
      </c>
      <c r="C1768" s="8">
        <f>IFERROR(__xludf.DUMMYFUNCTION("SPLIT(B1768,""RM"")"),600000.0)</f>
        <v>600000</v>
      </c>
      <c r="D1768" s="7">
        <v>3.0</v>
      </c>
      <c r="E1768" s="7">
        <v>4.0</v>
      </c>
      <c r="F1768" s="7">
        <v>2.0</v>
      </c>
      <c r="G1768" s="7" t="s">
        <v>82</v>
      </c>
      <c r="H1768" s="7" t="s">
        <v>1505</v>
      </c>
      <c r="I1768" s="7" t="s">
        <v>27</v>
      </c>
    </row>
    <row r="1769">
      <c r="A1769" s="7" t="s">
        <v>72</v>
      </c>
      <c r="B1769" s="7" t="s">
        <v>139</v>
      </c>
      <c r="C1769" s="8">
        <f>IFERROR(__xludf.DUMMYFUNCTION("SPLIT(B1769,""RM"")"),780000.0)</f>
        <v>780000</v>
      </c>
      <c r="D1769" s="7">
        <v>3.0</v>
      </c>
      <c r="E1769" s="7">
        <v>2.0</v>
      </c>
      <c r="F1769" s="7">
        <v>2.0</v>
      </c>
      <c r="G1769" s="7" t="s">
        <v>83</v>
      </c>
      <c r="H1769" s="7" t="s">
        <v>234</v>
      </c>
      <c r="I1769" s="7" t="s">
        <v>22</v>
      </c>
    </row>
    <row r="1770">
      <c r="A1770" s="7" t="s">
        <v>72</v>
      </c>
      <c r="B1770" s="7" t="s">
        <v>1506</v>
      </c>
      <c r="C1770" s="8">
        <f>IFERROR(__xludf.DUMMYFUNCTION("SPLIT(B1770,""RM"")"),1570800.0)</f>
        <v>1570800</v>
      </c>
      <c r="D1770" s="7" t="s">
        <v>57</v>
      </c>
      <c r="E1770" s="7">
        <v>3.0</v>
      </c>
      <c r="F1770" s="7">
        <v>2.0</v>
      </c>
      <c r="G1770" s="7" t="s">
        <v>83</v>
      </c>
      <c r="H1770" s="7" t="s">
        <v>334</v>
      </c>
    </row>
    <row r="1771">
      <c r="A1771" s="7" t="s">
        <v>148</v>
      </c>
      <c r="B1771" s="7" t="s">
        <v>45</v>
      </c>
      <c r="C1771" s="8">
        <f>IFERROR(__xludf.DUMMYFUNCTION("SPLIT(B1771,""RM"")"),1950000.0)</f>
        <v>1950000</v>
      </c>
      <c r="D1771" s="7" t="s">
        <v>70</v>
      </c>
      <c r="E1771" s="7">
        <v>6.0</v>
      </c>
      <c r="F1771" s="7">
        <v>4.0</v>
      </c>
      <c r="G1771" s="7" t="s">
        <v>64</v>
      </c>
      <c r="H1771" s="7" t="s">
        <v>1507</v>
      </c>
      <c r="I1771" s="7" t="s">
        <v>103</v>
      </c>
    </row>
    <row r="1772">
      <c r="A1772" s="7" t="s">
        <v>428</v>
      </c>
      <c r="B1772" s="7" t="s">
        <v>931</v>
      </c>
      <c r="C1772" s="8">
        <f>IFERROR(__xludf.DUMMYFUNCTION("SPLIT(B1772,""RM"")"),2450000.0)</f>
        <v>2450000</v>
      </c>
      <c r="D1772" s="7" t="s">
        <v>35</v>
      </c>
      <c r="E1772" s="7">
        <v>6.0</v>
      </c>
      <c r="F1772" s="7">
        <v>3.0</v>
      </c>
      <c r="G1772" s="7" t="s">
        <v>61</v>
      </c>
      <c r="H1772" s="7" t="s">
        <v>1508</v>
      </c>
      <c r="I1772" s="7" t="s">
        <v>103</v>
      </c>
    </row>
    <row r="1773">
      <c r="A1773" s="7" t="s">
        <v>52</v>
      </c>
      <c r="B1773" s="7" t="s">
        <v>1297</v>
      </c>
      <c r="C1773" s="8">
        <f>IFERROR(__xludf.DUMMYFUNCTION("SPLIT(B1773,""RM"")"),585000.0)</f>
        <v>585000</v>
      </c>
      <c r="D1773" s="7">
        <v>2.0</v>
      </c>
      <c r="E1773" s="7">
        <v>2.0</v>
      </c>
      <c r="F1773" s="7">
        <v>1.0</v>
      </c>
      <c r="G1773" s="7" t="s">
        <v>82</v>
      </c>
      <c r="H1773" s="7" t="s">
        <v>1509</v>
      </c>
      <c r="I1773" s="7" t="s">
        <v>22</v>
      </c>
    </row>
    <row r="1774">
      <c r="A1774" s="7" t="s">
        <v>41</v>
      </c>
      <c r="B1774" s="7" t="s">
        <v>1328</v>
      </c>
      <c r="C1774" s="8">
        <f>IFERROR(__xludf.DUMMYFUNCTION("SPLIT(B1774,""RM"")"),650000.0)</f>
        <v>650000</v>
      </c>
      <c r="D1774" s="7">
        <v>2.0</v>
      </c>
      <c r="E1774" s="7">
        <v>2.0</v>
      </c>
      <c r="F1774" s="7">
        <v>1.0</v>
      </c>
      <c r="G1774" s="7" t="s">
        <v>93</v>
      </c>
      <c r="H1774" s="7" t="s">
        <v>1188</v>
      </c>
      <c r="I1774" s="7" t="s">
        <v>22</v>
      </c>
    </row>
    <row r="1775">
      <c r="A1775" s="7" t="s">
        <v>177</v>
      </c>
      <c r="B1775" s="7" t="s">
        <v>144</v>
      </c>
      <c r="C1775" s="8">
        <f>IFERROR(__xludf.DUMMYFUNCTION("SPLIT(B1775,""RM"")"),1800000.0)</f>
        <v>1800000</v>
      </c>
      <c r="D1775" s="7">
        <v>6.0</v>
      </c>
      <c r="E1775" s="7">
        <v>3.0</v>
      </c>
      <c r="F1775" s="7">
        <v>2.0</v>
      </c>
      <c r="G1775" s="7" t="s">
        <v>169</v>
      </c>
      <c r="H1775" s="7" t="s">
        <v>47</v>
      </c>
      <c r="I1775" s="7" t="s">
        <v>27</v>
      </c>
    </row>
    <row r="1776">
      <c r="A1776" s="7" t="s">
        <v>177</v>
      </c>
      <c r="B1776" s="7" t="s">
        <v>24</v>
      </c>
      <c r="C1776" s="8">
        <f>IFERROR(__xludf.DUMMYFUNCTION("SPLIT(B1776,""RM"")"),6800000.0)</f>
        <v>6800000</v>
      </c>
      <c r="F1776" s="7">
        <v>12.0</v>
      </c>
      <c r="G1776" s="7" t="s">
        <v>25</v>
      </c>
      <c r="H1776" s="7" t="s">
        <v>1510</v>
      </c>
      <c r="I1776" s="7" t="s">
        <v>103</v>
      </c>
    </row>
    <row r="1777">
      <c r="A1777" s="7" t="s">
        <v>177</v>
      </c>
      <c r="B1777" s="7" t="s">
        <v>1511</v>
      </c>
      <c r="C1777" s="8">
        <f>IFERROR(__xludf.DUMMYFUNCTION("SPLIT(B1777,""RM"")"),1589000.0)</f>
        <v>1589000</v>
      </c>
      <c r="D1777" s="7">
        <v>4.0</v>
      </c>
      <c r="E1777" s="7">
        <v>3.0</v>
      </c>
      <c r="F1777" s="7">
        <v>2.0</v>
      </c>
      <c r="G1777" s="7" t="s">
        <v>54</v>
      </c>
      <c r="H1777" s="7" t="s">
        <v>719</v>
      </c>
      <c r="I1777" s="7" t="s">
        <v>103</v>
      </c>
    </row>
    <row r="1778">
      <c r="A1778" s="7" t="s">
        <v>177</v>
      </c>
      <c r="B1778" s="7" t="s">
        <v>304</v>
      </c>
      <c r="C1778" s="8">
        <f>IFERROR(__xludf.DUMMYFUNCTION("SPLIT(B1778,""RM"")"),4950000.0)</f>
        <v>4950000</v>
      </c>
      <c r="D1778" s="7" t="s">
        <v>70</v>
      </c>
      <c r="E1778" s="7">
        <v>5.0</v>
      </c>
      <c r="F1778" s="7">
        <v>4.0</v>
      </c>
      <c r="G1778" s="7" t="s">
        <v>25</v>
      </c>
      <c r="H1778" s="7" t="s">
        <v>1035</v>
      </c>
      <c r="I1778" s="7" t="s">
        <v>27</v>
      </c>
    </row>
    <row r="1779">
      <c r="A1779" s="7" t="s">
        <v>177</v>
      </c>
      <c r="B1779" s="7" t="s">
        <v>842</v>
      </c>
      <c r="C1779" s="8">
        <f>IFERROR(__xludf.DUMMYFUNCTION("SPLIT(B1779,""RM"")"),5800000.0)</f>
        <v>5800000</v>
      </c>
      <c r="D1779" s="7" t="s">
        <v>218</v>
      </c>
      <c r="E1779" s="7">
        <v>5.0</v>
      </c>
      <c r="F1779" s="7">
        <v>5.0</v>
      </c>
      <c r="G1779" s="7" t="s">
        <v>61</v>
      </c>
      <c r="H1779" s="7" t="s">
        <v>264</v>
      </c>
      <c r="I1779" s="7" t="s">
        <v>27</v>
      </c>
    </row>
    <row r="1780">
      <c r="A1780" s="7" t="s">
        <v>177</v>
      </c>
      <c r="B1780" s="7" t="s">
        <v>1512</v>
      </c>
      <c r="C1780" s="8">
        <f>IFERROR(__xludf.DUMMYFUNCTION("SPLIT(B1780,""RM"")"),5750000.0)</f>
        <v>5750000</v>
      </c>
      <c r="D1780" s="7">
        <v>5.0</v>
      </c>
      <c r="E1780" s="7">
        <v>4.0</v>
      </c>
      <c r="F1780" s="7">
        <v>5.0</v>
      </c>
      <c r="G1780" s="7" t="s">
        <v>25</v>
      </c>
      <c r="H1780" s="7" t="s">
        <v>40</v>
      </c>
      <c r="I1780" s="7" t="s">
        <v>27</v>
      </c>
    </row>
    <row r="1781">
      <c r="A1781" s="7" t="s">
        <v>177</v>
      </c>
      <c r="B1781" s="7" t="s">
        <v>705</v>
      </c>
      <c r="C1781" s="8">
        <f>IFERROR(__xludf.DUMMYFUNCTION("SPLIT(B1781,""RM"")"),1770000.0)</f>
        <v>1770000</v>
      </c>
      <c r="D1781" s="7">
        <v>4.0</v>
      </c>
      <c r="E1781" s="7">
        <v>3.0</v>
      </c>
      <c r="F1781" s="7">
        <v>2.0</v>
      </c>
      <c r="G1781" s="7" t="s">
        <v>54</v>
      </c>
      <c r="H1781" s="7" t="s">
        <v>719</v>
      </c>
      <c r="I1781" s="7" t="s">
        <v>27</v>
      </c>
    </row>
    <row r="1782">
      <c r="A1782" s="7" t="s">
        <v>177</v>
      </c>
      <c r="B1782" s="7" t="s">
        <v>1513</v>
      </c>
      <c r="C1782" s="8">
        <f>IFERROR(__xludf.DUMMYFUNCTION("SPLIT(B1782,""RM"")"),1570000.0)</f>
        <v>1570000</v>
      </c>
      <c r="D1782" s="7">
        <v>4.0</v>
      </c>
      <c r="E1782" s="7">
        <v>3.0</v>
      </c>
      <c r="F1782" s="7">
        <v>2.0</v>
      </c>
      <c r="G1782" s="7" t="s">
        <v>54</v>
      </c>
      <c r="H1782" s="7" t="s">
        <v>47</v>
      </c>
      <c r="I1782" s="7" t="s">
        <v>27</v>
      </c>
    </row>
    <row r="1783">
      <c r="A1783" s="7" t="s">
        <v>28</v>
      </c>
      <c r="B1783" s="7" t="s">
        <v>139</v>
      </c>
      <c r="C1783" s="8">
        <f>IFERROR(__xludf.DUMMYFUNCTION("SPLIT(B1783,""RM"")"),780000.0)</f>
        <v>780000</v>
      </c>
      <c r="D1783" s="7">
        <v>3.0</v>
      </c>
      <c r="E1783" s="7">
        <v>2.0</v>
      </c>
      <c r="F1783" s="7">
        <v>1.0</v>
      </c>
      <c r="G1783" s="7" t="s">
        <v>30</v>
      </c>
      <c r="H1783" s="7" t="s">
        <v>1514</v>
      </c>
      <c r="I1783" s="7" t="s">
        <v>103</v>
      </c>
    </row>
    <row r="1784">
      <c r="A1784" s="7" t="s">
        <v>77</v>
      </c>
      <c r="B1784" s="7" t="s">
        <v>1515</v>
      </c>
      <c r="C1784" s="8">
        <f>IFERROR(__xludf.DUMMYFUNCTION("SPLIT(B1784,""RM"")"),2490000.0)</f>
        <v>2490000</v>
      </c>
      <c r="D1784" s="7" t="s">
        <v>39</v>
      </c>
      <c r="F1784" s="7">
        <v>2.0</v>
      </c>
      <c r="G1784" s="7" t="s">
        <v>282</v>
      </c>
      <c r="H1784" s="7" t="s">
        <v>1516</v>
      </c>
      <c r="I1784" s="7" t="s">
        <v>27</v>
      </c>
    </row>
    <row r="1785">
      <c r="A1785" s="7" t="s">
        <v>171</v>
      </c>
      <c r="B1785" s="7" t="s">
        <v>18</v>
      </c>
      <c r="C1785" s="8">
        <f>IFERROR(__xludf.DUMMYFUNCTION("SPLIT(B1785,""RM"")"),1250000.0)</f>
        <v>1250000</v>
      </c>
      <c r="D1785" s="7" t="s">
        <v>57</v>
      </c>
      <c r="E1785" s="7">
        <v>4.0</v>
      </c>
      <c r="F1785" s="7">
        <v>2.0</v>
      </c>
      <c r="G1785" s="7" t="s">
        <v>83</v>
      </c>
      <c r="H1785" s="7" t="s">
        <v>1007</v>
      </c>
      <c r="I1785" s="7" t="s">
        <v>27</v>
      </c>
    </row>
    <row r="1786">
      <c r="A1786" s="7" t="s">
        <v>100</v>
      </c>
      <c r="B1786" s="7" t="s">
        <v>56</v>
      </c>
      <c r="C1786" s="8">
        <f>IFERROR(__xludf.DUMMYFUNCTION("SPLIT(B1786,""RM"")"),1700000.0)</f>
        <v>1700000</v>
      </c>
      <c r="D1786" s="7">
        <v>4.0</v>
      </c>
      <c r="E1786" s="7">
        <v>3.0</v>
      </c>
      <c r="F1786" s="7">
        <v>3.0</v>
      </c>
      <c r="G1786" s="7" t="s">
        <v>83</v>
      </c>
      <c r="H1786" s="7" t="s">
        <v>735</v>
      </c>
      <c r="I1786" s="7" t="s">
        <v>22</v>
      </c>
    </row>
    <row r="1787">
      <c r="A1787" s="7" t="s">
        <v>100</v>
      </c>
      <c r="B1787" s="7" t="s">
        <v>372</v>
      </c>
      <c r="C1787" s="8">
        <f>IFERROR(__xludf.DUMMYFUNCTION("SPLIT(B1787,""RM"")"),700000.0)</f>
        <v>700000</v>
      </c>
      <c r="D1787" s="7">
        <v>4.0</v>
      </c>
      <c r="E1787" s="7">
        <v>2.0</v>
      </c>
      <c r="F1787" s="7">
        <v>2.0</v>
      </c>
      <c r="G1787" s="7" t="s">
        <v>83</v>
      </c>
      <c r="H1787" s="7" t="s">
        <v>716</v>
      </c>
      <c r="I1787" s="7" t="s">
        <v>27</v>
      </c>
    </row>
    <row r="1788">
      <c r="A1788" s="7" t="s">
        <v>32</v>
      </c>
      <c r="B1788" s="7" t="s">
        <v>191</v>
      </c>
      <c r="C1788" s="8">
        <f>IFERROR(__xludf.DUMMYFUNCTION("SPLIT(B1788,""RM"")"),1000000.0)</f>
        <v>1000000</v>
      </c>
      <c r="D1788" s="7">
        <v>4.0</v>
      </c>
      <c r="E1788" s="7">
        <v>4.0</v>
      </c>
      <c r="F1788" s="7">
        <v>2.0</v>
      </c>
      <c r="G1788" s="7" t="s">
        <v>54</v>
      </c>
      <c r="H1788" s="7" t="s">
        <v>1121</v>
      </c>
      <c r="I1788" s="7" t="s">
        <v>27</v>
      </c>
    </row>
    <row r="1789">
      <c r="A1789" s="7" t="s">
        <v>37</v>
      </c>
      <c r="B1789" s="7" t="s">
        <v>329</v>
      </c>
      <c r="C1789" s="8">
        <f>IFERROR(__xludf.DUMMYFUNCTION("SPLIT(B1789,""RM"")"),1200000.0)</f>
        <v>1200000</v>
      </c>
      <c r="D1789" s="7">
        <v>3.0</v>
      </c>
      <c r="E1789" s="7">
        <v>2.0</v>
      </c>
      <c r="G1789" s="7" t="s">
        <v>1185</v>
      </c>
      <c r="H1789" s="7" t="s">
        <v>344</v>
      </c>
    </row>
    <row r="1790">
      <c r="A1790" s="7" t="s">
        <v>33</v>
      </c>
      <c r="B1790" s="7" t="s">
        <v>1517</v>
      </c>
      <c r="C1790" s="8">
        <f>IFERROR(__xludf.DUMMYFUNCTION("SPLIT(B1790,""RM"")"),910000.0)</f>
        <v>910000</v>
      </c>
      <c r="D1790" s="7">
        <v>3.0</v>
      </c>
      <c r="E1790" s="7">
        <v>2.0</v>
      </c>
      <c r="F1790" s="7">
        <v>2.0</v>
      </c>
      <c r="G1790" s="7" t="s">
        <v>20</v>
      </c>
      <c r="H1790" s="7" t="s">
        <v>1112</v>
      </c>
      <c r="I1790" s="7" t="s">
        <v>22</v>
      </c>
    </row>
    <row r="1791">
      <c r="A1791" s="7" t="s">
        <v>17</v>
      </c>
      <c r="B1791" s="7" t="s">
        <v>940</v>
      </c>
      <c r="C1791" s="8">
        <f>IFERROR(__xludf.DUMMYFUNCTION("SPLIT(B1791,""RM"")"),4300000.0)</f>
        <v>4300000</v>
      </c>
      <c r="D1791" s="7" t="s">
        <v>70</v>
      </c>
      <c r="E1791" s="7">
        <v>6.0</v>
      </c>
      <c r="G1791" s="7" t="s">
        <v>145</v>
      </c>
      <c r="H1791" s="7" t="s">
        <v>1182</v>
      </c>
      <c r="I1791" s="7" t="s">
        <v>27</v>
      </c>
    </row>
    <row r="1792">
      <c r="A1792" s="7" t="s">
        <v>77</v>
      </c>
      <c r="B1792" s="7" t="s">
        <v>134</v>
      </c>
      <c r="C1792" s="8">
        <f>IFERROR(__xludf.DUMMYFUNCTION("SPLIT(B1792,""RM"")"),1150000.0)</f>
        <v>1150000</v>
      </c>
      <c r="D1792" s="7" t="s">
        <v>19</v>
      </c>
      <c r="E1792" s="7">
        <v>2.0</v>
      </c>
      <c r="G1792" s="7" t="s">
        <v>83</v>
      </c>
      <c r="H1792" s="7" t="s">
        <v>446</v>
      </c>
      <c r="I1792" s="7" t="s">
        <v>103</v>
      </c>
    </row>
    <row r="1793">
      <c r="A1793" s="7" t="s">
        <v>77</v>
      </c>
      <c r="B1793" s="7" t="s">
        <v>81</v>
      </c>
      <c r="C1793" s="8">
        <f>IFERROR(__xludf.DUMMYFUNCTION("SPLIT(B1793,""RM"")"),1550000.0)</f>
        <v>1550000</v>
      </c>
      <c r="D1793" s="7">
        <v>3.0</v>
      </c>
      <c r="E1793" s="7">
        <v>4.0</v>
      </c>
      <c r="F1793" s="7">
        <v>3.0</v>
      </c>
      <c r="G1793" s="7" t="s">
        <v>83</v>
      </c>
      <c r="H1793" s="7" t="s">
        <v>80</v>
      </c>
      <c r="I1793" s="7" t="s">
        <v>103</v>
      </c>
    </row>
    <row r="1794">
      <c r="A1794" s="7" t="s">
        <v>77</v>
      </c>
      <c r="B1794" s="7" t="s">
        <v>18</v>
      </c>
      <c r="C1794" s="8">
        <f>IFERROR(__xludf.DUMMYFUNCTION("SPLIT(B1794,""RM"")"),1250000.0)</f>
        <v>1250000</v>
      </c>
      <c r="D1794" s="7">
        <v>3.0</v>
      </c>
      <c r="E1794" s="7">
        <v>4.0</v>
      </c>
      <c r="F1794" s="7">
        <v>2.0</v>
      </c>
      <c r="G1794" s="7" t="s">
        <v>83</v>
      </c>
      <c r="H1794" s="7" t="s">
        <v>1518</v>
      </c>
      <c r="I1794" s="7" t="s">
        <v>103</v>
      </c>
    </row>
    <row r="1795">
      <c r="A1795" s="7" t="s">
        <v>77</v>
      </c>
      <c r="B1795" s="7" t="s">
        <v>327</v>
      </c>
      <c r="C1795" s="8">
        <f>IFERROR(__xludf.DUMMYFUNCTION("SPLIT(B1795,""RM"")"),1300000.0)</f>
        <v>1300000</v>
      </c>
      <c r="D1795" s="7">
        <v>3.0</v>
      </c>
      <c r="E1795" s="7">
        <v>2.0</v>
      </c>
      <c r="F1795" s="7">
        <v>2.0</v>
      </c>
      <c r="G1795" s="7" t="s">
        <v>83</v>
      </c>
      <c r="H1795" s="7" t="s">
        <v>1519</v>
      </c>
      <c r="I1795" s="7" t="s">
        <v>103</v>
      </c>
    </row>
    <row r="1796">
      <c r="A1796" s="7" t="s">
        <v>77</v>
      </c>
      <c r="B1796" s="7" t="s">
        <v>138</v>
      </c>
      <c r="C1796" s="8">
        <f>IFERROR(__xludf.DUMMYFUNCTION("SPLIT(B1796,""RM"")"),930000.0)</f>
        <v>930000</v>
      </c>
      <c r="D1796" s="7">
        <v>2.0</v>
      </c>
      <c r="E1796" s="7">
        <v>2.0</v>
      </c>
      <c r="F1796" s="7">
        <v>2.0</v>
      </c>
      <c r="G1796" s="7" t="s">
        <v>83</v>
      </c>
      <c r="H1796" s="7" t="s">
        <v>1520</v>
      </c>
      <c r="I1796" s="7" t="s">
        <v>103</v>
      </c>
    </row>
    <row r="1797">
      <c r="A1797" s="7" t="s">
        <v>17</v>
      </c>
      <c r="B1797" s="7" t="s">
        <v>125</v>
      </c>
      <c r="C1797" s="8">
        <f>IFERROR(__xludf.DUMMYFUNCTION("SPLIT(B1797,""RM"")"),2300000.0)</f>
        <v>2300000</v>
      </c>
      <c r="D1797" s="7" t="s">
        <v>57</v>
      </c>
      <c r="E1797" s="7">
        <v>4.0</v>
      </c>
      <c r="F1797" s="7">
        <v>2.0</v>
      </c>
      <c r="G1797" s="7" t="s">
        <v>121</v>
      </c>
      <c r="H1797" s="7" t="s">
        <v>176</v>
      </c>
      <c r="I1797" s="7" t="s">
        <v>27</v>
      </c>
    </row>
    <row r="1798">
      <c r="A1798" s="7" t="s">
        <v>33</v>
      </c>
      <c r="B1798" s="7" t="s">
        <v>236</v>
      </c>
      <c r="C1798" s="8">
        <f>IFERROR(__xludf.DUMMYFUNCTION("SPLIT(B1798,""RM"")"),2000000.0)</f>
        <v>2000000</v>
      </c>
      <c r="D1798" s="7">
        <v>4.0</v>
      </c>
      <c r="E1798" s="7">
        <v>3.0</v>
      </c>
      <c r="F1798" s="7">
        <v>3.0</v>
      </c>
      <c r="G1798" s="7" t="s">
        <v>312</v>
      </c>
      <c r="H1798" s="7" t="s">
        <v>1269</v>
      </c>
      <c r="I1798" s="7" t="s">
        <v>27</v>
      </c>
    </row>
    <row r="1799">
      <c r="A1799" s="7" t="s">
        <v>33</v>
      </c>
      <c r="B1799" s="7" t="s">
        <v>206</v>
      </c>
      <c r="C1799" s="8">
        <f>IFERROR(__xludf.DUMMYFUNCTION("SPLIT(B1799,""RM"")"),920000.0)</f>
        <v>920000</v>
      </c>
      <c r="D1799" s="7" t="s">
        <v>57</v>
      </c>
      <c r="E1799" s="7">
        <v>3.0</v>
      </c>
      <c r="F1799" s="7">
        <v>2.0</v>
      </c>
      <c r="G1799" s="7" t="s">
        <v>93</v>
      </c>
      <c r="H1799" s="7" t="s">
        <v>36</v>
      </c>
      <c r="I1799" s="7" t="s">
        <v>27</v>
      </c>
    </row>
    <row r="1800" hidden="1">
      <c r="A1800" s="7" t="s">
        <v>371</v>
      </c>
      <c r="C1800" s="7" t="str">
        <f>IFERROR(__xludf.DUMMYFUNCTION("SPLIT(B1800,""RM"")"),"#VALUE!")</f>
        <v>#VALUE!</v>
      </c>
      <c r="D1800" s="7" t="s">
        <v>57</v>
      </c>
      <c r="E1800" s="7">
        <v>3.0</v>
      </c>
      <c r="G1800" s="7" t="s">
        <v>30</v>
      </c>
      <c r="H1800" s="7" t="s">
        <v>1521</v>
      </c>
      <c r="I1800" s="7" t="s">
        <v>22</v>
      </c>
    </row>
    <row r="1801">
      <c r="A1801" s="7" t="s">
        <v>371</v>
      </c>
      <c r="B1801" s="7" t="s">
        <v>890</v>
      </c>
      <c r="C1801" s="8">
        <f>IFERROR(__xludf.DUMMYFUNCTION("SPLIT(B1801,""RM"")"),450000.0)</f>
        <v>450000</v>
      </c>
      <c r="D1801" s="7" t="s">
        <v>57</v>
      </c>
      <c r="E1801" s="7">
        <v>3.0</v>
      </c>
      <c r="G1801" s="7" t="s">
        <v>30</v>
      </c>
      <c r="H1801" s="7" t="s">
        <v>1521</v>
      </c>
      <c r="I1801" s="7" t="s">
        <v>27</v>
      </c>
    </row>
    <row r="1802">
      <c r="A1802" s="7" t="s">
        <v>41</v>
      </c>
      <c r="B1802" s="7" t="s">
        <v>201</v>
      </c>
      <c r="C1802" s="8">
        <f>IFERROR(__xludf.DUMMYFUNCTION("SPLIT(B1802,""RM"")"),620000.0)</f>
        <v>620000</v>
      </c>
      <c r="D1802" s="7">
        <v>3.0</v>
      </c>
      <c r="E1802" s="7">
        <v>2.0</v>
      </c>
      <c r="F1802" s="7">
        <v>1.0</v>
      </c>
      <c r="G1802" s="7" t="s">
        <v>83</v>
      </c>
      <c r="H1802" s="7" t="s">
        <v>1522</v>
      </c>
      <c r="I1802" s="7" t="s">
        <v>27</v>
      </c>
    </row>
    <row r="1803">
      <c r="A1803" s="7" t="s">
        <v>100</v>
      </c>
      <c r="B1803" s="7" t="s">
        <v>1101</v>
      </c>
      <c r="C1803" s="8">
        <f>IFERROR(__xludf.DUMMYFUNCTION("SPLIT(B1803,""RM"")"),818000.0)</f>
        <v>818000</v>
      </c>
      <c r="D1803" s="7">
        <v>3.0</v>
      </c>
      <c r="E1803" s="7">
        <v>3.0</v>
      </c>
      <c r="F1803" s="7">
        <v>2.0</v>
      </c>
      <c r="G1803" s="7" t="s">
        <v>83</v>
      </c>
      <c r="H1803" s="7" t="s">
        <v>1115</v>
      </c>
      <c r="I1803" s="7" t="s">
        <v>22</v>
      </c>
    </row>
    <row r="1804">
      <c r="A1804" s="7" t="s">
        <v>77</v>
      </c>
      <c r="B1804" s="7" t="s">
        <v>125</v>
      </c>
      <c r="C1804" s="8">
        <f>IFERROR(__xludf.DUMMYFUNCTION("SPLIT(B1804,""RM"")"),2300000.0)</f>
        <v>2300000</v>
      </c>
      <c r="D1804" s="7" t="s">
        <v>35</v>
      </c>
      <c r="E1804" s="7">
        <v>4.0</v>
      </c>
      <c r="G1804" s="7" t="s">
        <v>54</v>
      </c>
      <c r="H1804" s="7" t="s">
        <v>1523</v>
      </c>
      <c r="I1804" s="7" t="s">
        <v>27</v>
      </c>
    </row>
    <row r="1805">
      <c r="A1805" s="7" t="s">
        <v>17</v>
      </c>
      <c r="B1805" s="7" t="s">
        <v>1328</v>
      </c>
      <c r="C1805" s="8">
        <f>IFERROR(__xludf.DUMMYFUNCTION("SPLIT(B1805,""RM"")"),650000.0)</f>
        <v>650000</v>
      </c>
      <c r="D1805" s="7">
        <v>1.0</v>
      </c>
      <c r="E1805" s="7">
        <v>1.0</v>
      </c>
      <c r="F1805" s="7">
        <v>1.0</v>
      </c>
      <c r="G1805" s="7" t="s">
        <v>20</v>
      </c>
      <c r="H1805" s="7" t="s">
        <v>1524</v>
      </c>
      <c r="I1805" s="7" t="s">
        <v>27</v>
      </c>
    </row>
    <row r="1806">
      <c r="A1806" s="7" t="s">
        <v>100</v>
      </c>
      <c r="B1806" s="7" t="s">
        <v>603</v>
      </c>
      <c r="C1806" s="8">
        <f>IFERROR(__xludf.DUMMYFUNCTION("SPLIT(B1806,""RM"")"),628000.0)</f>
        <v>628000</v>
      </c>
      <c r="D1806" s="7">
        <v>3.0</v>
      </c>
      <c r="E1806" s="7">
        <v>2.0</v>
      </c>
      <c r="F1806" s="7">
        <v>2.0</v>
      </c>
      <c r="G1806" s="7" t="s">
        <v>20</v>
      </c>
      <c r="H1806" s="7" t="s">
        <v>1525</v>
      </c>
      <c r="I1806" s="7" t="s">
        <v>27</v>
      </c>
    </row>
    <row r="1807">
      <c r="A1807" s="7" t="s">
        <v>100</v>
      </c>
      <c r="B1807" s="7" t="s">
        <v>715</v>
      </c>
      <c r="C1807" s="8">
        <f>IFERROR(__xludf.DUMMYFUNCTION("SPLIT(B1807,""RM"")"),550000.0)</f>
        <v>550000</v>
      </c>
      <c r="D1807" s="7">
        <v>2.0</v>
      </c>
      <c r="E1807" s="7">
        <v>2.0</v>
      </c>
      <c r="F1807" s="7">
        <v>1.0</v>
      </c>
      <c r="G1807" s="7" t="s">
        <v>20</v>
      </c>
      <c r="H1807" s="7" t="s">
        <v>1210</v>
      </c>
      <c r="I1807" s="7" t="s">
        <v>27</v>
      </c>
    </row>
    <row r="1808">
      <c r="A1808" s="7" t="s">
        <v>100</v>
      </c>
      <c r="B1808" s="7" t="s">
        <v>286</v>
      </c>
      <c r="C1808" s="8">
        <f>IFERROR(__xludf.DUMMYFUNCTION("SPLIT(B1808,""RM"")"),668000.0)</f>
        <v>668000</v>
      </c>
      <c r="D1808" s="7">
        <v>3.0</v>
      </c>
      <c r="E1808" s="7">
        <v>2.0</v>
      </c>
      <c r="F1808" s="7">
        <v>1.0</v>
      </c>
      <c r="G1808" s="7" t="s">
        <v>20</v>
      </c>
      <c r="H1808" s="7" t="s">
        <v>1526</v>
      </c>
      <c r="I1808" s="7" t="s">
        <v>27</v>
      </c>
    </row>
    <row r="1809">
      <c r="A1809" s="7" t="s">
        <v>33</v>
      </c>
      <c r="B1809" s="7" t="s">
        <v>34</v>
      </c>
      <c r="C1809" s="8">
        <f>IFERROR(__xludf.DUMMYFUNCTION("SPLIT(B1809,""RM"")"),900000.0)</f>
        <v>900000</v>
      </c>
      <c r="D1809" s="7" t="s">
        <v>35</v>
      </c>
      <c r="E1809" s="7">
        <v>4.0</v>
      </c>
      <c r="F1809" s="7">
        <v>3.0</v>
      </c>
      <c r="G1809" s="7" t="s">
        <v>83</v>
      </c>
      <c r="H1809" s="7" t="s">
        <v>36</v>
      </c>
      <c r="I1809" s="7" t="s">
        <v>27</v>
      </c>
    </row>
    <row r="1810">
      <c r="A1810" s="7" t="s">
        <v>33</v>
      </c>
      <c r="B1810" s="7" t="s">
        <v>1527</v>
      </c>
      <c r="C1810" s="8">
        <f>IFERROR(__xludf.DUMMYFUNCTION("SPLIT(B1810,""RM"")"),1998000.0)</f>
        <v>1998000</v>
      </c>
      <c r="D1810" s="7" t="s">
        <v>35</v>
      </c>
      <c r="E1810" s="7">
        <v>4.0</v>
      </c>
      <c r="F1810" s="7">
        <v>3.0</v>
      </c>
      <c r="G1810" s="7" t="s">
        <v>20</v>
      </c>
      <c r="H1810" s="7" t="s">
        <v>1269</v>
      </c>
      <c r="I1810" s="7" t="s">
        <v>27</v>
      </c>
    </row>
    <row r="1811">
      <c r="A1811" s="7" t="s">
        <v>100</v>
      </c>
      <c r="B1811" s="7" t="s">
        <v>116</v>
      </c>
      <c r="C1811" s="8">
        <f>IFERROR(__xludf.DUMMYFUNCTION("SPLIT(B1811,""RM"")"),1438000.0)</f>
        <v>1438000</v>
      </c>
      <c r="D1811" s="7" t="s">
        <v>79</v>
      </c>
      <c r="E1811" s="7">
        <v>4.0</v>
      </c>
      <c r="F1811" s="7">
        <v>3.0</v>
      </c>
      <c r="G1811" s="7" t="s">
        <v>83</v>
      </c>
      <c r="H1811" s="7" t="s">
        <v>117</v>
      </c>
      <c r="I1811" s="7" t="s">
        <v>22</v>
      </c>
    </row>
    <row r="1812">
      <c r="A1812" s="7" t="s">
        <v>100</v>
      </c>
      <c r="B1812" s="7" t="s">
        <v>637</v>
      </c>
      <c r="C1812" s="8">
        <f>IFERROR(__xludf.DUMMYFUNCTION("SPLIT(B1812,""RM"")"),928000.0)</f>
        <v>928000</v>
      </c>
      <c r="D1812" s="7" t="s">
        <v>19</v>
      </c>
      <c r="E1812" s="7">
        <v>3.0</v>
      </c>
      <c r="F1812" s="7">
        <v>2.0</v>
      </c>
      <c r="G1812" s="7" t="s">
        <v>83</v>
      </c>
      <c r="H1812" s="7" t="s">
        <v>732</v>
      </c>
      <c r="I1812" s="7" t="s">
        <v>27</v>
      </c>
    </row>
    <row r="1813">
      <c r="A1813" s="7" t="s">
        <v>358</v>
      </c>
      <c r="B1813" s="7" t="s">
        <v>620</v>
      </c>
      <c r="C1813" s="8">
        <f>IFERROR(__xludf.DUMMYFUNCTION("SPLIT(B1813,""RM"")"),840000.0)</f>
        <v>840000</v>
      </c>
      <c r="D1813" s="7">
        <v>3.0</v>
      </c>
      <c r="E1813" s="7">
        <v>2.0</v>
      </c>
      <c r="G1813" s="7" t="s">
        <v>83</v>
      </c>
      <c r="H1813" s="7" t="s">
        <v>1412</v>
      </c>
      <c r="I1813" s="7" t="s">
        <v>103</v>
      </c>
    </row>
    <row r="1814">
      <c r="A1814" s="7" t="s">
        <v>77</v>
      </c>
      <c r="B1814" s="7" t="s">
        <v>327</v>
      </c>
      <c r="C1814" s="8">
        <f>IFERROR(__xludf.DUMMYFUNCTION("SPLIT(B1814,""RM"")"),1300000.0)</f>
        <v>1300000</v>
      </c>
      <c r="D1814" s="7">
        <v>3.0</v>
      </c>
      <c r="E1814" s="7">
        <v>3.0</v>
      </c>
      <c r="G1814" s="7" t="s">
        <v>93</v>
      </c>
      <c r="H1814" s="7" t="s">
        <v>762</v>
      </c>
      <c r="I1814" s="7" t="s">
        <v>27</v>
      </c>
    </row>
    <row r="1815">
      <c r="A1815" s="7" t="s">
        <v>72</v>
      </c>
      <c r="B1815" s="7" t="s">
        <v>56</v>
      </c>
      <c r="C1815" s="8">
        <f>IFERROR(__xludf.DUMMYFUNCTION("SPLIT(B1815,""RM"")"),1700000.0)</f>
        <v>1700000</v>
      </c>
      <c r="D1815" s="7" t="s">
        <v>35</v>
      </c>
      <c r="E1815" s="7">
        <v>4.0</v>
      </c>
      <c r="F1815" s="7">
        <v>2.0</v>
      </c>
      <c r="G1815" s="7" t="s">
        <v>83</v>
      </c>
      <c r="H1815" s="7" t="s">
        <v>238</v>
      </c>
      <c r="I1815" s="7" t="s">
        <v>27</v>
      </c>
    </row>
    <row r="1816">
      <c r="A1816" s="7" t="s">
        <v>89</v>
      </c>
      <c r="B1816" s="7" t="s">
        <v>361</v>
      </c>
      <c r="C1816" s="8">
        <f>IFERROR(__xludf.DUMMYFUNCTION("SPLIT(B1816,""RM"")"),530000.0)</f>
        <v>530000</v>
      </c>
      <c r="D1816" s="7">
        <v>3.0</v>
      </c>
      <c r="E1816" s="7">
        <v>2.0</v>
      </c>
      <c r="F1816" s="7">
        <v>1.0</v>
      </c>
      <c r="G1816" s="7" t="s">
        <v>93</v>
      </c>
      <c r="H1816" s="7" t="s">
        <v>595</v>
      </c>
      <c r="I1816" s="7" t="s">
        <v>27</v>
      </c>
    </row>
    <row r="1817">
      <c r="A1817" s="7" t="s">
        <v>32</v>
      </c>
      <c r="B1817" s="7" t="s">
        <v>1140</v>
      </c>
      <c r="C1817" s="8">
        <f>IFERROR(__xludf.DUMMYFUNCTION("SPLIT(B1817,""RM"")"),330000.0)</f>
        <v>330000</v>
      </c>
      <c r="D1817" s="7">
        <v>3.0</v>
      </c>
      <c r="E1817" s="7">
        <v>2.0</v>
      </c>
      <c r="F1817" s="7">
        <v>1.0</v>
      </c>
      <c r="G1817" s="7" t="s">
        <v>93</v>
      </c>
      <c r="H1817" s="7" t="s">
        <v>948</v>
      </c>
      <c r="I1817" s="7" t="s">
        <v>103</v>
      </c>
    </row>
    <row r="1818">
      <c r="A1818" s="7" t="s">
        <v>32</v>
      </c>
      <c r="B1818" s="7" t="s">
        <v>34</v>
      </c>
      <c r="C1818" s="8">
        <f>IFERROR(__xludf.DUMMYFUNCTION("SPLIT(B1818,""RM"")"),900000.0)</f>
        <v>900000</v>
      </c>
      <c r="D1818" s="7">
        <v>4.0</v>
      </c>
      <c r="E1818" s="7">
        <v>3.0</v>
      </c>
      <c r="F1818" s="7">
        <v>2.0</v>
      </c>
      <c r="G1818" s="7" t="s">
        <v>54</v>
      </c>
      <c r="H1818" s="7" t="s">
        <v>719</v>
      </c>
      <c r="I1818" s="7" t="s">
        <v>27</v>
      </c>
    </row>
    <row r="1819">
      <c r="A1819" s="7" t="s">
        <v>33</v>
      </c>
      <c r="B1819" s="7" t="s">
        <v>245</v>
      </c>
      <c r="C1819" s="8">
        <f>IFERROR(__xludf.DUMMYFUNCTION("SPLIT(B1819,""RM"")"),800000.0)</f>
        <v>800000</v>
      </c>
      <c r="D1819" s="7">
        <v>3.0</v>
      </c>
      <c r="E1819" s="7">
        <v>2.0</v>
      </c>
      <c r="F1819" s="7">
        <v>2.0</v>
      </c>
      <c r="G1819" s="7" t="s">
        <v>82</v>
      </c>
      <c r="H1819" s="7" t="s">
        <v>795</v>
      </c>
      <c r="I1819" s="7" t="s">
        <v>22</v>
      </c>
    </row>
    <row r="1820">
      <c r="A1820" s="7" t="s">
        <v>33</v>
      </c>
      <c r="B1820" s="7" t="s">
        <v>361</v>
      </c>
      <c r="C1820" s="8">
        <f>IFERROR(__xludf.DUMMYFUNCTION("SPLIT(B1820,""RM"")"),530000.0)</f>
        <v>530000</v>
      </c>
      <c r="D1820" s="7">
        <v>3.0</v>
      </c>
      <c r="E1820" s="7">
        <v>3.0</v>
      </c>
      <c r="F1820" s="7">
        <v>2.0</v>
      </c>
      <c r="G1820" s="7" t="s">
        <v>93</v>
      </c>
      <c r="H1820" s="7" t="s">
        <v>1156</v>
      </c>
      <c r="I1820" s="7" t="s">
        <v>27</v>
      </c>
    </row>
    <row r="1821">
      <c r="A1821" s="7" t="s">
        <v>32</v>
      </c>
      <c r="B1821" s="7" t="s">
        <v>852</v>
      </c>
      <c r="C1821" s="8">
        <f>IFERROR(__xludf.DUMMYFUNCTION("SPLIT(B1821,""RM"")"),318000.0)</f>
        <v>318000</v>
      </c>
      <c r="D1821" s="7">
        <v>2.0</v>
      </c>
      <c r="E1821" s="7">
        <v>2.0</v>
      </c>
      <c r="F1821" s="7">
        <v>1.0</v>
      </c>
      <c r="G1821" s="7" t="s">
        <v>83</v>
      </c>
      <c r="H1821" s="7" t="s">
        <v>853</v>
      </c>
      <c r="I1821" s="7" t="s">
        <v>27</v>
      </c>
    </row>
    <row r="1822">
      <c r="A1822" s="7" t="s">
        <v>148</v>
      </c>
      <c r="B1822" s="7" t="s">
        <v>1528</v>
      </c>
      <c r="C1822" s="8">
        <f>IFERROR(__xludf.DUMMYFUNCTION("SPLIT(B1822,""RM"")"),725000.0)</f>
        <v>725000</v>
      </c>
      <c r="D1822" s="7">
        <v>4.0</v>
      </c>
      <c r="E1822" s="7">
        <v>4.0</v>
      </c>
      <c r="F1822" s="7">
        <v>3.0</v>
      </c>
      <c r="G1822" s="7" t="s">
        <v>82</v>
      </c>
      <c r="H1822" s="7" t="s">
        <v>1529</v>
      </c>
      <c r="I1822" s="7" t="s">
        <v>103</v>
      </c>
    </row>
    <row r="1823">
      <c r="A1823" s="7" t="s">
        <v>32</v>
      </c>
      <c r="B1823" s="7" t="s">
        <v>1530</v>
      </c>
      <c r="C1823" s="8">
        <f>IFERROR(__xludf.DUMMYFUNCTION("SPLIT(B1823,""RM"")"),289000.0)</f>
        <v>289000</v>
      </c>
      <c r="D1823" s="7">
        <v>3.0</v>
      </c>
      <c r="E1823" s="7">
        <v>2.0</v>
      </c>
      <c r="F1823" s="7">
        <v>1.0</v>
      </c>
      <c r="G1823" s="7" t="s">
        <v>50</v>
      </c>
      <c r="H1823" s="7" t="s">
        <v>226</v>
      </c>
      <c r="I1823" s="7" t="s">
        <v>27</v>
      </c>
    </row>
    <row r="1824">
      <c r="A1824" s="7" t="s">
        <v>32</v>
      </c>
      <c r="B1824" s="7" t="s">
        <v>156</v>
      </c>
      <c r="C1824" s="8">
        <f>IFERROR(__xludf.DUMMYFUNCTION("SPLIT(B1824,""RM"")"),850000.0)</f>
        <v>850000</v>
      </c>
      <c r="D1824" s="7">
        <v>5.0</v>
      </c>
      <c r="E1824" s="7">
        <v>2.0</v>
      </c>
      <c r="G1824" s="7" t="s">
        <v>54</v>
      </c>
      <c r="H1824" s="7" t="s">
        <v>283</v>
      </c>
      <c r="I1824" s="7" t="s">
        <v>27</v>
      </c>
    </row>
    <row r="1825">
      <c r="A1825" s="7" t="s">
        <v>89</v>
      </c>
      <c r="B1825" s="7" t="s">
        <v>1531</v>
      </c>
      <c r="C1825" s="8">
        <f>IFERROR(__xludf.DUMMYFUNCTION("SPLIT(B1825,""RM"")"),575000.0)</f>
        <v>575000</v>
      </c>
      <c r="D1825" s="7">
        <v>3.0</v>
      </c>
      <c r="E1825" s="7">
        <v>2.0</v>
      </c>
      <c r="F1825" s="7">
        <v>3.0</v>
      </c>
      <c r="G1825" s="7" t="s">
        <v>93</v>
      </c>
      <c r="H1825" s="7" t="s">
        <v>1532</v>
      </c>
      <c r="I1825" s="7" t="s">
        <v>22</v>
      </c>
    </row>
    <row r="1826">
      <c r="A1826" s="7" t="s">
        <v>32</v>
      </c>
      <c r="B1826" s="7" t="s">
        <v>852</v>
      </c>
      <c r="C1826" s="8">
        <f>IFERROR(__xludf.DUMMYFUNCTION("SPLIT(B1826,""RM"")"),318000.0)</f>
        <v>318000</v>
      </c>
      <c r="D1826" s="7" t="s">
        <v>57</v>
      </c>
      <c r="E1826" s="7">
        <v>2.0</v>
      </c>
      <c r="F1826" s="7">
        <v>1.0</v>
      </c>
      <c r="G1826" s="7" t="s">
        <v>30</v>
      </c>
      <c r="H1826" s="7" t="s">
        <v>1173</v>
      </c>
      <c r="I1826" s="7" t="s">
        <v>27</v>
      </c>
    </row>
    <row r="1827">
      <c r="A1827" s="7" t="s">
        <v>28</v>
      </c>
      <c r="B1827" s="7" t="s">
        <v>635</v>
      </c>
      <c r="C1827" s="8">
        <f>IFERROR(__xludf.DUMMYFUNCTION("SPLIT(B1827,""RM"")"),720000.0)</f>
        <v>720000</v>
      </c>
      <c r="D1827" s="7" t="s">
        <v>57</v>
      </c>
      <c r="E1827" s="7">
        <v>3.0</v>
      </c>
      <c r="F1827" s="7">
        <v>2.0</v>
      </c>
      <c r="G1827" s="7" t="s">
        <v>93</v>
      </c>
      <c r="H1827" s="7" t="s">
        <v>1153</v>
      </c>
      <c r="I1827" s="7" t="s">
        <v>27</v>
      </c>
    </row>
    <row r="1828">
      <c r="A1828" s="7" t="s">
        <v>100</v>
      </c>
      <c r="B1828" s="7" t="s">
        <v>975</v>
      </c>
      <c r="C1828" s="8">
        <f>IFERROR(__xludf.DUMMYFUNCTION("SPLIT(B1828,""RM"")"),400000.0)</f>
        <v>400000</v>
      </c>
      <c r="D1828" s="7">
        <v>3.0</v>
      </c>
      <c r="E1828" s="7">
        <v>2.0</v>
      </c>
      <c r="G1828" s="7" t="s">
        <v>83</v>
      </c>
      <c r="H1828" s="7" t="s">
        <v>734</v>
      </c>
      <c r="I1828" s="7" t="s">
        <v>27</v>
      </c>
    </row>
    <row r="1829">
      <c r="A1829" s="7" t="s">
        <v>72</v>
      </c>
      <c r="B1829" s="7" t="s">
        <v>403</v>
      </c>
      <c r="C1829" s="8">
        <f>IFERROR(__xludf.DUMMYFUNCTION("SPLIT(B1829,""RM"")"),1600000.0)</f>
        <v>1600000</v>
      </c>
      <c r="D1829" s="7" t="s">
        <v>57</v>
      </c>
      <c r="E1829" s="7">
        <v>4.0</v>
      </c>
      <c r="F1829" s="7">
        <v>2.0</v>
      </c>
      <c r="G1829" s="7" t="s">
        <v>30</v>
      </c>
      <c r="H1829" s="7" t="s">
        <v>404</v>
      </c>
    </row>
    <row r="1830">
      <c r="A1830" s="7" t="s">
        <v>104</v>
      </c>
      <c r="B1830" s="7" t="s">
        <v>245</v>
      </c>
      <c r="C1830" s="8">
        <f>IFERROR(__xludf.DUMMYFUNCTION("SPLIT(B1830,""RM"")"),800000.0)</f>
        <v>800000</v>
      </c>
      <c r="D1830" s="7">
        <v>3.0</v>
      </c>
      <c r="E1830" s="7">
        <v>2.0</v>
      </c>
      <c r="G1830" s="7" t="s">
        <v>1185</v>
      </c>
      <c r="H1830" s="7" t="s">
        <v>283</v>
      </c>
    </row>
    <row r="1831">
      <c r="A1831" s="7" t="s">
        <v>48</v>
      </c>
      <c r="B1831" s="7" t="s">
        <v>1533</v>
      </c>
      <c r="C1831" s="8">
        <f>IFERROR(__xludf.DUMMYFUNCTION("SPLIT(B1831,""RM"")"),795000.0)</f>
        <v>795000</v>
      </c>
      <c r="D1831" s="7">
        <v>4.0</v>
      </c>
      <c r="E1831" s="7">
        <v>3.0</v>
      </c>
      <c r="F1831" s="7">
        <v>2.0</v>
      </c>
      <c r="G1831" s="7" t="s">
        <v>54</v>
      </c>
      <c r="H1831" s="7" t="s">
        <v>1534</v>
      </c>
      <c r="I1831" s="7" t="s">
        <v>103</v>
      </c>
    </row>
    <row r="1832">
      <c r="A1832" s="7" t="s">
        <v>368</v>
      </c>
      <c r="B1832" s="7" t="s">
        <v>1140</v>
      </c>
      <c r="C1832" s="8">
        <f>IFERROR(__xludf.DUMMYFUNCTION("SPLIT(B1832,""RM"")"),330000.0)</f>
        <v>330000</v>
      </c>
      <c r="D1832" s="7">
        <v>3.0</v>
      </c>
      <c r="E1832" s="7">
        <v>2.0</v>
      </c>
      <c r="G1832" s="7" t="s">
        <v>470</v>
      </c>
      <c r="H1832" s="7" t="s">
        <v>1535</v>
      </c>
      <c r="I1832" s="7" t="s">
        <v>27</v>
      </c>
    </row>
    <row r="1833">
      <c r="A1833" s="7" t="s">
        <v>164</v>
      </c>
      <c r="B1833" s="7" t="s">
        <v>1075</v>
      </c>
      <c r="C1833" s="8">
        <f>IFERROR(__xludf.DUMMYFUNCTION("SPLIT(B1833,""RM"")"),790000.0)</f>
        <v>790000</v>
      </c>
      <c r="D1833" s="7">
        <v>1.0</v>
      </c>
      <c r="E1833" s="7">
        <v>1.0</v>
      </c>
      <c r="F1833" s="7">
        <v>1.0</v>
      </c>
      <c r="G1833" s="7" t="s">
        <v>82</v>
      </c>
      <c r="H1833" s="7" t="s">
        <v>242</v>
      </c>
      <c r="I1833" s="7" t="s">
        <v>27</v>
      </c>
    </row>
    <row r="1834">
      <c r="A1834" s="7" t="s">
        <v>72</v>
      </c>
      <c r="B1834" s="7" t="s">
        <v>1536</v>
      </c>
      <c r="C1834" s="8">
        <f>IFERROR(__xludf.DUMMYFUNCTION("SPLIT(B1834,""RM"")"),1710000.0)</f>
        <v>1710000</v>
      </c>
      <c r="D1834" s="7" t="s">
        <v>35</v>
      </c>
      <c r="E1834" s="7">
        <v>4.0</v>
      </c>
      <c r="F1834" s="7">
        <v>2.0</v>
      </c>
      <c r="G1834" s="7" t="s">
        <v>30</v>
      </c>
      <c r="H1834" s="7" t="s">
        <v>238</v>
      </c>
      <c r="I1834" s="7" t="s">
        <v>27</v>
      </c>
    </row>
    <row r="1835">
      <c r="A1835" s="7" t="s">
        <v>164</v>
      </c>
      <c r="B1835" s="7" t="s">
        <v>984</v>
      </c>
      <c r="C1835" s="8">
        <f>IFERROR(__xludf.DUMMYFUNCTION("SPLIT(B1835,""RM"")"),1120000.0)</f>
        <v>1120000</v>
      </c>
      <c r="D1835" s="7">
        <v>3.0</v>
      </c>
      <c r="E1835" s="7">
        <v>3.0</v>
      </c>
      <c r="F1835" s="7">
        <v>2.0</v>
      </c>
      <c r="G1835" s="7" t="s">
        <v>121</v>
      </c>
      <c r="H1835" s="7" t="s">
        <v>764</v>
      </c>
      <c r="I1835" s="7" t="s">
        <v>27</v>
      </c>
    </row>
    <row r="1836">
      <c r="A1836" s="7" t="s">
        <v>143</v>
      </c>
      <c r="B1836" s="7" t="s">
        <v>1065</v>
      </c>
      <c r="C1836" s="8">
        <f>IFERROR(__xludf.DUMMYFUNCTION("SPLIT(B1836,""RM"")"),1520000.0)</f>
        <v>1520000</v>
      </c>
      <c r="D1836" s="7">
        <v>2.0</v>
      </c>
      <c r="E1836" s="7">
        <v>2.0</v>
      </c>
      <c r="F1836" s="7">
        <v>1.0</v>
      </c>
      <c r="G1836" s="7" t="s">
        <v>121</v>
      </c>
      <c r="H1836" s="7" t="s">
        <v>738</v>
      </c>
    </row>
    <row r="1837">
      <c r="A1837" s="7" t="s">
        <v>143</v>
      </c>
      <c r="B1837" s="7" t="s">
        <v>984</v>
      </c>
      <c r="C1837" s="8">
        <f>IFERROR(__xludf.DUMMYFUNCTION("SPLIT(B1837,""RM"")"),1120000.0)</f>
        <v>1120000</v>
      </c>
      <c r="D1837" s="7" t="s">
        <v>197</v>
      </c>
      <c r="E1837" s="7">
        <v>1.0</v>
      </c>
      <c r="G1837" s="7" t="s">
        <v>82</v>
      </c>
      <c r="H1837" s="7" t="s">
        <v>1537</v>
      </c>
      <c r="I1837" s="7" t="s">
        <v>27</v>
      </c>
    </row>
    <row r="1838">
      <c r="A1838" s="7" t="s">
        <v>72</v>
      </c>
      <c r="B1838" s="7" t="s">
        <v>81</v>
      </c>
      <c r="C1838" s="8">
        <f>IFERROR(__xludf.DUMMYFUNCTION("SPLIT(B1838,""RM"")"),1550000.0)</f>
        <v>1550000</v>
      </c>
      <c r="D1838" s="7" t="s">
        <v>57</v>
      </c>
      <c r="E1838" s="7">
        <v>4.0</v>
      </c>
      <c r="F1838" s="7">
        <v>2.0</v>
      </c>
      <c r="G1838" s="7" t="s">
        <v>30</v>
      </c>
      <c r="H1838" s="7" t="s">
        <v>1538</v>
      </c>
      <c r="I1838" s="7" t="s">
        <v>27</v>
      </c>
    </row>
    <row r="1839">
      <c r="A1839" s="7" t="s">
        <v>72</v>
      </c>
      <c r="B1839" s="7" t="s">
        <v>1539</v>
      </c>
      <c r="C1839" s="8">
        <f>IFERROR(__xludf.DUMMYFUNCTION("SPLIT(B1839,""RM"")"),1225000.0)</f>
        <v>1225000</v>
      </c>
      <c r="D1839" s="7" t="s">
        <v>57</v>
      </c>
      <c r="E1839" s="7">
        <v>3.0</v>
      </c>
      <c r="F1839" s="7">
        <v>2.0</v>
      </c>
      <c r="G1839" s="7" t="s">
        <v>93</v>
      </c>
      <c r="H1839" s="7" t="s">
        <v>1175</v>
      </c>
      <c r="I1839" s="7" t="s">
        <v>22</v>
      </c>
    </row>
    <row r="1840">
      <c r="A1840" s="7" t="s">
        <v>32</v>
      </c>
      <c r="B1840" s="7" t="s">
        <v>87</v>
      </c>
      <c r="C1840" s="8">
        <f>IFERROR(__xludf.DUMMYFUNCTION("SPLIT(B1840,""RM"")"),490000.0)</f>
        <v>490000</v>
      </c>
      <c r="D1840" s="7">
        <v>3.0</v>
      </c>
      <c r="E1840" s="7">
        <v>2.0</v>
      </c>
      <c r="F1840" s="7">
        <v>2.0</v>
      </c>
      <c r="G1840" s="7" t="s">
        <v>83</v>
      </c>
      <c r="H1840" s="7" t="s">
        <v>1540</v>
      </c>
      <c r="I1840" s="7" t="s">
        <v>22</v>
      </c>
    </row>
    <row r="1841">
      <c r="A1841" s="7" t="s">
        <v>262</v>
      </c>
      <c r="B1841" s="7" t="s">
        <v>1541</v>
      </c>
      <c r="C1841" s="8">
        <f>IFERROR(__xludf.DUMMYFUNCTION("SPLIT(B1841,""RM"")"),5878950.0)</f>
        <v>5878950</v>
      </c>
      <c r="G1841" s="7" t="s">
        <v>667</v>
      </c>
      <c r="H1841" s="7" t="s">
        <v>1542</v>
      </c>
    </row>
    <row r="1842">
      <c r="A1842" s="7" t="s">
        <v>262</v>
      </c>
      <c r="B1842" s="7" t="s">
        <v>934</v>
      </c>
      <c r="C1842" s="8">
        <f>IFERROR(__xludf.DUMMYFUNCTION("SPLIT(B1842,""RM"")"),1.18E7)</f>
        <v>11800000</v>
      </c>
      <c r="D1842" s="7">
        <v>7.0</v>
      </c>
      <c r="E1842" s="7">
        <v>8.0</v>
      </c>
      <c r="F1842" s="7">
        <v>4.0</v>
      </c>
      <c r="G1842" s="7" t="s">
        <v>61</v>
      </c>
      <c r="H1842" s="7" t="s">
        <v>935</v>
      </c>
      <c r="I1842" s="7" t="s">
        <v>27</v>
      </c>
    </row>
    <row r="1843">
      <c r="A1843" s="7" t="s">
        <v>262</v>
      </c>
      <c r="B1843" s="7" t="s">
        <v>390</v>
      </c>
      <c r="C1843" s="8">
        <f>IFERROR(__xludf.DUMMYFUNCTION("SPLIT(B1843,""RM"")"),6300000.0)</f>
        <v>6300000</v>
      </c>
      <c r="G1843" s="7" t="s">
        <v>667</v>
      </c>
      <c r="H1843" s="7" t="s">
        <v>1089</v>
      </c>
    </row>
    <row r="1844">
      <c r="A1844" s="7" t="s">
        <v>32</v>
      </c>
      <c r="B1844" s="7" t="s">
        <v>1543</v>
      </c>
      <c r="C1844" s="8">
        <f>IFERROR(__xludf.DUMMYFUNCTION("SPLIT(B1844,""RM"")"),918000.0)</f>
        <v>918000</v>
      </c>
      <c r="D1844" s="7">
        <v>8.0</v>
      </c>
      <c r="E1844" s="7">
        <v>3.0</v>
      </c>
      <c r="G1844" s="7" t="s">
        <v>54</v>
      </c>
      <c r="H1844" s="7" t="s">
        <v>283</v>
      </c>
      <c r="I1844" s="7" t="s">
        <v>103</v>
      </c>
    </row>
    <row r="1845">
      <c r="A1845" s="7" t="s">
        <v>32</v>
      </c>
      <c r="B1845" s="7" t="s">
        <v>691</v>
      </c>
      <c r="C1845" s="8">
        <f>IFERROR(__xludf.DUMMYFUNCTION("SPLIT(B1845,""RM"")"),370000.0)</f>
        <v>370000</v>
      </c>
      <c r="D1845" s="7">
        <v>3.0</v>
      </c>
      <c r="E1845" s="7">
        <v>2.0</v>
      </c>
      <c r="F1845" s="7">
        <v>2.0</v>
      </c>
      <c r="G1845" s="7" t="s">
        <v>343</v>
      </c>
      <c r="H1845" s="7" t="s">
        <v>718</v>
      </c>
      <c r="I1845" s="7" t="s">
        <v>103</v>
      </c>
    </row>
    <row r="1846">
      <c r="A1846" s="7" t="s">
        <v>155</v>
      </c>
      <c r="B1846" s="7" t="s">
        <v>1544</v>
      </c>
      <c r="C1846" s="8">
        <f>IFERROR(__xludf.DUMMYFUNCTION("SPLIT(B1846,""RM"")"),275000.0)</f>
        <v>275000</v>
      </c>
      <c r="D1846" s="7">
        <v>3.0</v>
      </c>
      <c r="E1846" s="7">
        <v>2.0</v>
      </c>
      <c r="F1846" s="7">
        <v>1.0</v>
      </c>
      <c r="G1846" s="7" t="s">
        <v>93</v>
      </c>
      <c r="H1846" s="7" t="s">
        <v>1545</v>
      </c>
      <c r="I1846" s="7" t="s">
        <v>103</v>
      </c>
    </row>
    <row r="1847">
      <c r="A1847" s="7" t="s">
        <v>100</v>
      </c>
      <c r="B1847" s="7" t="s">
        <v>975</v>
      </c>
      <c r="C1847" s="8">
        <f>IFERROR(__xludf.DUMMYFUNCTION("SPLIT(B1847,""RM"")"),400000.0)</f>
        <v>400000</v>
      </c>
      <c r="D1847" s="7">
        <v>3.0</v>
      </c>
      <c r="E1847" s="7">
        <v>2.0</v>
      </c>
      <c r="F1847" s="7">
        <v>2.0</v>
      </c>
      <c r="G1847" s="7" t="s">
        <v>30</v>
      </c>
      <c r="H1847" s="7" t="s">
        <v>1546</v>
      </c>
      <c r="I1847" s="7" t="s">
        <v>27</v>
      </c>
    </row>
    <row r="1848">
      <c r="A1848" s="7" t="s">
        <v>33</v>
      </c>
      <c r="B1848" s="7" t="s">
        <v>1547</v>
      </c>
      <c r="C1848" s="8">
        <f>IFERROR(__xludf.DUMMYFUNCTION("SPLIT(B1848,""RM"")"),408000.0)</f>
        <v>408000</v>
      </c>
      <c r="D1848" s="7">
        <v>3.0</v>
      </c>
      <c r="E1848" s="7">
        <v>2.0</v>
      </c>
      <c r="F1848" s="7">
        <v>1.0</v>
      </c>
      <c r="G1848" s="7" t="s">
        <v>50</v>
      </c>
      <c r="H1848" s="7" t="s">
        <v>1548</v>
      </c>
      <c r="I1848" s="7" t="s">
        <v>27</v>
      </c>
    </row>
    <row r="1849">
      <c r="A1849" s="7" t="s">
        <v>33</v>
      </c>
      <c r="B1849" s="7" t="s">
        <v>969</v>
      </c>
      <c r="C1849" s="8">
        <f>IFERROR(__xludf.DUMMYFUNCTION("SPLIT(B1849,""RM"")"),430000.0)</f>
        <v>430000</v>
      </c>
      <c r="D1849" s="7">
        <v>3.0</v>
      </c>
      <c r="E1849" s="7">
        <v>2.0</v>
      </c>
      <c r="F1849" s="7">
        <v>1.0</v>
      </c>
      <c r="G1849" s="7" t="s">
        <v>503</v>
      </c>
      <c r="H1849" s="7" t="s">
        <v>1549</v>
      </c>
      <c r="I1849" s="7" t="s">
        <v>22</v>
      </c>
    </row>
    <row r="1850">
      <c r="A1850" s="7" t="s">
        <v>32</v>
      </c>
      <c r="B1850" s="7" t="s">
        <v>993</v>
      </c>
      <c r="C1850" s="8">
        <f>IFERROR(__xludf.DUMMYFUNCTION("SPLIT(B1850,""RM"")"),2980000.0)</f>
        <v>2980000</v>
      </c>
      <c r="D1850" s="7">
        <v>6.0</v>
      </c>
      <c r="E1850" s="7">
        <v>6.0</v>
      </c>
      <c r="G1850" s="7" t="s">
        <v>61</v>
      </c>
      <c r="H1850" s="7" t="s">
        <v>1550</v>
      </c>
      <c r="I1850" s="7" t="s">
        <v>103</v>
      </c>
    </row>
    <row r="1851">
      <c r="A1851" s="7" t="s">
        <v>428</v>
      </c>
      <c r="B1851" s="7" t="s">
        <v>1551</v>
      </c>
      <c r="C1851" s="8">
        <f>IFERROR(__xludf.DUMMYFUNCTION("SPLIT(B1851,""RM"")"),399000.0)</f>
        <v>399000</v>
      </c>
      <c r="D1851" s="7" t="s">
        <v>325</v>
      </c>
      <c r="E1851" s="7">
        <v>1.0</v>
      </c>
      <c r="F1851" s="7">
        <v>1.0</v>
      </c>
      <c r="G1851" s="7" t="s">
        <v>82</v>
      </c>
      <c r="H1851" s="7" t="s">
        <v>1552</v>
      </c>
      <c r="I1851" s="7" t="s">
        <v>27</v>
      </c>
    </row>
    <row r="1852">
      <c r="A1852" s="7" t="s">
        <v>241</v>
      </c>
      <c r="B1852" s="7" t="s">
        <v>1111</v>
      </c>
      <c r="C1852" s="8">
        <f>IFERROR(__xludf.DUMMYFUNCTION("SPLIT(B1852,""RM"")"),390000.0)</f>
        <v>390000</v>
      </c>
      <c r="D1852" s="7">
        <v>3.0</v>
      </c>
      <c r="E1852" s="7">
        <v>2.0</v>
      </c>
      <c r="F1852" s="7">
        <v>1.0</v>
      </c>
      <c r="G1852" s="7" t="s">
        <v>82</v>
      </c>
      <c r="H1852" s="7" t="s">
        <v>954</v>
      </c>
      <c r="I1852" s="7" t="s">
        <v>27</v>
      </c>
    </row>
    <row r="1853">
      <c r="A1853" s="7" t="s">
        <v>77</v>
      </c>
      <c r="B1853" s="7" t="s">
        <v>1038</v>
      </c>
      <c r="C1853" s="8">
        <f>IFERROR(__xludf.DUMMYFUNCTION("SPLIT(B1853,""RM"")"),6200000.0)</f>
        <v>6200000</v>
      </c>
      <c r="D1853" s="7" t="s">
        <v>299</v>
      </c>
      <c r="E1853" s="7">
        <v>9.0</v>
      </c>
      <c r="G1853" s="7" t="s">
        <v>1036</v>
      </c>
      <c r="H1853" s="7" t="s">
        <v>305</v>
      </c>
      <c r="I1853" s="7" t="s">
        <v>27</v>
      </c>
    </row>
    <row r="1854">
      <c r="A1854" s="7" t="s">
        <v>28</v>
      </c>
      <c r="B1854" s="7" t="s">
        <v>513</v>
      </c>
      <c r="C1854" s="8">
        <f>IFERROR(__xludf.DUMMYFUNCTION("SPLIT(B1854,""RM"")"),1.2E7)</f>
        <v>12000000</v>
      </c>
      <c r="D1854" s="7" t="s">
        <v>990</v>
      </c>
      <c r="E1854" s="7">
        <v>8.0</v>
      </c>
      <c r="F1854" s="7">
        <v>6.0</v>
      </c>
      <c r="G1854" s="7" t="s">
        <v>25</v>
      </c>
      <c r="H1854" s="7" t="s">
        <v>991</v>
      </c>
      <c r="I1854" s="7" t="s">
        <v>103</v>
      </c>
    </row>
    <row r="1855">
      <c r="A1855" s="7" t="s">
        <v>77</v>
      </c>
      <c r="B1855" s="7" t="s">
        <v>744</v>
      </c>
      <c r="C1855" s="8">
        <f>IFERROR(__xludf.DUMMYFUNCTION("SPLIT(B1855,""RM"")"),8300000.0)</f>
        <v>8300000</v>
      </c>
      <c r="D1855" s="7">
        <v>5.0</v>
      </c>
      <c r="E1855" s="7">
        <v>6.0</v>
      </c>
      <c r="F1855" s="7">
        <v>4.0</v>
      </c>
      <c r="G1855" s="7" t="s">
        <v>25</v>
      </c>
      <c r="H1855" s="7" t="s">
        <v>26</v>
      </c>
      <c r="I1855" s="7" t="s">
        <v>27</v>
      </c>
    </row>
    <row r="1856">
      <c r="A1856" s="7" t="s">
        <v>77</v>
      </c>
      <c r="B1856" s="7" t="s">
        <v>69</v>
      </c>
      <c r="C1856" s="8">
        <f>IFERROR(__xludf.DUMMYFUNCTION("SPLIT(B1856,""RM"")"),4500000.0)</f>
        <v>4500000</v>
      </c>
      <c r="D1856" s="7" t="s">
        <v>79</v>
      </c>
      <c r="E1856" s="7">
        <v>5.0</v>
      </c>
      <c r="G1856" s="7" t="s">
        <v>203</v>
      </c>
      <c r="H1856" s="7" t="s">
        <v>805</v>
      </c>
      <c r="I1856" s="7" t="s">
        <v>103</v>
      </c>
    </row>
    <row r="1857">
      <c r="A1857" s="7" t="s">
        <v>72</v>
      </c>
      <c r="B1857" s="7" t="s">
        <v>311</v>
      </c>
      <c r="C1857" s="8">
        <f>IFERROR(__xludf.DUMMYFUNCTION("SPLIT(B1857,""RM"")"),1100000.0)</f>
        <v>1100000</v>
      </c>
      <c r="D1857" s="7">
        <v>3.0</v>
      </c>
      <c r="E1857" s="7">
        <v>2.0</v>
      </c>
      <c r="F1857" s="7">
        <v>2.0</v>
      </c>
      <c r="G1857" s="7" t="s">
        <v>83</v>
      </c>
      <c r="H1857" s="7" t="s">
        <v>135</v>
      </c>
      <c r="I1857" s="7" t="s">
        <v>27</v>
      </c>
    </row>
    <row r="1858">
      <c r="A1858" s="7" t="s">
        <v>28</v>
      </c>
      <c r="B1858" s="7" t="s">
        <v>1553</v>
      </c>
      <c r="C1858" s="8">
        <f>IFERROR(__xludf.DUMMYFUNCTION("SPLIT(B1858,""RM"")"),1.1E7)</f>
        <v>11000000</v>
      </c>
      <c r="D1858" s="7" t="s">
        <v>990</v>
      </c>
      <c r="E1858" s="7">
        <v>7.0</v>
      </c>
      <c r="F1858" s="7">
        <v>4.0</v>
      </c>
      <c r="G1858" s="7" t="s">
        <v>25</v>
      </c>
      <c r="H1858" s="7" t="s">
        <v>1554</v>
      </c>
      <c r="I1858" s="7" t="s">
        <v>103</v>
      </c>
    </row>
    <row r="1859">
      <c r="A1859" s="7" t="s">
        <v>72</v>
      </c>
      <c r="B1859" s="7" t="s">
        <v>950</v>
      </c>
      <c r="C1859" s="8">
        <f>IFERROR(__xludf.DUMMYFUNCTION("SPLIT(B1859,""RM"")"),1668000.0)</f>
        <v>1668000</v>
      </c>
      <c r="D1859" s="7">
        <v>4.0</v>
      </c>
      <c r="E1859" s="7">
        <v>4.0</v>
      </c>
      <c r="F1859" s="7">
        <v>2.0</v>
      </c>
      <c r="G1859" s="7" t="s">
        <v>83</v>
      </c>
      <c r="H1859" s="7" t="s">
        <v>99</v>
      </c>
      <c r="I1859" s="7" t="s">
        <v>27</v>
      </c>
    </row>
    <row r="1860">
      <c r="A1860" s="7" t="s">
        <v>72</v>
      </c>
      <c r="B1860" s="7" t="s">
        <v>448</v>
      </c>
      <c r="C1860" s="8">
        <f>IFERROR(__xludf.DUMMYFUNCTION("SPLIT(B1860,""RM"")"),1420000.0)</f>
        <v>1420000</v>
      </c>
      <c r="D1860" s="7" t="s">
        <v>57</v>
      </c>
      <c r="E1860" s="7">
        <v>4.0</v>
      </c>
      <c r="F1860" s="7">
        <v>2.0</v>
      </c>
      <c r="G1860" s="7" t="s">
        <v>83</v>
      </c>
      <c r="H1860" s="7" t="s">
        <v>334</v>
      </c>
      <c r="I1860" s="7" t="s">
        <v>27</v>
      </c>
    </row>
    <row r="1861">
      <c r="A1861" s="7" t="s">
        <v>77</v>
      </c>
      <c r="B1861" s="7" t="s">
        <v>350</v>
      </c>
      <c r="C1861" s="8">
        <f>IFERROR(__xludf.DUMMYFUNCTION("SPLIT(B1861,""RM"")"),6500000.0)</f>
        <v>6500000</v>
      </c>
      <c r="D1861" s="7" t="s">
        <v>299</v>
      </c>
      <c r="E1861" s="7">
        <v>7.0</v>
      </c>
      <c r="G1861" s="7" t="s">
        <v>1036</v>
      </c>
      <c r="H1861" s="7" t="s">
        <v>305</v>
      </c>
      <c r="I1861" s="7" t="s">
        <v>27</v>
      </c>
    </row>
    <row r="1862">
      <c r="A1862" s="7" t="s">
        <v>72</v>
      </c>
      <c r="B1862" s="7" t="s">
        <v>158</v>
      </c>
      <c r="C1862" s="8">
        <f>IFERROR(__xludf.DUMMYFUNCTION("SPLIT(B1862,""RM"")"),1850000.0)</f>
        <v>1850000</v>
      </c>
      <c r="D1862" s="7" t="s">
        <v>39</v>
      </c>
      <c r="E1862" s="7">
        <v>4.0</v>
      </c>
      <c r="F1862" s="7">
        <v>2.0</v>
      </c>
      <c r="G1862" s="7" t="s">
        <v>83</v>
      </c>
      <c r="H1862" s="7" t="s">
        <v>74</v>
      </c>
      <c r="I1862" s="7" t="s">
        <v>27</v>
      </c>
    </row>
    <row r="1863">
      <c r="A1863" s="7" t="s">
        <v>72</v>
      </c>
      <c r="B1863" s="7" t="s">
        <v>239</v>
      </c>
      <c r="C1863" s="8">
        <f>IFERROR(__xludf.DUMMYFUNCTION("SPLIT(B1863,""RM"")"),1280000.0)</f>
        <v>1280000</v>
      </c>
      <c r="D1863" s="7" t="s">
        <v>57</v>
      </c>
      <c r="E1863" s="7">
        <v>3.0</v>
      </c>
      <c r="F1863" s="7">
        <v>2.0</v>
      </c>
      <c r="G1863" s="7" t="s">
        <v>93</v>
      </c>
      <c r="H1863" s="7" t="s">
        <v>99</v>
      </c>
      <c r="I1863" s="7" t="s">
        <v>27</v>
      </c>
    </row>
    <row r="1864">
      <c r="A1864" s="7" t="s">
        <v>77</v>
      </c>
      <c r="B1864" s="7" t="s">
        <v>1180</v>
      </c>
      <c r="C1864" s="8">
        <f>IFERROR(__xludf.DUMMYFUNCTION("SPLIT(B1864,""RM"")"),4600000.0)</f>
        <v>4600000</v>
      </c>
      <c r="D1864" s="7" t="s">
        <v>79</v>
      </c>
      <c r="E1864" s="7">
        <v>5.0</v>
      </c>
      <c r="G1864" s="7" t="s">
        <v>203</v>
      </c>
      <c r="H1864" s="7" t="s">
        <v>805</v>
      </c>
      <c r="I1864" s="7" t="s">
        <v>103</v>
      </c>
    </row>
    <row r="1865">
      <c r="A1865" s="7" t="s">
        <v>72</v>
      </c>
      <c r="B1865" s="7" t="s">
        <v>403</v>
      </c>
      <c r="C1865" s="8">
        <f>IFERROR(__xludf.DUMMYFUNCTION("SPLIT(B1865,""RM"")"),1600000.0)</f>
        <v>1600000</v>
      </c>
      <c r="D1865" s="7" t="s">
        <v>57</v>
      </c>
      <c r="E1865" s="7">
        <v>3.0</v>
      </c>
      <c r="G1865" s="7" t="s">
        <v>83</v>
      </c>
      <c r="H1865" s="7" t="s">
        <v>119</v>
      </c>
      <c r="I1865" s="7" t="s">
        <v>27</v>
      </c>
    </row>
    <row r="1866">
      <c r="A1866" s="7" t="s">
        <v>72</v>
      </c>
      <c r="B1866" s="7" t="s">
        <v>156</v>
      </c>
      <c r="C1866" s="8">
        <f>IFERROR(__xludf.DUMMYFUNCTION("SPLIT(B1866,""RM"")"),850000.0)</f>
        <v>850000</v>
      </c>
      <c r="D1866" s="7">
        <v>3.0</v>
      </c>
      <c r="E1866" s="7">
        <v>2.0</v>
      </c>
      <c r="F1866" s="7">
        <v>2.0</v>
      </c>
      <c r="G1866" s="7" t="s">
        <v>93</v>
      </c>
      <c r="H1866" s="7" t="s">
        <v>1555</v>
      </c>
      <c r="I1866" s="7" t="s">
        <v>22</v>
      </c>
    </row>
    <row r="1867">
      <c r="A1867" s="7" t="s">
        <v>72</v>
      </c>
      <c r="B1867" s="7" t="s">
        <v>316</v>
      </c>
      <c r="C1867" s="8">
        <f>IFERROR(__xludf.DUMMYFUNCTION("SPLIT(B1867,""RM"")"),820000.0)</f>
        <v>820000</v>
      </c>
      <c r="D1867" s="7">
        <v>3.0</v>
      </c>
      <c r="E1867" s="7">
        <v>2.0</v>
      </c>
      <c r="F1867" s="7">
        <v>1.0</v>
      </c>
      <c r="G1867" s="7" t="s">
        <v>93</v>
      </c>
      <c r="H1867" s="7" t="s">
        <v>1556</v>
      </c>
      <c r="I1867" s="7" t="s">
        <v>22</v>
      </c>
    </row>
    <row r="1868">
      <c r="A1868" s="7" t="s">
        <v>709</v>
      </c>
      <c r="B1868" s="7" t="s">
        <v>635</v>
      </c>
      <c r="C1868" s="8">
        <f>IFERROR(__xludf.DUMMYFUNCTION("SPLIT(B1868,""RM"")"),720000.0)</f>
        <v>720000</v>
      </c>
      <c r="D1868" s="7">
        <v>3.0</v>
      </c>
      <c r="E1868" s="7">
        <v>2.0</v>
      </c>
      <c r="F1868" s="7">
        <v>2.0</v>
      </c>
      <c r="G1868" s="7" t="s">
        <v>30</v>
      </c>
      <c r="H1868" s="7" t="s">
        <v>1557</v>
      </c>
      <c r="I1868" s="7" t="s">
        <v>22</v>
      </c>
    </row>
    <row r="1869">
      <c r="A1869" s="7" t="s">
        <v>267</v>
      </c>
      <c r="B1869" s="7" t="s">
        <v>85</v>
      </c>
      <c r="C1869" s="8">
        <f>IFERROR(__xludf.DUMMYFUNCTION("SPLIT(B1869,""RM"")"),1450000.0)</f>
        <v>1450000</v>
      </c>
      <c r="D1869" s="7">
        <v>4.0</v>
      </c>
      <c r="E1869" s="7">
        <v>3.0</v>
      </c>
      <c r="F1869" s="7">
        <v>2.0</v>
      </c>
      <c r="G1869" s="7" t="s">
        <v>54</v>
      </c>
      <c r="H1869" s="7" t="s">
        <v>1558</v>
      </c>
    </row>
    <row r="1870">
      <c r="A1870" s="7" t="s">
        <v>267</v>
      </c>
      <c r="B1870" s="7" t="s">
        <v>63</v>
      </c>
      <c r="C1870" s="8">
        <f>IFERROR(__xludf.DUMMYFUNCTION("SPLIT(B1870,""RM"")"),3100000.0)</f>
        <v>3100000</v>
      </c>
      <c r="D1870" s="7">
        <v>6.0</v>
      </c>
      <c r="E1870" s="7">
        <v>5.0</v>
      </c>
      <c r="F1870" s="7">
        <v>6.0</v>
      </c>
      <c r="G1870" s="7" t="s">
        <v>64</v>
      </c>
      <c r="H1870" s="7" t="s">
        <v>631</v>
      </c>
    </row>
    <row r="1871">
      <c r="A1871" s="7" t="s">
        <v>109</v>
      </c>
      <c r="B1871" s="7" t="s">
        <v>975</v>
      </c>
      <c r="C1871" s="8">
        <f>IFERROR(__xludf.DUMMYFUNCTION("SPLIT(B1871,""RM"")"),400000.0)</f>
        <v>400000</v>
      </c>
      <c r="D1871" s="7">
        <v>3.0</v>
      </c>
      <c r="E1871" s="7">
        <v>2.0</v>
      </c>
      <c r="F1871" s="7">
        <v>1.0</v>
      </c>
      <c r="G1871" s="7" t="s">
        <v>83</v>
      </c>
      <c r="H1871" s="7" t="s">
        <v>734</v>
      </c>
      <c r="I1871" s="7" t="s">
        <v>27</v>
      </c>
    </row>
    <row r="1872">
      <c r="A1872" s="7" t="s">
        <v>241</v>
      </c>
      <c r="B1872" s="7" t="s">
        <v>1559</v>
      </c>
      <c r="C1872" s="8">
        <f>IFERROR(__xludf.DUMMYFUNCTION("SPLIT(B1872,""RM"")"),300000.0)</f>
        <v>300000</v>
      </c>
      <c r="D1872" s="7">
        <v>3.0</v>
      </c>
      <c r="E1872" s="7">
        <v>2.0</v>
      </c>
      <c r="F1872" s="7">
        <v>1.0</v>
      </c>
      <c r="G1872" s="7" t="s">
        <v>83</v>
      </c>
      <c r="H1872" s="7" t="s">
        <v>1560</v>
      </c>
      <c r="I1872" s="7" t="s">
        <v>27</v>
      </c>
    </row>
    <row r="1873">
      <c r="A1873" s="7" t="s">
        <v>28</v>
      </c>
      <c r="B1873" s="7" t="s">
        <v>1380</v>
      </c>
      <c r="C1873" s="8">
        <f>IFERROR(__xludf.DUMMYFUNCTION("SPLIT(B1873,""RM"")"),1110000.0)</f>
        <v>1110000</v>
      </c>
      <c r="D1873" s="7" t="s">
        <v>57</v>
      </c>
      <c r="E1873" s="7">
        <v>5.0</v>
      </c>
      <c r="F1873" s="7">
        <v>2.0</v>
      </c>
      <c r="G1873" s="7" t="s">
        <v>30</v>
      </c>
      <c r="H1873" s="7" t="s">
        <v>31</v>
      </c>
      <c r="I1873" s="7" t="s">
        <v>27</v>
      </c>
    </row>
    <row r="1874">
      <c r="A1874" s="7" t="s">
        <v>77</v>
      </c>
      <c r="B1874" s="7" t="s">
        <v>1135</v>
      </c>
      <c r="C1874" s="8">
        <f>IFERROR(__xludf.DUMMYFUNCTION("SPLIT(B1874,""RM"")"),1270000.0)</f>
        <v>1270000</v>
      </c>
      <c r="D1874" s="7">
        <v>3.0</v>
      </c>
      <c r="E1874" s="7">
        <v>2.0</v>
      </c>
      <c r="F1874" s="7">
        <v>2.0</v>
      </c>
      <c r="G1874" s="7" t="s">
        <v>83</v>
      </c>
      <c r="H1874" s="7" t="s">
        <v>1561</v>
      </c>
    </row>
    <row r="1875">
      <c r="A1875" s="7" t="s">
        <v>33</v>
      </c>
      <c r="B1875" s="7" t="s">
        <v>1562</v>
      </c>
      <c r="C1875" s="8">
        <f>IFERROR(__xludf.DUMMYFUNCTION("SPLIT(B1875,""RM"")"),1188000.0)</f>
        <v>1188000</v>
      </c>
      <c r="D1875" s="7">
        <v>5.0</v>
      </c>
      <c r="E1875" s="7">
        <v>3.0</v>
      </c>
      <c r="G1875" s="7" t="s">
        <v>83</v>
      </c>
      <c r="H1875" s="7" t="s">
        <v>330</v>
      </c>
    </row>
    <row r="1876">
      <c r="A1876" s="7" t="s">
        <v>428</v>
      </c>
      <c r="B1876" s="7" t="s">
        <v>415</v>
      </c>
      <c r="C1876" s="8">
        <f>IFERROR(__xludf.DUMMYFUNCTION("SPLIT(B1876,""RM"")"),1238000.0)</f>
        <v>1238000</v>
      </c>
      <c r="G1876" s="7" t="s">
        <v>1453</v>
      </c>
      <c r="H1876" s="7" t="s">
        <v>1563</v>
      </c>
    </row>
    <row r="1877">
      <c r="A1877" s="7" t="s">
        <v>23</v>
      </c>
      <c r="B1877" s="7" t="s">
        <v>530</v>
      </c>
      <c r="C1877" s="8">
        <f>IFERROR(__xludf.DUMMYFUNCTION("SPLIT(B1877,""RM"")"),5000000.0)</f>
        <v>5000000</v>
      </c>
      <c r="D1877" s="7">
        <v>7.0</v>
      </c>
      <c r="E1877" s="7">
        <v>6.0</v>
      </c>
      <c r="G1877" s="7" t="s">
        <v>25</v>
      </c>
      <c r="H1877" s="7" t="s">
        <v>1564</v>
      </c>
      <c r="I1877" s="7" t="s">
        <v>22</v>
      </c>
    </row>
    <row r="1878">
      <c r="A1878" s="7" t="s">
        <v>104</v>
      </c>
      <c r="B1878" s="7" t="s">
        <v>1565</v>
      </c>
      <c r="C1878" s="8">
        <f>IFERROR(__xludf.DUMMYFUNCTION("SPLIT(B1878,""RM"")"),268000.0)</f>
        <v>268000</v>
      </c>
      <c r="D1878" s="7">
        <v>3.0</v>
      </c>
      <c r="E1878" s="7">
        <v>2.0</v>
      </c>
      <c r="F1878" s="7">
        <v>1.0</v>
      </c>
      <c r="G1878" s="7" t="s">
        <v>1566</v>
      </c>
      <c r="H1878" s="7" t="s">
        <v>1567</v>
      </c>
      <c r="I1878" s="7" t="s">
        <v>27</v>
      </c>
    </row>
    <row r="1879">
      <c r="A1879" s="7" t="s">
        <v>28</v>
      </c>
      <c r="B1879" s="7" t="s">
        <v>81</v>
      </c>
      <c r="C1879" s="8">
        <f>IFERROR(__xludf.DUMMYFUNCTION("SPLIT(B1879,""RM"")"),1550000.0)</f>
        <v>1550000</v>
      </c>
      <c r="D1879" s="7" t="s">
        <v>39</v>
      </c>
      <c r="E1879" s="7">
        <v>4.0</v>
      </c>
      <c r="G1879" s="7" t="s">
        <v>83</v>
      </c>
      <c r="H1879" s="7" t="s">
        <v>1291</v>
      </c>
      <c r="I1879" s="7" t="s">
        <v>22</v>
      </c>
    </row>
    <row r="1880">
      <c r="A1880" s="7" t="s">
        <v>188</v>
      </c>
      <c r="B1880" s="7" t="s">
        <v>1568</v>
      </c>
      <c r="C1880" s="8">
        <f>IFERROR(__xludf.DUMMYFUNCTION("SPLIT(B1880,""RM"")"),3000.0)</f>
        <v>3000</v>
      </c>
      <c r="D1880" s="7">
        <v>1.0</v>
      </c>
      <c r="E1880" s="7">
        <v>1.0</v>
      </c>
      <c r="F1880" s="7">
        <v>1.0</v>
      </c>
      <c r="G1880" s="7" t="s">
        <v>93</v>
      </c>
      <c r="H1880" s="7" t="s">
        <v>1569</v>
      </c>
      <c r="I1880" s="7" t="s">
        <v>22</v>
      </c>
    </row>
    <row r="1881">
      <c r="A1881" s="7" t="s">
        <v>23</v>
      </c>
      <c r="B1881" s="7" t="s">
        <v>1570</v>
      </c>
      <c r="C1881" s="8">
        <f>IFERROR(__xludf.DUMMYFUNCTION("SPLIT(B1881,""RM"")"),5199999.0)</f>
        <v>5199999</v>
      </c>
      <c r="G1881" s="7" t="s">
        <v>25</v>
      </c>
      <c r="H1881" s="7" t="s">
        <v>1571</v>
      </c>
      <c r="I1881" s="7" t="s">
        <v>103</v>
      </c>
    </row>
    <row r="1882">
      <c r="A1882" s="7" t="s">
        <v>177</v>
      </c>
      <c r="B1882" s="7" t="s">
        <v>1572</v>
      </c>
      <c r="C1882" s="8">
        <f>IFERROR(__xludf.DUMMYFUNCTION("SPLIT(B1882,""RM"")"),5499999.0)</f>
        <v>5499999</v>
      </c>
      <c r="D1882" s="7" t="s">
        <v>35</v>
      </c>
      <c r="E1882" s="7">
        <v>6.0</v>
      </c>
      <c r="G1882" s="7" t="s">
        <v>61</v>
      </c>
      <c r="H1882" s="7" t="s">
        <v>1496</v>
      </c>
      <c r="I1882" s="7" t="s">
        <v>27</v>
      </c>
    </row>
    <row r="1883">
      <c r="A1883" s="7" t="s">
        <v>23</v>
      </c>
      <c r="B1883" s="7" t="s">
        <v>1573</v>
      </c>
      <c r="C1883" s="8">
        <f>IFERROR(__xludf.DUMMYFUNCTION("SPLIT(B1883,""RM"")"),4599999.0)</f>
        <v>4599999</v>
      </c>
      <c r="D1883" s="7" t="s">
        <v>70</v>
      </c>
      <c r="E1883" s="7">
        <v>4.0</v>
      </c>
      <c r="G1883" s="7" t="s">
        <v>25</v>
      </c>
      <c r="H1883" s="7" t="s">
        <v>1574</v>
      </c>
      <c r="I1883" s="7" t="s">
        <v>27</v>
      </c>
    </row>
    <row r="1884">
      <c r="A1884" s="7" t="s">
        <v>188</v>
      </c>
      <c r="B1884" s="7" t="s">
        <v>629</v>
      </c>
      <c r="C1884" s="8">
        <f>IFERROR(__xludf.DUMMYFUNCTION("SPLIT(B1884,""RM"")"),770000.0)</f>
        <v>770000</v>
      </c>
      <c r="D1884" s="7">
        <v>1.0</v>
      </c>
      <c r="E1884" s="7">
        <v>1.0</v>
      </c>
      <c r="F1884" s="7">
        <v>1.0</v>
      </c>
      <c r="G1884" s="7" t="s">
        <v>93</v>
      </c>
      <c r="H1884" s="7" t="s">
        <v>1575</v>
      </c>
      <c r="I1884" s="7" t="s">
        <v>22</v>
      </c>
    </row>
    <row r="1885">
      <c r="A1885" s="7" t="s">
        <v>188</v>
      </c>
      <c r="B1885" s="7" t="s">
        <v>1576</v>
      </c>
      <c r="C1885" s="8">
        <f>IFERROR(__xludf.DUMMYFUNCTION("SPLIT(B1885,""RM"")"),755000.0)</f>
        <v>755000</v>
      </c>
      <c r="D1885" s="7">
        <v>1.0</v>
      </c>
      <c r="E1885" s="7">
        <v>1.0</v>
      </c>
      <c r="F1885" s="7">
        <v>1.0</v>
      </c>
      <c r="G1885" s="7" t="s">
        <v>93</v>
      </c>
      <c r="H1885" s="7" t="s">
        <v>1575</v>
      </c>
      <c r="I1885" s="7" t="s">
        <v>22</v>
      </c>
    </row>
    <row r="1886">
      <c r="A1886" s="7" t="s">
        <v>188</v>
      </c>
      <c r="B1886" s="7" t="s">
        <v>1098</v>
      </c>
      <c r="C1886" s="8">
        <f>IFERROR(__xludf.DUMMYFUNCTION("SPLIT(B1886,""RM"")"),810000.0)</f>
        <v>810000</v>
      </c>
      <c r="D1886" s="7">
        <v>1.0</v>
      </c>
      <c r="E1886" s="7">
        <v>1.0</v>
      </c>
      <c r="F1886" s="7">
        <v>1.0</v>
      </c>
      <c r="G1886" s="7" t="s">
        <v>93</v>
      </c>
      <c r="H1886" s="7" t="s">
        <v>1569</v>
      </c>
      <c r="I1886" s="7" t="s">
        <v>22</v>
      </c>
    </row>
    <row r="1887">
      <c r="A1887" s="7" t="s">
        <v>177</v>
      </c>
      <c r="B1887" s="7" t="s">
        <v>1032</v>
      </c>
      <c r="C1887" s="8">
        <f>IFERROR(__xludf.DUMMYFUNCTION("SPLIT(B1887,""RM"")"),3880000.0)</f>
        <v>3880000</v>
      </c>
      <c r="F1887" s="7">
        <v>4.0</v>
      </c>
      <c r="G1887" s="7" t="s">
        <v>61</v>
      </c>
      <c r="H1887" s="7" t="s">
        <v>1577</v>
      </c>
      <c r="I1887" s="7" t="s">
        <v>22</v>
      </c>
    </row>
    <row r="1888">
      <c r="A1888" s="7" t="s">
        <v>164</v>
      </c>
      <c r="B1888" s="7" t="s">
        <v>309</v>
      </c>
      <c r="C1888" s="8">
        <f>IFERROR(__xludf.DUMMYFUNCTION("SPLIT(B1888,""RM"")"),2100000.0)</f>
        <v>2100000</v>
      </c>
      <c r="D1888" s="7" t="s">
        <v>19</v>
      </c>
      <c r="E1888" s="7">
        <v>4.0</v>
      </c>
      <c r="F1888" s="7">
        <v>1.0</v>
      </c>
      <c r="G1888" s="7" t="s">
        <v>20</v>
      </c>
      <c r="H1888" s="7" t="s">
        <v>303</v>
      </c>
      <c r="I1888" s="7" t="s">
        <v>22</v>
      </c>
    </row>
    <row r="1889">
      <c r="A1889" s="7" t="s">
        <v>1241</v>
      </c>
      <c r="B1889" s="7" t="s">
        <v>81</v>
      </c>
      <c r="C1889" s="8">
        <f>IFERROR(__xludf.DUMMYFUNCTION("SPLIT(B1889,""RM"")"),1550000.0)</f>
        <v>1550000</v>
      </c>
      <c r="D1889" s="7" t="s">
        <v>57</v>
      </c>
      <c r="E1889" s="7">
        <v>4.0</v>
      </c>
      <c r="F1889" s="7">
        <v>2.0</v>
      </c>
      <c r="G1889" s="7" t="s">
        <v>121</v>
      </c>
      <c r="H1889" s="7" t="s">
        <v>1578</v>
      </c>
      <c r="I1889" s="7" t="s">
        <v>22</v>
      </c>
    </row>
    <row r="1890">
      <c r="A1890" s="7" t="s">
        <v>104</v>
      </c>
      <c r="B1890" s="7" t="s">
        <v>210</v>
      </c>
      <c r="C1890" s="8">
        <f>IFERROR(__xludf.DUMMYFUNCTION("SPLIT(B1890,""RM"")"),1630000.0)</f>
        <v>1630000</v>
      </c>
      <c r="D1890" s="7" t="s">
        <v>70</v>
      </c>
      <c r="E1890" s="7">
        <v>6.0</v>
      </c>
      <c r="F1890" s="7">
        <v>4.0</v>
      </c>
      <c r="G1890" s="7" t="s">
        <v>90</v>
      </c>
      <c r="H1890" s="7" t="s">
        <v>211</v>
      </c>
      <c r="I1890" s="7" t="s">
        <v>22</v>
      </c>
    </row>
    <row r="1891">
      <c r="A1891" s="7" t="s">
        <v>104</v>
      </c>
      <c r="B1891" s="7" t="s">
        <v>81</v>
      </c>
      <c r="C1891" s="8">
        <f>IFERROR(__xludf.DUMMYFUNCTION("SPLIT(B1891,""RM"")"),1550000.0)</f>
        <v>1550000</v>
      </c>
      <c r="D1891" s="7">
        <v>5.0</v>
      </c>
      <c r="E1891" s="7">
        <v>4.0</v>
      </c>
      <c r="F1891" s="7">
        <v>4.0</v>
      </c>
      <c r="G1891" s="7" t="s">
        <v>90</v>
      </c>
      <c r="H1891" s="7" t="s">
        <v>719</v>
      </c>
      <c r="I1891" s="7" t="s">
        <v>27</v>
      </c>
    </row>
    <row r="1892">
      <c r="A1892" s="7" t="s">
        <v>104</v>
      </c>
      <c r="B1892" s="7" t="s">
        <v>229</v>
      </c>
      <c r="C1892" s="8">
        <f>IFERROR(__xludf.DUMMYFUNCTION("SPLIT(B1892,""RM"")"),1050000.0)</f>
        <v>1050000</v>
      </c>
      <c r="D1892" s="7" t="s">
        <v>35</v>
      </c>
      <c r="E1892" s="7">
        <v>2.0</v>
      </c>
      <c r="F1892" s="7">
        <v>4.0</v>
      </c>
      <c r="G1892" s="7" t="s">
        <v>1579</v>
      </c>
      <c r="H1892" s="7" t="s">
        <v>1580</v>
      </c>
      <c r="I1892" s="7" t="s">
        <v>27</v>
      </c>
    </row>
    <row r="1893">
      <c r="A1893" s="7" t="s">
        <v>104</v>
      </c>
      <c r="B1893" s="7" t="s">
        <v>552</v>
      </c>
      <c r="C1893" s="8">
        <f>IFERROR(__xludf.DUMMYFUNCTION("SPLIT(B1893,""RM"")"),618000.0)</f>
        <v>618000</v>
      </c>
      <c r="D1893" s="7">
        <v>3.0</v>
      </c>
      <c r="E1893" s="7">
        <v>2.0</v>
      </c>
      <c r="G1893" s="7" t="s">
        <v>30</v>
      </c>
      <c r="H1893" s="7" t="s">
        <v>1332</v>
      </c>
      <c r="I1893" s="7" t="s">
        <v>22</v>
      </c>
    </row>
    <row r="1894">
      <c r="A1894" s="7" t="s">
        <v>104</v>
      </c>
      <c r="B1894" s="7" t="s">
        <v>1446</v>
      </c>
      <c r="C1894" s="8">
        <f>IFERROR(__xludf.DUMMYFUNCTION("SPLIT(B1894,""RM"")"),999999.0)</f>
        <v>999999</v>
      </c>
      <c r="D1894" s="7">
        <v>4.0</v>
      </c>
      <c r="E1894" s="7">
        <v>3.0</v>
      </c>
      <c r="F1894" s="7">
        <v>4.0</v>
      </c>
      <c r="G1894" s="7" t="s">
        <v>184</v>
      </c>
      <c r="H1894" s="7" t="s">
        <v>1581</v>
      </c>
      <c r="I1894" s="7" t="s">
        <v>27</v>
      </c>
    </row>
    <row r="1895">
      <c r="A1895" s="7" t="s">
        <v>104</v>
      </c>
      <c r="B1895" s="7" t="s">
        <v>206</v>
      </c>
      <c r="C1895" s="8">
        <f>IFERROR(__xludf.DUMMYFUNCTION("SPLIT(B1895,""RM"")"),920000.0)</f>
        <v>920000</v>
      </c>
      <c r="D1895" s="7">
        <v>4.0</v>
      </c>
      <c r="E1895" s="7">
        <v>3.0</v>
      </c>
      <c r="F1895" s="7">
        <v>4.0</v>
      </c>
      <c r="G1895" s="7" t="s">
        <v>46</v>
      </c>
      <c r="H1895" s="7" t="s">
        <v>1121</v>
      </c>
      <c r="I1895" s="7" t="s">
        <v>27</v>
      </c>
    </row>
    <row r="1896">
      <c r="A1896" s="7" t="s">
        <v>32</v>
      </c>
      <c r="B1896" s="7" t="s">
        <v>327</v>
      </c>
      <c r="C1896" s="8">
        <f>IFERROR(__xludf.DUMMYFUNCTION("SPLIT(B1896,""RM"")"),1300000.0)</f>
        <v>1300000</v>
      </c>
      <c r="G1896" s="7" t="s">
        <v>90</v>
      </c>
      <c r="H1896" s="7" t="s">
        <v>280</v>
      </c>
      <c r="I1896" s="7" t="s">
        <v>27</v>
      </c>
    </row>
    <row r="1897">
      <c r="A1897" s="7" t="s">
        <v>104</v>
      </c>
      <c r="B1897" s="7" t="s">
        <v>132</v>
      </c>
      <c r="C1897" s="8">
        <f>IFERROR(__xludf.DUMMYFUNCTION("SPLIT(B1897,""RM"")"),1080000.0)</f>
        <v>1080000</v>
      </c>
      <c r="D1897" s="7">
        <v>5.0</v>
      </c>
      <c r="E1897" s="7">
        <v>4.0</v>
      </c>
      <c r="F1897" s="7">
        <v>4.0</v>
      </c>
      <c r="G1897" s="7" t="s">
        <v>54</v>
      </c>
      <c r="H1897" s="7" t="s">
        <v>719</v>
      </c>
      <c r="I1897" s="7" t="s">
        <v>27</v>
      </c>
    </row>
    <row r="1898">
      <c r="A1898" s="7" t="s">
        <v>32</v>
      </c>
      <c r="B1898" s="7" t="s">
        <v>85</v>
      </c>
      <c r="C1898" s="8">
        <f>IFERROR(__xludf.DUMMYFUNCTION("SPLIT(B1898,""RM"")"),1450000.0)</f>
        <v>1450000</v>
      </c>
      <c r="D1898" s="7" t="s">
        <v>70</v>
      </c>
      <c r="E1898" s="7">
        <v>5.0</v>
      </c>
      <c r="F1898" s="7">
        <v>4.0</v>
      </c>
      <c r="G1898" s="7" t="s">
        <v>90</v>
      </c>
      <c r="H1898" s="7" t="s">
        <v>280</v>
      </c>
      <c r="I1898" s="7" t="s">
        <v>22</v>
      </c>
    </row>
    <row r="1899">
      <c r="A1899" s="7" t="s">
        <v>72</v>
      </c>
      <c r="B1899" s="7" t="s">
        <v>372</v>
      </c>
      <c r="C1899" s="8">
        <f>IFERROR(__xludf.DUMMYFUNCTION("SPLIT(B1899,""RM"")"),700000.0)</f>
        <v>700000</v>
      </c>
      <c r="D1899" s="7">
        <v>2.0</v>
      </c>
      <c r="E1899" s="7">
        <v>2.0</v>
      </c>
      <c r="F1899" s="7">
        <v>2.0</v>
      </c>
      <c r="G1899" s="7" t="s">
        <v>82</v>
      </c>
      <c r="H1899" s="7" t="s">
        <v>1582</v>
      </c>
      <c r="I1899" s="7" t="s">
        <v>22</v>
      </c>
    </row>
    <row r="1900">
      <c r="A1900" s="7" t="s">
        <v>28</v>
      </c>
      <c r="B1900" s="7" t="s">
        <v>890</v>
      </c>
      <c r="C1900" s="8">
        <f>IFERROR(__xludf.DUMMYFUNCTION("SPLIT(B1900,""RM"")"),450000.0)</f>
        <v>450000</v>
      </c>
      <c r="D1900" s="7">
        <v>3.0</v>
      </c>
      <c r="E1900" s="7">
        <v>2.0</v>
      </c>
      <c r="F1900" s="7">
        <v>1.0</v>
      </c>
      <c r="G1900" s="7" t="s">
        <v>83</v>
      </c>
      <c r="I1900" s="7" t="s">
        <v>27</v>
      </c>
    </row>
    <row r="1901">
      <c r="A1901" s="7" t="s">
        <v>77</v>
      </c>
      <c r="B1901" s="7" t="s">
        <v>1349</v>
      </c>
      <c r="C1901" s="8">
        <f>IFERROR(__xludf.DUMMYFUNCTION("SPLIT(B1901,""RM"")"),1220000.0)</f>
        <v>1220000</v>
      </c>
      <c r="D1901" s="7" t="s">
        <v>57</v>
      </c>
      <c r="E1901" s="7">
        <v>4.0</v>
      </c>
      <c r="F1901" s="7">
        <v>2.0</v>
      </c>
      <c r="G1901" s="7" t="s">
        <v>470</v>
      </c>
      <c r="H1901" s="7" t="s">
        <v>1583</v>
      </c>
    </row>
    <row r="1902">
      <c r="A1902" s="7" t="s">
        <v>143</v>
      </c>
      <c r="B1902" s="7" t="s">
        <v>316</v>
      </c>
      <c r="C1902" s="8">
        <f>IFERROR(__xludf.DUMMYFUNCTION("SPLIT(B1902,""RM"")"),820000.0)</f>
        <v>820000</v>
      </c>
      <c r="D1902" s="7">
        <v>1.0</v>
      </c>
      <c r="E1902" s="7">
        <v>1.0</v>
      </c>
      <c r="F1902" s="7">
        <v>1.0</v>
      </c>
      <c r="G1902" s="7" t="s">
        <v>20</v>
      </c>
      <c r="H1902" s="7" t="s">
        <v>252</v>
      </c>
    </row>
    <row r="1903">
      <c r="A1903" s="7" t="s">
        <v>33</v>
      </c>
      <c r="B1903" s="7" t="s">
        <v>599</v>
      </c>
      <c r="C1903" s="8">
        <f>IFERROR(__xludf.DUMMYFUNCTION("SPLIT(B1903,""RM"")"),950000.0)</f>
        <v>950000</v>
      </c>
      <c r="D1903" s="7" t="s">
        <v>35</v>
      </c>
      <c r="E1903" s="7">
        <v>3.0</v>
      </c>
      <c r="F1903" s="7">
        <v>2.0</v>
      </c>
      <c r="G1903" s="7" t="s">
        <v>83</v>
      </c>
      <c r="H1903" s="7" t="s">
        <v>36</v>
      </c>
    </row>
    <row r="1904">
      <c r="A1904" s="7" t="s">
        <v>371</v>
      </c>
      <c r="B1904" s="7" t="s">
        <v>1584</v>
      </c>
      <c r="C1904" s="8">
        <f>IFERROR(__xludf.DUMMYFUNCTION("SPLIT(B1904,""RM"")"),1318350.0)</f>
        <v>1318350</v>
      </c>
      <c r="D1904" s="7" t="s">
        <v>57</v>
      </c>
      <c r="E1904" s="7">
        <v>3.0</v>
      </c>
      <c r="F1904" s="7">
        <v>2.0</v>
      </c>
      <c r="G1904" s="7" t="s">
        <v>83</v>
      </c>
      <c r="H1904" s="7" t="s">
        <v>99</v>
      </c>
      <c r="I1904" s="7" t="s">
        <v>27</v>
      </c>
    </row>
    <row r="1905">
      <c r="A1905" s="7" t="s">
        <v>371</v>
      </c>
      <c r="B1905" s="7" t="s">
        <v>34</v>
      </c>
      <c r="C1905" s="8">
        <f>IFERROR(__xludf.DUMMYFUNCTION("SPLIT(B1905,""RM"")"),900000.0)</f>
        <v>900000</v>
      </c>
      <c r="D1905" s="7" t="s">
        <v>57</v>
      </c>
      <c r="E1905" s="7">
        <v>3.0</v>
      </c>
      <c r="F1905" s="7">
        <v>2.0</v>
      </c>
      <c r="G1905" s="7" t="s">
        <v>83</v>
      </c>
      <c r="H1905" s="7" t="s">
        <v>1585</v>
      </c>
      <c r="I1905" s="7" t="s">
        <v>27</v>
      </c>
    </row>
    <row r="1906">
      <c r="A1906" s="7" t="s">
        <v>33</v>
      </c>
      <c r="B1906" s="7" t="s">
        <v>603</v>
      </c>
      <c r="C1906" s="8">
        <f>IFERROR(__xludf.DUMMYFUNCTION("SPLIT(B1906,""RM"")"),628000.0)</f>
        <v>628000</v>
      </c>
      <c r="D1906" s="7">
        <v>2.0</v>
      </c>
      <c r="E1906" s="7">
        <v>2.0</v>
      </c>
      <c r="F1906" s="7">
        <v>2.0</v>
      </c>
      <c r="G1906" s="7" t="s">
        <v>82</v>
      </c>
      <c r="H1906" s="7" t="s">
        <v>222</v>
      </c>
      <c r="I1906" s="7" t="s">
        <v>27</v>
      </c>
    </row>
    <row r="1907">
      <c r="A1907" s="7" t="s">
        <v>72</v>
      </c>
      <c r="B1907" s="7" t="s">
        <v>85</v>
      </c>
      <c r="C1907" s="8">
        <f>IFERROR(__xludf.DUMMYFUNCTION("SPLIT(B1907,""RM"")"),1450000.0)</f>
        <v>1450000</v>
      </c>
      <c r="D1907" s="7">
        <v>4.0</v>
      </c>
      <c r="E1907" s="7">
        <v>4.0</v>
      </c>
      <c r="G1907" s="7" t="s">
        <v>83</v>
      </c>
      <c r="H1907" s="7" t="s">
        <v>84</v>
      </c>
      <c r="I1907" s="7" t="s">
        <v>22</v>
      </c>
    </row>
    <row r="1908">
      <c r="A1908" s="7" t="s">
        <v>32</v>
      </c>
      <c r="B1908" s="7" t="s">
        <v>134</v>
      </c>
      <c r="C1908" s="8">
        <f>IFERROR(__xludf.DUMMYFUNCTION("SPLIT(B1908,""RM"")"),1150000.0)</f>
        <v>1150000</v>
      </c>
      <c r="D1908" s="7">
        <v>4.0</v>
      </c>
      <c r="E1908" s="7">
        <v>3.0</v>
      </c>
      <c r="G1908" s="7" t="s">
        <v>184</v>
      </c>
      <c r="H1908" s="7" t="s">
        <v>400</v>
      </c>
    </row>
    <row r="1909">
      <c r="A1909" s="7" t="s">
        <v>72</v>
      </c>
      <c r="B1909" s="7" t="s">
        <v>191</v>
      </c>
      <c r="C1909" s="8">
        <f>IFERROR(__xludf.DUMMYFUNCTION("SPLIT(B1909,""RM"")"),1000000.0)</f>
        <v>1000000</v>
      </c>
      <c r="D1909" s="7">
        <v>2.0</v>
      </c>
      <c r="E1909" s="7">
        <v>2.0</v>
      </c>
      <c r="F1909" s="7">
        <v>1.0</v>
      </c>
      <c r="G1909" s="7" t="s">
        <v>20</v>
      </c>
      <c r="H1909" s="7" t="s">
        <v>964</v>
      </c>
      <c r="I1909" s="7" t="s">
        <v>22</v>
      </c>
    </row>
    <row r="1910">
      <c r="A1910" s="7" t="s">
        <v>371</v>
      </c>
      <c r="B1910" s="7" t="s">
        <v>1586</v>
      </c>
      <c r="C1910" s="8">
        <f>IFERROR(__xludf.DUMMYFUNCTION("SPLIT(B1910,""RM"")"),914160.0)</f>
        <v>914160</v>
      </c>
      <c r="D1910" s="7">
        <v>2.0</v>
      </c>
      <c r="E1910" s="7">
        <v>2.0</v>
      </c>
      <c r="F1910" s="7">
        <v>2.0</v>
      </c>
      <c r="G1910" s="7" t="s">
        <v>30</v>
      </c>
      <c r="H1910" s="7" t="s">
        <v>1395</v>
      </c>
      <c r="I1910" s="7" t="s">
        <v>27</v>
      </c>
    </row>
    <row r="1911">
      <c r="A1911" s="7" t="s">
        <v>371</v>
      </c>
      <c r="B1911" s="7" t="s">
        <v>635</v>
      </c>
      <c r="C1911" s="8">
        <f>IFERROR(__xludf.DUMMYFUNCTION("SPLIT(B1911,""RM"")"),720000.0)</f>
        <v>720000</v>
      </c>
      <c r="D1911" s="7" t="s">
        <v>57</v>
      </c>
      <c r="E1911" s="7">
        <v>3.0</v>
      </c>
      <c r="F1911" s="7">
        <v>2.0</v>
      </c>
      <c r="G1911" s="7" t="s">
        <v>30</v>
      </c>
      <c r="H1911" s="7" t="s">
        <v>1587</v>
      </c>
      <c r="I1911" s="7" t="s">
        <v>22</v>
      </c>
    </row>
    <row r="1912">
      <c r="A1912" s="7" t="s">
        <v>371</v>
      </c>
      <c r="B1912" s="7" t="s">
        <v>902</v>
      </c>
      <c r="C1912" s="8">
        <f>IFERROR(__xludf.DUMMYFUNCTION("SPLIT(B1912,""RM"")"),710000.0)</f>
        <v>710000</v>
      </c>
      <c r="D1912" s="7" t="s">
        <v>57</v>
      </c>
      <c r="E1912" s="7">
        <v>3.0</v>
      </c>
      <c r="F1912" s="7">
        <v>2.0</v>
      </c>
      <c r="G1912" s="7" t="s">
        <v>96</v>
      </c>
      <c r="H1912" s="7" t="s">
        <v>1587</v>
      </c>
      <c r="I1912" s="7" t="s">
        <v>27</v>
      </c>
    </row>
    <row r="1913">
      <c r="A1913" s="7" t="s">
        <v>148</v>
      </c>
      <c r="B1913" s="7" t="s">
        <v>1588</v>
      </c>
      <c r="C1913" s="8">
        <f>IFERROR(__xludf.DUMMYFUNCTION("SPLIT(B1913,""RM"")"),1779286.0)</f>
        <v>1779286</v>
      </c>
      <c r="D1913" s="7" t="s">
        <v>57</v>
      </c>
      <c r="E1913" s="7">
        <v>4.0</v>
      </c>
      <c r="F1913" s="7">
        <v>3.0</v>
      </c>
      <c r="G1913" s="7" t="s">
        <v>1325</v>
      </c>
      <c r="H1913" s="7" t="s">
        <v>1589</v>
      </c>
      <c r="I1913" s="7" t="s">
        <v>22</v>
      </c>
    </row>
    <row r="1914">
      <c r="A1914" s="7" t="s">
        <v>371</v>
      </c>
      <c r="B1914" s="7" t="s">
        <v>761</v>
      </c>
      <c r="C1914" s="8">
        <f>IFERROR(__xludf.DUMMYFUNCTION("SPLIT(B1914,""RM"")"),480000.0)</f>
        <v>480000</v>
      </c>
      <c r="D1914" s="7" t="s">
        <v>57</v>
      </c>
      <c r="E1914" s="7">
        <v>3.0</v>
      </c>
      <c r="F1914" s="7">
        <v>2.0</v>
      </c>
      <c r="G1914" s="7" t="s">
        <v>30</v>
      </c>
      <c r="H1914" s="7" t="s">
        <v>1521</v>
      </c>
      <c r="I1914" s="7" t="s">
        <v>27</v>
      </c>
    </row>
    <row r="1915">
      <c r="A1915" s="7" t="s">
        <v>371</v>
      </c>
      <c r="B1915" s="7" t="s">
        <v>759</v>
      </c>
      <c r="C1915" s="8">
        <f>IFERROR(__xludf.DUMMYFUNCTION("SPLIT(B1915,""RM"")"),520000.0)</f>
        <v>520000</v>
      </c>
      <c r="D1915" s="7" t="s">
        <v>57</v>
      </c>
      <c r="E1915" s="7">
        <v>3.0</v>
      </c>
      <c r="F1915" s="7">
        <v>2.0</v>
      </c>
      <c r="G1915" s="7" t="s">
        <v>83</v>
      </c>
      <c r="H1915" s="7" t="s">
        <v>1521</v>
      </c>
      <c r="I1915" s="7" t="s">
        <v>22</v>
      </c>
    </row>
    <row r="1916">
      <c r="A1916" s="7" t="s">
        <v>177</v>
      </c>
      <c r="B1916" s="7" t="s">
        <v>1590</v>
      </c>
      <c r="C1916" s="8">
        <f>IFERROR(__xludf.DUMMYFUNCTION("SPLIT(B1916,""RM"")"),5550000.0)</f>
        <v>5550000</v>
      </c>
      <c r="D1916" s="7" t="s">
        <v>35</v>
      </c>
      <c r="E1916" s="7">
        <v>5.0</v>
      </c>
      <c r="F1916" s="7">
        <v>4.0</v>
      </c>
      <c r="G1916" s="7" t="s">
        <v>25</v>
      </c>
      <c r="H1916" s="7" t="s">
        <v>1591</v>
      </c>
      <c r="I1916" s="7" t="s">
        <v>27</v>
      </c>
    </row>
    <row r="1917">
      <c r="A1917" s="7" t="s">
        <v>371</v>
      </c>
      <c r="B1917" s="7" t="s">
        <v>214</v>
      </c>
      <c r="C1917" s="8">
        <f>IFERROR(__xludf.DUMMYFUNCTION("SPLIT(B1917,""RM"")"),1180000.0)</f>
        <v>1180000</v>
      </c>
      <c r="D1917" s="7" t="s">
        <v>57</v>
      </c>
      <c r="E1917" s="7">
        <v>4.0</v>
      </c>
      <c r="F1917" s="7">
        <v>3.0</v>
      </c>
      <c r="G1917" s="7" t="s">
        <v>30</v>
      </c>
      <c r="H1917" s="7" t="s">
        <v>1356</v>
      </c>
      <c r="I1917" s="7" t="s">
        <v>103</v>
      </c>
    </row>
    <row r="1918">
      <c r="A1918" s="7" t="s">
        <v>371</v>
      </c>
      <c r="B1918" s="7" t="s">
        <v>229</v>
      </c>
      <c r="C1918" s="8">
        <f>IFERROR(__xludf.DUMMYFUNCTION("SPLIT(B1918,""RM"")"),1050000.0)</f>
        <v>1050000</v>
      </c>
      <c r="D1918" s="7">
        <v>3.0</v>
      </c>
      <c r="E1918" s="7">
        <v>2.0</v>
      </c>
      <c r="F1918" s="7">
        <v>2.0</v>
      </c>
      <c r="G1918" s="7" t="s">
        <v>30</v>
      </c>
      <c r="H1918" s="7" t="s">
        <v>1592</v>
      </c>
      <c r="I1918" s="7" t="s">
        <v>103</v>
      </c>
    </row>
    <row r="1919">
      <c r="A1919" s="7" t="s">
        <v>371</v>
      </c>
      <c r="B1919" s="7" t="s">
        <v>214</v>
      </c>
      <c r="C1919" s="8">
        <f>IFERROR(__xludf.DUMMYFUNCTION("SPLIT(B1919,""RM"")"),1180000.0)</f>
        <v>1180000</v>
      </c>
      <c r="D1919" s="7" t="s">
        <v>57</v>
      </c>
      <c r="E1919" s="7">
        <v>4.0</v>
      </c>
      <c r="F1919" s="7">
        <v>3.0</v>
      </c>
      <c r="G1919" s="7" t="s">
        <v>30</v>
      </c>
      <c r="H1919" s="7" t="s">
        <v>1593</v>
      </c>
      <c r="I1919" s="7" t="s">
        <v>103</v>
      </c>
    </row>
    <row r="1920">
      <c r="A1920" s="7" t="s">
        <v>371</v>
      </c>
      <c r="B1920" s="7" t="s">
        <v>844</v>
      </c>
      <c r="C1920" s="8">
        <f>IFERROR(__xludf.DUMMYFUNCTION("SPLIT(B1920,""RM"")"),1690000.0)</f>
        <v>1690000</v>
      </c>
      <c r="D1920" s="7" t="s">
        <v>57</v>
      </c>
      <c r="E1920" s="7">
        <v>4.0</v>
      </c>
      <c r="F1920" s="7">
        <v>4.0</v>
      </c>
      <c r="G1920" s="7" t="s">
        <v>30</v>
      </c>
      <c r="H1920" s="7" t="s">
        <v>1594</v>
      </c>
      <c r="I1920" s="7" t="s">
        <v>103</v>
      </c>
    </row>
    <row r="1921">
      <c r="A1921" s="7" t="s">
        <v>180</v>
      </c>
      <c r="B1921" s="7" t="s">
        <v>1595</v>
      </c>
      <c r="C1921" s="8">
        <f>IFERROR(__xludf.DUMMYFUNCTION("SPLIT(B1921,""RM"")"),975000.0)</f>
        <v>975000</v>
      </c>
      <c r="D1921" s="7" t="s">
        <v>57</v>
      </c>
      <c r="E1921" s="7">
        <v>3.0</v>
      </c>
      <c r="F1921" s="7">
        <v>1.0</v>
      </c>
      <c r="G1921" s="7" t="s">
        <v>30</v>
      </c>
      <c r="H1921" s="7" t="s">
        <v>1596</v>
      </c>
      <c r="I1921" s="7" t="s">
        <v>27</v>
      </c>
    </row>
    <row r="1922">
      <c r="A1922" s="7" t="s">
        <v>143</v>
      </c>
      <c r="B1922" s="7" t="s">
        <v>407</v>
      </c>
      <c r="C1922" s="8">
        <f>IFERROR(__xludf.DUMMYFUNCTION("SPLIT(B1922,""RM"")"),880000.0)</f>
        <v>880000</v>
      </c>
      <c r="D1922" s="7">
        <v>2.0</v>
      </c>
      <c r="E1922" s="7">
        <v>2.0</v>
      </c>
      <c r="F1922" s="7">
        <v>1.0</v>
      </c>
      <c r="G1922" s="7" t="s">
        <v>83</v>
      </c>
      <c r="H1922" s="7" t="s">
        <v>1597</v>
      </c>
      <c r="I1922" s="7" t="s">
        <v>22</v>
      </c>
    </row>
    <row r="1923">
      <c r="A1923" s="7" t="s">
        <v>72</v>
      </c>
      <c r="B1923" s="7" t="s">
        <v>1598</v>
      </c>
      <c r="C1923" s="8">
        <f>IFERROR(__xludf.DUMMYFUNCTION("SPLIT(B1923,""RM"")"),1829880.0)</f>
        <v>1829880</v>
      </c>
      <c r="D1923" s="7" t="s">
        <v>57</v>
      </c>
      <c r="E1923" s="7">
        <v>5.0</v>
      </c>
      <c r="F1923" s="7">
        <v>3.0</v>
      </c>
      <c r="G1923" s="7" t="s">
        <v>378</v>
      </c>
      <c r="H1923" s="7" t="s">
        <v>1599</v>
      </c>
      <c r="I1923" s="7" t="s">
        <v>27</v>
      </c>
    </row>
    <row r="1924">
      <c r="A1924" s="7" t="s">
        <v>86</v>
      </c>
      <c r="B1924" s="7" t="s">
        <v>1600</v>
      </c>
      <c r="C1924" s="8">
        <f>IFERROR(__xludf.DUMMYFUNCTION("SPLIT(B1924,""RM"")"),639999.0)</f>
        <v>639999</v>
      </c>
      <c r="D1924" s="7">
        <v>2.0</v>
      </c>
      <c r="E1924" s="7">
        <v>2.0</v>
      </c>
      <c r="G1924" s="7" t="s">
        <v>20</v>
      </c>
      <c r="H1924" s="7" t="s">
        <v>416</v>
      </c>
    </row>
    <row r="1925">
      <c r="A1925" s="7" t="s">
        <v>33</v>
      </c>
      <c r="B1925" s="7" t="s">
        <v>268</v>
      </c>
      <c r="C1925" s="8">
        <f>IFERROR(__xludf.DUMMYFUNCTION("SPLIT(B1925,""RM"")"),500000.0)</f>
        <v>500000</v>
      </c>
      <c r="D1925" s="7">
        <v>2.0</v>
      </c>
      <c r="E1925" s="7">
        <v>1.0</v>
      </c>
      <c r="F1925" s="7">
        <v>1.0</v>
      </c>
      <c r="G1925" s="7" t="s">
        <v>20</v>
      </c>
      <c r="H1925" s="7" t="s">
        <v>978</v>
      </c>
    </row>
    <row r="1926">
      <c r="A1926" s="7" t="s">
        <v>32</v>
      </c>
      <c r="B1926" s="7" t="s">
        <v>361</v>
      </c>
      <c r="C1926" s="8">
        <f>IFERROR(__xludf.DUMMYFUNCTION("SPLIT(B1926,""RM"")"),530000.0)</f>
        <v>530000</v>
      </c>
      <c r="D1926" s="7">
        <v>1.0</v>
      </c>
      <c r="E1926" s="7">
        <v>1.0</v>
      </c>
      <c r="F1926" s="7">
        <v>1.0</v>
      </c>
      <c r="G1926" s="7" t="s">
        <v>20</v>
      </c>
      <c r="H1926" s="7" t="s">
        <v>678</v>
      </c>
    </row>
    <row r="1927">
      <c r="A1927" s="7" t="s">
        <v>72</v>
      </c>
      <c r="B1927" s="7" t="s">
        <v>329</v>
      </c>
      <c r="C1927" s="8">
        <f>IFERROR(__xludf.DUMMYFUNCTION("SPLIT(B1927,""RM"")"),1200000.0)</f>
        <v>1200000</v>
      </c>
      <c r="D1927" s="7" t="s">
        <v>57</v>
      </c>
      <c r="E1927" s="7">
        <v>3.0</v>
      </c>
      <c r="F1927" s="7">
        <v>2.0</v>
      </c>
      <c r="G1927" s="7" t="s">
        <v>83</v>
      </c>
      <c r="H1927" s="7" t="s">
        <v>99</v>
      </c>
    </row>
    <row r="1928">
      <c r="A1928" s="7" t="s">
        <v>171</v>
      </c>
      <c r="B1928" s="7" t="s">
        <v>1601</v>
      </c>
      <c r="C1928" s="8">
        <f>IFERROR(__xludf.DUMMYFUNCTION("SPLIT(B1928,""RM"")"),315000.0)</f>
        <v>315000</v>
      </c>
      <c r="D1928" s="7" t="s">
        <v>325</v>
      </c>
      <c r="E1928" s="7">
        <v>1.0</v>
      </c>
      <c r="F1928" s="7">
        <v>1.0</v>
      </c>
      <c r="G1928" s="7" t="s">
        <v>82</v>
      </c>
      <c r="H1928" s="7" t="s">
        <v>688</v>
      </c>
      <c r="I1928" s="7" t="s">
        <v>22</v>
      </c>
    </row>
    <row r="1929">
      <c r="A1929" s="7" t="s">
        <v>32</v>
      </c>
      <c r="B1929" s="7" t="s">
        <v>172</v>
      </c>
      <c r="C1929" s="8">
        <f>IFERROR(__xludf.DUMMYFUNCTION("SPLIT(B1929,""RM"")"),580000.0)</f>
        <v>580000</v>
      </c>
      <c r="D1929" s="7">
        <v>4.0</v>
      </c>
      <c r="E1929" s="7">
        <v>2.0</v>
      </c>
      <c r="F1929" s="7">
        <v>3.0</v>
      </c>
      <c r="G1929" s="7" t="s">
        <v>717</v>
      </c>
      <c r="H1929" s="7" t="s">
        <v>91</v>
      </c>
      <c r="I1929" s="7" t="s">
        <v>27</v>
      </c>
    </row>
    <row r="1930">
      <c r="A1930" s="7" t="s">
        <v>33</v>
      </c>
      <c r="B1930" s="7" t="s">
        <v>575</v>
      </c>
      <c r="C1930" s="8">
        <f>IFERROR(__xludf.DUMMYFUNCTION("SPLIT(B1930,""RM"")"),660000.0)</f>
        <v>660000</v>
      </c>
      <c r="D1930" s="7">
        <v>4.0</v>
      </c>
      <c r="E1930" s="7">
        <v>2.0</v>
      </c>
      <c r="F1930" s="7">
        <v>2.0</v>
      </c>
      <c r="G1930" s="7" t="s">
        <v>30</v>
      </c>
      <c r="H1930" s="7" t="s">
        <v>868</v>
      </c>
      <c r="I1930" s="7" t="s">
        <v>27</v>
      </c>
    </row>
    <row r="1931">
      <c r="A1931" s="7" t="s">
        <v>89</v>
      </c>
      <c r="B1931" s="7" t="s">
        <v>1166</v>
      </c>
      <c r="C1931" s="8">
        <f>IFERROR(__xludf.DUMMYFUNCTION("SPLIT(B1931,""RM"")"),760000.0)</f>
        <v>760000</v>
      </c>
      <c r="D1931" s="7">
        <v>2.0</v>
      </c>
      <c r="E1931" s="7">
        <v>2.0</v>
      </c>
      <c r="F1931" s="7">
        <v>2.0</v>
      </c>
      <c r="G1931" s="7" t="s">
        <v>145</v>
      </c>
      <c r="H1931" s="7" t="s">
        <v>1602</v>
      </c>
    </row>
    <row r="1932">
      <c r="A1932" s="7" t="s">
        <v>104</v>
      </c>
      <c r="B1932" s="7" t="s">
        <v>1603</v>
      </c>
      <c r="C1932" s="8">
        <f>IFERROR(__xludf.DUMMYFUNCTION("SPLIT(B1932,""RM"")"),288000.0)</f>
        <v>288000</v>
      </c>
      <c r="D1932" s="7">
        <v>3.0</v>
      </c>
      <c r="E1932" s="7">
        <v>2.0</v>
      </c>
      <c r="F1932" s="7">
        <v>3.0</v>
      </c>
      <c r="G1932" s="7" t="s">
        <v>494</v>
      </c>
      <c r="H1932" s="7" t="s">
        <v>135</v>
      </c>
      <c r="I1932" s="7" t="s">
        <v>103</v>
      </c>
    </row>
    <row r="1933">
      <c r="A1933" s="7" t="s">
        <v>104</v>
      </c>
      <c r="B1933" s="7" t="s">
        <v>353</v>
      </c>
      <c r="C1933" s="8">
        <f>IFERROR(__xludf.DUMMYFUNCTION("SPLIT(B1933,""RM"")"),350000.0)</f>
        <v>350000</v>
      </c>
      <c r="D1933" s="7">
        <v>3.0</v>
      </c>
      <c r="E1933" s="7">
        <v>2.0</v>
      </c>
      <c r="F1933" s="7">
        <v>2.0</v>
      </c>
      <c r="G1933" s="7" t="s">
        <v>203</v>
      </c>
      <c r="H1933" s="7" t="s">
        <v>200</v>
      </c>
      <c r="I1933" s="7" t="s">
        <v>27</v>
      </c>
    </row>
    <row r="1934">
      <c r="A1934" s="7" t="s">
        <v>72</v>
      </c>
      <c r="B1934" s="7" t="s">
        <v>156</v>
      </c>
      <c r="C1934" s="8">
        <f>IFERROR(__xludf.DUMMYFUNCTION("SPLIT(B1934,""RM"")"),850000.0)</f>
        <v>850000</v>
      </c>
      <c r="D1934" s="7">
        <v>3.0</v>
      </c>
      <c r="E1934" s="7">
        <v>2.0</v>
      </c>
      <c r="F1934" s="7">
        <v>2.0</v>
      </c>
      <c r="G1934" s="7" t="s">
        <v>83</v>
      </c>
      <c r="H1934" s="7" t="s">
        <v>1604</v>
      </c>
      <c r="I1934" s="7" t="s">
        <v>22</v>
      </c>
    </row>
    <row r="1935">
      <c r="A1935" s="7" t="s">
        <v>155</v>
      </c>
      <c r="B1935" s="7" t="s">
        <v>1605</v>
      </c>
      <c r="C1935" s="8">
        <f>IFERROR(__xludf.DUMMYFUNCTION("SPLIT(B1935,""RM"")"),348000.0)</f>
        <v>348000</v>
      </c>
      <c r="D1935" s="7" t="s">
        <v>19</v>
      </c>
      <c r="E1935" s="7">
        <v>1.0</v>
      </c>
      <c r="F1935" s="7">
        <v>1.0</v>
      </c>
      <c r="G1935" s="7" t="s">
        <v>20</v>
      </c>
      <c r="H1935" s="7" t="s">
        <v>471</v>
      </c>
      <c r="I1935" s="7" t="s">
        <v>103</v>
      </c>
    </row>
    <row r="1936">
      <c r="A1936" s="7" t="s">
        <v>72</v>
      </c>
      <c r="B1936" s="7" t="s">
        <v>45</v>
      </c>
      <c r="C1936" s="8">
        <f>IFERROR(__xludf.DUMMYFUNCTION("SPLIT(B1936,""RM"")"),1950000.0)</f>
        <v>1950000</v>
      </c>
      <c r="D1936" s="7" t="s">
        <v>57</v>
      </c>
      <c r="E1936" s="7">
        <v>5.0</v>
      </c>
      <c r="F1936" s="7">
        <v>3.0</v>
      </c>
      <c r="G1936" s="7" t="s">
        <v>30</v>
      </c>
      <c r="H1936" s="7" t="s">
        <v>561</v>
      </c>
      <c r="I1936" s="7" t="s">
        <v>22</v>
      </c>
    </row>
    <row r="1937">
      <c r="A1937" s="7" t="s">
        <v>72</v>
      </c>
      <c r="B1937" s="7" t="s">
        <v>158</v>
      </c>
      <c r="C1937" s="8">
        <f>IFERROR(__xludf.DUMMYFUNCTION("SPLIT(B1937,""RM"")"),1850000.0)</f>
        <v>1850000</v>
      </c>
      <c r="D1937" s="7" t="s">
        <v>57</v>
      </c>
      <c r="E1937" s="7">
        <v>5.0</v>
      </c>
      <c r="G1937" s="7" t="s">
        <v>30</v>
      </c>
      <c r="H1937" s="7" t="s">
        <v>561</v>
      </c>
      <c r="I1937" s="7" t="s">
        <v>22</v>
      </c>
    </row>
    <row r="1938">
      <c r="A1938" s="7" t="s">
        <v>89</v>
      </c>
      <c r="B1938" s="7" t="s">
        <v>890</v>
      </c>
      <c r="C1938" s="8">
        <f>IFERROR(__xludf.DUMMYFUNCTION("SPLIT(B1938,""RM"")"),450000.0)</f>
        <v>450000</v>
      </c>
      <c r="D1938" s="7">
        <v>2.0</v>
      </c>
      <c r="E1938" s="7">
        <v>2.0</v>
      </c>
      <c r="G1938" s="7" t="s">
        <v>93</v>
      </c>
      <c r="H1938" s="7" t="s">
        <v>1606</v>
      </c>
      <c r="I1938" s="7" t="s">
        <v>103</v>
      </c>
    </row>
    <row r="1939">
      <c r="A1939" s="7" t="s">
        <v>109</v>
      </c>
      <c r="B1939" s="7" t="s">
        <v>172</v>
      </c>
      <c r="C1939" s="8">
        <f>IFERROR(__xludf.DUMMYFUNCTION("SPLIT(B1939,""RM"")"),580000.0)</f>
        <v>580000</v>
      </c>
      <c r="D1939" s="7">
        <v>3.0</v>
      </c>
      <c r="E1939" s="7">
        <v>2.0</v>
      </c>
      <c r="G1939" s="7" t="s">
        <v>83</v>
      </c>
      <c r="H1939" s="7" t="s">
        <v>1607</v>
      </c>
      <c r="I1939" s="7" t="s">
        <v>22</v>
      </c>
    </row>
    <row r="1940">
      <c r="A1940" s="7" t="s">
        <v>77</v>
      </c>
      <c r="B1940" s="7" t="s">
        <v>45</v>
      </c>
      <c r="C1940" s="8">
        <f>IFERROR(__xludf.DUMMYFUNCTION("SPLIT(B1940,""RM"")"),1950000.0)</f>
        <v>1950000</v>
      </c>
      <c r="D1940" s="7" t="s">
        <v>57</v>
      </c>
      <c r="E1940" s="7">
        <v>3.0</v>
      </c>
      <c r="F1940" s="7">
        <v>2.0</v>
      </c>
      <c r="G1940" s="7" t="s">
        <v>93</v>
      </c>
      <c r="H1940" s="7" t="s">
        <v>1608</v>
      </c>
      <c r="I1940" s="7" t="s">
        <v>27</v>
      </c>
    </row>
    <row r="1941">
      <c r="A1941" s="7" t="s">
        <v>77</v>
      </c>
      <c r="B1941" s="7" t="s">
        <v>279</v>
      </c>
      <c r="C1941" s="8">
        <f>IFERROR(__xludf.DUMMYFUNCTION("SPLIT(B1941,""RM"")"),1380000.0)</f>
        <v>1380000</v>
      </c>
      <c r="D1941" s="7" t="s">
        <v>57</v>
      </c>
      <c r="E1941" s="7">
        <v>3.0</v>
      </c>
      <c r="F1941" s="7">
        <v>2.0</v>
      </c>
      <c r="G1941" s="7" t="s">
        <v>93</v>
      </c>
      <c r="H1941" s="7" t="s">
        <v>318</v>
      </c>
      <c r="I1941" s="7" t="s">
        <v>22</v>
      </c>
    </row>
    <row r="1942">
      <c r="A1942" s="7" t="s">
        <v>77</v>
      </c>
      <c r="B1942" s="7" t="s">
        <v>18</v>
      </c>
      <c r="C1942" s="8">
        <f>IFERROR(__xludf.DUMMYFUNCTION("SPLIT(B1942,""RM"")"),1250000.0)</f>
        <v>1250000</v>
      </c>
      <c r="D1942" s="7">
        <v>2.0</v>
      </c>
      <c r="E1942" s="7">
        <v>2.0</v>
      </c>
      <c r="F1942" s="7">
        <v>2.0</v>
      </c>
      <c r="G1942" s="7" t="s">
        <v>83</v>
      </c>
      <c r="H1942" s="7" t="s">
        <v>1505</v>
      </c>
      <c r="I1942" s="7" t="s">
        <v>27</v>
      </c>
    </row>
    <row r="1943">
      <c r="A1943" s="7" t="s">
        <v>104</v>
      </c>
      <c r="B1943" s="7" t="s">
        <v>460</v>
      </c>
      <c r="C1943" s="8">
        <f>IFERROR(__xludf.DUMMYFUNCTION("SPLIT(B1943,""RM"")"),1580000.0)</f>
        <v>1580000</v>
      </c>
      <c r="D1943" s="7">
        <v>4.0</v>
      </c>
      <c r="E1943" s="7">
        <v>3.0</v>
      </c>
      <c r="G1943" s="7" t="s">
        <v>169</v>
      </c>
      <c r="H1943" s="7" t="s">
        <v>333</v>
      </c>
      <c r="I1943" s="7" t="s">
        <v>22</v>
      </c>
    </row>
    <row r="1944" hidden="1">
      <c r="A1944" s="7" t="s">
        <v>17</v>
      </c>
      <c r="C1944" s="7" t="str">
        <f>IFERROR(__xludf.DUMMYFUNCTION("SPLIT(B1944,""RM"")"),"#VALUE!")</f>
        <v>#VALUE!</v>
      </c>
      <c r="D1944" s="7" t="s">
        <v>57</v>
      </c>
      <c r="E1944" s="7">
        <v>5.0</v>
      </c>
      <c r="G1944" s="7" t="s">
        <v>121</v>
      </c>
      <c r="H1944" s="7" t="s">
        <v>1609</v>
      </c>
      <c r="I1944" s="7" t="s">
        <v>27</v>
      </c>
    </row>
    <row r="1945">
      <c r="A1945" s="7" t="s">
        <v>17</v>
      </c>
      <c r="B1945" s="7" t="s">
        <v>1610</v>
      </c>
      <c r="C1945" s="8">
        <f>IFERROR(__xludf.DUMMYFUNCTION("SPLIT(B1945,""RM"")"),4180000.0)</f>
        <v>4180000</v>
      </c>
      <c r="D1945" s="7" t="s">
        <v>57</v>
      </c>
      <c r="E1945" s="7">
        <v>5.0</v>
      </c>
      <c r="F1945" s="7">
        <v>2.0</v>
      </c>
      <c r="G1945" s="7" t="s">
        <v>121</v>
      </c>
      <c r="H1945" s="7" t="s">
        <v>1611</v>
      </c>
      <c r="I1945" s="7" t="s">
        <v>22</v>
      </c>
    </row>
    <row r="1946">
      <c r="A1946" s="7" t="s">
        <v>104</v>
      </c>
      <c r="B1946" s="7" t="s">
        <v>1517</v>
      </c>
      <c r="C1946" s="8">
        <f>IFERROR(__xludf.DUMMYFUNCTION("SPLIT(B1946,""RM"")"),910000.0)</f>
        <v>910000</v>
      </c>
      <c r="D1946" s="7">
        <v>4.0</v>
      </c>
      <c r="E1946" s="7">
        <v>3.0</v>
      </c>
      <c r="G1946" s="7" t="s">
        <v>54</v>
      </c>
      <c r="H1946" s="7" t="s">
        <v>333</v>
      </c>
      <c r="I1946" s="7" t="s">
        <v>27</v>
      </c>
    </row>
    <row r="1947">
      <c r="A1947" s="7" t="s">
        <v>77</v>
      </c>
      <c r="B1947" s="7" t="s">
        <v>81</v>
      </c>
      <c r="C1947" s="8">
        <f>IFERROR(__xludf.DUMMYFUNCTION("SPLIT(B1947,""RM"")"),1550000.0)</f>
        <v>1550000</v>
      </c>
      <c r="D1947" s="7">
        <v>3.0</v>
      </c>
      <c r="E1947" s="7">
        <v>4.0</v>
      </c>
      <c r="G1947" s="7" t="s">
        <v>30</v>
      </c>
      <c r="H1947" s="7" t="s">
        <v>142</v>
      </c>
      <c r="I1947" s="7" t="s">
        <v>27</v>
      </c>
    </row>
    <row r="1948">
      <c r="A1948" s="7" t="s">
        <v>77</v>
      </c>
      <c r="B1948" s="7" t="s">
        <v>81</v>
      </c>
      <c r="C1948" s="8">
        <f>IFERROR(__xludf.DUMMYFUNCTION("SPLIT(B1948,""RM"")"),1550000.0)</f>
        <v>1550000</v>
      </c>
      <c r="D1948" s="7">
        <v>3.0</v>
      </c>
      <c r="E1948" s="7">
        <v>4.0</v>
      </c>
      <c r="G1948" s="7" t="s">
        <v>83</v>
      </c>
      <c r="H1948" s="7" t="s">
        <v>142</v>
      </c>
      <c r="I1948" s="7" t="s">
        <v>27</v>
      </c>
    </row>
    <row r="1949">
      <c r="A1949" s="7" t="s">
        <v>77</v>
      </c>
      <c r="B1949" s="7" t="s">
        <v>132</v>
      </c>
      <c r="C1949" s="8">
        <f>IFERROR(__xludf.DUMMYFUNCTION("SPLIT(B1949,""RM"")"),1080000.0)</f>
        <v>1080000</v>
      </c>
      <c r="D1949" s="7">
        <v>2.0</v>
      </c>
      <c r="E1949" s="7">
        <v>3.0</v>
      </c>
      <c r="F1949" s="7">
        <v>2.0</v>
      </c>
      <c r="G1949" s="7" t="s">
        <v>93</v>
      </c>
      <c r="H1949" s="7" t="s">
        <v>490</v>
      </c>
      <c r="I1949" s="7" t="s">
        <v>27</v>
      </c>
    </row>
    <row r="1950">
      <c r="A1950" s="7" t="s">
        <v>89</v>
      </c>
      <c r="B1950" s="7" t="s">
        <v>1612</v>
      </c>
      <c r="C1950" s="8">
        <f>IFERROR(__xludf.DUMMYFUNCTION("SPLIT(B1950,""RM"")"),488888.0)</f>
        <v>488888</v>
      </c>
      <c r="D1950" s="7">
        <v>1.0</v>
      </c>
      <c r="E1950" s="7">
        <v>1.0</v>
      </c>
      <c r="F1950" s="7">
        <v>1.0</v>
      </c>
      <c r="G1950" s="7" t="s">
        <v>20</v>
      </c>
      <c r="H1950" s="7" t="s">
        <v>924</v>
      </c>
    </row>
    <row r="1951">
      <c r="A1951" s="7" t="s">
        <v>72</v>
      </c>
      <c r="B1951" s="7" t="s">
        <v>728</v>
      </c>
      <c r="C1951" s="8">
        <f>IFERROR(__xludf.DUMMYFUNCTION("SPLIT(B1951,""RM"")"),2340000.0)</f>
        <v>2340000</v>
      </c>
      <c r="D1951" s="7">
        <v>3.0</v>
      </c>
      <c r="E1951" s="7">
        <v>3.0</v>
      </c>
      <c r="F1951" s="7">
        <v>2.0</v>
      </c>
      <c r="G1951" s="7" t="s">
        <v>145</v>
      </c>
      <c r="H1951" s="7" t="s">
        <v>1613</v>
      </c>
      <c r="I1951" s="7" t="s">
        <v>27</v>
      </c>
    </row>
    <row r="1952">
      <c r="A1952" s="7" t="s">
        <v>72</v>
      </c>
      <c r="B1952" s="7" t="s">
        <v>98</v>
      </c>
      <c r="C1952" s="8">
        <f>IFERROR(__xludf.DUMMYFUNCTION("SPLIT(B1952,""RM"")"),1830000.0)</f>
        <v>1830000</v>
      </c>
      <c r="D1952" s="7" t="s">
        <v>57</v>
      </c>
      <c r="E1952" s="7">
        <v>5.0</v>
      </c>
      <c r="F1952" s="7">
        <v>3.0</v>
      </c>
      <c r="G1952" s="7" t="s">
        <v>30</v>
      </c>
      <c r="H1952" s="7" t="s">
        <v>555</v>
      </c>
      <c r="I1952" s="7" t="s">
        <v>27</v>
      </c>
    </row>
    <row r="1953">
      <c r="A1953" s="7" t="s">
        <v>358</v>
      </c>
      <c r="B1953" s="7" t="s">
        <v>353</v>
      </c>
      <c r="C1953" s="8">
        <f>IFERROR(__xludf.DUMMYFUNCTION("SPLIT(B1953,""RM"")"),350000.0)</f>
        <v>350000</v>
      </c>
      <c r="D1953" s="7">
        <v>3.0</v>
      </c>
      <c r="E1953" s="7">
        <v>2.0</v>
      </c>
      <c r="G1953" s="7" t="s">
        <v>50</v>
      </c>
      <c r="H1953" s="7" t="s">
        <v>1614</v>
      </c>
      <c r="I1953" s="7" t="s">
        <v>27</v>
      </c>
    </row>
    <row r="1954">
      <c r="A1954" s="7" t="s">
        <v>32</v>
      </c>
      <c r="B1954" s="7" t="s">
        <v>1615</v>
      </c>
      <c r="C1954" s="8">
        <f>IFERROR(__xludf.DUMMYFUNCTION("SPLIT(B1954,""RM"")"),768888.0)</f>
        <v>768888</v>
      </c>
      <c r="D1954" s="7" t="s">
        <v>197</v>
      </c>
      <c r="E1954" s="7">
        <v>1.0</v>
      </c>
      <c r="F1954" s="7">
        <v>1.0</v>
      </c>
      <c r="G1954" s="7" t="s">
        <v>121</v>
      </c>
      <c r="H1954" s="7" t="s">
        <v>1616</v>
      </c>
      <c r="I1954" s="7" t="s">
        <v>27</v>
      </c>
    </row>
    <row r="1955">
      <c r="A1955" s="7" t="s">
        <v>171</v>
      </c>
      <c r="B1955" s="7" t="s">
        <v>761</v>
      </c>
      <c r="C1955" s="8">
        <f>IFERROR(__xludf.DUMMYFUNCTION("SPLIT(B1955,""RM"")"),480000.0)</f>
        <v>480000</v>
      </c>
      <c r="D1955" s="7" t="s">
        <v>57</v>
      </c>
      <c r="E1955" s="7">
        <v>2.0</v>
      </c>
      <c r="F1955" s="7">
        <v>2.0</v>
      </c>
      <c r="G1955" s="7" t="s">
        <v>20</v>
      </c>
      <c r="H1955" s="7" t="s">
        <v>1617</v>
      </c>
      <c r="I1955" s="7" t="s">
        <v>103</v>
      </c>
    </row>
    <row r="1956">
      <c r="A1956" s="7" t="s">
        <v>171</v>
      </c>
      <c r="B1956" s="7" t="s">
        <v>890</v>
      </c>
      <c r="C1956" s="8">
        <f>IFERROR(__xludf.DUMMYFUNCTION("SPLIT(B1956,""RM"")"),450000.0)</f>
        <v>450000</v>
      </c>
      <c r="D1956" s="7">
        <v>3.0</v>
      </c>
      <c r="E1956" s="7">
        <v>2.0</v>
      </c>
      <c r="F1956" s="7">
        <v>2.0</v>
      </c>
      <c r="G1956" s="7" t="s">
        <v>20</v>
      </c>
      <c r="H1956" s="7" t="s">
        <v>1354</v>
      </c>
      <c r="I1956" s="7" t="s">
        <v>103</v>
      </c>
    </row>
    <row r="1957">
      <c r="A1957" s="7" t="s">
        <v>241</v>
      </c>
      <c r="B1957" s="7" t="s">
        <v>107</v>
      </c>
      <c r="C1957" s="8">
        <f>IFERROR(__xludf.DUMMYFUNCTION("SPLIT(B1957,""RM"")"),460000.0)</f>
        <v>460000</v>
      </c>
      <c r="D1957" s="7">
        <v>3.0</v>
      </c>
      <c r="E1957" s="7">
        <v>2.0</v>
      </c>
      <c r="F1957" s="7">
        <v>2.0</v>
      </c>
      <c r="G1957" s="7" t="s">
        <v>82</v>
      </c>
      <c r="H1957" s="7" t="s">
        <v>954</v>
      </c>
      <c r="I1957" s="7" t="s">
        <v>27</v>
      </c>
    </row>
    <row r="1958">
      <c r="A1958" s="7" t="s">
        <v>155</v>
      </c>
      <c r="B1958" s="7" t="s">
        <v>1605</v>
      </c>
      <c r="C1958" s="8">
        <f>IFERROR(__xludf.DUMMYFUNCTION("SPLIT(B1958,""RM"")"),348000.0)</f>
        <v>348000</v>
      </c>
      <c r="D1958" s="7" t="s">
        <v>19</v>
      </c>
      <c r="E1958" s="7">
        <v>2.0</v>
      </c>
      <c r="F1958" s="7">
        <v>1.0</v>
      </c>
      <c r="G1958" s="7" t="s">
        <v>20</v>
      </c>
      <c r="H1958" s="7" t="s">
        <v>471</v>
      </c>
      <c r="I1958" s="7" t="s">
        <v>103</v>
      </c>
    </row>
    <row r="1959">
      <c r="A1959" s="7" t="s">
        <v>358</v>
      </c>
      <c r="B1959" s="7" t="s">
        <v>353</v>
      </c>
      <c r="C1959" s="8">
        <f>IFERROR(__xludf.DUMMYFUNCTION("SPLIT(B1959,""RM"")"),350000.0)</f>
        <v>350000</v>
      </c>
      <c r="D1959" s="7">
        <v>2.0</v>
      </c>
      <c r="E1959" s="7">
        <v>2.0</v>
      </c>
      <c r="G1959" s="7" t="s">
        <v>169</v>
      </c>
      <c r="H1959" s="7" t="s">
        <v>1141</v>
      </c>
      <c r="I1959" s="7" t="s">
        <v>22</v>
      </c>
    </row>
    <row r="1960">
      <c r="A1960" s="7" t="s">
        <v>72</v>
      </c>
      <c r="B1960" s="7" t="s">
        <v>260</v>
      </c>
      <c r="C1960" s="8">
        <f>IFERROR(__xludf.DUMMYFUNCTION("SPLIT(B1960,""RM"")"),1480000.0)</f>
        <v>1480000</v>
      </c>
      <c r="D1960" s="7" t="s">
        <v>57</v>
      </c>
      <c r="E1960" s="7">
        <v>3.0</v>
      </c>
      <c r="F1960" s="7">
        <v>2.0</v>
      </c>
      <c r="G1960" s="7" t="s">
        <v>30</v>
      </c>
      <c r="H1960" s="7" t="s">
        <v>1618</v>
      </c>
      <c r="I1960" s="7" t="s">
        <v>22</v>
      </c>
    </row>
    <row r="1961">
      <c r="A1961" s="7" t="s">
        <v>77</v>
      </c>
      <c r="B1961" s="7" t="s">
        <v>712</v>
      </c>
      <c r="C1961" s="8">
        <f>IFERROR(__xludf.DUMMYFUNCTION("SPLIT(B1961,""RM"")"),1880000.0)</f>
        <v>1880000</v>
      </c>
      <c r="D1961" s="7" t="s">
        <v>57</v>
      </c>
      <c r="E1961" s="7">
        <v>3.0</v>
      </c>
      <c r="F1961" s="7">
        <v>3.0</v>
      </c>
      <c r="G1961" s="7" t="s">
        <v>30</v>
      </c>
      <c r="H1961" s="7" t="s">
        <v>1125</v>
      </c>
      <c r="I1961" s="7" t="s">
        <v>22</v>
      </c>
    </row>
    <row r="1962">
      <c r="A1962" s="7" t="s">
        <v>32</v>
      </c>
      <c r="B1962" s="7" t="s">
        <v>1308</v>
      </c>
      <c r="C1962" s="8">
        <f>IFERROR(__xludf.DUMMYFUNCTION("SPLIT(B1962,""RM"")"),365000.0)</f>
        <v>365000</v>
      </c>
      <c r="D1962" s="7">
        <v>3.0</v>
      </c>
      <c r="E1962" s="7">
        <v>2.0</v>
      </c>
      <c r="G1962" s="7" t="s">
        <v>83</v>
      </c>
      <c r="H1962" s="7" t="s">
        <v>948</v>
      </c>
      <c r="I1962" s="7" t="s">
        <v>27</v>
      </c>
    </row>
    <row r="1963">
      <c r="A1963" s="7" t="s">
        <v>262</v>
      </c>
      <c r="B1963" s="7" t="s">
        <v>934</v>
      </c>
      <c r="C1963" s="8">
        <f>IFERROR(__xludf.DUMMYFUNCTION("SPLIT(B1963,""RM"")"),1.18E7)</f>
        <v>11800000</v>
      </c>
      <c r="D1963" s="7">
        <v>7.0</v>
      </c>
      <c r="E1963" s="7">
        <v>8.0</v>
      </c>
      <c r="F1963" s="7">
        <v>6.0</v>
      </c>
      <c r="G1963" s="7" t="s">
        <v>25</v>
      </c>
      <c r="H1963" s="7" t="s">
        <v>935</v>
      </c>
      <c r="I1963" s="7" t="s">
        <v>27</v>
      </c>
    </row>
    <row r="1964">
      <c r="A1964" s="7" t="s">
        <v>428</v>
      </c>
      <c r="B1964" s="7" t="s">
        <v>245</v>
      </c>
      <c r="C1964" s="8">
        <f>IFERROR(__xludf.DUMMYFUNCTION("SPLIT(B1964,""RM"")"),800000.0)</f>
        <v>800000</v>
      </c>
      <c r="D1964" s="7" t="s">
        <v>57</v>
      </c>
      <c r="E1964" s="7">
        <v>3.0</v>
      </c>
      <c r="G1964" s="7" t="s">
        <v>20</v>
      </c>
      <c r="H1964" s="7" t="s">
        <v>1619</v>
      </c>
      <c r="I1964" s="7" t="s">
        <v>27</v>
      </c>
    </row>
    <row r="1965">
      <c r="A1965" s="7" t="s">
        <v>32</v>
      </c>
      <c r="B1965" s="7" t="s">
        <v>1620</v>
      </c>
      <c r="C1965" s="8">
        <f>IFERROR(__xludf.DUMMYFUNCTION("SPLIT(B1965,""RM"")"),431000.0)</f>
        <v>431000</v>
      </c>
      <c r="D1965" s="7">
        <v>3.0</v>
      </c>
      <c r="E1965" s="7">
        <v>2.0</v>
      </c>
      <c r="F1965" s="7">
        <v>2.0</v>
      </c>
      <c r="G1965" s="7" t="s">
        <v>121</v>
      </c>
      <c r="H1965" s="7" t="s">
        <v>1330</v>
      </c>
      <c r="I1965" s="7" t="s">
        <v>27</v>
      </c>
    </row>
    <row r="1966">
      <c r="A1966" s="7" t="s">
        <v>23</v>
      </c>
      <c r="B1966" s="7" t="s">
        <v>270</v>
      </c>
      <c r="C1966" s="8">
        <f>IFERROR(__xludf.DUMMYFUNCTION("SPLIT(B1966,""RM"")"),1.38E7)</f>
        <v>13800000</v>
      </c>
      <c r="D1966" s="7" t="s">
        <v>70</v>
      </c>
      <c r="E1966" s="7">
        <v>7.0</v>
      </c>
      <c r="F1966" s="7">
        <v>4.0</v>
      </c>
      <c r="G1966" s="7" t="s">
        <v>25</v>
      </c>
      <c r="H1966" s="7" t="s">
        <v>1621</v>
      </c>
      <c r="I1966" s="7" t="s">
        <v>27</v>
      </c>
    </row>
    <row r="1967">
      <c r="A1967" s="7" t="s">
        <v>171</v>
      </c>
      <c r="B1967" s="7" t="s">
        <v>761</v>
      </c>
      <c r="C1967" s="8">
        <f>IFERROR(__xludf.DUMMYFUNCTION("SPLIT(B1967,""RM"")"),480000.0)</f>
        <v>480000</v>
      </c>
      <c r="D1967" s="7" t="s">
        <v>57</v>
      </c>
      <c r="E1967" s="7">
        <v>2.0</v>
      </c>
      <c r="F1967" s="7">
        <v>2.0</v>
      </c>
      <c r="G1967" s="7" t="s">
        <v>20</v>
      </c>
      <c r="H1967" s="7" t="s">
        <v>1622</v>
      </c>
      <c r="I1967" s="7" t="s">
        <v>103</v>
      </c>
    </row>
    <row r="1968">
      <c r="A1968" s="7" t="s">
        <v>171</v>
      </c>
      <c r="B1968" s="7" t="s">
        <v>890</v>
      </c>
      <c r="C1968" s="8">
        <f>IFERROR(__xludf.DUMMYFUNCTION("SPLIT(B1968,""RM"")"),450000.0)</f>
        <v>450000</v>
      </c>
      <c r="D1968" s="7">
        <v>3.0</v>
      </c>
      <c r="E1968" s="7">
        <v>2.0</v>
      </c>
      <c r="F1968" s="7">
        <v>2.0</v>
      </c>
      <c r="G1968" s="7" t="s">
        <v>20</v>
      </c>
      <c r="I1968" s="7" t="s">
        <v>103</v>
      </c>
    </row>
    <row r="1969">
      <c r="A1969" s="7" t="s">
        <v>143</v>
      </c>
      <c r="B1969" s="7" t="s">
        <v>953</v>
      </c>
      <c r="C1969" s="8">
        <f>IFERROR(__xludf.DUMMYFUNCTION("SPLIT(B1969,""RM"")"),730000.0)</f>
        <v>730000</v>
      </c>
      <c r="D1969" s="7">
        <v>1.0</v>
      </c>
      <c r="E1969" s="7">
        <v>1.0</v>
      </c>
      <c r="F1969" s="7">
        <v>1.0</v>
      </c>
      <c r="G1969" s="7" t="s">
        <v>82</v>
      </c>
      <c r="H1969" s="7" t="s">
        <v>1623</v>
      </c>
      <c r="I1969" s="7" t="s">
        <v>22</v>
      </c>
    </row>
    <row r="1970">
      <c r="A1970" s="7" t="s">
        <v>32</v>
      </c>
      <c r="B1970" s="7" t="s">
        <v>1624</v>
      </c>
      <c r="C1970" s="8">
        <f>IFERROR(__xludf.DUMMYFUNCTION("SPLIT(B1970,""RM"")"),391000.0)</f>
        <v>391000</v>
      </c>
      <c r="D1970" s="7">
        <v>3.0</v>
      </c>
      <c r="E1970" s="7">
        <v>2.0</v>
      </c>
      <c r="F1970" s="7">
        <v>1.0</v>
      </c>
      <c r="G1970" s="7" t="s">
        <v>121</v>
      </c>
      <c r="H1970" s="7" t="s">
        <v>1330</v>
      </c>
      <c r="I1970" s="7" t="s">
        <v>27</v>
      </c>
    </row>
    <row r="1971">
      <c r="A1971" s="7" t="s">
        <v>77</v>
      </c>
      <c r="B1971" s="7" t="s">
        <v>1625</v>
      </c>
      <c r="C1971" s="8">
        <f>IFERROR(__xludf.DUMMYFUNCTION("SPLIT(B1971,""RM"")"),798000.0)</f>
        <v>798000</v>
      </c>
      <c r="D1971" s="7">
        <v>1.0</v>
      </c>
      <c r="E1971" s="7">
        <v>1.0</v>
      </c>
      <c r="F1971" s="7">
        <v>1.0</v>
      </c>
      <c r="G1971" s="7" t="s">
        <v>83</v>
      </c>
      <c r="H1971" s="7" t="s">
        <v>51</v>
      </c>
      <c r="I1971" s="7" t="s">
        <v>22</v>
      </c>
    </row>
    <row r="1972">
      <c r="A1972" s="7" t="s">
        <v>77</v>
      </c>
      <c r="B1972" s="7" t="s">
        <v>813</v>
      </c>
      <c r="C1972" s="8">
        <f>IFERROR(__xludf.DUMMYFUNCTION("SPLIT(B1972,""RM"")"),2290000.0)</f>
        <v>2290000</v>
      </c>
      <c r="D1972" s="7" t="s">
        <v>57</v>
      </c>
      <c r="E1972" s="7">
        <v>3.0</v>
      </c>
      <c r="G1972" s="7" t="s">
        <v>169</v>
      </c>
      <c r="H1972" s="7" t="s">
        <v>307</v>
      </c>
      <c r="I1972" s="7" t="s">
        <v>27</v>
      </c>
    </row>
    <row r="1973">
      <c r="A1973" s="7" t="s">
        <v>432</v>
      </c>
      <c r="B1973" s="7" t="s">
        <v>313</v>
      </c>
      <c r="C1973" s="8">
        <f>IFERROR(__xludf.DUMMYFUNCTION("SPLIT(B1973,""RM"")"),2900000.0)</f>
        <v>2900000</v>
      </c>
      <c r="D1973" s="7" t="s">
        <v>35</v>
      </c>
      <c r="E1973" s="7">
        <v>5.0</v>
      </c>
      <c r="F1973" s="7">
        <v>3.0</v>
      </c>
      <c r="G1973" s="7" t="s">
        <v>83</v>
      </c>
      <c r="H1973" s="7" t="s">
        <v>1495</v>
      </c>
      <c r="I1973" s="7" t="s">
        <v>22</v>
      </c>
    </row>
    <row r="1974">
      <c r="A1974" s="7" t="s">
        <v>432</v>
      </c>
      <c r="B1974" s="7" t="s">
        <v>63</v>
      </c>
      <c r="C1974" s="8">
        <f>IFERROR(__xludf.DUMMYFUNCTION("SPLIT(B1974,""RM"")"),3100000.0)</f>
        <v>3100000</v>
      </c>
      <c r="D1974" s="7" t="s">
        <v>35</v>
      </c>
      <c r="E1974" s="7">
        <v>5.0</v>
      </c>
      <c r="F1974" s="7">
        <v>3.0</v>
      </c>
      <c r="G1974" s="7" t="s">
        <v>83</v>
      </c>
      <c r="H1974" s="7" t="s">
        <v>1626</v>
      </c>
      <c r="I1974" s="7" t="s">
        <v>27</v>
      </c>
    </row>
    <row r="1975">
      <c r="A1975" s="7" t="s">
        <v>432</v>
      </c>
      <c r="B1975" s="7" t="s">
        <v>101</v>
      </c>
      <c r="C1975" s="8">
        <f>IFERROR(__xludf.DUMMYFUNCTION("SPLIT(B1975,""RM"")"),3300000.0)</f>
        <v>3300000</v>
      </c>
      <c r="D1975" s="7" t="s">
        <v>35</v>
      </c>
      <c r="E1975" s="7">
        <v>5.0</v>
      </c>
      <c r="F1975" s="7">
        <v>3.0</v>
      </c>
      <c r="G1975" s="7" t="s">
        <v>83</v>
      </c>
      <c r="H1975" s="7" t="s">
        <v>1626</v>
      </c>
      <c r="I1975" s="7" t="s">
        <v>27</v>
      </c>
    </row>
    <row r="1976">
      <c r="A1976" s="7" t="s">
        <v>432</v>
      </c>
      <c r="B1976" s="7" t="s">
        <v>309</v>
      </c>
      <c r="C1976" s="8">
        <f>IFERROR(__xludf.DUMMYFUNCTION("SPLIT(B1976,""RM"")"),2100000.0)</f>
        <v>2100000</v>
      </c>
      <c r="D1976" s="7" t="s">
        <v>57</v>
      </c>
      <c r="E1976" s="7">
        <v>3.0</v>
      </c>
      <c r="G1976" s="7" t="s">
        <v>83</v>
      </c>
      <c r="H1976" s="7" t="s">
        <v>1627</v>
      </c>
      <c r="I1976" s="7" t="s">
        <v>27</v>
      </c>
    </row>
    <row r="1977">
      <c r="A1977" s="7" t="s">
        <v>432</v>
      </c>
      <c r="B1977" s="7" t="s">
        <v>313</v>
      </c>
      <c r="C1977" s="8">
        <f>IFERROR(__xludf.DUMMYFUNCTION("SPLIT(B1977,""RM"")"),2900000.0)</f>
        <v>2900000</v>
      </c>
      <c r="D1977" s="7" t="s">
        <v>35</v>
      </c>
      <c r="E1977" s="7">
        <v>5.0</v>
      </c>
      <c r="G1977" s="7" t="s">
        <v>83</v>
      </c>
      <c r="H1977" s="7" t="s">
        <v>1628</v>
      </c>
      <c r="I1977" s="7" t="s">
        <v>27</v>
      </c>
    </row>
    <row r="1978">
      <c r="A1978" s="7" t="s">
        <v>432</v>
      </c>
      <c r="B1978" s="7" t="s">
        <v>475</v>
      </c>
      <c r="C1978" s="8">
        <f>IFERROR(__xludf.DUMMYFUNCTION("SPLIT(B1978,""RM"")"),2800000.0)</f>
        <v>2800000</v>
      </c>
      <c r="D1978" s="7" t="s">
        <v>35</v>
      </c>
      <c r="E1978" s="7">
        <v>5.0</v>
      </c>
      <c r="G1978" s="7" t="s">
        <v>83</v>
      </c>
      <c r="H1978" s="7" t="s">
        <v>1626</v>
      </c>
      <c r="I1978" s="7" t="s">
        <v>27</v>
      </c>
    </row>
    <row r="1979">
      <c r="A1979" s="7" t="s">
        <v>77</v>
      </c>
      <c r="B1979" s="7" t="s">
        <v>243</v>
      </c>
      <c r="C1979" s="8">
        <f>IFERROR(__xludf.DUMMYFUNCTION("SPLIT(B1979,""RM"")"),1350000.0)</f>
        <v>1350000</v>
      </c>
      <c r="D1979" s="7" t="s">
        <v>288</v>
      </c>
      <c r="E1979" s="7">
        <v>2.0</v>
      </c>
      <c r="G1979" s="7" t="s">
        <v>83</v>
      </c>
      <c r="H1979" s="7" t="s">
        <v>1147</v>
      </c>
      <c r="I1979" s="7" t="s">
        <v>27</v>
      </c>
    </row>
    <row r="1980">
      <c r="A1980" s="7" t="s">
        <v>580</v>
      </c>
      <c r="B1980" s="7" t="s">
        <v>429</v>
      </c>
      <c r="C1980" s="8">
        <f>IFERROR(__xludf.DUMMYFUNCTION("SPLIT(B1980,""RM"")"),3680000.0)</f>
        <v>3680000</v>
      </c>
      <c r="D1980" s="7" t="s">
        <v>70</v>
      </c>
      <c r="E1980" s="7">
        <v>5.0</v>
      </c>
      <c r="G1980" s="7" t="s">
        <v>64</v>
      </c>
      <c r="H1980" s="7" t="s">
        <v>1629</v>
      </c>
      <c r="I1980" s="7" t="s">
        <v>27</v>
      </c>
    </row>
    <row r="1981">
      <c r="A1981" s="7" t="s">
        <v>28</v>
      </c>
      <c r="B1981" s="7" t="s">
        <v>761</v>
      </c>
      <c r="C1981" s="8">
        <f>IFERROR(__xludf.DUMMYFUNCTION("SPLIT(B1981,""RM"")"),480000.0)</f>
        <v>480000</v>
      </c>
      <c r="D1981" s="7">
        <v>3.0</v>
      </c>
      <c r="E1981" s="7">
        <v>2.0</v>
      </c>
      <c r="F1981" s="7">
        <v>2.0</v>
      </c>
      <c r="G1981" s="7" t="s">
        <v>93</v>
      </c>
      <c r="H1981" s="7" t="s">
        <v>1630</v>
      </c>
      <c r="I1981" s="7" t="s">
        <v>103</v>
      </c>
    </row>
    <row r="1982">
      <c r="A1982" s="7" t="s">
        <v>148</v>
      </c>
      <c r="B1982" s="7" t="s">
        <v>56</v>
      </c>
      <c r="C1982" s="8">
        <f>IFERROR(__xludf.DUMMYFUNCTION("SPLIT(B1982,""RM"")"),1700000.0)</f>
        <v>1700000</v>
      </c>
      <c r="D1982" s="7" t="s">
        <v>57</v>
      </c>
      <c r="E1982" s="7">
        <v>4.0</v>
      </c>
      <c r="G1982" s="7" t="s">
        <v>470</v>
      </c>
      <c r="H1982" s="7" t="s">
        <v>400</v>
      </c>
    </row>
    <row r="1983">
      <c r="A1983" s="7" t="s">
        <v>171</v>
      </c>
      <c r="B1983" s="7" t="s">
        <v>975</v>
      </c>
      <c r="C1983" s="8">
        <f>IFERROR(__xludf.DUMMYFUNCTION("SPLIT(B1983,""RM"")"),400000.0)</f>
        <v>400000</v>
      </c>
      <c r="D1983" s="7">
        <v>3.0</v>
      </c>
      <c r="E1983" s="7">
        <v>2.0</v>
      </c>
      <c r="F1983" s="7">
        <v>2.0</v>
      </c>
      <c r="G1983" s="7" t="s">
        <v>20</v>
      </c>
      <c r="H1983" s="7" t="s">
        <v>1354</v>
      </c>
    </row>
    <row r="1984">
      <c r="A1984" s="7" t="s">
        <v>148</v>
      </c>
      <c r="B1984" s="7" t="s">
        <v>81</v>
      </c>
      <c r="C1984" s="8">
        <f>IFERROR(__xludf.DUMMYFUNCTION("SPLIT(B1984,""RM"")"),1550000.0)</f>
        <v>1550000</v>
      </c>
      <c r="D1984" s="7">
        <v>3.0</v>
      </c>
      <c r="E1984" s="7">
        <v>3.0</v>
      </c>
      <c r="G1984" s="7" t="s">
        <v>470</v>
      </c>
      <c r="H1984" s="7" t="s">
        <v>400</v>
      </c>
      <c r="I1984" s="7" t="s">
        <v>103</v>
      </c>
    </row>
    <row r="1985">
      <c r="A1985" s="7" t="s">
        <v>580</v>
      </c>
      <c r="B1985" s="7" t="s">
        <v>499</v>
      </c>
      <c r="C1985" s="8">
        <f>IFERROR(__xludf.DUMMYFUNCTION("SPLIT(B1985,""RM"")"),3900000.0)</f>
        <v>3900000</v>
      </c>
      <c r="D1985" s="7" t="s">
        <v>70</v>
      </c>
      <c r="E1985" s="7">
        <v>6.0</v>
      </c>
      <c r="G1985" s="7" t="s">
        <v>487</v>
      </c>
      <c r="H1985" s="7" t="s">
        <v>1631</v>
      </c>
      <c r="I1985" s="7" t="s">
        <v>22</v>
      </c>
    </row>
    <row r="1986">
      <c r="A1986" s="7" t="s">
        <v>104</v>
      </c>
      <c r="B1986" s="7" t="s">
        <v>206</v>
      </c>
      <c r="C1986" s="8">
        <f>IFERROR(__xludf.DUMMYFUNCTION("SPLIT(B1986,""RM"")"),920000.0)</f>
        <v>920000</v>
      </c>
      <c r="D1986" s="7">
        <v>4.0</v>
      </c>
      <c r="E1986" s="7">
        <v>3.0</v>
      </c>
      <c r="G1986" s="7" t="s">
        <v>46</v>
      </c>
      <c r="H1986" s="7" t="s">
        <v>1632</v>
      </c>
      <c r="I1986" s="7" t="s">
        <v>27</v>
      </c>
    </row>
    <row r="1987">
      <c r="A1987" s="7" t="s">
        <v>23</v>
      </c>
      <c r="B1987" s="7" t="s">
        <v>1633</v>
      </c>
      <c r="C1987" s="8">
        <f>IFERROR(__xludf.DUMMYFUNCTION("SPLIT(B1987,""RM"")"),1052000.0)</f>
        <v>1052000</v>
      </c>
      <c r="D1987" s="7">
        <v>2.0</v>
      </c>
      <c r="E1987" s="7">
        <v>2.0</v>
      </c>
      <c r="F1987" s="7">
        <v>1.0</v>
      </c>
      <c r="G1987" s="7" t="s">
        <v>83</v>
      </c>
      <c r="H1987" s="7" t="s">
        <v>1630</v>
      </c>
      <c r="I1987" s="7" t="s">
        <v>103</v>
      </c>
    </row>
    <row r="1988">
      <c r="A1988" s="7" t="s">
        <v>37</v>
      </c>
      <c r="B1988" s="7" t="s">
        <v>245</v>
      </c>
      <c r="C1988" s="8">
        <f>IFERROR(__xludf.DUMMYFUNCTION("SPLIT(B1988,""RM"")"),800000.0)</f>
        <v>800000</v>
      </c>
      <c r="D1988" s="7">
        <v>2.0</v>
      </c>
      <c r="E1988" s="7">
        <v>2.0</v>
      </c>
      <c r="F1988" s="7">
        <v>1.0</v>
      </c>
      <c r="G1988" s="7" t="s">
        <v>20</v>
      </c>
      <c r="H1988" s="7" t="s">
        <v>1634</v>
      </c>
      <c r="I1988" s="7" t="s">
        <v>27</v>
      </c>
    </row>
    <row r="1989">
      <c r="A1989" s="7" t="s">
        <v>37</v>
      </c>
      <c r="B1989" s="7" t="s">
        <v>641</v>
      </c>
      <c r="C1989" s="8">
        <f>IFERROR(__xludf.DUMMYFUNCTION("SPLIT(B1989,""RM"")"),830000.0)</f>
        <v>830000</v>
      </c>
      <c r="D1989" s="7">
        <v>3.0</v>
      </c>
      <c r="E1989" s="7">
        <v>2.0</v>
      </c>
      <c r="F1989" s="7">
        <v>1.0</v>
      </c>
      <c r="G1989" s="7" t="s">
        <v>20</v>
      </c>
      <c r="H1989" s="7" t="s">
        <v>1635</v>
      </c>
      <c r="I1989" s="7" t="s">
        <v>22</v>
      </c>
    </row>
    <row r="1990">
      <c r="A1990" s="7" t="s">
        <v>100</v>
      </c>
      <c r="B1990" s="7" t="s">
        <v>619</v>
      </c>
      <c r="C1990" s="8">
        <f>IFERROR(__xludf.DUMMYFUNCTION("SPLIT(B1990,""RM"")"),640000.0)</f>
        <v>640000</v>
      </c>
      <c r="D1990" s="7">
        <v>3.0</v>
      </c>
      <c r="E1990" s="7">
        <v>2.0</v>
      </c>
      <c r="F1990" s="7">
        <v>2.0</v>
      </c>
      <c r="G1990" s="7" t="s">
        <v>83</v>
      </c>
      <c r="H1990" s="7" t="s">
        <v>954</v>
      </c>
      <c r="I1990" s="7" t="s">
        <v>27</v>
      </c>
    </row>
    <row r="1991">
      <c r="A1991" s="7" t="s">
        <v>23</v>
      </c>
      <c r="B1991" s="7" t="s">
        <v>69</v>
      </c>
      <c r="C1991" s="8">
        <f>IFERROR(__xludf.DUMMYFUNCTION("SPLIT(B1991,""RM"")"),4500000.0)</f>
        <v>4500000</v>
      </c>
      <c r="D1991" s="7" t="s">
        <v>35</v>
      </c>
      <c r="E1991" s="7">
        <v>4.0</v>
      </c>
      <c r="G1991" s="7" t="s">
        <v>64</v>
      </c>
      <c r="H1991" s="7" t="s">
        <v>44</v>
      </c>
      <c r="I1991" s="7" t="s">
        <v>27</v>
      </c>
    </row>
    <row r="1992">
      <c r="A1992" s="7" t="s">
        <v>41</v>
      </c>
      <c r="B1992" s="7" t="s">
        <v>1636</v>
      </c>
      <c r="C1992" s="8">
        <f>IFERROR(__xludf.DUMMYFUNCTION("SPLIT(B1992,""RM"")"),7980000.0)</f>
        <v>7980000</v>
      </c>
      <c r="D1992" s="7" t="s">
        <v>1637</v>
      </c>
      <c r="E1992" s="7">
        <v>6.0</v>
      </c>
      <c r="F1992" s="7">
        <v>6.0</v>
      </c>
      <c r="G1992" s="7" t="s">
        <v>67</v>
      </c>
      <c r="H1992" s="7" t="s">
        <v>1638</v>
      </c>
      <c r="I1992" s="7" t="s">
        <v>27</v>
      </c>
    </row>
    <row r="1993">
      <c r="A1993" s="7" t="s">
        <v>41</v>
      </c>
      <c r="B1993" s="7" t="s">
        <v>120</v>
      </c>
      <c r="C1993" s="8">
        <f>IFERROR(__xludf.DUMMYFUNCTION("SPLIT(B1993,""RM"")"),3600000.0)</f>
        <v>3600000</v>
      </c>
      <c r="D1993" s="7" t="s">
        <v>35</v>
      </c>
      <c r="E1993" s="7">
        <v>5.0</v>
      </c>
      <c r="F1993" s="7">
        <v>2.0</v>
      </c>
      <c r="G1993" s="7" t="s">
        <v>43</v>
      </c>
      <c r="H1993" s="7" t="s">
        <v>876</v>
      </c>
      <c r="I1993" s="7" t="s">
        <v>27</v>
      </c>
    </row>
    <row r="1994">
      <c r="A1994" s="7" t="s">
        <v>41</v>
      </c>
      <c r="B1994" s="7" t="s">
        <v>635</v>
      </c>
      <c r="C1994" s="8">
        <f>IFERROR(__xludf.DUMMYFUNCTION("SPLIT(B1994,""RM"")"),720000.0)</f>
        <v>720000</v>
      </c>
      <c r="D1994" s="7">
        <v>2.0</v>
      </c>
      <c r="E1994" s="7">
        <v>2.0</v>
      </c>
      <c r="F1994" s="7">
        <v>1.0</v>
      </c>
      <c r="G1994" s="7" t="s">
        <v>83</v>
      </c>
      <c r="H1994" s="7" t="s">
        <v>1532</v>
      </c>
      <c r="I1994" s="7" t="s">
        <v>27</v>
      </c>
    </row>
    <row r="1995">
      <c r="A1995" s="7" t="s">
        <v>77</v>
      </c>
      <c r="B1995" s="7" t="s">
        <v>42</v>
      </c>
      <c r="C1995" s="8">
        <f>IFERROR(__xludf.DUMMYFUNCTION("SPLIT(B1995,""RM"")"),2600000.0)</f>
        <v>2600000</v>
      </c>
      <c r="D1995" s="7" t="s">
        <v>70</v>
      </c>
      <c r="E1995" s="7">
        <v>6.0</v>
      </c>
      <c r="F1995" s="7">
        <v>2.0</v>
      </c>
      <c r="G1995" s="7" t="s">
        <v>90</v>
      </c>
      <c r="H1995" s="7" t="s">
        <v>211</v>
      </c>
      <c r="I1995" s="7" t="s">
        <v>27</v>
      </c>
    </row>
    <row r="1996">
      <c r="A1996" s="7" t="s">
        <v>41</v>
      </c>
      <c r="B1996" s="7" t="s">
        <v>1639</v>
      </c>
      <c r="C1996" s="8">
        <f>IFERROR(__xludf.DUMMYFUNCTION("SPLIT(B1996,""RM"")"),7480000.0)</f>
        <v>7480000</v>
      </c>
      <c r="D1996" s="7" t="s">
        <v>60</v>
      </c>
      <c r="E1996" s="7">
        <v>6.0</v>
      </c>
      <c r="G1996" s="7" t="s">
        <v>67</v>
      </c>
      <c r="H1996" s="7" t="s">
        <v>1640</v>
      </c>
      <c r="I1996" s="7" t="s">
        <v>22</v>
      </c>
    </row>
    <row r="1997">
      <c r="A1997" s="7" t="s">
        <v>41</v>
      </c>
      <c r="B1997" s="7" t="s">
        <v>1641</v>
      </c>
      <c r="C1997" s="8">
        <f>IFERROR(__xludf.DUMMYFUNCTION("SPLIT(B1997,""RM"")"),6918800.0)</f>
        <v>6918800</v>
      </c>
      <c r="G1997" s="7" t="s">
        <v>1642</v>
      </c>
      <c r="H1997" s="7" t="s">
        <v>1643</v>
      </c>
      <c r="I1997" s="7" t="s">
        <v>251</v>
      </c>
    </row>
    <row r="1998">
      <c r="A1998" s="7" t="s">
        <v>267</v>
      </c>
      <c r="B1998" s="7" t="s">
        <v>386</v>
      </c>
      <c r="C1998" s="8">
        <f>IFERROR(__xludf.DUMMYFUNCTION("SPLIT(B1998,""RM"")"),2380000.0)</f>
        <v>2380000</v>
      </c>
      <c r="D1998" s="7" t="s">
        <v>70</v>
      </c>
      <c r="E1998" s="7">
        <v>4.0</v>
      </c>
      <c r="G1998" s="7" t="s">
        <v>736</v>
      </c>
      <c r="H1998" s="7" t="s">
        <v>1644</v>
      </c>
      <c r="I1998" s="7" t="s">
        <v>27</v>
      </c>
    </row>
    <row r="1999">
      <c r="A1999" s="7" t="s">
        <v>41</v>
      </c>
      <c r="B1999" s="7" t="s">
        <v>63</v>
      </c>
      <c r="C1999" s="8">
        <f>IFERROR(__xludf.DUMMYFUNCTION("SPLIT(B1999,""RM"")"),3100000.0)</f>
        <v>3100000</v>
      </c>
      <c r="D1999" s="7" t="s">
        <v>35</v>
      </c>
      <c r="E1999" s="7">
        <v>4.0</v>
      </c>
      <c r="G1999" s="7" t="s">
        <v>64</v>
      </c>
      <c r="H1999" s="7" t="s">
        <v>478</v>
      </c>
      <c r="I1999" s="7" t="s">
        <v>27</v>
      </c>
    </row>
    <row r="2000">
      <c r="A2000" s="7" t="s">
        <v>41</v>
      </c>
      <c r="B2000" s="7" t="s">
        <v>1030</v>
      </c>
      <c r="C2000" s="8">
        <f>IFERROR(__xludf.DUMMYFUNCTION("SPLIT(B2000,""RM"")"),3150000.0)</f>
        <v>3150000</v>
      </c>
      <c r="D2000" s="7" t="s">
        <v>35</v>
      </c>
      <c r="E2000" s="7">
        <v>4.0</v>
      </c>
      <c r="G2000" s="7" t="s">
        <v>64</v>
      </c>
      <c r="H2000" s="7" t="s">
        <v>478</v>
      </c>
      <c r="I2000" s="7" t="s">
        <v>27</v>
      </c>
    </row>
    <row r="2001">
      <c r="A2001" s="7" t="s">
        <v>41</v>
      </c>
      <c r="B2001" s="7" t="s">
        <v>881</v>
      </c>
      <c r="C2001" s="8">
        <f>IFERROR(__xludf.DUMMYFUNCTION("SPLIT(B2001,""RM"")"),5400000.0)</f>
        <v>5400000</v>
      </c>
      <c r="D2001" s="7" t="s">
        <v>70</v>
      </c>
      <c r="E2001" s="7">
        <v>6.0</v>
      </c>
      <c r="F2001" s="7">
        <v>6.0</v>
      </c>
      <c r="G2001" s="7" t="s">
        <v>61</v>
      </c>
      <c r="H2001" s="7" t="s">
        <v>1645</v>
      </c>
      <c r="I2001" s="7" t="s">
        <v>27</v>
      </c>
    </row>
    <row r="2002">
      <c r="A2002" s="7" t="s">
        <v>41</v>
      </c>
      <c r="B2002" s="7" t="s">
        <v>842</v>
      </c>
      <c r="C2002" s="8">
        <f>IFERROR(__xludf.DUMMYFUNCTION("SPLIT(B2002,""RM"")"),5800000.0)</f>
        <v>5800000</v>
      </c>
      <c r="D2002" s="7" t="s">
        <v>70</v>
      </c>
      <c r="E2002" s="7">
        <v>6.0</v>
      </c>
      <c r="G2002" s="7" t="s">
        <v>67</v>
      </c>
      <c r="H2002" s="7" t="s">
        <v>219</v>
      </c>
      <c r="I2002" s="7" t="s">
        <v>27</v>
      </c>
    </row>
    <row r="2003">
      <c r="A2003" s="7" t="s">
        <v>267</v>
      </c>
      <c r="B2003" s="7" t="s">
        <v>390</v>
      </c>
      <c r="C2003" s="8">
        <f>IFERROR(__xludf.DUMMYFUNCTION("SPLIT(B2003,""RM"")"),6300000.0)</f>
        <v>6300000</v>
      </c>
      <c r="D2003" s="7">
        <v>5.0</v>
      </c>
      <c r="E2003" s="7">
        <v>4.0</v>
      </c>
      <c r="F2003" s="7">
        <v>4.0</v>
      </c>
      <c r="G2003" s="7" t="s">
        <v>61</v>
      </c>
      <c r="H2003" s="7" t="s">
        <v>40</v>
      </c>
      <c r="I2003" s="7" t="s">
        <v>27</v>
      </c>
    </row>
    <row r="2004">
      <c r="A2004" s="7" t="s">
        <v>41</v>
      </c>
      <c r="B2004" s="7" t="s">
        <v>1646</v>
      </c>
      <c r="C2004" s="8">
        <f>IFERROR(__xludf.DUMMYFUNCTION("SPLIT(B2004,""RM"")"),3080000.0)</f>
        <v>3080000</v>
      </c>
      <c r="D2004" s="7" t="s">
        <v>35</v>
      </c>
      <c r="E2004" s="7">
        <v>5.0</v>
      </c>
      <c r="G2004" s="7" t="s">
        <v>61</v>
      </c>
      <c r="H2004" s="7" t="s">
        <v>631</v>
      </c>
      <c r="I2004" s="7" t="s">
        <v>27</v>
      </c>
    </row>
    <row r="2005">
      <c r="A2005" s="7" t="s">
        <v>41</v>
      </c>
      <c r="B2005" s="7" t="s">
        <v>69</v>
      </c>
      <c r="C2005" s="8">
        <f>IFERROR(__xludf.DUMMYFUNCTION("SPLIT(B2005,""RM"")"),4500000.0)</f>
        <v>4500000</v>
      </c>
      <c r="D2005" s="7" t="s">
        <v>35</v>
      </c>
      <c r="E2005" s="7">
        <v>5.0</v>
      </c>
      <c r="F2005" s="7">
        <v>2.0</v>
      </c>
      <c r="G2005" s="7" t="s">
        <v>64</v>
      </c>
      <c r="H2005" s="7" t="s">
        <v>863</v>
      </c>
      <c r="I2005" s="7" t="s">
        <v>27</v>
      </c>
    </row>
    <row r="2006">
      <c r="A2006" s="7" t="s">
        <v>41</v>
      </c>
      <c r="B2006" s="7" t="s">
        <v>243</v>
      </c>
      <c r="C2006" s="8">
        <f>IFERROR(__xludf.DUMMYFUNCTION("SPLIT(B2006,""RM"")"),1350000.0)</f>
        <v>1350000</v>
      </c>
      <c r="D2006" s="7">
        <v>4.0</v>
      </c>
      <c r="E2006" s="7">
        <v>3.0</v>
      </c>
      <c r="F2006" s="7">
        <v>2.0</v>
      </c>
      <c r="G2006" s="7" t="s">
        <v>90</v>
      </c>
      <c r="H2006" s="7" t="s">
        <v>1195</v>
      </c>
      <c r="I2006" s="7" t="s">
        <v>27</v>
      </c>
    </row>
    <row r="2007">
      <c r="A2007" s="7" t="s">
        <v>41</v>
      </c>
      <c r="B2007" s="7" t="s">
        <v>1222</v>
      </c>
      <c r="C2007" s="8">
        <f>IFERROR(__xludf.DUMMYFUNCTION("SPLIT(B2007,""RM"")"),6350000.0)</f>
        <v>6350000</v>
      </c>
      <c r="G2007" s="7" t="s">
        <v>1642</v>
      </c>
      <c r="H2007" s="7" t="s">
        <v>1647</v>
      </c>
    </row>
    <row r="2008">
      <c r="A2008" s="7" t="s">
        <v>41</v>
      </c>
      <c r="B2008" s="7" t="s">
        <v>1648</v>
      </c>
      <c r="C2008" s="8">
        <f>IFERROR(__xludf.DUMMYFUNCTION("SPLIT(B2008,""RM"")"),5650000.0)</f>
        <v>5650000</v>
      </c>
      <c r="D2008" s="7" t="s">
        <v>70</v>
      </c>
      <c r="E2008" s="7">
        <v>6.0</v>
      </c>
      <c r="G2008" s="7" t="s">
        <v>25</v>
      </c>
      <c r="H2008" s="7" t="s">
        <v>1649</v>
      </c>
      <c r="I2008" s="7" t="s">
        <v>27</v>
      </c>
    </row>
    <row r="2009">
      <c r="A2009" s="7" t="s">
        <v>41</v>
      </c>
      <c r="B2009" s="7" t="s">
        <v>1650</v>
      </c>
      <c r="C2009" s="8">
        <f>IFERROR(__xludf.DUMMYFUNCTION("SPLIT(B2009,""RM"")"),765000.0)</f>
        <v>765000</v>
      </c>
      <c r="D2009" s="7">
        <v>3.0</v>
      </c>
      <c r="E2009" s="7">
        <v>2.0</v>
      </c>
      <c r="F2009" s="7">
        <v>2.0</v>
      </c>
      <c r="G2009" s="7" t="s">
        <v>83</v>
      </c>
      <c r="H2009" s="7" t="s">
        <v>471</v>
      </c>
      <c r="I2009" s="7" t="s">
        <v>27</v>
      </c>
    </row>
    <row r="2010">
      <c r="A2010" s="7" t="s">
        <v>171</v>
      </c>
      <c r="B2010" s="7" t="s">
        <v>206</v>
      </c>
      <c r="C2010" s="8">
        <f>IFERROR(__xludf.DUMMYFUNCTION("SPLIT(B2010,""RM"")"),920000.0)</f>
        <v>920000</v>
      </c>
      <c r="D2010" s="7">
        <v>3.0</v>
      </c>
      <c r="E2010" s="7">
        <v>3.0</v>
      </c>
      <c r="F2010" s="7">
        <v>2.0</v>
      </c>
      <c r="G2010" s="7" t="s">
        <v>83</v>
      </c>
      <c r="H2010" s="7" t="s">
        <v>1651</v>
      </c>
      <c r="I2010" s="7" t="s">
        <v>103</v>
      </c>
    </row>
    <row r="2011">
      <c r="A2011" s="7" t="s">
        <v>41</v>
      </c>
      <c r="B2011" s="7" t="s">
        <v>1060</v>
      </c>
      <c r="C2011" s="8">
        <f>IFERROR(__xludf.DUMMYFUNCTION("SPLIT(B2011,""RM"")"),5300000.0)</f>
        <v>5300000</v>
      </c>
      <c r="D2011" s="7" t="s">
        <v>70</v>
      </c>
      <c r="E2011" s="7">
        <v>6.0</v>
      </c>
      <c r="G2011" s="7" t="s">
        <v>67</v>
      </c>
      <c r="H2011" s="7" t="s">
        <v>219</v>
      </c>
      <c r="I2011" s="7" t="s">
        <v>27</v>
      </c>
    </row>
    <row r="2012">
      <c r="A2012" s="7" t="s">
        <v>41</v>
      </c>
      <c r="B2012" s="7" t="s">
        <v>1060</v>
      </c>
      <c r="C2012" s="8">
        <f>IFERROR(__xludf.DUMMYFUNCTION("SPLIT(B2012,""RM"")"),5300000.0)</f>
        <v>5300000</v>
      </c>
      <c r="D2012" s="7" t="s">
        <v>70</v>
      </c>
      <c r="E2012" s="7">
        <v>6.0</v>
      </c>
      <c r="G2012" s="7" t="s">
        <v>61</v>
      </c>
      <c r="H2012" s="7" t="s">
        <v>1202</v>
      </c>
      <c r="I2012" s="7" t="s">
        <v>27</v>
      </c>
    </row>
    <row r="2013">
      <c r="A2013" s="7" t="s">
        <v>41</v>
      </c>
      <c r="B2013" s="7" t="s">
        <v>18</v>
      </c>
      <c r="C2013" s="8">
        <f>IFERROR(__xludf.DUMMYFUNCTION("SPLIT(B2013,""RM"")"),1250000.0)</f>
        <v>1250000</v>
      </c>
      <c r="D2013" s="7" t="s">
        <v>35</v>
      </c>
      <c r="E2013" s="7">
        <v>4.0</v>
      </c>
      <c r="F2013" s="7">
        <v>3.0</v>
      </c>
      <c r="G2013" s="7" t="s">
        <v>90</v>
      </c>
      <c r="H2013" s="7" t="s">
        <v>1195</v>
      </c>
      <c r="I2013" s="7" t="s">
        <v>27</v>
      </c>
    </row>
    <row r="2014">
      <c r="A2014" s="7" t="s">
        <v>41</v>
      </c>
      <c r="B2014" s="7" t="s">
        <v>42</v>
      </c>
      <c r="C2014" s="8">
        <f>IFERROR(__xludf.DUMMYFUNCTION("SPLIT(B2014,""RM"")"),2600000.0)</f>
        <v>2600000</v>
      </c>
      <c r="D2014" s="7" t="s">
        <v>70</v>
      </c>
      <c r="E2014" s="7">
        <v>4.0</v>
      </c>
      <c r="F2014" s="7">
        <v>4.0</v>
      </c>
      <c r="G2014" s="7" t="s">
        <v>61</v>
      </c>
      <c r="H2014" s="7" t="s">
        <v>430</v>
      </c>
      <c r="I2014" s="7" t="s">
        <v>27</v>
      </c>
    </row>
    <row r="2015">
      <c r="A2015" s="7" t="s">
        <v>17</v>
      </c>
      <c r="B2015" s="7" t="s">
        <v>120</v>
      </c>
      <c r="C2015" s="8">
        <f>IFERROR(__xludf.DUMMYFUNCTION("SPLIT(B2015,""RM"")"),3600000.0)</f>
        <v>3600000</v>
      </c>
      <c r="D2015" s="7" t="s">
        <v>35</v>
      </c>
      <c r="E2015" s="7">
        <v>5.0</v>
      </c>
      <c r="F2015" s="7">
        <v>3.0</v>
      </c>
      <c r="G2015" s="7" t="s">
        <v>83</v>
      </c>
      <c r="H2015" s="7" t="s">
        <v>1652</v>
      </c>
      <c r="I2015" s="7" t="s">
        <v>27</v>
      </c>
    </row>
    <row r="2016">
      <c r="A2016" s="7" t="s">
        <v>267</v>
      </c>
      <c r="B2016" s="7" t="s">
        <v>842</v>
      </c>
      <c r="C2016" s="8">
        <f>IFERROR(__xludf.DUMMYFUNCTION("SPLIT(B2016,""RM"")"),5800000.0)</f>
        <v>5800000</v>
      </c>
      <c r="D2016" s="7">
        <v>5.0</v>
      </c>
      <c r="E2016" s="7">
        <v>4.0</v>
      </c>
      <c r="F2016" s="7">
        <v>6.0</v>
      </c>
      <c r="G2016" s="7" t="s">
        <v>25</v>
      </c>
      <c r="H2016" s="7" t="s">
        <v>40</v>
      </c>
    </row>
    <row r="2017">
      <c r="A2017" s="7" t="s">
        <v>432</v>
      </c>
      <c r="B2017" s="7" t="s">
        <v>260</v>
      </c>
      <c r="C2017" s="8">
        <f>IFERROR(__xludf.DUMMYFUNCTION("SPLIT(B2017,""RM"")"),1480000.0)</f>
        <v>1480000</v>
      </c>
      <c r="D2017" s="7">
        <v>4.0</v>
      </c>
      <c r="E2017" s="7">
        <v>3.0</v>
      </c>
      <c r="G2017" s="7" t="s">
        <v>54</v>
      </c>
      <c r="H2017" s="7" t="s">
        <v>91</v>
      </c>
      <c r="I2017" s="7" t="s">
        <v>27</v>
      </c>
    </row>
    <row r="2018">
      <c r="A2018" s="7" t="s">
        <v>432</v>
      </c>
      <c r="B2018" s="7" t="s">
        <v>193</v>
      </c>
      <c r="C2018" s="8">
        <f>IFERROR(__xludf.DUMMYFUNCTION("SPLIT(B2018,""RM"")"),1650000.0)</f>
        <v>1650000</v>
      </c>
      <c r="D2018" s="7">
        <v>4.0</v>
      </c>
      <c r="E2018" s="7">
        <v>3.0</v>
      </c>
      <c r="G2018" s="7" t="s">
        <v>54</v>
      </c>
      <c r="H2018" s="7" t="s">
        <v>211</v>
      </c>
      <c r="I2018" s="7" t="s">
        <v>27</v>
      </c>
    </row>
    <row r="2019">
      <c r="A2019" s="7" t="s">
        <v>368</v>
      </c>
      <c r="B2019" s="7" t="s">
        <v>635</v>
      </c>
      <c r="C2019" s="8">
        <f>IFERROR(__xludf.DUMMYFUNCTION("SPLIT(B2019,""RM"")"),720000.0)</f>
        <v>720000</v>
      </c>
      <c r="D2019" s="7">
        <v>3.0</v>
      </c>
      <c r="E2019" s="7">
        <v>3.0</v>
      </c>
      <c r="F2019" s="7">
        <v>2.0</v>
      </c>
      <c r="G2019" s="7" t="s">
        <v>20</v>
      </c>
      <c r="H2019" s="7" t="s">
        <v>161</v>
      </c>
      <c r="I2019" s="7" t="s">
        <v>27</v>
      </c>
    </row>
    <row r="2020">
      <c r="A2020" s="7" t="s">
        <v>28</v>
      </c>
      <c r="B2020" s="7" t="s">
        <v>247</v>
      </c>
      <c r="C2020" s="8">
        <f>IFERROR(__xludf.DUMMYFUNCTION("SPLIT(B2020,""RM"")"),1980000.0)</f>
        <v>1980000</v>
      </c>
      <c r="D2020" s="7" t="s">
        <v>35</v>
      </c>
      <c r="E2020" s="7">
        <v>5.0</v>
      </c>
      <c r="F2020" s="7">
        <v>1.0</v>
      </c>
      <c r="G2020" s="7" t="s">
        <v>43</v>
      </c>
      <c r="H2020" s="7" t="s">
        <v>944</v>
      </c>
      <c r="I2020" s="7" t="s">
        <v>27</v>
      </c>
    </row>
    <row r="2021">
      <c r="A2021" s="7" t="s">
        <v>104</v>
      </c>
      <c r="B2021" s="7" t="s">
        <v>214</v>
      </c>
      <c r="C2021" s="8">
        <f>IFERROR(__xludf.DUMMYFUNCTION("SPLIT(B2021,""RM"")"),1180000.0)</f>
        <v>1180000</v>
      </c>
      <c r="D2021" s="7" t="s">
        <v>35</v>
      </c>
      <c r="E2021" s="7">
        <v>3.0</v>
      </c>
      <c r="F2021" s="7">
        <v>6.0</v>
      </c>
      <c r="G2021" s="7" t="s">
        <v>46</v>
      </c>
      <c r="H2021" s="7" t="s">
        <v>1653</v>
      </c>
      <c r="I2021" s="7" t="s">
        <v>103</v>
      </c>
    </row>
    <row r="2022">
      <c r="A2022" s="7" t="s">
        <v>180</v>
      </c>
      <c r="B2022" s="7" t="s">
        <v>105</v>
      </c>
      <c r="C2022" s="8">
        <f>IFERROR(__xludf.DUMMYFUNCTION("SPLIT(B2022,""RM"")"),560000.0)</f>
        <v>560000</v>
      </c>
      <c r="D2022" s="7" t="s">
        <v>325</v>
      </c>
      <c r="E2022" s="7">
        <v>1.0</v>
      </c>
      <c r="G2022" s="7" t="s">
        <v>20</v>
      </c>
      <c r="H2022" s="7" t="s">
        <v>1654</v>
      </c>
      <c r="I2022" s="7" t="s">
        <v>22</v>
      </c>
    </row>
    <row r="2023">
      <c r="A2023" s="7" t="s">
        <v>72</v>
      </c>
      <c r="B2023" s="7" t="s">
        <v>174</v>
      </c>
      <c r="C2023" s="8">
        <f>IFERROR(__xludf.DUMMYFUNCTION("SPLIT(B2023,""RM"")"),3000000.0)</f>
        <v>3000000</v>
      </c>
      <c r="D2023" s="7">
        <v>5.0</v>
      </c>
      <c r="E2023" s="7">
        <v>5.0</v>
      </c>
      <c r="F2023" s="7">
        <v>3.0</v>
      </c>
      <c r="G2023" s="7" t="s">
        <v>20</v>
      </c>
      <c r="H2023" s="7" t="s">
        <v>1655</v>
      </c>
      <c r="I2023" s="7" t="s">
        <v>27</v>
      </c>
    </row>
    <row r="2024">
      <c r="A2024" s="7" t="s">
        <v>28</v>
      </c>
      <c r="B2024" s="7" t="s">
        <v>311</v>
      </c>
      <c r="C2024" s="8">
        <f>IFERROR(__xludf.DUMMYFUNCTION("SPLIT(B2024,""RM"")"),1100000.0)</f>
        <v>1100000</v>
      </c>
      <c r="D2024" s="7">
        <v>2.0</v>
      </c>
      <c r="E2024" s="7">
        <v>2.0</v>
      </c>
      <c r="G2024" s="7" t="s">
        <v>20</v>
      </c>
      <c r="H2024" s="7" t="s">
        <v>1656</v>
      </c>
      <c r="I2024" s="7" t="s">
        <v>22</v>
      </c>
    </row>
    <row r="2025">
      <c r="A2025" s="7" t="s">
        <v>28</v>
      </c>
      <c r="B2025" s="7" t="s">
        <v>191</v>
      </c>
      <c r="C2025" s="8">
        <f>IFERROR(__xludf.DUMMYFUNCTION("SPLIT(B2025,""RM"")"),1000000.0)</f>
        <v>1000000</v>
      </c>
      <c r="D2025" s="7">
        <v>2.0</v>
      </c>
      <c r="E2025" s="7">
        <v>2.0</v>
      </c>
      <c r="G2025" s="7" t="s">
        <v>20</v>
      </c>
      <c r="H2025" s="7" t="s">
        <v>1656</v>
      </c>
      <c r="I2025" s="7" t="s">
        <v>22</v>
      </c>
    </row>
    <row r="2026">
      <c r="A2026" s="7" t="s">
        <v>155</v>
      </c>
      <c r="B2026" s="7" t="s">
        <v>245</v>
      </c>
      <c r="C2026" s="8">
        <f>IFERROR(__xludf.DUMMYFUNCTION("SPLIT(B2026,""RM"")"),800000.0)</f>
        <v>800000</v>
      </c>
      <c r="D2026" s="7">
        <v>3.0</v>
      </c>
      <c r="E2026" s="7">
        <v>3.0</v>
      </c>
      <c r="F2026" s="7">
        <v>1.0</v>
      </c>
      <c r="G2026" s="7" t="s">
        <v>83</v>
      </c>
      <c r="H2026" s="7" t="s">
        <v>1099</v>
      </c>
      <c r="I2026" s="7" t="s">
        <v>103</v>
      </c>
    </row>
    <row r="2027">
      <c r="A2027" s="7" t="s">
        <v>155</v>
      </c>
      <c r="B2027" s="7" t="s">
        <v>18</v>
      </c>
      <c r="C2027" s="8">
        <f>IFERROR(__xludf.DUMMYFUNCTION("SPLIT(B2027,""RM"")"),1250000.0)</f>
        <v>1250000</v>
      </c>
      <c r="D2027" s="7" t="s">
        <v>19</v>
      </c>
      <c r="E2027" s="7">
        <v>4.0</v>
      </c>
      <c r="F2027" s="7">
        <v>2.0</v>
      </c>
      <c r="G2027" s="7" t="s">
        <v>83</v>
      </c>
      <c r="H2027" s="7" t="s">
        <v>1132</v>
      </c>
      <c r="I2027" s="7" t="s">
        <v>22</v>
      </c>
    </row>
    <row r="2028">
      <c r="A2028" s="7" t="s">
        <v>155</v>
      </c>
      <c r="B2028" s="7" t="s">
        <v>191</v>
      </c>
      <c r="C2028" s="8">
        <f>IFERROR(__xludf.DUMMYFUNCTION("SPLIT(B2028,""RM"")"),1000000.0)</f>
        <v>1000000</v>
      </c>
      <c r="D2028" s="7" t="s">
        <v>57</v>
      </c>
      <c r="E2028" s="7">
        <v>4.0</v>
      </c>
      <c r="F2028" s="7">
        <v>2.0</v>
      </c>
      <c r="G2028" s="7" t="s">
        <v>30</v>
      </c>
      <c r="H2028" s="7" t="s">
        <v>382</v>
      </c>
      <c r="I2028" s="7" t="s">
        <v>27</v>
      </c>
    </row>
    <row r="2029">
      <c r="A2029" s="7" t="s">
        <v>155</v>
      </c>
      <c r="B2029" s="7" t="s">
        <v>1166</v>
      </c>
      <c r="C2029" s="8">
        <f>IFERROR(__xludf.DUMMYFUNCTION("SPLIT(B2029,""RM"")"),760000.0)</f>
        <v>760000</v>
      </c>
      <c r="D2029" s="7" t="s">
        <v>19</v>
      </c>
      <c r="E2029" s="7">
        <v>2.0</v>
      </c>
      <c r="F2029" s="7">
        <v>1.0</v>
      </c>
      <c r="G2029" s="7" t="s">
        <v>83</v>
      </c>
      <c r="H2029" s="7" t="s">
        <v>135</v>
      </c>
      <c r="I2029" s="7" t="s">
        <v>103</v>
      </c>
    </row>
    <row r="2030">
      <c r="A2030" s="7" t="s">
        <v>155</v>
      </c>
      <c r="B2030" s="7" t="s">
        <v>1114</v>
      </c>
      <c r="C2030" s="8">
        <f>IFERROR(__xludf.DUMMYFUNCTION("SPLIT(B2030,""RM"")"),890000.0)</f>
        <v>890000</v>
      </c>
      <c r="D2030" s="7" t="s">
        <v>19</v>
      </c>
      <c r="E2030" s="7">
        <v>2.0</v>
      </c>
      <c r="F2030" s="7">
        <v>3.0</v>
      </c>
      <c r="G2030" s="7" t="s">
        <v>83</v>
      </c>
      <c r="H2030" s="7" t="s">
        <v>471</v>
      </c>
      <c r="I2030" s="7" t="s">
        <v>27</v>
      </c>
    </row>
    <row r="2031">
      <c r="A2031" s="7" t="s">
        <v>155</v>
      </c>
      <c r="B2031" s="7" t="s">
        <v>229</v>
      </c>
      <c r="C2031" s="8">
        <f>IFERROR(__xludf.DUMMYFUNCTION("SPLIT(B2031,""RM"")"),1050000.0)</f>
        <v>1050000</v>
      </c>
      <c r="D2031" s="7" t="s">
        <v>57</v>
      </c>
      <c r="E2031" s="7">
        <v>4.0</v>
      </c>
      <c r="F2031" s="7">
        <v>2.0</v>
      </c>
      <c r="G2031" s="7" t="s">
        <v>30</v>
      </c>
      <c r="H2031" s="7" t="s">
        <v>382</v>
      </c>
      <c r="I2031" s="7" t="s">
        <v>103</v>
      </c>
    </row>
    <row r="2032">
      <c r="A2032" s="7" t="s">
        <v>155</v>
      </c>
      <c r="B2032" s="7" t="s">
        <v>245</v>
      </c>
      <c r="C2032" s="8">
        <f>IFERROR(__xludf.DUMMYFUNCTION("SPLIT(B2032,""RM"")"),800000.0)</f>
        <v>800000</v>
      </c>
      <c r="D2032" s="7">
        <v>3.0</v>
      </c>
      <c r="E2032" s="7">
        <v>3.0</v>
      </c>
      <c r="F2032" s="7">
        <v>2.0</v>
      </c>
      <c r="G2032" s="7" t="s">
        <v>83</v>
      </c>
      <c r="H2032" s="7" t="s">
        <v>630</v>
      </c>
      <c r="I2032" s="7" t="s">
        <v>103</v>
      </c>
    </row>
    <row r="2033">
      <c r="A2033" s="7" t="s">
        <v>155</v>
      </c>
      <c r="B2033" s="7" t="s">
        <v>316</v>
      </c>
      <c r="C2033" s="8">
        <f>IFERROR(__xludf.DUMMYFUNCTION("SPLIT(B2033,""RM"")"),820000.0)</f>
        <v>820000</v>
      </c>
      <c r="D2033" s="7">
        <v>3.0</v>
      </c>
      <c r="E2033" s="7">
        <v>3.0</v>
      </c>
      <c r="F2033" s="7">
        <v>1.0</v>
      </c>
      <c r="G2033" s="7" t="s">
        <v>83</v>
      </c>
      <c r="H2033" s="7" t="s">
        <v>630</v>
      </c>
      <c r="I2033" s="7" t="s">
        <v>103</v>
      </c>
    </row>
    <row r="2034">
      <c r="A2034" s="7" t="s">
        <v>155</v>
      </c>
      <c r="B2034" s="7" t="s">
        <v>629</v>
      </c>
      <c r="C2034" s="8">
        <f>IFERROR(__xludf.DUMMYFUNCTION("SPLIT(B2034,""RM"")"),770000.0)</f>
        <v>770000</v>
      </c>
      <c r="D2034" s="7" t="s">
        <v>19</v>
      </c>
      <c r="E2034" s="7">
        <v>2.0</v>
      </c>
      <c r="F2034" s="7">
        <v>2.0</v>
      </c>
      <c r="G2034" s="7" t="s">
        <v>83</v>
      </c>
      <c r="H2034" s="7" t="s">
        <v>1657</v>
      </c>
      <c r="I2034" s="7" t="s">
        <v>103</v>
      </c>
    </row>
    <row r="2035">
      <c r="A2035" s="7" t="s">
        <v>155</v>
      </c>
      <c r="B2035" s="7" t="s">
        <v>316</v>
      </c>
      <c r="C2035" s="8">
        <f>IFERROR(__xludf.DUMMYFUNCTION("SPLIT(B2035,""RM"")"),820000.0)</f>
        <v>820000</v>
      </c>
      <c r="D2035" s="7">
        <v>3.0</v>
      </c>
      <c r="E2035" s="7">
        <v>3.0</v>
      </c>
      <c r="F2035" s="7">
        <v>1.0</v>
      </c>
      <c r="G2035" s="7" t="s">
        <v>83</v>
      </c>
      <c r="H2035" s="7" t="s">
        <v>1099</v>
      </c>
      <c r="I2035" s="7" t="s">
        <v>103</v>
      </c>
    </row>
    <row r="2036">
      <c r="A2036" s="7" t="s">
        <v>155</v>
      </c>
      <c r="B2036" s="7" t="s">
        <v>1098</v>
      </c>
      <c r="C2036" s="8">
        <f>IFERROR(__xludf.DUMMYFUNCTION("SPLIT(B2036,""RM"")"),810000.0)</f>
        <v>810000</v>
      </c>
      <c r="D2036" s="7" t="s">
        <v>19</v>
      </c>
      <c r="E2036" s="7">
        <v>2.0</v>
      </c>
      <c r="F2036" s="7">
        <v>2.0</v>
      </c>
      <c r="G2036" s="7" t="s">
        <v>83</v>
      </c>
      <c r="H2036" s="7" t="s">
        <v>1004</v>
      </c>
      <c r="I2036" s="7" t="s">
        <v>103</v>
      </c>
    </row>
    <row r="2037">
      <c r="A2037" s="7" t="s">
        <v>28</v>
      </c>
      <c r="B2037" s="7" t="s">
        <v>311</v>
      </c>
      <c r="C2037" s="8">
        <f>IFERROR(__xludf.DUMMYFUNCTION("SPLIT(B2037,""RM"")"),1100000.0)</f>
        <v>1100000</v>
      </c>
      <c r="G2037" s="7" t="s">
        <v>20</v>
      </c>
      <c r="H2037" s="7" t="s">
        <v>1555</v>
      </c>
      <c r="I2037" s="7" t="s">
        <v>27</v>
      </c>
    </row>
    <row r="2038">
      <c r="A2038" s="7" t="s">
        <v>28</v>
      </c>
      <c r="B2038" s="7" t="s">
        <v>284</v>
      </c>
      <c r="C2038" s="8">
        <f>IFERROR(__xludf.DUMMYFUNCTION("SPLIT(B2038,""RM"")"),1060000.0)</f>
        <v>1060000</v>
      </c>
      <c r="D2038" s="7" t="s">
        <v>197</v>
      </c>
      <c r="E2038" s="7">
        <v>2.0</v>
      </c>
      <c r="F2038" s="7">
        <v>3.0</v>
      </c>
      <c r="G2038" s="7" t="s">
        <v>20</v>
      </c>
      <c r="H2038" s="7" t="s">
        <v>937</v>
      </c>
      <c r="I2038" s="7" t="s">
        <v>22</v>
      </c>
    </row>
    <row r="2039">
      <c r="A2039" s="7" t="s">
        <v>100</v>
      </c>
      <c r="B2039" s="7" t="s">
        <v>314</v>
      </c>
      <c r="C2039" s="8">
        <f>IFERROR(__xludf.DUMMYFUNCTION("SPLIT(B2039,""RM"")"),670000.0)</f>
        <v>670000</v>
      </c>
      <c r="D2039" s="7">
        <v>3.0</v>
      </c>
      <c r="E2039" s="7">
        <v>2.0</v>
      </c>
      <c r="F2039" s="7">
        <v>2.0</v>
      </c>
      <c r="G2039" s="7" t="s">
        <v>20</v>
      </c>
      <c r="H2039" s="7" t="s">
        <v>410</v>
      </c>
      <c r="I2039" s="7" t="s">
        <v>27</v>
      </c>
    </row>
    <row r="2040">
      <c r="A2040" s="7" t="s">
        <v>428</v>
      </c>
      <c r="B2040" s="7" t="s">
        <v>1658</v>
      </c>
      <c r="C2040" s="8">
        <f>IFERROR(__xludf.DUMMYFUNCTION("SPLIT(B2040,""RM"")"),996300.0)</f>
        <v>996300</v>
      </c>
      <c r="G2040" s="7" t="s">
        <v>20</v>
      </c>
      <c r="H2040" s="7" t="s">
        <v>1025</v>
      </c>
    </row>
    <row r="2041">
      <c r="A2041" s="7" t="s">
        <v>23</v>
      </c>
      <c r="B2041" s="7" t="s">
        <v>1659</v>
      </c>
      <c r="C2041" s="8">
        <f>IFERROR(__xludf.DUMMYFUNCTION("SPLIT(B2041,""RM"")"),540000.0)</f>
        <v>540000</v>
      </c>
      <c r="G2041" s="7" t="s">
        <v>20</v>
      </c>
    </row>
    <row r="2042">
      <c r="A2042" s="7" t="s">
        <v>432</v>
      </c>
      <c r="B2042" s="7" t="s">
        <v>1660</v>
      </c>
      <c r="C2042" s="8">
        <f>IFERROR(__xludf.DUMMYFUNCTION("SPLIT(B2042,""RM"")"),299000.0)</f>
        <v>299000</v>
      </c>
      <c r="G2042" s="7" t="s">
        <v>20</v>
      </c>
      <c r="H2042" s="7" t="s">
        <v>244</v>
      </c>
    </row>
    <row r="2043">
      <c r="A2043" s="7" t="s">
        <v>41</v>
      </c>
      <c r="B2043" s="7" t="s">
        <v>149</v>
      </c>
      <c r="C2043" s="8">
        <f>IFERROR(__xludf.DUMMYFUNCTION("SPLIT(B2043,""RM"")"),4000000.0)</f>
        <v>4000000</v>
      </c>
      <c r="D2043" s="7" t="s">
        <v>70</v>
      </c>
      <c r="E2043" s="7">
        <v>6.0</v>
      </c>
      <c r="F2043" s="7">
        <v>2.0</v>
      </c>
      <c r="G2043" s="7" t="s">
        <v>64</v>
      </c>
      <c r="H2043" s="7" t="s">
        <v>478</v>
      </c>
      <c r="I2043" s="7" t="s">
        <v>27</v>
      </c>
    </row>
    <row r="2044">
      <c r="A2044" s="7" t="s">
        <v>177</v>
      </c>
      <c r="B2044" s="7" t="s">
        <v>970</v>
      </c>
      <c r="C2044" s="8">
        <f>IFERROR(__xludf.DUMMYFUNCTION("SPLIT(B2044,""RM"")"),5200000.0)</f>
        <v>5200000</v>
      </c>
      <c r="D2044" s="7" t="s">
        <v>70</v>
      </c>
      <c r="E2044" s="7">
        <v>5.0</v>
      </c>
      <c r="G2044" s="7" t="s">
        <v>61</v>
      </c>
      <c r="H2044" s="7" t="s">
        <v>1087</v>
      </c>
      <c r="I2044" s="7" t="s">
        <v>22</v>
      </c>
    </row>
    <row r="2045">
      <c r="A2045" s="7" t="s">
        <v>1661</v>
      </c>
      <c r="B2045" s="7" t="s">
        <v>1662</v>
      </c>
      <c r="C2045" s="8">
        <f>IFERROR(__xludf.DUMMYFUNCTION("SPLIT(B2045,""RM"")"),5950000.0)</f>
        <v>5950000</v>
      </c>
      <c r="D2045" s="7" t="s">
        <v>60</v>
      </c>
      <c r="E2045" s="7">
        <v>6.0</v>
      </c>
      <c r="G2045" s="7" t="s">
        <v>61</v>
      </c>
      <c r="H2045" s="7" t="s">
        <v>1663</v>
      </c>
      <c r="I2045" s="7" t="s">
        <v>27</v>
      </c>
    </row>
    <row r="2046">
      <c r="A2046" s="7" t="s">
        <v>104</v>
      </c>
      <c r="B2046" s="7" t="s">
        <v>710</v>
      </c>
      <c r="C2046" s="8">
        <f>IFERROR(__xludf.DUMMYFUNCTION("SPLIT(B2046,""RM"")"),570000.0)</f>
        <v>570000</v>
      </c>
      <c r="D2046" s="7" t="s">
        <v>57</v>
      </c>
      <c r="E2046" s="7">
        <v>2.0</v>
      </c>
      <c r="F2046" s="7">
        <v>2.0</v>
      </c>
      <c r="G2046" s="7" t="s">
        <v>121</v>
      </c>
      <c r="H2046" s="7" t="s">
        <v>1664</v>
      </c>
      <c r="I2046" s="7" t="s">
        <v>27</v>
      </c>
    </row>
    <row r="2047">
      <c r="A2047" s="7" t="s">
        <v>17</v>
      </c>
      <c r="B2047" s="7" t="s">
        <v>311</v>
      </c>
      <c r="C2047" s="8">
        <f>IFERROR(__xludf.DUMMYFUNCTION("SPLIT(B2047,""RM"")"),1100000.0)</f>
        <v>1100000</v>
      </c>
      <c r="D2047" s="7" t="s">
        <v>197</v>
      </c>
      <c r="E2047" s="7">
        <v>1.0</v>
      </c>
      <c r="F2047" s="7">
        <v>1.0</v>
      </c>
      <c r="G2047" s="7" t="s">
        <v>82</v>
      </c>
      <c r="H2047" s="7" t="s">
        <v>323</v>
      </c>
      <c r="I2047" s="7" t="s">
        <v>22</v>
      </c>
    </row>
    <row r="2048">
      <c r="A2048" s="7" t="s">
        <v>17</v>
      </c>
      <c r="B2048" s="7" t="s">
        <v>1665</v>
      </c>
      <c r="C2048" s="8">
        <f>IFERROR(__xludf.DUMMYFUNCTION("SPLIT(B2048,""RM"")"),1473950.0)</f>
        <v>1473950</v>
      </c>
      <c r="D2048" s="7">
        <v>3.0</v>
      </c>
      <c r="E2048" s="7">
        <v>3.0</v>
      </c>
      <c r="F2048" s="7">
        <v>1.0</v>
      </c>
      <c r="G2048" s="7" t="s">
        <v>93</v>
      </c>
      <c r="H2048" s="7" t="s">
        <v>1666</v>
      </c>
    </row>
    <row r="2049">
      <c r="A2049" s="7" t="s">
        <v>77</v>
      </c>
      <c r="B2049" s="7" t="s">
        <v>322</v>
      </c>
      <c r="C2049" s="8">
        <f>IFERROR(__xludf.DUMMYFUNCTION("SPLIT(B2049,""RM"")"),1900000.0)</f>
        <v>1900000</v>
      </c>
      <c r="D2049" s="7" t="s">
        <v>57</v>
      </c>
      <c r="E2049" s="7">
        <v>3.0</v>
      </c>
      <c r="F2049" s="7">
        <v>2.0</v>
      </c>
      <c r="G2049" s="7" t="s">
        <v>184</v>
      </c>
      <c r="H2049" s="7" t="s">
        <v>461</v>
      </c>
      <c r="I2049" s="7" t="s">
        <v>27</v>
      </c>
    </row>
    <row r="2050">
      <c r="A2050" s="7" t="s">
        <v>77</v>
      </c>
      <c r="B2050" s="7" t="s">
        <v>214</v>
      </c>
      <c r="C2050" s="8">
        <f>IFERROR(__xludf.DUMMYFUNCTION("SPLIT(B2050,""RM"")"),1180000.0)</f>
        <v>1180000</v>
      </c>
      <c r="D2050" s="7" t="s">
        <v>57</v>
      </c>
      <c r="E2050" s="7">
        <v>3.0</v>
      </c>
      <c r="F2050" s="7">
        <v>2.0</v>
      </c>
      <c r="G2050" s="7" t="s">
        <v>30</v>
      </c>
      <c r="H2050" s="7" t="s">
        <v>1025</v>
      </c>
      <c r="I2050" s="7" t="s">
        <v>27</v>
      </c>
    </row>
    <row r="2051">
      <c r="A2051" s="7" t="s">
        <v>77</v>
      </c>
      <c r="B2051" s="7" t="s">
        <v>1667</v>
      </c>
      <c r="C2051" s="8">
        <f>IFERROR(__xludf.DUMMYFUNCTION("SPLIT(B2051,""RM"")"),1448000.0)</f>
        <v>1448000</v>
      </c>
      <c r="D2051" s="7" t="s">
        <v>19</v>
      </c>
      <c r="E2051" s="7">
        <v>2.0</v>
      </c>
      <c r="F2051" s="7">
        <v>2.0</v>
      </c>
      <c r="G2051" s="7" t="s">
        <v>83</v>
      </c>
      <c r="H2051" s="7" t="s">
        <v>321</v>
      </c>
      <c r="I2051" s="7" t="s">
        <v>22</v>
      </c>
    </row>
    <row r="2052">
      <c r="A2052" s="7" t="s">
        <v>77</v>
      </c>
      <c r="B2052" s="7" t="s">
        <v>132</v>
      </c>
      <c r="C2052" s="8">
        <f>IFERROR(__xludf.DUMMYFUNCTION("SPLIT(B2052,""RM"")"),1080000.0)</f>
        <v>1080000</v>
      </c>
      <c r="D2052" s="7">
        <v>2.0</v>
      </c>
      <c r="E2052" s="7">
        <v>1.0</v>
      </c>
      <c r="F2052" s="7">
        <v>2.0</v>
      </c>
      <c r="G2052" s="7" t="s">
        <v>83</v>
      </c>
      <c r="H2052" s="7" t="s">
        <v>1052</v>
      </c>
      <c r="I2052" s="7" t="s">
        <v>27</v>
      </c>
    </row>
    <row r="2053">
      <c r="A2053" s="7" t="s">
        <v>77</v>
      </c>
      <c r="B2053" s="7" t="s">
        <v>1533</v>
      </c>
      <c r="C2053" s="8">
        <f>IFERROR(__xludf.DUMMYFUNCTION("SPLIT(B2053,""RM"")"),795000.0)</f>
        <v>795000</v>
      </c>
      <c r="D2053" s="7" t="s">
        <v>197</v>
      </c>
      <c r="E2053" s="7">
        <v>1.0</v>
      </c>
      <c r="F2053" s="7">
        <v>1.0</v>
      </c>
      <c r="G2053" s="7" t="s">
        <v>93</v>
      </c>
      <c r="H2053" s="7" t="s">
        <v>609</v>
      </c>
      <c r="I2053" s="7" t="s">
        <v>27</v>
      </c>
    </row>
    <row r="2054">
      <c r="A2054" s="7" t="s">
        <v>77</v>
      </c>
      <c r="B2054" s="7" t="s">
        <v>243</v>
      </c>
      <c r="C2054" s="8">
        <f>IFERROR(__xludf.DUMMYFUNCTION("SPLIT(B2054,""RM"")"),1350000.0)</f>
        <v>1350000</v>
      </c>
      <c r="D2054" s="7" t="s">
        <v>57</v>
      </c>
      <c r="E2054" s="7">
        <v>3.0</v>
      </c>
      <c r="F2054" s="7">
        <v>2.0</v>
      </c>
      <c r="G2054" s="7" t="s">
        <v>30</v>
      </c>
      <c r="H2054" s="7" t="s">
        <v>594</v>
      </c>
      <c r="I2054" s="7" t="s">
        <v>22</v>
      </c>
    </row>
    <row r="2055">
      <c r="A2055" s="7" t="s">
        <v>77</v>
      </c>
      <c r="B2055" s="7" t="s">
        <v>81</v>
      </c>
      <c r="C2055" s="8">
        <f>IFERROR(__xludf.DUMMYFUNCTION("SPLIT(B2055,""RM"")"),1550000.0)</f>
        <v>1550000</v>
      </c>
      <c r="D2055" s="7">
        <v>3.0</v>
      </c>
      <c r="E2055" s="7">
        <v>3.0</v>
      </c>
      <c r="F2055" s="7">
        <v>2.0</v>
      </c>
      <c r="G2055" s="7" t="s">
        <v>273</v>
      </c>
      <c r="H2055" s="7" t="s">
        <v>461</v>
      </c>
      <c r="I2055" s="7" t="s">
        <v>103</v>
      </c>
    </row>
    <row r="2056">
      <c r="A2056" s="7" t="s">
        <v>77</v>
      </c>
      <c r="B2056" s="7" t="s">
        <v>403</v>
      </c>
      <c r="C2056" s="8">
        <f>IFERROR(__xludf.DUMMYFUNCTION("SPLIT(B2056,""RM"")"),1600000.0)</f>
        <v>1600000</v>
      </c>
      <c r="D2056" s="7">
        <v>3.0</v>
      </c>
      <c r="E2056" s="7">
        <v>3.0</v>
      </c>
      <c r="F2056" s="7">
        <v>2.0</v>
      </c>
      <c r="G2056" s="7" t="s">
        <v>1668</v>
      </c>
      <c r="H2056" s="7" t="s">
        <v>461</v>
      </c>
      <c r="I2056" s="7" t="s">
        <v>22</v>
      </c>
    </row>
    <row r="2057">
      <c r="A2057" s="7" t="s">
        <v>77</v>
      </c>
      <c r="B2057" s="7" t="s">
        <v>210</v>
      </c>
      <c r="C2057" s="8">
        <f>IFERROR(__xludf.DUMMYFUNCTION("SPLIT(B2057,""RM"")"),1630000.0)</f>
        <v>1630000</v>
      </c>
      <c r="D2057" s="7">
        <v>3.0</v>
      </c>
      <c r="E2057" s="7">
        <v>3.0</v>
      </c>
      <c r="F2057" s="7">
        <v>2.0</v>
      </c>
      <c r="G2057" s="7" t="s">
        <v>90</v>
      </c>
      <c r="H2057" s="7" t="s">
        <v>461</v>
      </c>
      <c r="I2057" s="7" t="s">
        <v>22</v>
      </c>
    </row>
    <row r="2058">
      <c r="A2058" s="7" t="s">
        <v>188</v>
      </c>
      <c r="B2058" s="7" t="s">
        <v>168</v>
      </c>
      <c r="C2058" s="8">
        <f>IFERROR(__xludf.DUMMYFUNCTION("SPLIT(B2058,""RM"")"),750000.0)</f>
        <v>750000</v>
      </c>
      <c r="D2058" s="7">
        <v>1.0</v>
      </c>
      <c r="E2058" s="7">
        <v>1.0</v>
      </c>
      <c r="F2058" s="7">
        <v>1.0</v>
      </c>
      <c r="G2058" s="7" t="s">
        <v>83</v>
      </c>
      <c r="H2058" s="7" t="s">
        <v>1569</v>
      </c>
      <c r="I2058" s="7" t="s">
        <v>103</v>
      </c>
    </row>
    <row r="2059">
      <c r="A2059" s="7" t="s">
        <v>89</v>
      </c>
      <c r="B2059" s="7" t="s">
        <v>1669</v>
      </c>
      <c r="C2059" s="8">
        <f>IFERROR(__xludf.DUMMYFUNCTION("SPLIT(B2059,""RM"")"),577000.0)</f>
        <v>577000</v>
      </c>
      <c r="D2059" s="7">
        <v>3.0</v>
      </c>
      <c r="E2059" s="7">
        <v>2.0</v>
      </c>
      <c r="F2059" s="7">
        <v>2.0</v>
      </c>
      <c r="G2059" s="7" t="s">
        <v>83</v>
      </c>
      <c r="H2059" s="7" t="s">
        <v>1670</v>
      </c>
      <c r="I2059" s="7" t="s">
        <v>22</v>
      </c>
    </row>
    <row r="2060">
      <c r="A2060" s="7" t="s">
        <v>37</v>
      </c>
      <c r="B2060" s="7" t="s">
        <v>260</v>
      </c>
      <c r="C2060" s="8">
        <f>IFERROR(__xludf.DUMMYFUNCTION("SPLIT(B2060,""RM"")"),1480000.0)</f>
        <v>1480000</v>
      </c>
      <c r="D2060" s="7" t="s">
        <v>19</v>
      </c>
      <c r="E2060" s="7">
        <v>3.0</v>
      </c>
      <c r="F2060" s="7">
        <v>2.0</v>
      </c>
      <c r="G2060" s="7" t="s">
        <v>121</v>
      </c>
      <c r="H2060" s="7" t="s">
        <v>1093</v>
      </c>
      <c r="I2060" s="7" t="s">
        <v>22</v>
      </c>
    </row>
    <row r="2061">
      <c r="A2061" s="7" t="s">
        <v>37</v>
      </c>
      <c r="B2061" s="7" t="s">
        <v>260</v>
      </c>
      <c r="C2061" s="8">
        <f>IFERROR(__xludf.DUMMYFUNCTION("SPLIT(B2061,""RM"")"),1480000.0)</f>
        <v>1480000</v>
      </c>
      <c r="D2061" s="7" t="s">
        <v>19</v>
      </c>
      <c r="E2061" s="7">
        <v>3.0</v>
      </c>
      <c r="F2061" s="7">
        <v>2.0</v>
      </c>
      <c r="G2061" s="7" t="s">
        <v>20</v>
      </c>
      <c r="H2061" s="7" t="s">
        <v>1093</v>
      </c>
      <c r="I2061" s="7" t="s">
        <v>22</v>
      </c>
    </row>
    <row r="2062">
      <c r="A2062" s="7" t="s">
        <v>48</v>
      </c>
      <c r="B2062" s="7" t="s">
        <v>134</v>
      </c>
      <c r="C2062" s="8">
        <f>IFERROR(__xludf.DUMMYFUNCTION("SPLIT(B2062,""RM"")"),1150000.0)</f>
        <v>1150000</v>
      </c>
      <c r="D2062" s="7">
        <v>4.0</v>
      </c>
      <c r="E2062" s="7">
        <v>3.0</v>
      </c>
      <c r="G2062" s="7" t="s">
        <v>169</v>
      </c>
      <c r="I2062" s="7" t="s">
        <v>22</v>
      </c>
    </row>
    <row r="2063">
      <c r="A2063" s="7" t="s">
        <v>77</v>
      </c>
      <c r="B2063" s="7" t="s">
        <v>138</v>
      </c>
      <c r="C2063" s="8">
        <f>IFERROR(__xludf.DUMMYFUNCTION("SPLIT(B2063,""RM"")"),930000.0)</f>
        <v>930000</v>
      </c>
      <c r="D2063" s="7" t="s">
        <v>197</v>
      </c>
      <c r="E2063" s="7">
        <v>2.0</v>
      </c>
      <c r="F2063" s="7">
        <v>2.0</v>
      </c>
      <c r="G2063" s="7" t="s">
        <v>83</v>
      </c>
      <c r="H2063" s="7" t="s">
        <v>609</v>
      </c>
      <c r="I2063" s="7" t="s">
        <v>22</v>
      </c>
    </row>
    <row r="2064">
      <c r="A2064" s="7" t="s">
        <v>77</v>
      </c>
      <c r="B2064" s="7" t="s">
        <v>134</v>
      </c>
      <c r="C2064" s="8">
        <f>IFERROR(__xludf.DUMMYFUNCTION("SPLIT(B2064,""RM"")"),1150000.0)</f>
        <v>1150000</v>
      </c>
      <c r="D2064" s="7">
        <v>2.0</v>
      </c>
      <c r="E2064" s="7">
        <v>1.0</v>
      </c>
      <c r="F2064" s="7">
        <v>1.0</v>
      </c>
      <c r="G2064" s="7" t="s">
        <v>83</v>
      </c>
      <c r="H2064" s="7" t="s">
        <v>1052</v>
      </c>
    </row>
    <row r="2065">
      <c r="A2065" s="7" t="s">
        <v>77</v>
      </c>
      <c r="B2065" s="7" t="s">
        <v>214</v>
      </c>
      <c r="C2065" s="8">
        <f>IFERROR(__xludf.DUMMYFUNCTION("SPLIT(B2065,""RM"")"),1180000.0)</f>
        <v>1180000</v>
      </c>
      <c r="D2065" s="7">
        <v>3.0</v>
      </c>
      <c r="E2065" s="7">
        <v>2.0</v>
      </c>
      <c r="F2065" s="7">
        <v>2.0</v>
      </c>
      <c r="G2065" s="7" t="s">
        <v>83</v>
      </c>
      <c r="H2065" s="7" t="s">
        <v>471</v>
      </c>
    </row>
    <row r="2066">
      <c r="A2066" s="7" t="s">
        <v>32</v>
      </c>
      <c r="B2066" s="7" t="s">
        <v>1140</v>
      </c>
      <c r="C2066" s="8">
        <f>IFERROR(__xludf.DUMMYFUNCTION("SPLIT(B2066,""RM"")"),330000.0)</f>
        <v>330000</v>
      </c>
      <c r="D2066" s="7">
        <v>3.0</v>
      </c>
      <c r="E2066" s="7">
        <v>2.0</v>
      </c>
      <c r="F2066" s="7">
        <v>1.0</v>
      </c>
      <c r="G2066" s="7" t="s">
        <v>93</v>
      </c>
      <c r="H2066" s="7" t="s">
        <v>1671</v>
      </c>
      <c r="I2066" s="7" t="s">
        <v>27</v>
      </c>
    </row>
    <row r="2067">
      <c r="A2067" s="7" t="s">
        <v>33</v>
      </c>
      <c r="B2067" s="7" t="s">
        <v>361</v>
      </c>
      <c r="C2067" s="8">
        <f>IFERROR(__xludf.DUMMYFUNCTION("SPLIT(B2067,""RM"")"),530000.0)</f>
        <v>530000</v>
      </c>
      <c r="D2067" s="7">
        <v>3.0</v>
      </c>
      <c r="E2067" s="7">
        <v>3.0</v>
      </c>
      <c r="F2067" s="7">
        <v>2.0</v>
      </c>
      <c r="G2067" s="7" t="s">
        <v>93</v>
      </c>
      <c r="H2067" s="7" t="s">
        <v>1156</v>
      </c>
      <c r="I2067" s="7" t="s">
        <v>103</v>
      </c>
    </row>
    <row r="2068">
      <c r="A2068" s="7" t="s">
        <v>100</v>
      </c>
      <c r="B2068" s="7" t="s">
        <v>854</v>
      </c>
      <c r="C2068" s="8">
        <f>IFERROR(__xludf.DUMMYFUNCTION("SPLIT(B2068,""RM"")"),690000.0)</f>
        <v>690000</v>
      </c>
      <c r="D2068" s="7" t="s">
        <v>57</v>
      </c>
      <c r="E2068" s="7">
        <v>2.0</v>
      </c>
      <c r="F2068" s="7">
        <v>2.0</v>
      </c>
      <c r="G2068" s="7" t="s">
        <v>121</v>
      </c>
      <c r="H2068" s="7" t="s">
        <v>410</v>
      </c>
      <c r="I2068" s="7" t="s">
        <v>27</v>
      </c>
    </row>
    <row r="2069">
      <c r="A2069" s="7" t="s">
        <v>100</v>
      </c>
      <c r="B2069" s="7" t="s">
        <v>409</v>
      </c>
      <c r="C2069" s="8">
        <f>IFERROR(__xludf.DUMMYFUNCTION("SPLIT(B2069,""RM"")"),655000.0)</f>
        <v>655000</v>
      </c>
      <c r="D2069" s="7" t="s">
        <v>57</v>
      </c>
      <c r="E2069" s="7">
        <v>2.0</v>
      </c>
      <c r="F2069" s="7">
        <v>2.0</v>
      </c>
      <c r="G2069" s="7" t="s">
        <v>20</v>
      </c>
      <c r="H2069" s="7" t="s">
        <v>410</v>
      </c>
      <c r="I2069" s="7" t="s">
        <v>103</v>
      </c>
    </row>
    <row r="2070">
      <c r="A2070" s="7" t="s">
        <v>371</v>
      </c>
      <c r="B2070" s="7" t="s">
        <v>311</v>
      </c>
      <c r="C2070" s="8">
        <f>IFERROR(__xludf.DUMMYFUNCTION("SPLIT(B2070,""RM"")"),1100000.0)</f>
        <v>1100000</v>
      </c>
      <c r="D2070" s="7" t="s">
        <v>57</v>
      </c>
      <c r="E2070" s="7">
        <v>4.0</v>
      </c>
      <c r="F2070" s="7">
        <v>2.0</v>
      </c>
      <c r="G2070" s="7" t="s">
        <v>30</v>
      </c>
      <c r="H2070" s="7" t="s">
        <v>1165</v>
      </c>
      <c r="I2070" s="7" t="s">
        <v>103</v>
      </c>
    </row>
    <row r="2071">
      <c r="A2071" s="7" t="s">
        <v>100</v>
      </c>
      <c r="B2071" s="7" t="s">
        <v>953</v>
      </c>
      <c r="C2071" s="8">
        <f>IFERROR(__xludf.DUMMYFUNCTION("SPLIT(B2071,""RM"")"),730000.0)</f>
        <v>730000</v>
      </c>
      <c r="D2071" s="7" t="s">
        <v>57</v>
      </c>
      <c r="E2071" s="7">
        <v>2.0</v>
      </c>
      <c r="F2071" s="7">
        <v>2.0</v>
      </c>
      <c r="G2071" s="7" t="s">
        <v>121</v>
      </c>
      <c r="H2071" s="7" t="s">
        <v>410</v>
      </c>
      <c r="I2071" s="7" t="s">
        <v>22</v>
      </c>
    </row>
    <row r="2072">
      <c r="A2072" s="7" t="s">
        <v>72</v>
      </c>
      <c r="B2072" s="7" t="s">
        <v>1030</v>
      </c>
      <c r="C2072" s="8">
        <f>IFERROR(__xludf.DUMMYFUNCTION("SPLIT(B2072,""RM"")"),3150000.0)</f>
        <v>3150000</v>
      </c>
      <c r="D2072" s="7" t="s">
        <v>35</v>
      </c>
      <c r="E2072" s="7">
        <v>5.0</v>
      </c>
      <c r="F2072" s="7">
        <v>3.0</v>
      </c>
      <c r="G2072" s="7" t="s">
        <v>83</v>
      </c>
      <c r="H2072" s="7" t="s">
        <v>1672</v>
      </c>
    </row>
    <row r="2073">
      <c r="A2073" s="7" t="s">
        <v>32</v>
      </c>
      <c r="B2073" s="7" t="s">
        <v>1673</v>
      </c>
      <c r="C2073" s="8">
        <f>IFERROR(__xludf.DUMMYFUNCTION("SPLIT(B2073,""RM"")"),345000.0)</f>
        <v>345000</v>
      </c>
      <c r="D2073" s="7">
        <v>3.0</v>
      </c>
      <c r="E2073" s="7">
        <v>2.0</v>
      </c>
      <c r="F2073" s="7">
        <v>2.0</v>
      </c>
      <c r="G2073" s="7" t="s">
        <v>30</v>
      </c>
      <c r="H2073" s="7" t="s">
        <v>853</v>
      </c>
      <c r="I2073" s="7" t="s">
        <v>27</v>
      </c>
    </row>
    <row r="2074">
      <c r="A2074" s="7" t="s">
        <v>180</v>
      </c>
      <c r="B2074" s="7" t="s">
        <v>956</v>
      </c>
      <c r="C2074" s="8">
        <f>IFERROR(__xludf.DUMMYFUNCTION("SPLIT(B2074,""RM"")"),860000.0)</f>
        <v>860000</v>
      </c>
      <c r="D2074" s="7">
        <v>4.0</v>
      </c>
      <c r="E2074" s="7">
        <v>3.0</v>
      </c>
      <c r="G2074" s="7" t="s">
        <v>54</v>
      </c>
      <c r="H2074" s="7" t="s">
        <v>1121</v>
      </c>
      <c r="I2074" s="7" t="s">
        <v>103</v>
      </c>
    </row>
    <row r="2075">
      <c r="A2075" s="7" t="s">
        <v>580</v>
      </c>
      <c r="B2075" s="7" t="s">
        <v>599</v>
      </c>
      <c r="C2075" s="8">
        <f>IFERROR(__xludf.DUMMYFUNCTION("SPLIT(B2075,""RM"")"),950000.0)</f>
        <v>950000</v>
      </c>
      <c r="D2075" s="7">
        <v>4.0</v>
      </c>
      <c r="E2075" s="7">
        <v>3.0</v>
      </c>
      <c r="G2075" s="7" t="s">
        <v>54</v>
      </c>
      <c r="H2075" s="7" t="s">
        <v>211</v>
      </c>
      <c r="I2075" s="7" t="s">
        <v>22</v>
      </c>
    </row>
    <row r="2076">
      <c r="A2076" s="7" t="s">
        <v>432</v>
      </c>
      <c r="B2076" s="7" t="s">
        <v>484</v>
      </c>
      <c r="C2076" s="8">
        <f>IFERROR(__xludf.DUMMYFUNCTION("SPLIT(B2076,""RM"")"),2950000.0)</f>
        <v>2950000</v>
      </c>
      <c r="D2076" s="7" t="s">
        <v>35</v>
      </c>
      <c r="E2076" s="7">
        <v>5.0</v>
      </c>
      <c r="G2076" s="7" t="s">
        <v>83</v>
      </c>
      <c r="H2076" s="7" t="s">
        <v>1495</v>
      </c>
      <c r="I2076" s="7" t="s">
        <v>22</v>
      </c>
    </row>
    <row r="2077">
      <c r="A2077" s="7" t="s">
        <v>432</v>
      </c>
      <c r="B2077" s="7" t="s">
        <v>920</v>
      </c>
      <c r="C2077" s="8">
        <f>IFERROR(__xludf.DUMMYFUNCTION("SPLIT(B2077,""RM"")"),3650000.0)</f>
        <v>3650000</v>
      </c>
      <c r="D2077" s="7" t="s">
        <v>35</v>
      </c>
      <c r="E2077" s="7">
        <v>6.0</v>
      </c>
      <c r="G2077" s="7" t="s">
        <v>83</v>
      </c>
      <c r="H2077" s="7" t="s">
        <v>1626</v>
      </c>
    </row>
    <row r="2078">
      <c r="A2078" s="7" t="s">
        <v>432</v>
      </c>
      <c r="B2078" s="7" t="s">
        <v>313</v>
      </c>
      <c r="C2078" s="8">
        <f>IFERROR(__xludf.DUMMYFUNCTION("SPLIT(B2078,""RM"")"),2900000.0)</f>
        <v>2900000</v>
      </c>
      <c r="D2078" s="7" t="s">
        <v>35</v>
      </c>
      <c r="E2078" s="7">
        <v>5.0</v>
      </c>
      <c r="G2078" s="7" t="s">
        <v>83</v>
      </c>
      <c r="H2078" s="7" t="s">
        <v>1674</v>
      </c>
    </row>
    <row r="2079">
      <c r="A2079" s="7" t="s">
        <v>432</v>
      </c>
      <c r="B2079" s="7" t="s">
        <v>475</v>
      </c>
      <c r="C2079" s="8">
        <f>IFERROR(__xludf.DUMMYFUNCTION("SPLIT(B2079,""RM"")"),2800000.0)</f>
        <v>2800000</v>
      </c>
      <c r="D2079" s="7" t="s">
        <v>35</v>
      </c>
      <c r="E2079" s="7">
        <v>5.0</v>
      </c>
      <c r="G2079" s="7" t="s">
        <v>83</v>
      </c>
      <c r="H2079" s="7" t="s">
        <v>1675</v>
      </c>
      <c r="I2079" s="7" t="s">
        <v>22</v>
      </c>
    </row>
    <row r="2080">
      <c r="A2080" s="7" t="s">
        <v>432</v>
      </c>
      <c r="B2080" s="7" t="s">
        <v>120</v>
      </c>
      <c r="C2080" s="8">
        <f>IFERROR(__xludf.DUMMYFUNCTION("SPLIT(B2080,""RM"")"),3600000.0)</f>
        <v>3600000</v>
      </c>
      <c r="D2080" s="7" t="s">
        <v>35</v>
      </c>
      <c r="E2080" s="7">
        <v>5.0</v>
      </c>
      <c r="F2080" s="7">
        <v>3.0</v>
      </c>
      <c r="G2080" s="7" t="s">
        <v>83</v>
      </c>
      <c r="H2080" s="7" t="s">
        <v>1084</v>
      </c>
      <c r="I2080" s="7" t="s">
        <v>22</v>
      </c>
    </row>
    <row r="2081">
      <c r="A2081" s="7" t="s">
        <v>432</v>
      </c>
      <c r="B2081" s="7" t="s">
        <v>174</v>
      </c>
      <c r="C2081" s="8">
        <f>IFERROR(__xludf.DUMMYFUNCTION("SPLIT(B2081,""RM"")"),3000000.0)</f>
        <v>3000000</v>
      </c>
      <c r="D2081" s="7">
        <v>5.0</v>
      </c>
      <c r="E2081" s="7">
        <v>5.0</v>
      </c>
      <c r="F2081" s="7">
        <v>3.0</v>
      </c>
      <c r="G2081" s="7" t="s">
        <v>83</v>
      </c>
      <c r="H2081" s="7" t="s">
        <v>1628</v>
      </c>
      <c r="I2081" s="7" t="s">
        <v>22</v>
      </c>
    </row>
    <row r="2082">
      <c r="A2082" s="7" t="s">
        <v>32</v>
      </c>
      <c r="B2082" s="7" t="s">
        <v>761</v>
      </c>
      <c r="C2082" s="8">
        <f>IFERROR(__xludf.DUMMYFUNCTION("SPLIT(B2082,""RM"")"),480000.0)</f>
        <v>480000</v>
      </c>
      <c r="D2082" s="7">
        <v>3.0</v>
      </c>
      <c r="E2082" s="7">
        <v>2.0</v>
      </c>
      <c r="F2082" s="7">
        <v>2.0</v>
      </c>
      <c r="G2082" s="7" t="s">
        <v>30</v>
      </c>
      <c r="I2082" s="7" t="s">
        <v>103</v>
      </c>
    </row>
    <row r="2083">
      <c r="A2083" s="7" t="s">
        <v>32</v>
      </c>
      <c r="B2083" s="7" t="s">
        <v>1676</v>
      </c>
      <c r="C2083" s="8">
        <f>IFERROR(__xludf.DUMMYFUNCTION("SPLIT(B2083,""RM"")"),445000.0)</f>
        <v>445000</v>
      </c>
      <c r="D2083" s="7">
        <v>3.0</v>
      </c>
      <c r="E2083" s="7">
        <v>2.0</v>
      </c>
      <c r="F2083" s="7">
        <v>2.0</v>
      </c>
      <c r="G2083" s="7" t="s">
        <v>30</v>
      </c>
      <c r="I2083" s="7" t="s">
        <v>103</v>
      </c>
    </row>
    <row r="2084">
      <c r="A2084" s="7" t="s">
        <v>32</v>
      </c>
      <c r="B2084" s="7" t="s">
        <v>1258</v>
      </c>
      <c r="C2084" s="8">
        <f>IFERROR(__xludf.DUMMYFUNCTION("SPLIT(B2084,""RM"")"),465000.0)</f>
        <v>465000</v>
      </c>
      <c r="D2084" s="7" t="s">
        <v>57</v>
      </c>
      <c r="E2084" s="7">
        <v>2.0</v>
      </c>
      <c r="F2084" s="7">
        <v>1.0</v>
      </c>
      <c r="G2084" s="7" t="s">
        <v>93</v>
      </c>
      <c r="H2084" s="7" t="s">
        <v>1677</v>
      </c>
      <c r="I2084" s="7" t="s">
        <v>103</v>
      </c>
    </row>
    <row r="2085">
      <c r="A2085" s="7" t="s">
        <v>33</v>
      </c>
      <c r="B2085" s="7" t="s">
        <v>1334</v>
      </c>
      <c r="C2085" s="8">
        <f>IFERROR(__xludf.DUMMYFUNCTION("SPLIT(B2085,""RM"")"),808000.0)</f>
        <v>808000</v>
      </c>
      <c r="D2085" s="7">
        <v>3.0</v>
      </c>
      <c r="E2085" s="7">
        <v>2.0</v>
      </c>
      <c r="F2085" s="7">
        <v>2.0</v>
      </c>
      <c r="G2085" s="7" t="s">
        <v>20</v>
      </c>
      <c r="H2085" s="7" t="s">
        <v>795</v>
      </c>
      <c r="I2085" s="7" t="s">
        <v>22</v>
      </c>
    </row>
    <row r="2086">
      <c r="A2086" s="7" t="s">
        <v>580</v>
      </c>
      <c r="B2086" s="7" t="s">
        <v>132</v>
      </c>
      <c r="C2086" s="8">
        <f>IFERROR(__xludf.DUMMYFUNCTION("SPLIT(B2086,""RM"")"),1080000.0)</f>
        <v>1080000</v>
      </c>
      <c r="D2086" s="7" t="s">
        <v>35</v>
      </c>
      <c r="E2086" s="7">
        <v>3.0</v>
      </c>
      <c r="G2086" s="7" t="s">
        <v>169</v>
      </c>
      <c r="H2086" s="7" t="s">
        <v>211</v>
      </c>
      <c r="I2086" s="7" t="s">
        <v>22</v>
      </c>
    </row>
    <row r="2087">
      <c r="A2087" s="7" t="s">
        <v>77</v>
      </c>
      <c r="B2087" s="7" t="s">
        <v>1678</v>
      </c>
      <c r="C2087" s="8">
        <f>IFERROR(__xludf.DUMMYFUNCTION("SPLIT(B2087,""RM"")"),799000.0)</f>
        <v>799000</v>
      </c>
      <c r="D2087" s="7">
        <v>4.0</v>
      </c>
      <c r="E2087" s="7">
        <v>3.0</v>
      </c>
      <c r="G2087" s="7" t="s">
        <v>54</v>
      </c>
      <c r="H2087" s="7" t="s">
        <v>719</v>
      </c>
      <c r="I2087" s="7" t="s">
        <v>22</v>
      </c>
    </row>
    <row r="2088">
      <c r="A2088" s="7" t="s">
        <v>580</v>
      </c>
      <c r="B2088" s="7" t="s">
        <v>1679</v>
      </c>
      <c r="C2088" s="8">
        <f>IFERROR(__xludf.DUMMYFUNCTION("SPLIT(B2088,""RM"")"),828000.0)</f>
        <v>828000</v>
      </c>
      <c r="D2088" s="7">
        <v>5.0</v>
      </c>
      <c r="E2088" s="7">
        <v>4.0</v>
      </c>
      <c r="G2088" s="7" t="s">
        <v>54</v>
      </c>
      <c r="H2088" s="7" t="s">
        <v>211</v>
      </c>
      <c r="I2088" s="7" t="s">
        <v>27</v>
      </c>
    </row>
    <row r="2089">
      <c r="A2089" s="7" t="s">
        <v>104</v>
      </c>
      <c r="B2089" s="7" t="s">
        <v>168</v>
      </c>
      <c r="C2089" s="8">
        <f>IFERROR(__xludf.DUMMYFUNCTION("SPLIT(B2089,""RM"")"),750000.0)</f>
        <v>750000</v>
      </c>
      <c r="D2089" s="7">
        <v>3.0</v>
      </c>
      <c r="E2089" s="7">
        <v>2.0</v>
      </c>
      <c r="G2089" s="7" t="s">
        <v>343</v>
      </c>
      <c r="H2089" s="7" t="s">
        <v>1121</v>
      </c>
      <c r="I2089" s="7" t="s">
        <v>27</v>
      </c>
    </row>
    <row r="2090">
      <c r="A2090" s="7" t="s">
        <v>177</v>
      </c>
      <c r="B2090" s="7" t="s">
        <v>193</v>
      </c>
      <c r="C2090" s="8">
        <f>IFERROR(__xludf.DUMMYFUNCTION("SPLIT(B2090,""RM"")"),1650000.0)</f>
        <v>1650000</v>
      </c>
      <c r="D2090" s="7">
        <v>3.0</v>
      </c>
      <c r="E2090" s="7">
        <v>4.0</v>
      </c>
      <c r="G2090" s="7" t="s">
        <v>169</v>
      </c>
      <c r="H2090" s="7" t="s">
        <v>726</v>
      </c>
    </row>
    <row r="2091">
      <c r="A2091" s="7" t="s">
        <v>262</v>
      </c>
      <c r="B2091" s="7" t="s">
        <v>1541</v>
      </c>
      <c r="C2091" s="8">
        <f>IFERROR(__xludf.DUMMYFUNCTION("SPLIT(B2091,""RM"")"),5878950.0)</f>
        <v>5878950</v>
      </c>
      <c r="G2091" s="7" t="s">
        <v>667</v>
      </c>
      <c r="H2091" s="7" t="s">
        <v>1542</v>
      </c>
    </row>
    <row r="2092">
      <c r="A2092" s="7" t="s">
        <v>155</v>
      </c>
      <c r="B2092" s="7" t="s">
        <v>245</v>
      </c>
      <c r="C2092" s="8">
        <f>IFERROR(__xludf.DUMMYFUNCTION("SPLIT(B2092,""RM"")"),800000.0)</f>
        <v>800000</v>
      </c>
      <c r="D2092" s="7">
        <v>3.0</v>
      </c>
      <c r="E2092" s="7">
        <v>3.0</v>
      </c>
      <c r="F2092" s="7">
        <v>1.0</v>
      </c>
      <c r="G2092" s="7" t="s">
        <v>83</v>
      </c>
      <c r="H2092" s="7" t="s">
        <v>630</v>
      </c>
      <c r="I2092" s="7" t="s">
        <v>103</v>
      </c>
    </row>
    <row r="2093">
      <c r="A2093" s="7" t="s">
        <v>155</v>
      </c>
      <c r="B2093" s="7" t="s">
        <v>657</v>
      </c>
      <c r="C2093" s="8">
        <f>IFERROR(__xludf.DUMMYFUNCTION("SPLIT(B2093,""RM"")"),980000.0)</f>
        <v>980000</v>
      </c>
      <c r="D2093" s="7" t="s">
        <v>57</v>
      </c>
      <c r="E2093" s="7">
        <v>4.0</v>
      </c>
      <c r="F2093" s="7">
        <v>2.0</v>
      </c>
      <c r="G2093" s="7" t="s">
        <v>30</v>
      </c>
      <c r="H2093" s="7" t="s">
        <v>382</v>
      </c>
      <c r="I2093" s="7" t="s">
        <v>27</v>
      </c>
    </row>
    <row r="2094">
      <c r="A2094" s="7" t="s">
        <v>692</v>
      </c>
      <c r="B2094" s="7" t="s">
        <v>243</v>
      </c>
      <c r="C2094" s="8">
        <f>IFERROR(__xludf.DUMMYFUNCTION("SPLIT(B2094,""RM"")"),1350000.0)</f>
        <v>1350000</v>
      </c>
      <c r="D2094" s="7" t="s">
        <v>57</v>
      </c>
      <c r="E2094" s="7">
        <v>4.0</v>
      </c>
      <c r="G2094" s="7" t="s">
        <v>717</v>
      </c>
      <c r="H2094" s="7" t="s">
        <v>1680</v>
      </c>
      <c r="I2094" s="7" t="s">
        <v>27</v>
      </c>
    </row>
    <row r="2095">
      <c r="A2095" s="7" t="s">
        <v>100</v>
      </c>
      <c r="B2095" s="7" t="s">
        <v>691</v>
      </c>
      <c r="C2095" s="8">
        <f>IFERROR(__xludf.DUMMYFUNCTION("SPLIT(B2095,""RM"")"),370000.0)</f>
        <v>370000</v>
      </c>
      <c r="D2095" s="7">
        <v>1.0</v>
      </c>
      <c r="E2095" s="7">
        <v>2.0</v>
      </c>
      <c r="F2095" s="7">
        <v>1.0</v>
      </c>
      <c r="G2095" s="7" t="s">
        <v>938</v>
      </c>
      <c r="H2095" s="7" t="s">
        <v>786</v>
      </c>
      <c r="I2095" s="7" t="s">
        <v>27</v>
      </c>
    </row>
    <row r="2096">
      <c r="A2096" s="7" t="s">
        <v>171</v>
      </c>
      <c r="B2096" s="7" t="s">
        <v>702</v>
      </c>
      <c r="C2096" s="8">
        <f>IFERROR(__xludf.DUMMYFUNCTION("SPLIT(B2096,""RM"")"),410000.0)</f>
        <v>410000</v>
      </c>
      <c r="D2096" s="7">
        <v>4.0</v>
      </c>
      <c r="E2096" s="7">
        <v>2.0</v>
      </c>
      <c r="F2096" s="7">
        <v>1.0</v>
      </c>
      <c r="G2096" s="7" t="s">
        <v>83</v>
      </c>
      <c r="H2096" s="7" t="s">
        <v>1681</v>
      </c>
      <c r="I2096" s="7" t="s">
        <v>27</v>
      </c>
    </row>
    <row r="2097">
      <c r="A2097" s="7" t="s">
        <v>171</v>
      </c>
      <c r="B2097" s="7" t="s">
        <v>702</v>
      </c>
      <c r="C2097" s="8">
        <f>IFERROR(__xludf.DUMMYFUNCTION("SPLIT(B2097,""RM"")"),410000.0)</f>
        <v>410000</v>
      </c>
      <c r="D2097" s="7">
        <v>4.0</v>
      </c>
      <c r="E2097" s="7">
        <v>2.0</v>
      </c>
      <c r="F2097" s="7">
        <v>2.0</v>
      </c>
      <c r="G2097" s="7" t="s">
        <v>93</v>
      </c>
      <c r="H2097" s="7" t="s">
        <v>1681</v>
      </c>
    </row>
    <row r="2098">
      <c r="A2098" s="7" t="s">
        <v>180</v>
      </c>
      <c r="B2098" s="7" t="s">
        <v>120</v>
      </c>
      <c r="C2098" s="8">
        <f>IFERROR(__xludf.DUMMYFUNCTION("SPLIT(B2098,""RM"")"),3600000.0)</f>
        <v>3600000</v>
      </c>
      <c r="D2098" s="7" t="s">
        <v>57</v>
      </c>
      <c r="E2098" s="7">
        <v>4.0</v>
      </c>
      <c r="G2098" s="7" t="s">
        <v>83</v>
      </c>
      <c r="H2098" s="7" t="s">
        <v>1682</v>
      </c>
      <c r="I2098" s="7" t="s">
        <v>27</v>
      </c>
    </row>
    <row r="2099">
      <c r="A2099" s="7" t="s">
        <v>180</v>
      </c>
      <c r="B2099" s="7" t="s">
        <v>165</v>
      </c>
      <c r="C2099" s="8">
        <f>IFERROR(__xludf.DUMMYFUNCTION("SPLIT(B2099,""RM"")"),3500000.0)</f>
        <v>3500000</v>
      </c>
      <c r="D2099" s="7" t="s">
        <v>57</v>
      </c>
      <c r="E2099" s="7">
        <v>4.0</v>
      </c>
      <c r="G2099" s="7" t="s">
        <v>83</v>
      </c>
      <c r="H2099" s="7" t="s">
        <v>1683</v>
      </c>
      <c r="I2099" s="7" t="s">
        <v>27</v>
      </c>
    </row>
    <row r="2100">
      <c r="A2100" s="7" t="s">
        <v>33</v>
      </c>
      <c r="B2100" s="7" t="s">
        <v>214</v>
      </c>
      <c r="C2100" s="8">
        <f>IFERROR(__xludf.DUMMYFUNCTION("SPLIT(B2100,""RM"")"),1180000.0)</f>
        <v>1180000</v>
      </c>
      <c r="D2100" s="7" t="s">
        <v>70</v>
      </c>
      <c r="E2100" s="7">
        <v>4.0</v>
      </c>
      <c r="F2100" s="7">
        <v>2.0</v>
      </c>
      <c r="G2100" s="7" t="s">
        <v>90</v>
      </c>
      <c r="H2100" s="7" t="s">
        <v>1121</v>
      </c>
      <c r="I2100" s="7" t="s">
        <v>27</v>
      </c>
    </row>
    <row r="2101">
      <c r="A2101" s="7" t="s">
        <v>171</v>
      </c>
      <c r="B2101" s="7" t="s">
        <v>975</v>
      </c>
      <c r="C2101" s="8">
        <f>IFERROR(__xludf.DUMMYFUNCTION("SPLIT(B2101,""RM"")"),400000.0)</f>
        <v>400000</v>
      </c>
      <c r="D2101" s="7">
        <v>4.0</v>
      </c>
      <c r="E2101" s="7">
        <v>2.0</v>
      </c>
      <c r="F2101" s="7">
        <v>2.0</v>
      </c>
      <c r="G2101" s="7" t="s">
        <v>83</v>
      </c>
      <c r="H2101" s="7" t="s">
        <v>1681</v>
      </c>
      <c r="I2101" s="7" t="s">
        <v>27</v>
      </c>
    </row>
    <row r="2102">
      <c r="A2102" s="7" t="s">
        <v>171</v>
      </c>
      <c r="B2102" s="7" t="s">
        <v>969</v>
      </c>
      <c r="C2102" s="8">
        <f>IFERROR(__xludf.DUMMYFUNCTION("SPLIT(B2102,""RM"")"),430000.0)</f>
        <v>430000</v>
      </c>
      <c r="D2102" s="7">
        <v>4.0</v>
      </c>
      <c r="E2102" s="7">
        <v>2.0</v>
      </c>
      <c r="G2102" s="7" t="s">
        <v>83</v>
      </c>
      <c r="H2102" s="7" t="s">
        <v>1684</v>
      </c>
      <c r="I2102" s="7" t="s">
        <v>27</v>
      </c>
    </row>
    <row r="2103">
      <c r="A2103" s="7" t="s">
        <v>171</v>
      </c>
      <c r="B2103" s="7" t="s">
        <v>268</v>
      </c>
      <c r="C2103" s="8">
        <f>IFERROR(__xludf.DUMMYFUNCTION("SPLIT(B2103,""RM"")"),500000.0)</f>
        <v>500000</v>
      </c>
      <c r="D2103" s="7">
        <v>3.0</v>
      </c>
      <c r="E2103" s="7">
        <v>2.0</v>
      </c>
      <c r="G2103" s="7" t="s">
        <v>83</v>
      </c>
      <c r="H2103" s="7" t="s">
        <v>1173</v>
      </c>
      <c r="I2103" s="7" t="s">
        <v>27</v>
      </c>
    </row>
    <row r="2104">
      <c r="A2104" s="7" t="s">
        <v>171</v>
      </c>
      <c r="B2104" s="7" t="s">
        <v>975</v>
      </c>
      <c r="C2104" s="8">
        <f>IFERROR(__xludf.DUMMYFUNCTION("SPLIT(B2104,""RM"")"),400000.0)</f>
        <v>400000</v>
      </c>
      <c r="D2104" s="7">
        <v>4.0</v>
      </c>
      <c r="E2104" s="7">
        <v>2.0</v>
      </c>
      <c r="F2104" s="7">
        <v>1.0</v>
      </c>
      <c r="G2104" s="7" t="s">
        <v>83</v>
      </c>
      <c r="H2104" s="7" t="s">
        <v>1681</v>
      </c>
      <c r="I2104" s="7" t="s">
        <v>27</v>
      </c>
    </row>
    <row r="2105">
      <c r="A2105" s="7" t="s">
        <v>171</v>
      </c>
      <c r="B2105" s="7" t="s">
        <v>268</v>
      </c>
      <c r="C2105" s="8">
        <f>IFERROR(__xludf.DUMMYFUNCTION("SPLIT(B2105,""RM"")"),500000.0)</f>
        <v>500000</v>
      </c>
      <c r="D2105" s="7">
        <v>4.0</v>
      </c>
      <c r="E2105" s="7">
        <v>2.0</v>
      </c>
      <c r="G2105" s="7" t="s">
        <v>83</v>
      </c>
      <c r="H2105" s="7" t="s">
        <v>760</v>
      </c>
      <c r="I2105" s="7" t="s">
        <v>27</v>
      </c>
    </row>
    <row r="2106">
      <c r="A2106" s="7" t="s">
        <v>171</v>
      </c>
      <c r="B2106" s="7" t="s">
        <v>1131</v>
      </c>
      <c r="C2106" s="8">
        <f>IFERROR(__xludf.DUMMYFUNCTION("SPLIT(B2106,""RM"")"),555000.0)</f>
        <v>555000</v>
      </c>
      <c r="D2106" s="7">
        <v>4.0</v>
      </c>
      <c r="E2106" s="7">
        <v>2.0</v>
      </c>
      <c r="G2106" s="7" t="s">
        <v>83</v>
      </c>
      <c r="H2106" s="7" t="s">
        <v>192</v>
      </c>
      <c r="I2106" s="7" t="s">
        <v>27</v>
      </c>
    </row>
    <row r="2107">
      <c r="A2107" s="7" t="s">
        <v>171</v>
      </c>
      <c r="B2107" s="7" t="s">
        <v>1685</v>
      </c>
      <c r="C2107" s="8">
        <f>IFERROR(__xludf.DUMMYFUNCTION("SPLIT(B2107,""RM"")"),416000.0)</f>
        <v>416000</v>
      </c>
      <c r="D2107" s="7">
        <v>3.0</v>
      </c>
      <c r="E2107" s="7">
        <v>2.0</v>
      </c>
      <c r="G2107" s="7" t="s">
        <v>83</v>
      </c>
      <c r="H2107" s="7" t="s">
        <v>1686</v>
      </c>
      <c r="I2107" s="7" t="s">
        <v>103</v>
      </c>
    </row>
    <row r="2108">
      <c r="A2108" s="7" t="s">
        <v>171</v>
      </c>
      <c r="B2108" s="7" t="s">
        <v>702</v>
      </c>
      <c r="C2108" s="8">
        <f>IFERROR(__xludf.DUMMYFUNCTION("SPLIT(B2108,""RM"")"),410000.0)</f>
        <v>410000</v>
      </c>
      <c r="D2108" s="7">
        <v>4.0</v>
      </c>
      <c r="E2108" s="7">
        <v>2.0</v>
      </c>
      <c r="G2108" s="7" t="s">
        <v>83</v>
      </c>
      <c r="H2108" s="7" t="s">
        <v>1687</v>
      </c>
      <c r="I2108" s="7" t="s">
        <v>27</v>
      </c>
    </row>
    <row r="2109">
      <c r="A2109" s="7" t="s">
        <v>164</v>
      </c>
      <c r="B2109" s="7" t="s">
        <v>134</v>
      </c>
      <c r="C2109" s="8">
        <f>IFERROR(__xludf.DUMMYFUNCTION("SPLIT(B2109,""RM"")"),1150000.0)</f>
        <v>1150000</v>
      </c>
      <c r="D2109" s="7" t="s">
        <v>19</v>
      </c>
      <c r="E2109" s="7">
        <v>2.0</v>
      </c>
      <c r="F2109" s="7">
        <v>1.0</v>
      </c>
      <c r="G2109" s="7" t="s">
        <v>93</v>
      </c>
      <c r="H2109" s="7" t="s">
        <v>621</v>
      </c>
      <c r="I2109" s="7" t="s">
        <v>22</v>
      </c>
    </row>
    <row r="2110">
      <c r="A2110" s="7" t="s">
        <v>358</v>
      </c>
      <c r="B2110" s="7" t="s">
        <v>710</v>
      </c>
      <c r="C2110" s="8">
        <f>IFERROR(__xludf.DUMMYFUNCTION("SPLIT(B2110,""RM"")"),570000.0)</f>
        <v>570000</v>
      </c>
      <c r="D2110" s="7">
        <v>3.0</v>
      </c>
      <c r="E2110" s="7">
        <v>2.0</v>
      </c>
      <c r="G2110" s="7" t="s">
        <v>83</v>
      </c>
      <c r="H2110" s="7" t="s">
        <v>1557</v>
      </c>
      <c r="I2110" s="7" t="s">
        <v>103</v>
      </c>
    </row>
    <row r="2111">
      <c r="A2111" s="7" t="s">
        <v>358</v>
      </c>
      <c r="B2111" s="7" t="s">
        <v>854</v>
      </c>
      <c r="C2111" s="8">
        <f>IFERROR(__xludf.DUMMYFUNCTION("SPLIT(B2111,""RM"")"),690000.0)</f>
        <v>690000</v>
      </c>
      <c r="D2111" s="7">
        <v>4.0</v>
      </c>
      <c r="E2111" s="7">
        <v>3.0</v>
      </c>
      <c r="F2111" s="7">
        <v>2.0</v>
      </c>
      <c r="G2111" s="7" t="s">
        <v>83</v>
      </c>
      <c r="H2111" s="7" t="s">
        <v>1688</v>
      </c>
      <c r="I2111" s="7" t="s">
        <v>103</v>
      </c>
    </row>
    <row r="2112">
      <c r="A2112" s="7" t="s">
        <v>89</v>
      </c>
      <c r="B2112" s="7" t="s">
        <v>563</v>
      </c>
      <c r="C2112" s="8">
        <f>IFERROR(__xludf.DUMMYFUNCTION("SPLIT(B2112,""RM"")"),600000.0)</f>
        <v>600000</v>
      </c>
      <c r="D2112" s="7" t="s">
        <v>19</v>
      </c>
      <c r="E2112" s="7">
        <v>2.0</v>
      </c>
      <c r="F2112" s="7">
        <v>2.0</v>
      </c>
      <c r="G2112" s="7" t="s">
        <v>82</v>
      </c>
      <c r="H2112" s="7" t="s">
        <v>764</v>
      </c>
      <c r="I2112" s="7" t="s">
        <v>27</v>
      </c>
    </row>
    <row r="2113">
      <c r="A2113" s="7" t="s">
        <v>33</v>
      </c>
      <c r="B2113" s="7" t="s">
        <v>361</v>
      </c>
      <c r="C2113" s="8">
        <f>IFERROR(__xludf.DUMMYFUNCTION("SPLIT(B2113,""RM"")"),530000.0)</f>
        <v>530000</v>
      </c>
      <c r="D2113" s="7">
        <v>3.0</v>
      </c>
      <c r="E2113" s="7">
        <v>3.0</v>
      </c>
      <c r="F2113" s="7">
        <v>2.0</v>
      </c>
      <c r="G2113" s="7" t="s">
        <v>30</v>
      </c>
      <c r="H2113" s="7" t="s">
        <v>1156</v>
      </c>
      <c r="I2113" s="7" t="s">
        <v>103</v>
      </c>
    </row>
    <row r="2114">
      <c r="A2114" s="7" t="s">
        <v>72</v>
      </c>
      <c r="B2114" s="7" t="s">
        <v>613</v>
      </c>
      <c r="C2114" s="8">
        <f>IFERROR(__xludf.DUMMYFUNCTION("SPLIT(B2114,""RM"")"),1890000.0)</f>
        <v>1890000</v>
      </c>
      <c r="D2114" s="7" t="s">
        <v>57</v>
      </c>
      <c r="E2114" s="7">
        <v>4.0</v>
      </c>
      <c r="G2114" s="7" t="s">
        <v>83</v>
      </c>
      <c r="H2114" s="7" t="s">
        <v>555</v>
      </c>
      <c r="I2114" s="7" t="s">
        <v>22</v>
      </c>
    </row>
    <row r="2115">
      <c r="A2115" s="7" t="s">
        <v>155</v>
      </c>
      <c r="B2115" s="7" t="s">
        <v>620</v>
      </c>
      <c r="C2115" s="8">
        <f>IFERROR(__xludf.DUMMYFUNCTION("SPLIT(B2115,""RM"")"),840000.0)</f>
        <v>840000</v>
      </c>
      <c r="D2115" s="7">
        <v>2.0</v>
      </c>
      <c r="E2115" s="7">
        <v>2.0</v>
      </c>
      <c r="F2115" s="7">
        <v>1.0</v>
      </c>
      <c r="G2115" s="7" t="s">
        <v>83</v>
      </c>
      <c r="H2115" s="7" t="s">
        <v>617</v>
      </c>
      <c r="I2115" s="7" t="s">
        <v>22</v>
      </c>
    </row>
    <row r="2116">
      <c r="A2116" s="7" t="s">
        <v>72</v>
      </c>
      <c r="B2116" s="7" t="s">
        <v>78</v>
      </c>
      <c r="C2116" s="8">
        <f>IFERROR(__xludf.DUMMYFUNCTION("SPLIT(B2116,""RM"")"),1500000.0)</f>
        <v>1500000</v>
      </c>
      <c r="D2116" s="7" t="s">
        <v>57</v>
      </c>
      <c r="E2116" s="7">
        <v>4.0</v>
      </c>
      <c r="G2116" s="7" t="s">
        <v>83</v>
      </c>
      <c r="H2116" s="7" t="s">
        <v>84</v>
      </c>
      <c r="I2116" s="7" t="s">
        <v>22</v>
      </c>
    </row>
    <row r="2117">
      <c r="A2117" s="7" t="s">
        <v>1241</v>
      </c>
      <c r="B2117" s="7" t="s">
        <v>168</v>
      </c>
      <c r="C2117" s="8">
        <f>IFERROR(__xludf.DUMMYFUNCTION("SPLIT(B2117,""RM"")"),750000.0)</f>
        <v>750000</v>
      </c>
      <c r="D2117" s="7">
        <v>2.0</v>
      </c>
      <c r="E2117" s="7">
        <v>2.0</v>
      </c>
      <c r="F2117" s="7">
        <v>2.0</v>
      </c>
      <c r="G2117" s="7" t="s">
        <v>20</v>
      </c>
      <c r="H2117" s="7" t="s">
        <v>342</v>
      </c>
    </row>
    <row r="2118">
      <c r="A2118" s="7" t="s">
        <v>72</v>
      </c>
      <c r="B2118" s="7" t="s">
        <v>632</v>
      </c>
      <c r="C2118" s="8">
        <f>IFERROR(__xludf.DUMMYFUNCTION("SPLIT(B2118,""RM"")"),870000.0)</f>
        <v>870000</v>
      </c>
      <c r="D2118" s="7">
        <v>3.0</v>
      </c>
      <c r="E2118" s="7">
        <v>2.0</v>
      </c>
      <c r="G2118" s="7" t="s">
        <v>83</v>
      </c>
      <c r="H2118" s="7" t="s">
        <v>982</v>
      </c>
    </row>
    <row r="2119">
      <c r="A2119" s="7" t="s">
        <v>17</v>
      </c>
      <c r="B2119" s="7" t="s">
        <v>465</v>
      </c>
      <c r="C2119" s="8">
        <f>IFERROR(__xludf.DUMMYFUNCTION("SPLIT(B2119,""RM"")"),8000000.0)</f>
        <v>8000000</v>
      </c>
      <c r="D2119" s="7" t="s">
        <v>60</v>
      </c>
      <c r="E2119" s="7">
        <v>7.0</v>
      </c>
      <c r="G2119" s="7" t="s">
        <v>20</v>
      </c>
      <c r="H2119" s="7" t="s">
        <v>1689</v>
      </c>
      <c r="I2119" s="7" t="s">
        <v>27</v>
      </c>
    </row>
    <row r="2120">
      <c r="A2120" s="7" t="s">
        <v>17</v>
      </c>
      <c r="B2120" s="7" t="s">
        <v>475</v>
      </c>
      <c r="C2120" s="8">
        <f>IFERROR(__xludf.DUMMYFUNCTION("SPLIT(B2120,""RM"")"),2800000.0)</f>
        <v>2800000</v>
      </c>
      <c r="D2120" s="7" t="s">
        <v>57</v>
      </c>
      <c r="E2120" s="7">
        <v>4.0</v>
      </c>
      <c r="G2120" s="7" t="s">
        <v>20</v>
      </c>
      <c r="H2120" s="7" t="s">
        <v>727</v>
      </c>
      <c r="I2120" s="7" t="s">
        <v>27</v>
      </c>
    </row>
    <row r="2121">
      <c r="A2121" s="7" t="s">
        <v>72</v>
      </c>
      <c r="B2121" s="7" t="s">
        <v>720</v>
      </c>
      <c r="C2121" s="8">
        <f>IFERROR(__xludf.DUMMYFUNCTION("SPLIT(B2121,""RM"")"),2790000.0)</f>
        <v>2790000</v>
      </c>
      <c r="D2121" s="7" t="s">
        <v>35</v>
      </c>
      <c r="E2121" s="7">
        <v>5.0</v>
      </c>
      <c r="G2121" s="7" t="s">
        <v>83</v>
      </c>
      <c r="H2121" s="7" t="s">
        <v>1611</v>
      </c>
      <c r="I2121" s="7" t="s">
        <v>27</v>
      </c>
    </row>
    <row r="2122">
      <c r="A2122" s="7" t="s">
        <v>72</v>
      </c>
      <c r="B2122" s="7" t="s">
        <v>279</v>
      </c>
      <c r="C2122" s="8">
        <f>IFERROR(__xludf.DUMMYFUNCTION("SPLIT(B2122,""RM"")"),1380000.0)</f>
        <v>1380000</v>
      </c>
      <c r="D2122" s="7" t="s">
        <v>57</v>
      </c>
      <c r="E2122" s="7">
        <v>5.0</v>
      </c>
      <c r="G2122" s="7" t="s">
        <v>83</v>
      </c>
      <c r="H2122" s="7" t="s">
        <v>1690</v>
      </c>
    </row>
    <row r="2123">
      <c r="A2123" s="7" t="s">
        <v>72</v>
      </c>
      <c r="B2123" s="7" t="s">
        <v>1152</v>
      </c>
      <c r="C2123" s="8">
        <f>IFERROR(__xludf.DUMMYFUNCTION("SPLIT(B2123,""RM"")"),1390000.0)</f>
        <v>1390000</v>
      </c>
      <c r="D2123" s="7" t="s">
        <v>57</v>
      </c>
      <c r="E2123" s="7">
        <v>3.0</v>
      </c>
      <c r="G2123" s="7" t="s">
        <v>83</v>
      </c>
      <c r="H2123" s="7" t="s">
        <v>1691</v>
      </c>
      <c r="I2123" s="7" t="s">
        <v>22</v>
      </c>
    </row>
    <row r="2124">
      <c r="A2124" s="7" t="s">
        <v>72</v>
      </c>
      <c r="B2124" s="7" t="s">
        <v>227</v>
      </c>
      <c r="C2124" s="8">
        <f>IFERROR(__xludf.DUMMYFUNCTION("SPLIT(B2124,""RM"")"),2850000.0)</f>
        <v>2850000</v>
      </c>
      <c r="D2124" s="7" t="s">
        <v>35</v>
      </c>
      <c r="E2124" s="7">
        <v>5.0</v>
      </c>
      <c r="F2124" s="7">
        <v>3.0</v>
      </c>
      <c r="G2124" s="7" t="s">
        <v>83</v>
      </c>
      <c r="H2124" s="7" t="s">
        <v>1628</v>
      </c>
      <c r="I2124" s="7" t="s">
        <v>27</v>
      </c>
    </row>
    <row r="2125">
      <c r="A2125" s="7" t="s">
        <v>72</v>
      </c>
      <c r="B2125" s="7" t="s">
        <v>309</v>
      </c>
      <c r="C2125" s="8">
        <f>IFERROR(__xludf.DUMMYFUNCTION("SPLIT(B2125,""RM"")"),2100000.0)</f>
        <v>2100000</v>
      </c>
      <c r="D2125" s="7" t="s">
        <v>35</v>
      </c>
      <c r="E2125" s="7">
        <v>5.0</v>
      </c>
      <c r="G2125" s="7" t="s">
        <v>83</v>
      </c>
      <c r="H2125" s="7" t="s">
        <v>1692</v>
      </c>
      <c r="I2125" s="7" t="s">
        <v>22</v>
      </c>
    </row>
    <row r="2126">
      <c r="A2126" s="7" t="s">
        <v>72</v>
      </c>
      <c r="B2126" s="7" t="s">
        <v>403</v>
      </c>
      <c r="C2126" s="8">
        <f>IFERROR(__xludf.DUMMYFUNCTION("SPLIT(B2126,""RM"")"),1600000.0)</f>
        <v>1600000</v>
      </c>
      <c r="D2126" s="7" t="s">
        <v>35</v>
      </c>
      <c r="E2126" s="7">
        <v>4.0</v>
      </c>
      <c r="G2126" s="7" t="s">
        <v>83</v>
      </c>
      <c r="H2126" s="7" t="s">
        <v>1693</v>
      </c>
      <c r="I2126" s="7" t="s">
        <v>22</v>
      </c>
    </row>
    <row r="2127">
      <c r="A2127" s="7" t="s">
        <v>692</v>
      </c>
      <c r="B2127" s="7" t="s">
        <v>18</v>
      </c>
      <c r="C2127" s="8">
        <f>IFERROR(__xludf.DUMMYFUNCTION("SPLIT(B2127,""RM"")"),1250000.0)</f>
        <v>1250000</v>
      </c>
      <c r="D2127" s="7" t="s">
        <v>57</v>
      </c>
      <c r="E2127" s="7">
        <v>4.0</v>
      </c>
      <c r="F2127" s="7">
        <v>2.0</v>
      </c>
      <c r="G2127" s="7" t="s">
        <v>494</v>
      </c>
      <c r="H2127" s="7" t="s">
        <v>1000</v>
      </c>
      <c r="I2127" s="7" t="s">
        <v>27</v>
      </c>
    </row>
    <row r="2128">
      <c r="A2128" s="7" t="s">
        <v>692</v>
      </c>
      <c r="B2128" s="7" t="s">
        <v>243</v>
      </c>
      <c r="C2128" s="8">
        <f>IFERROR(__xludf.DUMMYFUNCTION("SPLIT(B2128,""RM"")"),1350000.0)</f>
        <v>1350000</v>
      </c>
      <c r="D2128" s="7" t="s">
        <v>57</v>
      </c>
      <c r="E2128" s="7">
        <v>4.0</v>
      </c>
      <c r="F2128" s="7">
        <v>2.0</v>
      </c>
      <c r="G2128" s="7" t="s">
        <v>494</v>
      </c>
      <c r="H2128" s="7" t="s">
        <v>1000</v>
      </c>
      <c r="I2128" s="7" t="s">
        <v>27</v>
      </c>
    </row>
    <row r="2129">
      <c r="A2129" s="7" t="s">
        <v>72</v>
      </c>
      <c r="B2129" s="7" t="s">
        <v>1104</v>
      </c>
      <c r="C2129" s="8">
        <f>IFERROR(__xludf.DUMMYFUNCTION("SPLIT(B2129,""RM"")"),995000.0)</f>
        <v>995000</v>
      </c>
      <c r="D2129" s="7">
        <v>2.0</v>
      </c>
      <c r="E2129" s="7">
        <v>2.0</v>
      </c>
      <c r="F2129" s="7">
        <v>1.0</v>
      </c>
      <c r="G2129" s="7" t="s">
        <v>20</v>
      </c>
      <c r="H2129" s="7" t="s">
        <v>1694</v>
      </c>
      <c r="I2129" s="7" t="s">
        <v>22</v>
      </c>
    </row>
    <row r="2130">
      <c r="A2130" s="7" t="s">
        <v>32</v>
      </c>
      <c r="B2130" s="7" t="s">
        <v>975</v>
      </c>
      <c r="C2130" s="8">
        <f>IFERROR(__xludf.DUMMYFUNCTION("SPLIT(B2130,""RM"")"),400000.0)</f>
        <v>400000</v>
      </c>
      <c r="D2130" s="7">
        <v>2.0</v>
      </c>
      <c r="E2130" s="7">
        <v>2.0</v>
      </c>
      <c r="F2130" s="7">
        <v>1.0</v>
      </c>
      <c r="G2130" s="7" t="s">
        <v>83</v>
      </c>
      <c r="H2130" s="7" t="s">
        <v>1342</v>
      </c>
      <c r="I2130" s="7" t="s">
        <v>103</v>
      </c>
    </row>
    <row r="2131">
      <c r="A2131" s="7" t="s">
        <v>371</v>
      </c>
      <c r="B2131" s="7" t="s">
        <v>214</v>
      </c>
      <c r="C2131" s="8">
        <f>IFERROR(__xludf.DUMMYFUNCTION("SPLIT(B2131,""RM"")"),1180000.0)</f>
        <v>1180000</v>
      </c>
      <c r="D2131" s="7" t="s">
        <v>57</v>
      </c>
      <c r="E2131" s="7">
        <v>4.0</v>
      </c>
      <c r="F2131" s="7">
        <v>2.0</v>
      </c>
      <c r="G2131" s="7" t="s">
        <v>30</v>
      </c>
      <c r="H2131" s="7" t="s">
        <v>1356</v>
      </c>
      <c r="I2131" s="7" t="s">
        <v>103</v>
      </c>
    </row>
    <row r="2132">
      <c r="A2132" s="7" t="s">
        <v>155</v>
      </c>
      <c r="B2132" s="7" t="s">
        <v>329</v>
      </c>
      <c r="C2132" s="8">
        <f>IFERROR(__xludf.DUMMYFUNCTION("SPLIT(B2132,""RM"")"),1200000.0)</f>
        <v>1200000</v>
      </c>
      <c r="D2132" s="7">
        <v>3.0</v>
      </c>
      <c r="E2132" s="7">
        <v>4.0</v>
      </c>
      <c r="F2132" s="7">
        <v>2.0</v>
      </c>
      <c r="G2132" s="7" t="s">
        <v>30</v>
      </c>
      <c r="H2132" s="7" t="s">
        <v>1695</v>
      </c>
      <c r="I2132" s="7" t="s">
        <v>103</v>
      </c>
    </row>
    <row r="2133">
      <c r="A2133" s="7" t="s">
        <v>171</v>
      </c>
      <c r="B2133" s="7" t="s">
        <v>1696</v>
      </c>
      <c r="C2133" s="8">
        <f>IFERROR(__xludf.DUMMYFUNCTION("SPLIT(B2133,""RM"")"),785000.0)</f>
        <v>785000</v>
      </c>
      <c r="D2133" s="7">
        <v>3.0</v>
      </c>
      <c r="E2133" s="7">
        <v>3.0</v>
      </c>
      <c r="F2133" s="7">
        <v>2.0</v>
      </c>
      <c r="G2133" s="7" t="s">
        <v>83</v>
      </c>
      <c r="H2133" s="7" t="s">
        <v>335</v>
      </c>
      <c r="I2133" s="7" t="s">
        <v>103</v>
      </c>
    </row>
    <row r="2134">
      <c r="A2134" s="7" t="s">
        <v>148</v>
      </c>
      <c r="B2134" s="7" t="s">
        <v>101</v>
      </c>
      <c r="C2134" s="8">
        <f>IFERROR(__xludf.DUMMYFUNCTION("SPLIT(B2134,""RM"")"),3300000.0)</f>
        <v>3300000</v>
      </c>
      <c r="D2134" s="7">
        <v>7.0</v>
      </c>
      <c r="E2134" s="7">
        <v>7.0</v>
      </c>
      <c r="G2134" s="7" t="s">
        <v>67</v>
      </c>
      <c r="H2134" s="7" t="s">
        <v>1697</v>
      </c>
      <c r="I2134" s="7" t="s">
        <v>103</v>
      </c>
    </row>
    <row r="2135">
      <c r="A2135" s="7" t="s">
        <v>155</v>
      </c>
      <c r="B2135" s="7" t="s">
        <v>214</v>
      </c>
      <c r="C2135" s="8">
        <f>IFERROR(__xludf.DUMMYFUNCTION("SPLIT(B2135,""RM"")"),1180000.0)</f>
        <v>1180000</v>
      </c>
      <c r="D2135" s="7">
        <v>4.0</v>
      </c>
      <c r="E2135" s="7">
        <v>4.0</v>
      </c>
      <c r="F2135" s="7">
        <v>2.0</v>
      </c>
      <c r="G2135" s="7" t="s">
        <v>30</v>
      </c>
      <c r="H2135" s="7" t="s">
        <v>1695</v>
      </c>
      <c r="I2135" s="7" t="s">
        <v>103</v>
      </c>
    </row>
    <row r="2136">
      <c r="A2136" s="7" t="s">
        <v>177</v>
      </c>
      <c r="B2136" s="7" t="s">
        <v>245</v>
      </c>
      <c r="C2136" s="8">
        <f>IFERROR(__xludf.DUMMYFUNCTION("SPLIT(B2136,""RM"")"),800000.0)</f>
        <v>800000</v>
      </c>
      <c r="D2136" s="7" t="s">
        <v>57</v>
      </c>
      <c r="E2136" s="7">
        <v>3.0</v>
      </c>
      <c r="F2136" s="7">
        <v>2.0</v>
      </c>
      <c r="G2136" s="7" t="s">
        <v>30</v>
      </c>
      <c r="H2136" s="7" t="s">
        <v>930</v>
      </c>
      <c r="I2136" s="7" t="s">
        <v>22</v>
      </c>
    </row>
    <row r="2137">
      <c r="A2137" s="7" t="s">
        <v>72</v>
      </c>
      <c r="B2137" s="7" t="s">
        <v>1698</v>
      </c>
      <c r="C2137" s="8">
        <f>IFERROR(__xludf.DUMMYFUNCTION("SPLIT(B2137,""RM"")"),2284000.0)</f>
        <v>2284000</v>
      </c>
      <c r="D2137" s="7" t="s">
        <v>35</v>
      </c>
      <c r="E2137" s="7">
        <v>6.0</v>
      </c>
      <c r="G2137" s="7" t="s">
        <v>83</v>
      </c>
      <c r="H2137" s="7" t="s">
        <v>115</v>
      </c>
      <c r="I2137" s="7" t="s">
        <v>27</v>
      </c>
    </row>
    <row r="2138">
      <c r="A2138" s="7" t="s">
        <v>17</v>
      </c>
      <c r="B2138" s="7" t="s">
        <v>1699</v>
      </c>
      <c r="C2138" s="8">
        <f>IFERROR(__xludf.DUMMYFUNCTION("SPLIT(B2138,""RM"")"),6385950.0)</f>
        <v>6385950</v>
      </c>
      <c r="D2138" s="7" t="s">
        <v>70</v>
      </c>
      <c r="E2138" s="7">
        <v>6.0</v>
      </c>
      <c r="F2138" s="7">
        <v>3.0</v>
      </c>
      <c r="G2138" s="7" t="s">
        <v>793</v>
      </c>
      <c r="H2138" s="7" t="s">
        <v>1700</v>
      </c>
      <c r="I2138" s="7" t="s">
        <v>27</v>
      </c>
    </row>
    <row r="2139">
      <c r="A2139" s="7" t="s">
        <v>371</v>
      </c>
      <c r="B2139" s="7" t="s">
        <v>890</v>
      </c>
      <c r="C2139" s="8">
        <f>IFERROR(__xludf.DUMMYFUNCTION("SPLIT(B2139,""RM"")"),450000.0)</f>
        <v>450000</v>
      </c>
      <c r="D2139" s="7">
        <v>3.0</v>
      </c>
      <c r="E2139" s="7">
        <v>2.0</v>
      </c>
      <c r="F2139" s="7">
        <v>1.0</v>
      </c>
      <c r="G2139" s="7" t="s">
        <v>83</v>
      </c>
      <c r="H2139" s="7" t="s">
        <v>1521</v>
      </c>
      <c r="I2139" s="7" t="s">
        <v>27</v>
      </c>
    </row>
    <row r="2140">
      <c r="A2140" s="7" t="s">
        <v>37</v>
      </c>
      <c r="B2140" s="7" t="s">
        <v>134</v>
      </c>
      <c r="C2140" s="8">
        <f>IFERROR(__xludf.DUMMYFUNCTION("SPLIT(B2140,""RM"")"),1150000.0)</f>
        <v>1150000</v>
      </c>
      <c r="D2140" s="7">
        <v>3.0</v>
      </c>
      <c r="E2140" s="7">
        <v>2.0</v>
      </c>
      <c r="F2140" s="7">
        <v>2.0</v>
      </c>
      <c r="G2140" s="7" t="s">
        <v>343</v>
      </c>
      <c r="H2140" s="7" t="s">
        <v>1534</v>
      </c>
      <c r="I2140" s="7" t="s">
        <v>27</v>
      </c>
    </row>
    <row r="2141">
      <c r="A2141" s="7" t="s">
        <v>72</v>
      </c>
      <c r="B2141" s="7" t="s">
        <v>311</v>
      </c>
      <c r="C2141" s="8">
        <f>IFERROR(__xludf.DUMMYFUNCTION("SPLIT(B2141,""RM"")"),1100000.0)</f>
        <v>1100000</v>
      </c>
      <c r="D2141" s="7">
        <v>2.0</v>
      </c>
      <c r="E2141" s="7">
        <v>2.0</v>
      </c>
      <c r="F2141" s="7">
        <v>1.0</v>
      </c>
      <c r="G2141" s="7" t="s">
        <v>20</v>
      </c>
      <c r="H2141" s="7" t="s">
        <v>901</v>
      </c>
      <c r="I2141" s="7" t="s">
        <v>22</v>
      </c>
    </row>
    <row r="2142">
      <c r="A2142" s="7" t="s">
        <v>72</v>
      </c>
      <c r="B2142" s="7" t="s">
        <v>575</v>
      </c>
      <c r="C2142" s="8">
        <f>IFERROR(__xludf.DUMMYFUNCTION("SPLIT(B2142,""RM"")"),660000.0)</f>
        <v>660000</v>
      </c>
      <c r="D2142" s="7">
        <v>1.0</v>
      </c>
      <c r="E2142" s="7">
        <v>1.0</v>
      </c>
      <c r="F2142" s="7">
        <v>1.0</v>
      </c>
      <c r="G2142" s="7" t="s">
        <v>82</v>
      </c>
      <c r="H2142" s="7" t="s">
        <v>850</v>
      </c>
      <c r="I2142" s="7" t="s">
        <v>22</v>
      </c>
    </row>
    <row r="2143">
      <c r="A2143" s="7" t="s">
        <v>155</v>
      </c>
      <c r="B2143" s="7" t="s">
        <v>702</v>
      </c>
      <c r="C2143" s="8">
        <f>IFERROR(__xludf.DUMMYFUNCTION("SPLIT(B2143,""RM"")"),410000.0)</f>
        <v>410000</v>
      </c>
      <c r="D2143" s="7">
        <v>3.0</v>
      </c>
      <c r="E2143" s="7">
        <v>2.0</v>
      </c>
      <c r="F2143" s="7">
        <v>2.0</v>
      </c>
      <c r="G2143" s="7" t="s">
        <v>20</v>
      </c>
      <c r="H2143" s="7" t="s">
        <v>1330</v>
      </c>
    </row>
    <row r="2144">
      <c r="A2144" s="7" t="s">
        <v>171</v>
      </c>
      <c r="B2144" s="7" t="s">
        <v>955</v>
      </c>
      <c r="C2144" s="8">
        <f>IFERROR(__xludf.DUMMYFUNCTION("SPLIT(B2144,""RM"")"),498000.0)</f>
        <v>498000</v>
      </c>
      <c r="D2144" s="7">
        <v>3.0</v>
      </c>
      <c r="E2144" s="7">
        <v>2.0</v>
      </c>
      <c r="F2144" s="7">
        <v>2.0</v>
      </c>
      <c r="G2144" s="7" t="s">
        <v>20</v>
      </c>
      <c r="H2144" s="7" t="s">
        <v>1701</v>
      </c>
    </row>
    <row r="2145">
      <c r="A2145" s="7" t="s">
        <v>428</v>
      </c>
      <c r="B2145" s="7" t="s">
        <v>403</v>
      </c>
      <c r="C2145" s="8">
        <f>IFERROR(__xludf.DUMMYFUNCTION("SPLIT(B2145,""RM"")"),1600000.0)</f>
        <v>1600000</v>
      </c>
      <c r="D2145" s="7" t="s">
        <v>57</v>
      </c>
      <c r="F2145" s="7">
        <v>2.0</v>
      </c>
      <c r="G2145" s="7" t="s">
        <v>83</v>
      </c>
      <c r="H2145" s="7" t="s">
        <v>97</v>
      </c>
    </row>
    <row r="2146">
      <c r="A2146" s="7" t="s">
        <v>72</v>
      </c>
      <c r="B2146" s="7" t="s">
        <v>42</v>
      </c>
      <c r="C2146" s="8">
        <f>IFERROR(__xludf.DUMMYFUNCTION("SPLIT(B2146,""RM"")"),2600000.0)</f>
        <v>2600000</v>
      </c>
      <c r="D2146" s="7" t="s">
        <v>70</v>
      </c>
      <c r="E2146" s="7">
        <v>6.0</v>
      </c>
      <c r="F2146" s="7">
        <v>4.0</v>
      </c>
      <c r="G2146" s="7" t="s">
        <v>64</v>
      </c>
      <c r="H2146" s="7" t="s">
        <v>944</v>
      </c>
      <c r="I2146" s="7" t="s">
        <v>27</v>
      </c>
    </row>
    <row r="2147">
      <c r="A2147" s="7" t="s">
        <v>171</v>
      </c>
      <c r="B2147" s="7" t="s">
        <v>1702</v>
      </c>
      <c r="C2147" s="8">
        <f>IFERROR(__xludf.DUMMYFUNCTION("SPLIT(B2147,""RM"")"),397000.0)</f>
        <v>397000</v>
      </c>
      <c r="D2147" s="7">
        <v>3.0</v>
      </c>
      <c r="E2147" s="7">
        <v>2.0</v>
      </c>
      <c r="F2147" s="7">
        <v>1.0</v>
      </c>
      <c r="G2147" s="7" t="s">
        <v>93</v>
      </c>
      <c r="H2147" s="7" t="s">
        <v>1703</v>
      </c>
      <c r="I2147" s="7" t="s">
        <v>103</v>
      </c>
    </row>
    <row r="2148">
      <c r="A2148" s="7" t="s">
        <v>171</v>
      </c>
      <c r="B2148" s="7" t="s">
        <v>1704</v>
      </c>
      <c r="C2148" s="8">
        <f>IFERROR(__xludf.DUMMYFUNCTION("SPLIT(B2148,""RM"")"),665000.0)</f>
        <v>665000</v>
      </c>
      <c r="D2148" s="7" t="s">
        <v>57</v>
      </c>
      <c r="E2148" s="7">
        <v>3.0</v>
      </c>
      <c r="F2148" s="7">
        <v>2.0</v>
      </c>
      <c r="G2148" s="7" t="s">
        <v>30</v>
      </c>
      <c r="H2148" s="7" t="s">
        <v>1705</v>
      </c>
      <c r="I2148" s="7" t="s">
        <v>27</v>
      </c>
    </row>
    <row r="2149">
      <c r="A2149" s="7" t="s">
        <v>171</v>
      </c>
      <c r="B2149" s="7" t="s">
        <v>87</v>
      </c>
      <c r="C2149" s="8">
        <f>IFERROR(__xludf.DUMMYFUNCTION("SPLIT(B2149,""RM"")"),490000.0)</f>
        <v>490000</v>
      </c>
      <c r="D2149" s="7">
        <v>4.0</v>
      </c>
      <c r="E2149" s="7">
        <v>2.0</v>
      </c>
      <c r="F2149" s="7">
        <v>2.0</v>
      </c>
      <c r="G2149" s="7" t="s">
        <v>93</v>
      </c>
      <c r="H2149" s="7" t="s">
        <v>192</v>
      </c>
      <c r="I2149" s="7" t="s">
        <v>27</v>
      </c>
    </row>
    <row r="2150">
      <c r="A2150" s="7" t="s">
        <v>171</v>
      </c>
      <c r="B2150" s="7" t="s">
        <v>221</v>
      </c>
      <c r="C2150" s="8">
        <f>IFERROR(__xludf.DUMMYFUNCTION("SPLIT(B2150,""RM"")"),630000.0)</f>
        <v>630000</v>
      </c>
      <c r="D2150" s="7">
        <v>2.0</v>
      </c>
      <c r="E2150" s="7">
        <v>2.0</v>
      </c>
      <c r="F2150" s="7">
        <v>2.0</v>
      </c>
      <c r="G2150" s="7" t="s">
        <v>30</v>
      </c>
      <c r="H2150" s="7" t="s">
        <v>892</v>
      </c>
      <c r="I2150" s="7" t="s">
        <v>22</v>
      </c>
    </row>
    <row r="2151">
      <c r="A2151" s="7" t="s">
        <v>17</v>
      </c>
      <c r="B2151" s="7" t="s">
        <v>1706</v>
      </c>
      <c r="C2151" s="8">
        <f>IFERROR(__xludf.DUMMYFUNCTION("SPLIT(B2151,""RM"")"),1358120.0)</f>
        <v>1358120</v>
      </c>
      <c r="D2151" s="7">
        <v>1.0</v>
      </c>
      <c r="E2151" s="7">
        <v>2.0</v>
      </c>
      <c r="F2151" s="7">
        <v>1.0</v>
      </c>
      <c r="G2151" s="7" t="s">
        <v>82</v>
      </c>
      <c r="H2151" s="7" t="s">
        <v>328</v>
      </c>
      <c r="I2151" s="7" t="s">
        <v>27</v>
      </c>
    </row>
    <row r="2152">
      <c r="A2152" s="7" t="s">
        <v>17</v>
      </c>
      <c r="B2152" s="7" t="s">
        <v>130</v>
      </c>
      <c r="C2152" s="8">
        <f>IFERROR(__xludf.DUMMYFUNCTION("SPLIT(B2152,""RM"")"),2700000.0)</f>
        <v>2700000</v>
      </c>
      <c r="D2152" s="7" t="s">
        <v>35</v>
      </c>
      <c r="E2152" s="7">
        <v>5.0</v>
      </c>
      <c r="G2152" s="7" t="s">
        <v>83</v>
      </c>
      <c r="H2152" s="7" t="s">
        <v>1174</v>
      </c>
      <c r="I2152" s="7" t="s">
        <v>27</v>
      </c>
    </row>
    <row r="2153">
      <c r="A2153" s="7" t="s">
        <v>17</v>
      </c>
      <c r="B2153" s="7" t="s">
        <v>63</v>
      </c>
      <c r="C2153" s="8">
        <f>IFERROR(__xludf.DUMMYFUNCTION("SPLIT(B2153,""RM"")"),3100000.0)</f>
        <v>3100000</v>
      </c>
      <c r="D2153" s="7" t="s">
        <v>35</v>
      </c>
      <c r="E2153" s="7">
        <v>5.0</v>
      </c>
      <c r="G2153" s="7" t="s">
        <v>30</v>
      </c>
      <c r="H2153" s="7" t="s">
        <v>1174</v>
      </c>
      <c r="I2153" s="7" t="s">
        <v>27</v>
      </c>
    </row>
    <row r="2154">
      <c r="A2154" s="7" t="s">
        <v>188</v>
      </c>
      <c r="B2154" s="7" t="s">
        <v>349</v>
      </c>
      <c r="C2154" s="8">
        <f>IFERROR(__xludf.DUMMYFUNCTION("SPLIT(B2154,""RM"")"),1400000.0)</f>
        <v>1400000</v>
      </c>
      <c r="D2154" s="7" t="s">
        <v>19</v>
      </c>
      <c r="E2154" s="7">
        <v>3.0</v>
      </c>
      <c r="F2154" s="7">
        <v>2.0</v>
      </c>
      <c r="G2154" s="7" t="s">
        <v>30</v>
      </c>
      <c r="H2154" s="7" t="s">
        <v>1707</v>
      </c>
      <c r="I2154" s="7" t="s">
        <v>22</v>
      </c>
    </row>
    <row r="2155">
      <c r="A2155" s="7" t="s">
        <v>188</v>
      </c>
      <c r="B2155" s="7" t="s">
        <v>322</v>
      </c>
      <c r="C2155" s="8">
        <f>IFERROR(__xludf.DUMMYFUNCTION("SPLIT(B2155,""RM"")"),1900000.0)</f>
        <v>1900000</v>
      </c>
      <c r="D2155" s="7" t="s">
        <v>57</v>
      </c>
      <c r="E2155" s="7">
        <v>3.0</v>
      </c>
      <c r="F2155" s="7">
        <v>2.0</v>
      </c>
      <c r="G2155" s="7" t="s">
        <v>83</v>
      </c>
      <c r="H2155" s="7" t="s">
        <v>1708</v>
      </c>
      <c r="I2155" s="7" t="s">
        <v>22</v>
      </c>
    </row>
    <row r="2156">
      <c r="A2156" s="7" t="s">
        <v>188</v>
      </c>
      <c r="B2156" s="7" t="s">
        <v>144</v>
      </c>
      <c r="C2156" s="8">
        <f>IFERROR(__xludf.DUMMYFUNCTION("SPLIT(B2156,""RM"")"),1800000.0)</f>
        <v>1800000</v>
      </c>
      <c r="D2156" s="7" t="s">
        <v>57</v>
      </c>
      <c r="E2156" s="7">
        <v>4.0</v>
      </c>
      <c r="F2156" s="7">
        <v>2.0</v>
      </c>
      <c r="G2156" s="7" t="s">
        <v>30</v>
      </c>
      <c r="H2156" s="7" t="s">
        <v>1708</v>
      </c>
      <c r="I2156" s="7" t="s">
        <v>27</v>
      </c>
    </row>
    <row r="2157">
      <c r="A2157" s="7" t="s">
        <v>17</v>
      </c>
      <c r="B2157" s="7" t="s">
        <v>149</v>
      </c>
      <c r="C2157" s="8">
        <f>IFERROR(__xludf.DUMMYFUNCTION("SPLIT(B2157,""RM"")"),4000000.0)</f>
        <v>4000000</v>
      </c>
      <c r="D2157" s="7" t="s">
        <v>57</v>
      </c>
      <c r="E2157" s="7">
        <v>4.0</v>
      </c>
      <c r="F2157" s="7">
        <v>2.0</v>
      </c>
      <c r="G2157" s="7" t="s">
        <v>83</v>
      </c>
      <c r="H2157" s="7" t="s">
        <v>150</v>
      </c>
      <c r="I2157" s="7" t="s">
        <v>22</v>
      </c>
    </row>
    <row r="2158">
      <c r="A2158" s="7" t="s">
        <v>17</v>
      </c>
      <c r="B2158" s="7" t="s">
        <v>1416</v>
      </c>
      <c r="C2158" s="8">
        <f>IFERROR(__xludf.DUMMYFUNCTION("SPLIT(B2158,""RM"")"),2357250.0)</f>
        <v>2357250</v>
      </c>
      <c r="D2158" s="7" t="s">
        <v>57</v>
      </c>
      <c r="E2158" s="7">
        <v>4.0</v>
      </c>
      <c r="F2158" s="7">
        <v>2.0</v>
      </c>
      <c r="G2158" s="7" t="s">
        <v>30</v>
      </c>
      <c r="H2158" s="7" t="s">
        <v>1415</v>
      </c>
      <c r="I2158" s="7" t="s">
        <v>27</v>
      </c>
    </row>
    <row r="2159">
      <c r="A2159" s="7" t="s">
        <v>17</v>
      </c>
      <c r="B2159" s="7" t="s">
        <v>120</v>
      </c>
      <c r="C2159" s="8">
        <f>IFERROR(__xludf.DUMMYFUNCTION("SPLIT(B2159,""RM"")"),3600000.0)</f>
        <v>3600000</v>
      </c>
      <c r="D2159" s="7" t="s">
        <v>35</v>
      </c>
      <c r="E2159" s="7">
        <v>5.0</v>
      </c>
      <c r="F2159" s="7">
        <v>2.0</v>
      </c>
      <c r="G2159" s="7" t="s">
        <v>83</v>
      </c>
      <c r="H2159" s="7" t="s">
        <v>1174</v>
      </c>
      <c r="I2159" s="7" t="s">
        <v>27</v>
      </c>
    </row>
    <row r="2160">
      <c r="A2160" s="7" t="s">
        <v>17</v>
      </c>
      <c r="B2160" s="7" t="s">
        <v>1709</v>
      </c>
      <c r="C2160" s="8">
        <f>IFERROR(__xludf.DUMMYFUNCTION("SPLIT(B2160,""RM"")"),2570400.0)</f>
        <v>2570400</v>
      </c>
      <c r="D2160" s="7" t="s">
        <v>57</v>
      </c>
      <c r="E2160" s="7">
        <v>4.0</v>
      </c>
      <c r="F2160" s="7">
        <v>2.0</v>
      </c>
      <c r="G2160" s="7" t="s">
        <v>30</v>
      </c>
      <c r="H2160" s="7" t="s">
        <v>363</v>
      </c>
      <c r="I2160" s="7" t="s">
        <v>27</v>
      </c>
    </row>
    <row r="2161">
      <c r="A2161" s="7" t="s">
        <v>17</v>
      </c>
      <c r="B2161" s="7" t="s">
        <v>1710</v>
      </c>
      <c r="C2161" s="8">
        <f>IFERROR(__xludf.DUMMYFUNCTION("SPLIT(B2161,""RM"")"),3051300.0)</f>
        <v>3051300</v>
      </c>
      <c r="D2161" s="7" t="s">
        <v>57</v>
      </c>
      <c r="E2161" s="7">
        <v>4.0</v>
      </c>
      <c r="F2161" s="7">
        <v>2.0</v>
      </c>
      <c r="G2161" s="7" t="s">
        <v>30</v>
      </c>
      <c r="H2161" s="7" t="s">
        <v>431</v>
      </c>
      <c r="I2161" s="7" t="s">
        <v>27</v>
      </c>
    </row>
    <row r="2162">
      <c r="A2162" s="7" t="s">
        <v>17</v>
      </c>
      <c r="B2162" s="7" t="s">
        <v>1711</v>
      </c>
      <c r="C2162" s="8">
        <f>IFERROR(__xludf.DUMMYFUNCTION("SPLIT(B2162,""RM"")"),2842350.0)</f>
        <v>2842350</v>
      </c>
      <c r="D2162" s="7" t="s">
        <v>57</v>
      </c>
      <c r="E2162" s="7">
        <v>4.0</v>
      </c>
      <c r="F2162" s="7">
        <v>2.0</v>
      </c>
      <c r="G2162" s="7" t="s">
        <v>30</v>
      </c>
      <c r="H2162" s="7" t="s">
        <v>654</v>
      </c>
      <c r="I2162" s="7" t="s">
        <v>27</v>
      </c>
    </row>
    <row r="2163">
      <c r="A2163" s="7" t="s">
        <v>17</v>
      </c>
      <c r="B2163" s="7" t="s">
        <v>1417</v>
      </c>
      <c r="C2163" s="8">
        <f>IFERROR(__xludf.DUMMYFUNCTION("SPLIT(B2163,""RM"")"),2715300.0)</f>
        <v>2715300</v>
      </c>
      <c r="D2163" s="7" t="s">
        <v>57</v>
      </c>
      <c r="E2163" s="7">
        <v>4.0</v>
      </c>
      <c r="F2163" s="7">
        <v>2.0</v>
      </c>
      <c r="G2163" s="7" t="s">
        <v>30</v>
      </c>
      <c r="H2163" s="7" t="s">
        <v>1418</v>
      </c>
      <c r="I2163" s="7" t="s">
        <v>27</v>
      </c>
    </row>
    <row r="2164">
      <c r="A2164" s="7" t="s">
        <v>52</v>
      </c>
      <c r="B2164" s="7" t="s">
        <v>1712</v>
      </c>
      <c r="C2164" s="8">
        <f>IFERROR(__xludf.DUMMYFUNCTION("SPLIT(B2164,""RM"")"),1.0051E7)</f>
        <v>10051000</v>
      </c>
      <c r="D2164" s="7" t="s">
        <v>35</v>
      </c>
      <c r="E2164" s="7">
        <v>5.0</v>
      </c>
      <c r="G2164" s="7" t="s">
        <v>793</v>
      </c>
      <c r="H2164" s="7" t="s">
        <v>1713</v>
      </c>
      <c r="I2164" s="7" t="s">
        <v>103</v>
      </c>
    </row>
    <row r="2165">
      <c r="A2165" s="7" t="s">
        <v>52</v>
      </c>
      <c r="B2165" s="7" t="s">
        <v>1222</v>
      </c>
      <c r="C2165" s="8">
        <f>IFERROR(__xludf.DUMMYFUNCTION("SPLIT(B2165,""RM"")"),6350000.0)</f>
        <v>6350000</v>
      </c>
      <c r="D2165" s="7" t="s">
        <v>35</v>
      </c>
      <c r="E2165" s="7">
        <v>5.0</v>
      </c>
      <c r="G2165" s="7" t="s">
        <v>30</v>
      </c>
      <c r="H2165" s="7" t="s">
        <v>663</v>
      </c>
      <c r="I2165" s="7" t="s">
        <v>22</v>
      </c>
    </row>
    <row r="2166">
      <c r="A2166" s="7" t="s">
        <v>188</v>
      </c>
      <c r="B2166" s="7" t="s">
        <v>1079</v>
      </c>
      <c r="C2166" s="8">
        <f>IFERROR(__xludf.DUMMYFUNCTION("SPLIT(B2166,""RM"")"),2350000.0)</f>
        <v>2350000</v>
      </c>
      <c r="D2166" s="7">
        <v>3.0</v>
      </c>
      <c r="E2166" s="7">
        <v>2.0</v>
      </c>
      <c r="F2166" s="7">
        <v>2.0</v>
      </c>
      <c r="G2166" s="7" t="s">
        <v>83</v>
      </c>
      <c r="H2166" s="7" t="s">
        <v>1714</v>
      </c>
      <c r="I2166" s="7" t="s">
        <v>27</v>
      </c>
    </row>
    <row r="2167">
      <c r="A2167" s="7" t="s">
        <v>188</v>
      </c>
      <c r="B2167" s="7" t="s">
        <v>281</v>
      </c>
      <c r="C2167" s="8">
        <f>IFERROR(__xludf.DUMMYFUNCTION("SPLIT(B2167,""RM"")"),2500000.0)</f>
        <v>2500000</v>
      </c>
      <c r="D2167" s="7" t="s">
        <v>57</v>
      </c>
      <c r="E2167" s="7">
        <v>4.0</v>
      </c>
      <c r="F2167" s="7">
        <v>2.0</v>
      </c>
      <c r="G2167" s="7" t="s">
        <v>83</v>
      </c>
      <c r="H2167" s="7" t="s">
        <v>1715</v>
      </c>
      <c r="I2167" s="7" t="s">
        <v>22</v>
      </c>
    </row>
    <row r="2168">
      <c r="A2168" s="7" t="s">
        <v>17</v>
      </c>
      <c r="B2168" s="7" t="s">
        <v>78</v>
      </c>
      <c r="C2168" s="8">
        <f>IFERROR(__xludf.DUMMYFUNCTION("SPLIT(B2168,""RM"")"),1500000.0)</f>
        <v>1500000</v>
      </c>
      <c r="D2168" s="7" t="s">
        <v>197</v>
      </c>
      <c r="E2168" s="7">
        <v>1.0</v>
      </c>
      <c r="G2168" s="7" t="s">
        <v>938</v>
      </c>
      <c r="H2168" s="7" t="s">
        <v>949</v>
      </c>
      <c r="I2168" s="7" t="s">
        <v>22</v>
      </c>
    </row>
    <row r="2169">
      <c r="A2169" s="7" t="s">
        <v>17</v>
      </c>
      <c r="B2169" s="7" t="s">
        <v>322</v>
      </c>
      <c r="C2169" s="8">
        <f>IFERROR(__xludf.DUMMYFUNCTION("SPLIT(B2169,""RM"")"),1900000.0)</f>
        <v>1900000</v>
      </c>
      <c r="D2169" s="7" t="s">
        <v>19</v>
      </c>
      <c r="E2169" s="7">
        <v>2.0</v>
      </c>
      <c r="G2169" s="7" t="s">
        <v>938</v>
      </c>
      <c r="H2169" s="7" t="s">
        <v>394</v>
      </c>
      <c r="I2169" s="7" t="s">
        <v>22</v>
      </c>
    </row>
    <row r="2170">
      <c r="A2170" s="7" t="s">
        <v>17</v>
      </c>
      <c r="B2170" s="7" t="s">
        <v>1716</v>
      </c>
      <c r="C2170" s="8">
        <f>IFERROR(__xludf.DUMMYFUNCTION("SPLIT(B2170,""RM"")"),5854000.0)</f>
        <v>5854000</v>
      </c>
      <c r="D2170" s="7" t="s">
        <v>35</v>
      </c>
      <c r="E2170" s="7">
        <v>5.0</v>
      </c>
      <c r="G2170" s="7" t="s">
        <v>20</v>
      </c>
      <c r="H2170" s="7" t="s">
        <v>829</v>
      </c>
      <c r="I2170" s="7" t="s">
        <v>22</v>
      </c>
    </row>
    <row r="2171">
      <c r="A2171" s="7" t="s">
        <v>17</v>
      </c>
      <c r="B2171" s="7" t="s">
        <v>144</v>
      </c>
      <c r="C2171" s="8">
        <f>IFERROR(__xludf.DUMMYFUNCTION("SPLIT(B2171,""RM"")"),1800000.0)</f>
        <v>1800000</v>
      </c>
      <c r="D2171" s="7" t="s">
        <v>57</v>
      </c>
      <c r="E2171" s="7">
        <v>4.0</v>
      </c>
      <c r="F2171" s="7">
        <v>2.0</v>
      </c>
      <c r="G2171" s="7" t="s">
        <v>20</v>
      </c>
      <c r="H2171" s="7" t="s">
        <v>594</v>
      </c>
      <c r="I2171" s="7" t="s">
        <v>103</v>
      </c>
    </row>
    <row r="2172">
      <c r="A2172" s="7" t="s">
        <v>17</v>
      </c>
      <c r="B2172" s="7" t="s">
        <v>144</v>
      </c>
      <c r="C2172" s="8">
        <f>IFERROR(__xludf.DUMMYFUNCTION("SPLIT(B2172,""RM"")"),1800000.0)</f>
        <v>1800000</v>
      </c>
      <c r="D2172" s="7" t="s">
        <v>57</v>
      </c>
      <c r="E2172" s="7">
        <v>4.0</v>
      </c>
      <c r="F2172" s="7">
        <v>2.0</v>
      </c>
      <c r="G2172" s="7" t="s">
        <v>20</v>
      </c>
      <c r="H2172" s="7" t="s">
        <v>594</v>
      </c>
      <c r="I2172" s="7" t="s">
        <v>103</v>
      </c>
    </row>
    <row r="2173">
      <c r="A2173" s="7" t="s">
        <v>188</v>
      </c>
      <c r="B2173" s="7" t="s">
        <v>56</v>
      </c>
      <c r="C2173" s="8">
        <f>IFERROR(__xludf.DUMMYFUNCTION("SPLIT(B2173,""RM"")"),1700000.0)</f>
        <v>1700000</v>
      </c>
      <c r="D2173" s="7" t="s">
        <v>19</v>
      </c>
      <c r="E2173" s="7">
        <v>3.0</v>
      </c>
      <c r="F2173" s="7">
        <v>2.0</v>
      </c>
      <c r="G2173" s="7" t="s">
        <v>83</v>
      </c>
      <c r="H2173" s="7" t="s">
        <v>1717</v>
      </c>
      <c r="I2173" s="7" t="s">
        <v>22</v>
      </c>
    </row>
    <row r="2174">
      <c r="A2174" s="7" t="s">
        <v>17</v>
      </c>
      <c r="B2174" s="7" t="s">
        <v>174</v>
      </c>
      <c r="C2174" s="8">
        <f>IFERROR(__xludf.DUMMYFUNCTION("SPLIT(B2174,""RM"")"),3000000.0)</f>
        <v>3000000</v>
      </c>
      <c r="D2174" s="7" t="s">
        <v>57</v>
      </c>
      <c r="E2174" s="7">
        <v>3.0</v>
      </c>
      <c r="G2174" s="7" t="s">
        <v>20</v>
      </c>
      <c r="H2174" s="7" t="s">
        <v>1718</v>
      </c>
      <c r="I2174" s="7" t="s">
        <v>22</v>
      </c>
    </row>
    <row r="2175">
      <c r="A2175" s="7" t="s">
        <v>17</v>
      </c>
      <c r="B2175" s="7" t="s">
        <v>1152</v>
      </c>
      <c r="C2175" s="8">
        <f>IFERROR(__xludf.DUMMYFUNCTION("SPLIT(B2175,""RM"")"),1390000.0)</f>
        <v>1390000</v>
      </c>
      <c r="D2175" s="7">
        <v>1.0</v>
      </c>
      <c r="E2175" s="7">
        <v>1.0</v>
      </c>
      <c r="F2175" s="7">
        <v>2.0</v>
      </c>
      <c r="G2175" s="7" t="s">
        <v>20</v>
      </c>
      <c r="H2175" s="7" t="s">
        <v>328</v>
      </c>
      <c r="I2175" s="7" t="s">
        <v>22</v>
      </c>
    </row>
    <row r="2176">
      <c r="A2176" s="7" t="s">
        <v>17</v>
      </c>
      <c r="B2176" s="7" t="s">
        <v>1513</v>
      </c>
      <c r="C2176" s="8">
        <f>IFERROR(__xludf.DUMMYFUNCTION("SPLIT(B2176,""RM"")"),1570000.0)</f>
        <v>1570000</v>
      </c>
      <c r="D2176" s="7">
        <v>1.0</v>
      </c>
      <c r="E2176" s="7">
        <v>1.0</v>
      </c>
      <c r="F2176" s="7">
        <v>1.0</v>
      </c>
      <c r="G2176" s="7" t="s">
        <v>20</v>
      </c>
      <c r="H2176" s="7" t="s">
        <v>1719</v>
      </c>
      <c r="I2176" s="7" t="s">
        <v>22</v>
      </c>
    </row>
    <row r="2177">
      <c r="A2177" s="7" t="s">
        <v>17</v>
      </c>
      <c r="B2177" s="7" t="s">
        <v>281</v>
      </c>
      <c r="C2177" s="8">
        <f>IFERROR(__xludf.DUMMYFUNCTION("SPLIT(B2177,""RM"")"),2500000.0)</f>
        <v>2500000</v>
      </c>
      <c r="D2177" s="7" t="s">
        <v>35</v>
      </c>
      <c r="E2177" s="7">
        <v>4.0</v>
      </c>
      <c r="G2177" s="7" t="s">
        <v>20</v>
      </c>
      <c r="H2177" s="7" t="s">
        <v>1720</v>
      </c>
      <c r="I2177" s="7" t="s">
        <v>27</v>
      </c>
    </row>
    <row r="2178">
      <c r="A2178" s="7" t="s">
        <v>188</v>
      </c>
      <c r="B2178" s="7" t="s">
        <v>125</v>
      </c>
      <c r="C2178" s="8">
        <f>IFERROR(__xludf.DUMMYFUNCTION("SPLIT(B2178,""RM"")"),2300000.0)</f>
        <v>2300000</v>
      </c>
      <c r="D2178" s="7" t="s">
        <v>57</v>
      </c>
      <c r="E2178" s="7">
        <v>4.0</v>
      </c>
      <c r="G2178" s="7" t="s">
        <v>83</v>
      </c>
      <c r="H2178" s="7" t="s">
        <v>743</v>
      </c>
      <c r="I2178" s="7" t="s">
        <v>22</v>
      </c>
    </row>
    <row r="2179">
      <c r="A2179" s="7" t="s">
        <v>188</v>
      </c>
      <c r="B2179" s="7" t="s">
        <v>281</v>
      </c>
      <c r="C2179" s="8">
        <f>IFERROR(__xludf.DUMMYFUNCTION("SPLIT(B2179,""RM"")"),2500000.0)</f>
        <v>2500000</v>
      </c>
      <c r="D2179" s="7" t="s">
        <v>57</v>
      </c>
      <c r="E2179" s="7">
        <v>4.0</v>
      </c>
      <c r="G2179" s="7" t="s">
        <v>83</v>
      </c>
      <c r="H2179" s="7" t="s">
        <v>743</v>
      </c>
      <c r="I2179" s="7" t="s">
        <v>22</v>
      </c>
    </row>
    <row r="2180">
      <c r="A2180" s="7" t="s">
        <v>17</v>
      </c>
      <c r="B2180" s="7" t="s">
        <v>236</v>
      </c>
      <c r="C2180" s="8">
        <f>IFERROR(__xludf.DUMMYFUNCTION("SPLIT(B2180,""RM"")"),2000000.0)</f>
        <v>2000000</v>
      </c>
      <c r="D2180" s="7" t="s">
        <v>19</v>
      </c>
      <c r="E2180" s="7">
        <v>2.0</v>
      </c>
      <c r="F2180" s="7">
        <v>2.0</v>
      </c>
      <c r="G2180" s="7" t="s">
        <v>938</v>
      </c>
      <c r="H2180" s="7" t="s">
        <v>394</v>
      </c>
      <c r="I2180" s="7" t="s">
        <v>22</v>
      </c>
    </row>
    <row r="2181">
      <c r="A2181" s="7" t="s">
        <v>188</v>
      </c>
      <c r="B2181" s="7" t="s">
        <v>245</v>
      </c>
      <c r="C2181" s="8">
        <f>IFERROR(__xludf.DUMMYFUNCTION("SPLIT(B2181,""RM"")"),800000.0)</f>
        <v>800000</v>
      </c>
      <c r="D2181" s="7">
        <v>1.0</v>
      </c>
      <c r="E2181" s="7">
        <v>1.0</v>
      </c>
      <c r="F2181" s="7">
        <v>1.0</v>
      </c>
      <c r="G2181" s="7" t="s">
        <v>83</v>
      </c>
      <c r="H2181" s="7" t="s">
        <v>1569</v>
      </c>
      <c r="I2181" s="7" t="s">
        <v>22</v>
      </c>
    </row>
    <row r="2182">
      <c r="A2182" s="7" t="s">
        <v>188</v>
      </c>
      <c r="B2182" s="7" t="s">
        <v>419</v>
      </c>
      <c r="C2182" s="8">
        <f>IFERROR(__xludf.DUMMYFUNCTION("SPLIT(B2182,""RM"")"),990000.0)</f>
        <v>990000</v>
      </c>
      <c r="D2182" s="7">
        <v>1.0</v>
      </c>
      <c r="E2182" s="7">
        <v>1.0</v>
      </c>
      <c r="F2182" s="7">
        <v>1.0</v>
      </c>
      <c r="G2182" s="7" t="s">
        <v>83</v>
      </c>
      <c r="H2182" s="7" t="s">
        <v>929</v>
      </c>
      <c r="I2182" s="7" t="s">
        <v>22</v>
      </c>
    </row>
    <row r="2183">
      <c r="A2183" s="7" t="s">
        <v>188</v>
      </c>
      <c r="B2183" s="7" t="s">
        <v>18</v>
      </c>
      <c r="C2183" s="8">
        <f>IFERROR(__xludf.DUMMYFUNCTION("SPLIT(B2183,""RM"")"),1250000.0)</f>
        <v>1250000</v>
      </c>
      <c r="D2183" s="7">
        <v>2.0</v>
      </c>
      <c r="E2183" s="7">
        <v>2.0</v>
      </c>
      <c r="F2183" s="7">
        <v>2.0</v>
      </c>
      <c r="G2183" s="7" t="s">
        <v>83</v>
      </c>
      <c r="H2183" s="7" t="s">
        <v>1245</v>
      </c>
      <c r="I2183" s="7" t="s">
        <v>22</v>
      </c>
    </row>
    <row r="2184">
      <c r="A2184" s="7" t="s">
        <v>17</v>
      </c>
      <c r="B2184" s="7" t="s">
        <v>499</v>
      </c>
      <c r="C2184" s="8">
        <f>IFERROR(__xludf.DUMMYFUNCTION("SPLIT(B2184,""RM"")"),3900000.0)</f>
        <v>3900000</v>
      </c>
      <c r="D2184" s="7" t="s">
        <v>57</v>
      </c>
      <c r="E2184" s="7">
        <v>4.0</v>
      </c>
      <c r="F2184" s="7">
        <v>2.0</v>
      </c>
      <c r="G2184" s="7" t="s">
        <v>83</v>
      </c>
      <c r="H2184" s="7" t="s">
        <v>150</v>
      </c>
      <c r="I2184" s="7" t="s">
        <v>27</v>
      </c>
    </row>
    <row r="2185">
      <c r="A2185" s="7" t="s">
        <v>17</v>
      </c>
      <c r="B2185" s="7" t="s">
        <v>1721</v>
      </c>
      <c r="C2185" s="8">
        <f>IFERROR(__xludf.DUMMYFUNCTION("SPLIT(B2185,""RM"")"),4100000.0)</f>
        <v>4100000</v>
      </c>
      <c r="D2185" s="7" t="s">
        <v>57</v>
      </c>
      <c r="E2185" s="7">
        <v>4.0</v>
      </c>
      <c r="G2185" s="7" t="s">
        <v>30</v>
      </c>
      <c r="H2185" s="7" t="s">
        <v>150</v>
      </c>
      <c r="I2185" s="7" t="s">
        <v>27</v>
      </c>
    </row>
    <row r="2186">
      <c r="A2186" s="7" t="s">
        <v>171</v>
      </c>
      <c r="B2186" s="7" t="s">
        <v>543</v>
      </c>
      <c r="C2186" s="8">
        <f>IFERROR(__xludf.DUMMYFUNCTION("SPLIT(B2186,""RM"")"),425000.0)</f>
        <v>425000</v>
      </c>
      <c r="D2186" s="7">
        <v>3.0</v>
      </c>
      <c r="E2186" s="7">
        <v>2.0</v>
      </c>
      <c r="F2186" s="7">
        <v>1.0</v>
      </c>
      <c r="G2186" s="7" t="s">
        <v>83</v>
      </c>
      <c r="H2186" s="7" t="s">
        <v>1722</v>
      </c>
    </row>
    <row r="2187">
      <c r="A2187" s="7" t="s">
        <v>72</v>
      </c>
      <c r="B2187" s="7" t="s">
        <v>813</v>
      </c>
      <c r="C2187" s="8">
        <f>IFERROR(__xludf.DUMMYFUNCTION("SPLIT(B2187,""RM"")"),2290000.0)</f>
        <v>2290000</v>
      </c>
      <c r="D2187" s="7" t="s">
        <v>35</v>
      </c>
      <c r="E2187" s="7">
        <v>5.0</v>
      </c>
      <c r="G2187" s="7" t="s">
        <v>83</v>
      </c>
      <c r="H2187" s="7" t="s">
        <v>113</v>
      </c>
      <c r="I2187" s="7" t="s">
        <v>27</v>
      </c>
    </row>
    <row r="2188">
      <c r="A2188" s="7" t="s">
        <v>72</v>
      </c>
      <c r="B2188" s="7" t="s">
        <v>239</v>
      </c>
      <c r="C2188" s="8">
        <f>IFERROR(__xludf.DUMMYFUNCTION("SPLIT(B2188,""RM"")"),1280000.0)</f>
        <v>1280000</v>
      </c>
      <c r="D2188" s="7">
        <v>3.0</v>
      </c>
      <c r="E2188" s="7">
        <v>2.0</v>
      </c>
      <c r="F2188" s="7">
        <v>2.0</v>
      </c>
      <c r="G2188" s="7" t="s">
        <v>83</v>
      </c>
      <c r="H2188" s="7" t="s">
        <v>135</v>
      </c>
      <c r="I2188" s="7" t="s">
        <v>27</v>
      </c>
    </row>
    <row r="2189">
      <c r="A2189" s="7" t="s">
        <v>171</v>
      </c>
      <c r="B2189" s="7" t="s">
        <v>1704</v>
      </c>
      <c r="C2189" s="8">
        <f>IFERROR(__xludf.DUMMYFUNCTION("SPLIT(B2189,""RM"")"),665000.0)</f>
        <v>665000</v>
      </c>
      <c r="D2189" s="7" t="s">
        <v>57</v>
      </c>
      <c r="E2189" s="7">
        <v>3.0</v>
      </c>
      <c r="F2189" s="7">
        <v>2.0</v>
      </c>
      <c r="G2189" s="7" t="s">
        <v>83</v>
      </c>
      <c r="H2189" s="7" t="s">
        <v>1705</v>
      </c>
    </row>
    <row r="2190">
      <c r="A2190" s="7" t="s">
        <v>171</v>
      </c>
      <c r="B2190" s="7" t="s">
        <v>733</v>
      </c>
      <c r="C2190" s="8">
        <f>IFERROR(__xludf.DUMMYFUNCTION("SPLIT(B2190,""RM"")"),565000.0)</f>
        <v>565000</v>
      </c>
      <c r="D2190" s="7" t="s">
        <v>57</v>
      </c>
      <c r="E2190" s="7">
        <v>3.0</v>
      </c>
      <c r="F2190" s="7">
        <v>2.0</v>
      </c>
      <c r="G2190" s="7" t="s">
        <v>83</v>
      </c>
      <c r="H2190" s="7" t="s">
        <v>1371</v>
      </c>
      <c r="I2190" s="7" t="s">
        <v>27</v>
      </c>
    </row>
    <row r="2191">
      <c r="A2191" s="7" t="s">
        <v>72</v>
      </c>
      <c r="B2191" s="7" t="s">
        <v>658</v>
      </c>
      <c r="C2191" s="8">
        <f>IFERROR(__xludf.DUMMYFUNCTION("SPLIT(B2191,""RM"")"),2650000.0)</f>
        <v>2650000</v>
      </c>
      <c r="D2191" s="7" t="s">
        <v>35</v>
      </c>
      <c r="E2191" s="7">
        <v>6.0</v>
      </c>
      <c r="G2191" s="7" t="s">
        <v>83</v>
      </c>
      <c r="H2191" s="7" t="s">
        <v>933</v>
      </c>
      <c r="I2191" s="7" t="s">
        <v>27</v>
      </c>
    </row>
    <row r="2192">
      <c r="A2192" s="7" t="s">
        <v>72</v>
      </c>
      <c r="B2192" s="7" t="s">
        <v>101</v>
      </c>
      <c r="C2192" s="8">
        <f>IFERROR(__xludf.DUMMYFUNCTION("SPLIT(B2192,""RM"")"),3300000.0)</f>
        <v>3300000</v>
      </c>
      <c r="D2192" s="7" t="s">
        <v>39</v>
      </c>
      <c r="E2192" s="7">
        <v>8.0</v>
      </c>
      <c r="G2192" s="7" t="s">
        <v>83</v>
      </c>
      <c r="H2192" s="7" t="s">
        <v>1723</v>
      </c>
      <c r="I2192" s="7" t="s">
        <v>27</v>
      </c>
    </row>
    <row r="2193">
      <c r="A2193" s="7" t="s">
        <v>72</v>
      </c>
      <c r="B2193" s="7" t="s">
        <v>281</v>
      </c>
      <c r="C2193" s="8">
        <f>IFERROR(__xludf.DUMMYFUNCTION("SPLIT(B2193,""RM"")"),2500000.0)</f>
        <v>2500000</v>
      </c>
      <c r="D2193" s="7" t="s">
        <v>35</v>
      </c>
      <c r="E2193" s="7">
        <v>6.0</v>
      </c>
      <c r="G2193" s="7" t="s">
        <v>83</v>
      </c>
      <c r="H2193" s="7" t="s">
        <v>933</v>
      </c>
      <c r="I2193" s="7" t="s">
        <v>27</v>
      </c>
    </row>
    <row r="2194">
      <c r="A2194" s="7" t="s">
        <v>72</v>
      </c>
      <c r="B2194" s="7" t="s">
        <v>1124</v>
      </c>
      <c r="C2194" s="8">
        <f>IFERROR(__xludf.DUMMYFUNCTION("SPLIT(B2194,""RM"")"),2080000.0)</f>
        <v>2080000</v>
      </c>
      <c r="D2194" s="7" t="s">
        <v>35</v>
      </c>
      <c r="E2194" s="7">
        <v>6.0</v>
      </c>
      <c r="G2194" s="7" t="s">
        <v>83</v>
      </c>
      <c r="H2194" s="7" t="s">
        <v>1724</v>
      </c>
      <c r="I2194" s="7" t="s">
        <v>22</v>
      </c>
    </row>
    <row r="2195">
      <c r="A2195" s="7" t="s">
        <v>72</v>
      </c>
      <c r="B2195" s="7" t="s">
        <v>484</v>
      </c>
      <c r="C2195" s="8">
        <f>IFERROR(__xludf.DUMMYFUNCTION("SPLIT(B2195,""RM"")"),2950000.0)</f>
        <v>2950000</v>
      </c>
      <c r="D2195" s="7" t="s">
        <v>35</v>
      </c>
      <c r="E2195" s="7">
        <v>6.0</v>
      </c>
      <c r="G2195" s="7" t="s">
        <v>83</v>
      </c>
      <c r="H2195" s="7" t="s">
        <v>933</v>
      </c>
      <c r="I2195" s="7" t="s">
        <v>251</v>
      </c>
    </row>
    <row r="2196">
      <c r="A2196" s="7" t="s">
        <v>171</v>
      </c>
      <c r="B2196" s="7" t="s">
        <v>268</v>
      </c>
      <c r="C2196" s="8">
        <f>IFERROR(__xludf.DUMMYFUNCTION("SPLIT(B2196,""RM"")"),500000.0)</f>
        <v>500000</v>
      </c>
      <c r="D2196" s="7">
        <v>4.0</v>
      </c>
      <c r="E2196" s="7">
        <v>2.0</v>
      </c>
      <c r="F2196" s="7">
        <v>1.0</v>
      </c>
      <c r="G2196" s="7" t="s">
        <v>83</v>
      </c>
      <c r="H2196" s="7" t="s">
        <v>760</v>
      </c>
      <c r="I2196" s="7" t="s">
        <v>22</v>
      </c>
    </row>
    <row r="2197">
      <c r="A2197" s="7" t="s">
        <v>72</v>
      </c>
      <c r="B2197" s="7" t="s">
        <v>940</v>
      </c>
      <c r="C2197" s="8">
        <f>IFERROR(__xludf.DUMMYFUNCTION("SPLIT(B2197,""RM"")"),4300000.0)</f>
        <v>4300000</v>
      </c>
      <c r="D2197" s="7" t="s">
        <v>35</v>
      </c>
      <c r="E2197" s="7">
        <v>5.0</v>
      </c>
      <c r="G2197" s="7" t="s">
        <v>83</v>
      </c>
      <c r="H2197" s="7" t="s">
        <v>1725</v>
      </c>
      <c r="I2197" s="7" t="s">
        <v>27</v>
      </c>
    </row>
    <row r="2198">
      <c r="A2198" s="7" t="s">
        <v>72</v>
      </c>
      <c r="B2198" s="7" t="s">
        <v>125</v>
      </c>
      <c r="C2198" s="8">
        <f>IFERROR(__xludf.DUMMYFUNCTION("SPLIT(B2198,""RM"")"),2300000.0)</f>
        <v>2300000</v>
      </c>
      <c r="D2198" s="7" t="s">
        <v>35</v>
      </c>
      <c r="E2198" s="7">
        <v>6.0</v>
      </c>
      <c r="G2198" s="7" t="s">
        <v>83</v>
      </c>
      <c r="H2198" s="7" t="s">
        <v>1724</v>
      </c>
      <c r="I2198" s="7" t="s">
        <v>22</v>
      </c>
    </row>
    <row r="2199">
      <c r="A2199" s="7" t="s">
        <v>72</v>
      </c>
      <c r="B2199" s="7" t="s">
        <v>279</v>
      </c>
      <c r="C2199" s="8">
        <f>IFERROR(__xludf.DUMMYFUNCTION("SPLIT(B2199,""RM"")"),1380000.0)</f>
        <v>1380000</v>
      </c>
      <c r="D2199" s="7" t="s">
        <v>57</v>
      </c>
      <c r="E2199" s="7">
        <v>5.0</v>
      </c>
      <c r="G2199" s="7" t="s">
        <v>83</v>
      </c>
      <c r="H2199" s="7" t="s">
        <v>1490</v>
      </c>
      <c r="I2199" s="7" t="s">
        <v>22</v>
      </c>
    </row>
    <row r="2200">
      <c r="A2200" s="7" t="s">
        <v>72</v>
      </c>
      <c r="B2200" s="7" t="s">
        <v>349</v>
      </c>
      <c r="C2200" s="8">
        <f>IFERROR(__xludf.DUMMYFUNCTION("SPLIT(B2200,""RM"")"),1400000.0)</f>
        <v>1400000</v>
      </c>
      <c r="D2200" s="7" t="s">
        <v>57</v>
      </c>
      <c r="E2200" s="7">
        <v>3.0</v>
      </c>
      <c r="G2200" s="7" t="s">
        <v>83</v>
      </c>
      <c r="H2200" s="7" t="s">
        <v>1490</v>
      </c>
      <c r="I2200" s="7" t="s">
        <v>22</v>
      </c>
    </row>
    <row r="2201">
      <c r="A2201" s="7" t="s">
        <v>72</v>
      </c>
      <c r="B2201" s="7" t="s">
        <v>98</v>
      </c>
      <c r="C2201" s="8">
        <f>IFERROR(__xludf.DUMMYFUNCTION("SPLIT(B2201,""RM"")"),1830000.0)</f>
        <v>1830000</v>
      </c>
      <c r="D2201" s="7">
        <v>4.0</v>
      </c>
      <c r="E2201" s="7">
        <v>5.0</v>
      </c>
      <c r="F2201" s="7">
        <v>3.0</v>
      </c>
      <c r="G2201" s="7" t="s">
        <v>83</v>
      </c>
      <c r="H2201" s="7" t="s">
        <v>1726</v>
      </c>
      <c r="I2201" s="7" t="s">
        <v>22</v>
      </c>
    </row>
    <row r="2202">
      <c r="A2202" s="7" t="s">
        <v>72</v>
      </c>
      <c r="B2202" s="7" t="s">
        <v>475</v>
      </c>
      <c r="C2202" s="8">
        <f>IFERROR(__xludf.DUMMYFUNCTION("SPLIT(B2202,""RM"")"),2800000.0)</f>
        <v>2800000</v>
      </c>
      <c r="D2202" s="7" t="s">
        <v>39</v>
      </c>
      <c r="E2202" s="7">
        <v>6.0</v>
      </c>
      <c r="G2202" s="7" t="s">
        <v>83</v>
      </c>
      <c r="H2202" s="7" t="s">
        <v>498</v>
      </c>
      <c r="I2202" s="7" t="s">
        <v>27</v>
      </c>
    </row>
    <row r="2203">
      <c r="A2203" s="7" t="s">
        <v>72</v>
      </c>
      <c r="B2203" s="7" t="s">
        <v>158</v>
      </c>
      <c r="C2203" s="8">
        <f>IFERROR(__xludf.DUMMYFUNCTION("SPLIT(B2203,""RM"")"),1850000.0)</f>
        <v>1850000</v>
      </c>
      <c r="D2203" s="7" t="s">
        <v>57</v>
      </c>
      <c r="E2203" s="7">
        <v>5.0</v>
      </c>
      <c r="G2203" s="7" t="s">
        <v>83</v>
      </c>
      <c r="H2203" s="7" t="s">
        <v>1727</v>
      </c>
      <c r="I2203" s="7" t="s">
        <v>22</v>
      </c>
    </row>
    <row r="2204">
      <c r="A2204" s="7" t="s">
        <v>72</v>
      </c>
      <c r="B2204" s="7" t="s">
        <v>81</v>
      </c>
      <c r="C2204" s="8">
        <f>IFERROR(__xludf.DUMMYFUNCTION("SPLIT(B2204,""RM"")"),1550000.0)</f>
        <v>1550000</v>
      </c>
      <c r="D2204" s="7" t="s">
        <v>57</v>
      </c>
      <c r="E2204" s="7">
        <v>5.0</v>
      </c>
      <c r="G2204" s="7" t="s">
        <v>83</v>
      </c>
      <c r="H2204" s="7" t="s">
        <v>1728</v>
      </c>
      <c r="I2204" s="7" t="s">
        <v>22</v>
      </c>
    </row>
    <row r="2205">
      <c r="A2205" s="7" t="s">
        <v>72</v>
      </c>
      <c r="B2205" s="7" t="s">
        <v>78</v>
      </c>
      <c r="C2205" s="8">
        <f>IFERROR(__xludf.DUMMYFUNCTION("SPLIT(B2205,""RM"")"),1500000.0)</f>
        <v>1500000</v>
      </c>
      <c r="D2205" s="7" t="s">
        <v>57</v>
      </c>
      <c r="E2205" s="7">
        <v>5.0</v>
      </c>
      <c r="G2205" s="7" t="s">
        <v>83</v>
      </c>
      <c r="H2205" s="7" t="s">
        <v>1728</v>
      </c>
      <c r="I2205" s="7" t="s">
        <v>22</v>
      </c>
    </row>
    <row r="2206">
      <c r="A2206" s="7" t="s">
        <v>72</v>
      </c>
      <c r="B2206" s="7" t="s">
        <v>403</v>
      </c>
      <c r="C2206" s="8">
        <f>IFERROR(__xludf.DUMMYFUNCTION("SPLIT(B2206,""RM"")"),1600000.0)</f>
        <v>1600000</v>
      </c>
      <c r="D2206" s="7" t="s">
        <v>57</v>
      </c>
      <c r="E2206" s="7">
        <v>5.0</v>
      </c>
      <c r="G2206" s="7" t="s">
        <v>83</v>
      </c>
      <c r="H2206" s="7" t="s">
        <v>1729</v>
      </c>
      <c r="I2206" s="7" t="s">
        <v>22</v>
      </c>
    </row>
    <row r="2207">
      <c r="A2207" s="7" t="s">
        <v>72</v>
      </c>
      <c r="B2207" s="7" t="s">
        <v>356</v>
      </c>
      <c r="C2207" s="8">
        <f>IFERROR(__xludf.DUMMYFUNCTION("SPLIT(B2207,""RM"")"),1790000.0)</f>
        <v>1790000</v>
      </c>
      <c r="D2207" s="7" t="s">
        <v>57</v>
      </c>
      <c r="E2207" s="7">
        <v>4.0</v>
      </c>
      <c r="G2207" s="7" t="s">
        <v>83</v>
      </c>
      <c r="H2207" s="7" t="s">
        <v>1730</v>
      </c>
      <c r="I2207" s="7" t="s">
        <v>22</v>
      </c>
    </row>
    <row r="2208">
      <c r="A2208" s="7" t="s">
        <v>72</v>
      </c>
      <c r="B2208" s="7" t="s">
        <v>125</v>
      </c>
      <c r="C2208" s="8">
        <f>IFERROR(__xludf.DUMMYFUNCTION("SPLIT(B2208,""RM"")"),2300000.0)</f>
        <v>2300000</v>
      </c>
      <c r="D2208" s="7" t="s">
        <v>35</v>
      </c>
      <c r="E2208" s="7">
        <v>6.0</v>
      </c>
      <c r="G2208" s="7" t="s">
        <v>83</v>
      </c>
      <c r="H2208" s="7" t="s">
        <v>989</v>
      </c>
      <c r="I2208" s="7" t="s">
        <v>27</v>
      </c>
    </row>
    <row r="2209">
      <c r="A2209" s="7" t="s">
        <v>171</v>
      </c>
      <c r="B2209" s="7" t="s">
        <v>975</v>
      </c>
      <c r="C2209" s="8">
        <f>IFERROR(__xludf.DUMMYFUNCTION("SPLIT(B2209,""RM"")"),400000.0)</f>
        <v>400000</v>
      </c>
      <c r="D2209" s="7">
        <v>4.0</v>
      </c>
      <c r="E2209" s="7">
        <v>2.0</v>
      </c>
      <c r="F2209" s="7">
        <v>1.0</v>
      </c>
      <c r="G2209" s="7" t="s">
        <v>30</v>
      </c>
      <c r="H2209" s="7" t="s">
        <v>1703</v>
      </c>
    </row>
    <row r="2210">
      <c r="A2210" s="7" t="s">
        <v>48</v>
      </c>
      <c r="B2210" s="7" t="s">
        <v>168</v>
      </c>
      <c r="C2210" s="8">
        <f>IFERROR(__xludf.DUMMYFUNCTION("SPLIT(B2210,""RM"")"),750000.0)</f>
        <v>750000</v>
      </c>
      <c r="D2210" s="7">
        <v>3.0</v>
      </c>
      <c r="E2210" s="7">
        <v>2.0</v>
      </c>
      <c r="G2210" s="7" t="s">
        <v>54</v>
      </c>
      <c r="H2210" s="7" t="s">
        <v>1458</v>
      </c>
      <c r="I2210" s="7" t="s">
        <v>27</v>
      </c>
    </row>
    <row r="2211">
      <c r="A2211" s="7" t="s">
        <v>171</v>
      </c>
      <c r="B2211" s="7" t="s">
        <v>715</v>
      </c>
      <c r="C2211" s="8">
        <f>IFERROR(__xludf.DUMMYFUNCTION("SPLIT(B2211,""RM"")"),550000.0)</f>
        <v>550000</v>
      </c>
      <c r="D2211" s="7">
        <v>3.0</v>
      </c>
      <c r="E2211" s="7">
        <v>2.0</v>
      </c>
      <c r="F2211" s="7">
        <v>2.0</v>
      </c>
      <c r="G2211" s="7" t="s">
        <v>343</v>
      </c>
      <c r="H2211" s="7" t="s">
        <v>55</v>
      </c>
      <c r="I2211" s="7" t="s">
        <v>27</v>
      </c>
    </row>
    <row r="2212">
      <c r="A2212" s="7" t="s">
        <v>171</v>
      </c>
      <c r="B2212" s="7" t="s">
        <v>890</v>
      </c>
      <c r="C2212" s="8">
        <f>IFERROR(__xludf.DUMMYFUNCTION("SPLIT(B2212,""RM"")"),450000.0)</f>
        <v>450000</v>
      </c>
      <c r="D2212" s="7">
        <v>4.0</v>
      </c>
      <c r="E2212" s="7">
        <v>2.0</v>
      </c>
      <c r="F2212" s="7">
        <v>2.0</v>
      </c>
      <c r="G2212" s="7" t="s">
        <v>30</v>
      </c>
      <c r="H2212" s="7" t="s">
        <v>1681</v>
      </c>
    </row>
    <row r="2213">
      <c r="A2213" s="7" t="s">
        <v>72</v>
      </c>
      <c r="B2213" s="7" t="s">
        <v>1349</v>
      </c>
      <c r="C2213" s="8">
        <f>IFERROR(__xludf.DUMMYFUNCTION("SPLIT(B2213,""RM"")"),1220000.0)</f>
        <v>1220000</v>
      </c>
      <c r="D2213" s="7" t="s">
        <v>57</v>
      </c>
      <c r="E2213" s="7">
        <v>4.0</v>
      </c>
      <c r="G2213" s="7" t="s">
        <v>83</v>
      </c>
      <c r="H2213" s="7" t="s">
        <v>1175</v>
      </c>
      <c r="I2213" s="7" t="s">
        <v>22</v>
      </c>
    </row>
    <row r="2214">
      <c r="A2214" s="7" t="s">
        <v>1731</v>
      </c>
      <c r="B2214" s="7" t="s">
        <v>125</v>
      </c>
      <c r="C2214" s="8">
        <f>IFERROR(__xludf.DUMMYFUNCTION("SPLIT(B2214,""RM"")"),2300000.0)</f>
        <v>2300000</v>
      </c>
      <c r="G2214" s="7" t="s">
        <v>667</v>
      </c>
      <c r="H2214" s="7" t="s">
        <v>264</v>
      </c>
    </row>
    <row r="2215">
      <c r="A2215" s="7" t="s">
        <v>17</v>
      </c>
      <c r="B2215" s="7" t="s">
        <v>757</v>
      </c>
      <c r="C2215" s="8">
        <f>IFERROR(__xludf.DUMMYFUNCTION("SPLIT(B2215,""RM"")"),4250000.0)</f>
        <v>4250000</v>
      </c>
      <c r="D2215" s="7" t="s">
        <v>57</v>
      </c>
      <c r="E2215" s="7">
        <v>5.0</v>
      </c>
      <c r="G2215" s="7" t="s">
        <v>121</v>
      </c>
      <c r="H2215" s="7" t="s">
        <v>1027</v>
      </c>
      <c r="I2215" s="7" t="s">
        <v>22</v>
      </c>
    </row>
    <row r="2216">
      <c r="A2216" s="7" t="s">
        <v>104</v>
      </c>
      <c r="B2216" s="7" t="s">
        <v>314</v>
      </c>
      <c r="C2216" s="8">
        <f>IFERROR(__xludf.DUMMYFUNCTION("SPLIT(B2216,""RM"")"),670000.0)</f>
        <v>670000</v>
      </c>
      <c r="D2216" s="7">
        <v>3.0</v>
      </c>
      <c r="E2216" s="7">
        <v>2.0</v>
      </c>
      <c r="G2216" s="7" t="s">
        <v>343</v>
      </c>
      <c r="H2216" s="7" t="s">
        <v>1732</v>
      </c>
      <c r="I2216" s="7" t="s">
        <v>27</v>
      </c>
    </row>
    <row r="2217">
      <c r="A2217" s="7" t="s">
        <v>72</v>
      </c>
      <c r="B2217" s="7" t="s">
        <v>120</v>
      </c>
      <c r="C2217" s="8">
        <f>IFERROR(__xludf.DUMMYFUNCTION("SPLIT(B2217,""RM"")"),3600000.0)</f>
        <v>3600000</v>
      </c>
      <c r="D2217" s="7" t="s">
        <v>70</v>
      </c>
      <c r="E2217" s="7">
        <v>6.0</v>
      </c>
      <c r="G2217" s="7" t="s">
        <v>25</v>
      </c>
      <c r="H2217" s="7" t="s">
        <v>1487</v>
      </c>
      <c r="I2217" s="7" t="s">
        <v>27</v>
      </c>
    </row>
    <row r="2218">
      <c r="A2218" s="7" t="s">
        <v>77</v>
      </c>
      <c r="B2218" s="7" t="s">
        <v>227</v>
      </c>
      <c r="C2218" s="8">
        <f>IFERROR(__xludf.DUMMYFUNCTION("SPLIT(B2218,""RM"")"),2850000.0)</f>
        <v>2850000</v>
      </c>
      <c r="D2218" s="7" t="s">
        <v>57</v>
      </c>
      <c r="E2218" s="7">
        <v>4.0</v>
      </c>
      <c r="F2218" s="7">
        <v>2.0</v>
      </c>
      <c r="G2218" s="7" t="s">
        <v>562</v>
      </c>
      <c r="H2218" s="7" t="s">
        <v>228</v>
      </c>
      <c r="I2218" s="7" t="s">
        <v>22</v>
      </c>
    </row>
    <row r="2219">
      <c r="A2219" s="7" t="s">
        <v>72</v>
      </c>
      <c r="B2219" s="7" t="s">
        <v>401</v>
      </c>
      <c r="C2219" s="8">
        <f>IFERROR(__xludf.DUMMYFUNCTION("SPLIT(B2219,""RM"")"),3380000.0)</f>
        <v>3380000</v>
      </c>
      <c r="D2219" s="7">
        <v>6.0</v>
      </c>
      <c r="E2219" s="7">
        <v>5.0</v>
      </c>
      <c r="G2219" s="7" t="s">
        <v>487</v>
      </c>
      <c r="H2219" s="7" t="s">
        <v>1733</v>
      </c>
      <c r="I2219" s="7" t="s">
        <v>27</v>
      </c>
    </row>
    <row r="2220">
      <c r="A2220" s="7" t="s">
        <v>104</v>
      </c>
      <c r="B2220" s="7" t="s">
        <v>967</v>
      </c>
      <c r="C2220" s="8">
        <f>IFERROR(__xludf.DUMMYFUNCTION("SPLIT(B2220,""RM"")"),680000.0)</f>
        <v>680000</v>
      </c>
      <c r="D2220" s="7">
        <v>3.0</v>
      </c>
      <c r="E2220" s="7">
        <v>2.0</v>
      </c>
      <c r="G2220" s="7" t="s">
        <v>343</v>
      </c>
      <c r="H2220" s="7" t="s">
        <v>211</v>
      </c>
      <c r="I2220" s="7" t="s">
        <v>27</v>
      </c>
    </row>
    <row r="2221">
      <c r="A2221" s="7" t="s">
        <v>104</v>
      </c>
      <c r="B2221" s="7" t="s">
        <v>953</v>
      </c>
      <c r="C2221" s="8">
        <f>IFERROR(__xludf.DUMMYFUNCTION("SPLIT(B2221,""RM"")"),730000.0)</f>
        <v>730000</v>
      </c>
      <c r="D2221" s="7">
        <v>4.0</v>
      </c>
      <c r="E2221" s="7">
        <v>3.0</v>
      </c>
      <c r="G2221" s="7" t="s">
        <v>54</v>
      </c>
      <c r="H2221" s="7" t="s">
        <v>674</v>
      </c>
      <c r="I2221" s="7" t="s">
        <v>27</v>
      </c>
    </row>
    <row r="2222">
      <c r="A2222" s="7" t="s">
        <v>104</v>
      </c>
      <c r="B2222" s="7" t="s">
        <v>890</v>
      </c>
      <c r="C2222" s="8">
        <f>IFERROR(__xludf.DUMMYFUNCTION("SPLIT(B2222,""RM"")"),450000.0)</f>
        <v>450000</v>
      </c>
      <c r="D2222" s="7">
        <v>3.0</v>
      </c>
      <c r="E2222" s="7">
        <v>2.0</v>
      </c>
      <c r="G2222" s="7" t="s">
        <v>1185</v>
      </c>
      <c r="H2222" s="7" t="s">
        <v>1732</v>
      </c>
      <c r="I2222" s="7" t="s">
        <v>27</v>
      </c>
    </row>
    <row r="2223">
      <c r="A2223" s="7" t="s">
        <v>72</v>
      </c>
      <c r="B2223" s="7" t="s">
        <v>201</v>
      </c>
      <c r="C2223" s="8">
        <f>IFERROR(__xludf.DUMMYFUNCTION("SPLIT(B2223,""RM"")"),620000.0)</f>
        <v>620000</v>
      </c>
      <c r="D2223" s="7">
        <v>3.0</v>
      </c>
      <c r="E2223" s="7">
        <v>2.0</v>
      </c>
      <c r="F2223" s="7">
        <v>2.0</v>
      </c>
      <c r="G2223" s="7" t="s">
        <v>93</v>
      </c>
      <c r="H2223" s="7" t="s">
        <v>1734</v>
      </c>
      <c r="I2223" s="7" t="s">
        <v>103</v>
      </c>
    </row>
    <row r="2224">
      <c r="A2224" s="7" t="s">
        <v>32</v>
      </c>
      <c r="B2224" s="7" t="s">
        <v>281</v>
      </c>
      <c r="C2224" s="8">
        <f>IFERROR(__xludf.DUMMYFUNCTION("SPLIT(B2224,""RM"")"),2500000.0)</f>
        <v>2500000</v>
      </c>
      <c r="D2224" s="7">
        <v>8.0</v>
      </c>
      <c r="E2224" s="7">
        <v>7.0</v>
      </c>
      <c r="F2224" s="7">
        <v>2.0</v>
      </c>
      <c r="G2224" s="7" t="s">
        <v>25</v>
      </c>
      <c r="H2224" s="7" t="s">
        <v>62</v>
      </c>
      <c r="I2224" s="7" t="s">
        <v>22</v>
      </c>
    </row>
    <row r="2225">
      <c r="A2225" s="7" t="s">
        <v>148</v>
      </c>
      <c r="B2225" s="7" t="s">
        <v>411</v>
      </c>
      <c r="C2225" s="8">
        <f>IFERROR(__xludf.DUMMYFUNCTION("SPLIT(B2225,""RM"")"),2150000.0)</f>
        <v>2150000</v>
      </c>
      <c r="D2225" s="7">
        <v>6.0</v>
      </c>
      <c r="E2225" s="7">
        <v>7.0</v>
      </c>
      <c r="F2225" s="7">
        <v>3.0</v>
      </c>
      <c r="G2225" s="7" t="s">
        <v>43</v>
      </c>
      <c r="H2225" s="7" t="s">
        <v>478</v>
      </c>
      <c r="I2225" s="7" t="s">
        <v>27</v>
      </c>
    </row>
    <row r="2226">
      <c r="A2226" s="7" t="s">
        <v>32</v>
      </c>
      <c r="B2226" s="7" t="s">
        <v>1735</v>
      </c>
      <c r="C2226" s="8">
        <f>IFERROR(__xludf.DUMMYFUNCTION("SPLIT(B2226,""RM"")"),308000.0)</f>
        <v>308000</v>
      </c>
      <c r="D2226" s="7">
        <v>3.0</v>
      </c>
      <c r="E2226" s="7">
        <v>2.0</v>
      </c>
      <c r="F2226" s="7">
        <v>1.0</v>
      </c>
      <c r="G2226" s="7" t="s">
        <v>50</v>
      </c>
      <c r="H2226" s="7" t="s">
        <v>1478</v>
      </c>
      <c r="I2226" s="7" t="s">
        <v>27</v>
      </c>
    </row>
    <row r="2227">
      <c r="A2227" s="7" t="s">
        <v>180</v>
      </c>
      <c r="B2227" s="7" t="s">
        <v>899</v>
      </c>
      <c r="C2227" s="8">
        <f>IFERROR(__xludf.DUMMYFUNCTION("SPLIT(B2227,""RM"")"),1160000.0)</f>
        <v>1160000</v>
      </c>
      <c r="D2227" s="7">
        <v>1.0</v>
      </c>
      <c r="E2227" s="7">
        <v>1.0</v>
      </c>
      <c r="F2227" s="7">
        <v>1.0</v>
      </c>
      <c r="G2227" s="7" t="s">
        <v>20</v>
      </c>
      <c r="H2227" s="7" t="s">
        <v>1303</v>
      </c>
      <c r="I2227" s="7" t="s">
        <v>22</v>
      </c>
    </row>
    <row r="2228">
      <c r="A2228" s="7" t="s">
        <v>72</v>
      </c>
      <c r="B2228" s="7" t="s">
        <v>1736</v>
      </c>
      <c r="C2228" s="8">
        <f>IFERROR(__xludf.DUMMYFUNCTION("SPLIT(B2228,""RM"")"),1.6E7)</f>
        <v>16000000</v>
      </c>
      <c r="D2228" s="7" t="s">
        <v>35</v>
      </c>
      <c r="E2228" s="7">
        <v>6.0</v>
      </c>
      <c r="F2228" s="7">
        <v>15.0</v>
      </c>
      <c r="G2228" s="7" t="s">
        <v>67</v>
      </c>
      <c r="H2228" s="7" t="s">
        <v>1737</v>
      </c>
      <c r="I2228" s="7" t="s">
        <v>27</v>
      </c>
    </row>
    <row r="2229">
      <c r="A2229" s="7" t="s">
        <v>72</v>
      </c>
      <c r="B2229" s="7" t="s">
        <v>616</v>
      </c>
      <c r="C2229" s="8">
        <f>IFERROR(__xludf.DUMMYFUNCTION("SPLIT(B2229,""RM"")"),7500000.0)</f>
        <v>7500000</v>
      </c>
      <c r="D2229" s="7" t="s">
        <v>60</v>
      </c>
      <c r="E2229" s="7">
        <v>7.0</v>
      </c>
      <c r="F2229" s="7">
        <v>3.0</v>
      </c>
      <c r="G2229" s="7" t="s">
        <v>25</v>
      </c>
      <c r="H2229" s="7" t="s">
        <v>1738</v>
      </c>
      <c r="I2229" s="7" t="s">
        <v>27</v>
      </c>
    </row>
    <row r="2230">
      <c r="A2230" s="7" t="s">
        <v>23</v>
      </c>
      <c r="B2230" s="7" t="s">
        <v>69</v>
      </c>
      <c r="C2230" s="8">
        <f>IFERROR(__xludf.DUMMYFUNCTION("SPLIT(B2230,""RM"")"),4500000.0)</f>
        <v>4500000</v>
      </c>
      <c r="D2230" s="7" t="s">
        <v>70</v>
      </c>
      <c r="E2230" s="7">
        <v>7.0</v>
      </c>
      <c r="G2230" s="7" t="s">
        <v>25</v>
      </c>
      <c r="H2230" s="7" t="s">
        <v>1739</v>
      </c>
      <c r="I2230" s="7" t="s">
        <v>27</v>
      </c>
    </row>
    <row r="2231">
      <c r="A2231" s="7" t="s">
        <v>23</v>
      </c>
      <c r="B2231" s="7" t="s">
        <v>970</v>
      </c>
      <c r="C2231" s="8">
        <f>IFERROR(__xludf.DUMMYFUNCTION("SPLIT(B2231,""RM"")"),5200000.0)</f>
        <v>5200000</v>
      </c>
      <c r="D2231" s="7" t="s">
        <v>35</v>
      </c>
      <c r="E2231" s="7">
        <v>4.0</v>
      </c>
      <c r="F2231" s="7">
        <v>4.0</v>
      </c>
      <c r="G2231" s="7" t="s">
        <v>25</v>
      </c>
      <c r="H2231" s="7" t="s">
        <v>1740</v>
      </c>
      <c r="I2231" s="7" t="s">
        <v>27</v>
      </c>
    </row>
    <row r="2232">
      <c r="A2232" s="7" t="s">
        <v>32</v>
      </c>
      <c r="B2232" s="7" t="s">
        <v>890</v>
      </c>
      <c r="C2232" s="8">
        <f>IFERROR(__xludf.DUMMYFUNCTION("SPLIT(B2232,""RM"")"),450000.0)</f>
        <v>450000</v>
      </c>
      <c r="D2232" s="7">
        <v>3.0</v>
      </c>
      <c r="E2232" s="7">
        <v>2.0</v>
      </c>
      <c r="F2232" s="7">
        <v>2.0</v>
      </c>
      <c r="G2232" s="7" t="s">
        <v>83</v>
      </c>
      <c r="H2232" s="7" t="s">
        <v>504</v>
      </c>
      <c r="I2232" s="7" t="s">
        <v>103</v>
      </c>
    </row>
    <row r="2233">
      <c r="A2233" s="7" t="s">
        <v>32</v>
      </c>
      <c r="B2233" s="7" t="s">
        <v>1741</v>
      </c>
      <c r="C2233" s="8">
        <f>IFERROR(__xludf.DUMMYFUNCTION("SPLIT(B2233,""RM"")"),449000.0)</f>
        <v>449000</v>
      </c>
      <c r="D2233" s="7">
        <v>3.0</v>
      </c>
      <c r="E2233" s="7">
        <v>2.0</v>
      </c>
      <c r="F2233" s="7">
        <v>2.0</v>
      </c>
      <c r="G2233" s="7" t="s">
        <v>93</v>
      </c>
      <c r="H2233" s="7" t="s">
        <v>504</v>
      </c>
    </row>
    <row r="2234">
      <c r="A2234" s="7" t="s">
        <v>72</v>
      </c>
      <c r="B2234" s="7" t="s">
        <v>1742</v>
      </c>
      <c r="C2234" s="8">
        <f>IFERROR(__xludf.DUMMYFUNCTION("SPLIT(B2234,""RM"")"),1322355.0)</f>
        <v>1322355</v>
      </c>
      <c r="D2234" s="7" t="s">
        <v>35</v>
      </c>
      <c r="E2234" s="7">
        <v>4.0</v>
      </c>
      <c r="F2234" s="7">
        <v>4.0</v>
      </c>
      <c r="G2234" s="7" t="s">
        <v>30</v>
      </c>
      <c r="H2234" s="7" t="s">
        <v>1743</v>
      </c>
      <c r="I2234" s="7" t="s">
        <v>27</v>
      </c>
    </row>
    <row r="2235">
      <c r="A2235" s="7" t="s">
        <v>48</v>
      </c>
      <c r="B2235" s="7" t="s">
        <v>955</v>
      </c>
      <c r="C2235" s="8">
        <f>IFERROR(__xludf.DUMMYFUNCTION("SPLIT(B2235,""RM"")"),498000.0)</f>
        <v>498000</v>
      </c>
      <c r="D2235" s="7">
        <v>3.0</v>
      </c>
      <c r="E2235" s="7">
        <v>2.0</v>
      </c>
      <c r="F2235" s="7">
        <v>1.0</v>
      </c>
      <c r="G2235" s="7" t="s">
        <v>83</v>
      </c>
      <c r="H2235" s="7" t="s">
        <v>1744</v>
      </c>
    </row>
    <row r="2236">
      <c r="A2236" s="7" t="s">
        <v>171</v>
      </c>
      <c r="B2236" s="7" t="s">
        <v>268</v>
      </c>
      <c r="C2236" s="8">
        <f>IFERROR(__xludf.DUMMYFUNCTION("SPLIT(B2236,""RM"")"),500000.0)</f>
        <v>500000</v>
      </c>
      <c r="D2236" s="7">
        <v>3.0</v>
      </c>
      <c r="E2236" s="7">
        <v>2.0</v>
      </c>
      <c r="F2236" s="7">
        <v>1.0</v>
      </c>
      <c r="G2236" s="7" t="s">
        <v>82</v>
      </c>
      <c r="H2236" s="7" t="s">
        <v>1745</v>
      </c>
      <c r="I2236" s="7" t="s">
        <v>27</v>
      </c>
    </row>
    <row r="2237">
      <c r="A2237" s="7" t="s">
        <v>164</v>
      </c>
      <c r="B2237" s="7" t="s">
        <v>158</v>
      </c>
      <c r="C2237" s="8">
        <f>IFERROR(__xludf.DUMMYFUNCTION("SPLIT(B2237,""RM"")"),1850000.0)</f>
        <v>1850000</v>
      </c>
      <c r="D2237" s="7" t="s">
        <v>19</v>
      </c>
      <c r="E2237" s="7">
        <v>3.0</v>
      </c>
      <c r="F2237" s="7">
        <v>1.0</v>
      </c>
      <c r="G2237" s="7" t="s">
        <v>82</v>
      </c>
      <c r="H2237" s="7" t="s">
        <v>303</v>
      </c>
      <c r="I2237" s="7" t="s">
        <v>27</v>
      </c>
    </row>
    <row r="2238">
      <c r="A2238" s="7" t="s">
        <v>164</v>
      </c>
      <c r="B2238" s="7" t="s">
        <v>53</v>
      </c>
      <c r="C2238" s="8">
        <f>IFERROR(__xludf.DUMMYFUNCTION("SPLIT(B2238,""RM"")"),1680000.0)</f>
        <v>1680000</v>
      </c>
      <c r="D2238" s="7">
        <v>2.0</v>
      </c>
      <c r="E2238" s="7">
        <v>2.0</v>
      </c>
      <c r="F2238" s="7">
        <v>1.0</v>
      </c>
      <c r="G2238" s="7" t="s">
        <v>121</v>
      </c>
      <c r="H2238" s="7" t="s">
        <v>234</v>
      </c>
      <c r="I2238" s="7" t="s">
        <v>22</v>
      </c>
    </row>
    <row r="2239">
      <c r="A2239" s="7" t="s">
        <v>17</v>
      </c>
      <c r="B2239" s="7" t="s">
        <v>1225</v>
      </c>
      <c r="C2239" s="8">
        <f>IFERROR(__xludf.DUMMYFUNCTION("SPLIT(B2239,""RM"")"),1290000.0)</f>
        <v>1290000</v>
      </c>
      <c r="F2239" s="7">
        <v>1.0</v>
      </c>
      <c r="G2239" s="7" t="s">
        <v>30</v>
      </c>
      <c r="H2239" s="7" t="s">
        <v>173</v>
      </c>
      <c r="I2239" s="7" t="s">
        <v>22</v>
      </c>
    </row>
    <row r="2240">
      <c r="A2240" s="7" t="s">
        <v>17</v>
      </c>
      <c r="B2240" s="7" t="s">
        <v>42</v>
      </c>
      <c r="C2240" s="8">
        <f>IFERROR(__xludf.DUMMYFUNCTION("SPLIT(B2240,""RM"")"),2600000.0)</f>
        <v>2600000</v>
      </c>
      <c r="D2240" s="7">
        <v>2.0</v>
      </c>
      <c r="E2240" s="7">
        <v>2.0</v>
      </c>
      <c r="F2240" s="7">
        <v>1.0</v>
      </c>
      <c r="G2240" s="7" t="s">
        <v>20</v>
      </c>
      <c r="H2240" s="7" t="s">
        <v>1746</v>
      </c>
      <c r="I2240" s="7" t="s">
        <v>22</v>
      </c>
    </row>
    <row r="2241">
      <c r="A2241" s="7" t="s">
        <v>32</v>
      </c>
      <c r="B2241" s="7" t="s">
        <v>156</v>
      </c>
      <c r="C2241" s="8">
        <f>IFERROR(__xludf.DUMMYFUNCTION("SPLIT(B2241,""RM"")"),850000.0)</f>
        <v>850000</v>
      </c>
      <c r="D2241" s="7">
        <v>4.0</v>
      </c>
      <c r="E2241" s="7">
        <v>3.0</v>
      </c>
      <c r="G2241" s="7" t="s">
        <v>54</v>
      </c>
      <c r="H2241" s="7" t="s">
        <v>719</v>
      </c>
      <c r="I2241" s="7" t="s">
        <v>27</v>
      </c>
    </row>
    <row r="2242">
      <c r="A2242" s="7" t="s">
        <v>580</v>
      </c>
      <c r="B2242" s="7" t="s">
        <v>101</v>
      </c>
      <c r="C2242" s="8">
        <f>IFERROR(__xludf.DUMMYFUNCTION("SPLIT(B2242,""RM"")"),3300000.0)</f>
        <v>3300000</v>
      </c>
      <c r="D2242" s="7" t="s">
        <v>70</v>
      </c>
      <c r="E2242" s="7">
        <v>5.0</v>
      </c>
      <c r="G2242" s="7" t="s">
        <v>64</v>
      </c>
      <c r="H2242" s="7" t="s">
        <v>1747</v>
      </c>
      <c r="I2242" s="7" t="s">
        <v>27</v>
      </c>
    </row>
    <row r="2243">
      <c r="A2243" s="7" t="s">
        <v>100</v>
      </c>
      <c r="B2243" s="7" t="s">
        <v>1528</v>
      </c>
      <c r="C2243" s="8">
        <f>IFERROR(__xludf.DUMMYFUNCTION("SPLIT(B2243,""RM"")"),725000.0)</f>
        <v>725000</v>
      </c>
      <c r="D2243" s="7">
        <v>2.0</v>
      </c>
      <c r="E2243" s="7">
        <v>2.0</v>
      </c>
      <c r="F2243" s="7">
        <v>1.0</v>
      </c>
      <c r="G2243" s="7" t="s">
        <v>93</v>
      </c>
      <c r="H2243" s="7" t="s">
        <v>1429</v>
      </c>
      <c r="I2243" s="7" t="s">
        <v>22</v>
      </c>
    </row>
    <row r="2244">
      <c r="A2244" s="7" t="s">
        <v>109</v>
      </c>
      <c r="B2244" s="7" t="s">
        <v>759</v>
      </c>
      <c r="C2244" s="8">
        <f>IFERROR(__xludf.DUMMYFUNCTION("SPLIT(B2244,""RM"")"),520000.0)</f>
        <v>520000</v>
      </c>
      <c r="D2244" s="7">
        <v>2.0</v>
      </c>
      <c r="E2244" s="7">
        <v>2.0</v>
      </c>
      <c r="F2244" s="7">
        <v>1.0</v>
      </c>
      <c r="G2244" s="7" t="s">
        <v>93</v>
      </c>
      <c r="H2244" s="7" t="s">
        <v>1748</v>
      </c>
      <c r="I2244" s="7" t="s">
        <v>22</v>
      </c>
    </row>
    <row r="2245">
      <c r="A2245" s="7" t="s">
        <v>72</v>
      </c>
      <c r="B2245" s="7" t="s">
        <v>655</v>
      </c>
      <c r="C2245" s="8">
        <f>IFERROR(__xludf.DUMMYFUNCTION("SPLIT(B2245,""RM"")"),2550000.0)</f>
        <v>2550000</v>
      </c>
      <c r="D2245" s="7" t="s">
        <v>60</v>
      </c>
      <c r="E2245" s="7">
        <v>7.0</v>
      </c>
      <c r="F2245" s="7">
        <v>4.0</v>
      </c>
      <c r="G2245" s="7" t="s">
        <v>30</v>
      </c>
      <c r="H2245" s="7" t="s">
        <v>1749</v>
      </c>
      <c r="I2245" s="7" t="s">
        <v>27</v>
      </c>
    </row>
    <row r="2246">
      <c r="A2246" s="7" t="s">
        <v>32</v>
      </c>
      <c r="B2246" s="7" t="s">
        <v>78</v>
      </c>
      <c r="C2246" s="8">
        <f>IFERROR(__xludf.DUMMYFUNCTION("SPLIT(B2246,""RM"")"),1500000.0)</f>
        <v>1500000</v>
      </c>
      <c r="D2246" s="7" t="s">
        <v>70</v>
      </c>
      <c r="E2246" s="7">
        <v>6.0</v>
      </c>
      <c r="F2246" s="7">
        <v>4.0</v>
      </c>
      <c r="G2246" s="7" t="s">
        <v>487</v>
      </c>
      <c r="H2246" s="7" t="s">
        <v>1750</v>
      </c>
      <c r="I2246" s="7" t="s">
        <v>103</v>
      </c>
    </row>
    <row r="2247">
      <c r="A2247" s="7" t="s">
        <v>692</v>
      </c>
      <c r="B2247" s="7" t="s">
        <v>53</v>
      </c>
      <c r="C2247" s="8">
        <f>IFERROR(__xludf.DUMMYFUNCTION("SPLIT(B2247,""RM"")"),1680000.0)</f>
        <v>1680000</v>
      </c>
      <c r="D2247" s="7" t="s">
        <v>70</v>
      </c>
      <c r="E2247" s="7">
        <v>5.0</v>
      </c>
      <c r="G2247" s="7" t="s">
        <v>203</v>
      </c>
      <c r="H2247" s="7" t="s">
        <v>283</v>
      </c>
      <c r="I2247" s="7" t="s">
        <v>27</v>
      </c>
    </row>
    <row r="2248">
      <c r="A2248" s="7" t="s">
        <v>692</v>
      </c>
      <c r="B2248" s="7" t="s">
        <v>144</v>
      </c>
      <c r="C2248" s="8">
        <f>IFERROR(__xludf.DUMMYFUNCTION("SPLIT(B2248,""RM"")"),1800000.0)</f>
        <v>1800000</v>
      </c>
      <c r="D2248" s="7" t="s">
        <v>70</v>
      </c>
      <c r="E2248" s="7">
        <v>5.0</v>
      </c>
      <c r="G2248" s="7" t="s">
        <v>203</v>
      </c>
      <c r="H2248" s="7" t="s">
        <v>283</v>
      </c>
      <c r="I2248" s="7" t="s">
        <v>27</v>
      </c>
    </row>
    <row r="2249">
      <c r="A2249" s="7" t="s">
        <v>143</v>
      </c>
      <c r="B2249" s="7" t="s">
        <v>953</v>
      </c>
      <c r="C2249" s="8">
        <f>IFERROR(__xludf.DUMMYFUNCTION("SPLIT(B2249,""RM"")"),730000.0)</f>
        <v>730000</v>
      </c>
      <c r="D2249" s="7">
        <v>1.0</v>
      </c>
      <c r="E2249" s="7">
        <v>1.0</v>
      </c>
      <c r="F2249" s="7">
        <v>1.0</v>
      </c>
      <c r="G2249" s="7" t="s">
        <v>20</v>
      </c>
      <c r="H2249" s="7" t="s">
        <v>1361</v>
      </c>
      <c r="I2249" s="7" t="s">
        <v>22</v>
      </c>
    </row>
    <row r="2250">
      <c r="A2250" s="7" t="s">
        <v>33</v>
      </c>
      <c r="B2250" s="7" t="s">
        <v>346</v>
      </c>
      <c r="C2250" s="8">
        <f>IFERROR(__xludf.DUMMYFUNCTION("SPLIT(B2250,""RM"")"),638000.0)</f>
        <v>638000</v>
      </c>
      <c r="D2250" s="7">
        <v>4.0</v>
      </c>
      <c r="E2250" s="7">
        <v>2.0</v>
      </c>
      <c r="G2250" s="7" t="s">
        <v>83</v>
      </c>
      <c r="H2250" s="7" t="s">
        <v>1751</v>
      </c>
      <c r="I2250" s="7" t="s">
        <v>27</v>
      </c>
    </row>
    <row r="2251">
      <c r="A2251" s="7" t="s">
        <v>428</v>
      </c>
      <c r="B2251" s="7" t="s">
        <v>139</v>
      </c>
      <c r="C2251" s="8">
        <f>IFERROR(__xludf.DUMMYFUNCTION("SPLIT(B2251,""RM"")"),780000.0)</f>
        <v>780000</v>
      </c>
      <c r="D2251" s="7">
        <v>2.0</v>
      </c>
      <c r="E2251" s="7">
        <v>2.0</v>
      </c>
      <c r="F2251" s="7">
        <v>2.0</v>
      </c>
      <c r="G2251" s="7" t="s">
        <v>121</v>
      </c>
      <c r="H2251" s="7" t="s">
        <v>1752</v>
      </c>
      <c r="I2251" s="7" t="s">
        <v>22</v>
      </c>
    </row>
    <row r="2252">
      <c r="A2252" s="7" t="s">
        <v>171</v>
      </c>
      <c r="B2252" s="7" t="s">
        <v>107</v>
      </c>
      <c r="C2252" s="8">
        <f>IFERROR(__xludf.DUMMYFUNCTION("SPLIT(B2252,""RM"")"),460000.0)</f>
        <v>460000</v>
      </c>
      <c r="D2252" s="7" t="s">
        <v>57</v>
      </c>
      <c r="E2252" s="7">
        <v>2.0</v>
      </c>
      <c r="F2252" s="7">
        <v>1.0</v>
      </c>
      <c r="G2252" s="7" t="s">
        <v>93</v>
      </c>
      <c r="H2252" s="7" t="s">
        <v>1068</v>
      </c>
      <c r="I2252" s="7" t="s">
        <v>103</v>
      </c>
    </row>
    <row r="2253">
      <c r="A2253" s="7" t="s">
        <v>89</v>
      </c>
      <c r="B2253" s="7" t="s">
        <v>361</v>
      </c>
      <c r="C2253" s="8">
        <f>IFERROR(__xludf.DUMMYFUNCTION("SPLIT(B2253,""RM"")"),530000.0)</f>
        <v>530000</v>
      </c>
      <c r="D2253" s="7">
        <v>3.0</v>
      </c>
      <c r="E2253" s="7">
        <v>2.0</v>
      </c>
      <c r="F2253" s="7">
        <v>2.0</v>
      </c>
      <c r="G2253" s="7" t="s">
        <v>30</v>
      </c>
      <c r="H2253" s="7" t="s">
        <v>373</v>
      </c>
      <c r="I2253" s="7" t="s">
        <v>27</v>
      </c>
    </row>
    <row r="2254">
      <c r="A2254" s="7" t="s">
        <v>171</v>
      </c>
      <c r="B2254" s="7" t="s">
        <v>361</v>
      </c>
      <c r="C2254" s="8">
        <f>IFERROR(__xludf.DUMMYFUNCTION("SPLIT(B2254,""RM"")"),530000.0)</f>
        <v>530000</v>
      </c>
      <c r="D2254" s="7">
        <v>4.0</v>
      </c>
      <c r="E2254" s="7">
        <v>2.0</v>
      </c>
      <c r="G2254" s="7" t="s">
        <v>30</v>
      </c>
      <c r="H2254" s="7" t="s">
        <v>1004</v>
      </c>
      <c r="I2254" s="7" t="s">
        <v>103</v>
      </c>
    </row>
    <row r="2255">
      <c r="A2255" s="7" t="s">
        <v>89</v>
      </c>
      <c r="B2255" s="7" t="s">
        <v>1392</v>
      </c>
      <c r="C2255" s="8">
        <f>IFERROR(__xludf.DUMMYFUNCTION("SPLIT(B2255,""RM"")"),518000.0)</f>
        <v>518000</v>
      </c>
      <c r="D2255" s="7">
        <v>3.0</v>
      </c>
      <c r="E2255" s="7">
        <v>2.0</v>
      </c>
      <c r="F2255" s="7">
        <v>2.0</v>
      </c>
      <c r="G2255" s="7" t="s">
        <v>30</v>
      </c>
      <c r="H2255" s="7" t="s">
        <v>1532</v>
      </c>
      <c r="I2255" s="7" t="s">
        <v>27</v>
      </c>
    </row>
    <row r="2256">
      <c r="A2256" s="7" t="s">
        <v>72</v>
      </c>
      <c r="B2256" s="7" t="s">
        <v>329</v>
      </c>
      <c r="C2256" s="8">
        <f>IFERROR(__xludf.DUMMYFUNCTION("SPLIT(B2256,""RM"")"),1200000.0)</f>
        <v>1200000</v>
      </c>
      <c r="D2256" s="7" t="s">
        <v>57</v>
      </c>
      <c r="E2256" s="7">
        <v>3.0</v>
      </c>
      <c r="F2256" s="7">
        <v>1.0</v>
      </c>
      <c r="G2256" s="7" t="s">
        <v>83</v>
      </c>
      <c r="H2256" s="7" t="s">
        <v>1132</v>
      </c>
      <c r="I2256" s="7" t="s">
        <v>22</v>
      </c>
    </row>
    <row r="2257">
      <c r="A2257" s="7" t="s">
        <v>37</v>
      </c>
      <c r="B2257" s="7" t="s">
        <v>1753</v>
      </c>
      <c r="C2257" s="8">
        <f>IFERROR(__xludf.DUMMYFUNCTION("SPLIT(B2257,""RM"")"),8500000.0)</f>
        <v>8500000</v>
      </c>
      <c r="D2257" s="7" t="s">
        <v>1754</v>
      </c>
      <c r="E2257" s="7">
        <v>9.0</v>
      </c>
      <c r="F2257" s="7">
        <v>4.0</v>
      </c>
      <c r="G2257" s="7" t="s">
        <v>1755</v>
      </c>
      <c r="H2257" s="7" t="s">
        <v>68</v>
      </c>
      <c r="I2257" s="7" t="s">
        <v>103</v>
      </c>
    </row>
    <row r="2258">
      <c r="A2258" s="7" t="s">
        <v>148</v>
      </c>
      <c r="B2258" s="7" t="s">
        <v>193</v>
      </c>
      <c r="C2258" s="8">
        <f>IFERROR(__xludf.DUMMYFUNCTION("SPLIT(B2258,""RM"")"),1650000.0)</f>
        <v>1650000</v>
      </c>
      <c r="D2258" s="7" t="s">
        <v>35</v>
      </c>
      <c r="E2258" s="7">
        <v>5.0</v>
      </c>
      <c r="G2258" s="7" t="s">
        <v>169</v>
      </c>
      <c r="H2258" s="7" t="s">
        <v>1756</v>
      </c>
      <c r="I2258" s="7" t="s">
        <v>27</v>
      </c>
    </row>
    <row r="2259">
      <c r="A2259" s="7" t="s">
        <v>148</v>
      </c>
      <c r="B2259" s="7" t="s">
        <v>78</v>
      </c>
      <c r="C2259" s="8">
        <f>IFERROR(__xludf.DUMMYFUNCTION("SPLIT(B2259,""RM"")"),1500000.0)</f>
        <v>1500000</v>
      </c>
      <c r="D2259" s="7" t="s">
        <v>57</v>
      </c>
      <c r="E2259" s="7">
        <v>4.0</v>
      </c>
      <c r="G2259" s="7" t="s">
        <v>54</v>
      </c>
      <c r="H2259" s="7" t="s">
        <v>307</v>
      </c>
      <c r="I2259" s="7" t="s">
        <v>103</v>
      </c>
    </row>
    <row r="2260">
      <c r="A2260" s="7" t="s">
        <v>371</v>
      </c>
      <c r="B2260" s="7" t="s">
        <v>302</v>
      </c>
      <c r="C2260" s="8">
        <f>IFERROR(__xludf.DUMMYFUNCTION("SPLIT(B2260,""RM"")"),1260000.0)</f>
        <v>1260000</v>
      </c>
      <c r="D2260" s="7" t="s">
        <v>57</v>
      </c>
      <c r="E2260" s="7">
        <v>4.0</v>
      </c>
      <c r="F2260" s="7">
        <v>2.0</v>
      </c>
      <c r="G2260" s="7" t="s">
        <v>30</v>
      </c>
      <c r="H2260" s="7" t="s">
        <v>1757</v>
      </c>
      <c r="I2260" s="7" t="s">
        <v>27</v>
      </c>
    </row>
    <row r="2261">
      <c r="A2261" s="7" t="s">
        <v>17</v>
      </c>
      <c r="B2261" s="7" t="s">
        <v>693</v>
      </c>
      <c r="C2261" s="8">
        <f>IFERROR(__xludf.DUMMYFUNCTION("SPLIT(B2261,""RM"")"),6700000.0)</f>
        <v>6700000</v>
      </c>
      <c r="D2261" s="7" t="s">
        <v>60</v>
      </c>
      <c r="E2261" s="7">
        <v>7.0</v>
      </c>
      <c r="F2261" s="7">
        <v>5.0</v>
      </c>
      <c r="G2261" s="7" t="s">
        <v>83</v>
      </c>
      <c r="H2261" s="7" t="s">
        <v>1758</v>
      </c>
      <c r="I2261" s="7" t="s">
        <v>27</v>
      </c>
    </row>
    <row r="2262">
      <c r="A2262" s="7" t="s">
        <v>17</v>
      </c>
      <c r="B2262" s="7" t="s">
        <v>349</v>
      </c>
      <c r="C2262" s="8">
        <f>IFERROR(__xludf.DUMMYFUNCTION("SPLIT(B2262,""RM"")"),1400000.0)</f>
        <v>1400000</v>
      </c>
      <c r="D2262" s="7">
        <v>2.0</v>
      </c>
      <c r="E2262" s="7">
        <v>2.0</v>
      </c>
      <c r="F2262" s="7">
        <v>2.0</v>
      </c>
      <c r="G2262" s="7" t="s">
        <v>30</v>
      </c>
      <c r="H2262" s="7" t="s">
        <v>930</v>
      </c>
      <c r="I2262" s="7" t="s">
        <v>22</v>
      </c>
    </row>
    <row r="2263">
      <c r="A2263" s="7" t="s">
        <v>17</v>
      </c>
      <c r="B2263" s="7" t="s">
        <v>243</v>
      </c>
      <c r="C2263" s="8">
        <f>IFERROR(__xludf.DUMMYFUNCTION("SPLIT(B2263,""RM"")"),1350000.0)</f>
        <v>1350000</v>
      </c>
      <c r="D2263" s="7">
        <v>2.0</v>
      </c>
      <c r="E2263" s="7">
        <v>2.0</v>
      </c>
      <c r="G2263" s="7" t="s">
        <v>121</v>
      </c>
      <c r="H2263" s="7" t="s">
        <v>1759</v>
      </c>
      <c r="I2263" s="7" t="s">
        <v>22</v>
      </c>
    </row>
    <row r="2264">
      <c r="A2264" s="7" t="s">
        <v>171</v>
      </c>
      <c r="B2264" s="7" t="s">
        <v>1075</v>
      </c>
      <c r="C2264" s="8">
        <f>IFERROR(__xludf.DUMMYFUNCTION("SPLIT(B2264,""RM"")"),790000.0)</f>
        <v>790000</v>
      </c>
      <c r="D2264" s="7">
        <v>3.0</v>
      </c>
      <c r="E2264" s="7">
        <v>3.0</v>
      </c>
      <c r="F2264" s="7">
        <v>2.0</v>
      </c>
      <c r="G2264" s="7" t="s">
        <v>30</v>
      </c>
      <c r="H2264" s="7" t="s">
        <v>335</v>
      </c>
      <c r="I2264" s="7" t="s">
        <v>27</v>
      </c>
    </row>
    <row r="2265">
      <c r="A2265" s="7" t="s">
        <v>171</v>
      </c>
      <c r="B2265" s="7" t="s">
        <v>1760</v>
      </c>
      <c r="C2265" s="8">
        <f>IFERROR(__xludf.DUMMYFUNCTION("SPLIT(B2265,""RM"")"),1460000.0)</f>
        <v>1460000</v>
      </c>
      <c r="D2265" s="7" t="s">
        <v>35</v>
      </c>
      <c r="E2265" s="7">
        <v>5.0</v>
      </c>
      <c r="F2265" s="7">
        <v>3.0</v>
      </c>
      <c r="G2265" s="7" t="s">
        <v>83</v>
      </c>
      <c r="H2265" s="7" t="s">
        <v>307</v>
      </c>
      <c r="I2265" s="7" t="s">
        <v>27</v>
      </c>
    </row>
    <row r="2266">
      <c r="A2266" s="7" t="s">
        <v>432</v>
      </c>
      <c r="B2266" s="7" t="s">
        <v>1721</v>
      </c>
      <c r="C2266" s="8">
        <f>IFERROR(__xludf.DUMMYFUNCTION("SPLIT(B2266,""RM"")"),4100000.0)</f>
        <v>4100000</v>
      </c>
      <c r="D2266" s="7" t="s">
        <v>60</v>
      </c>
      <c r="E2266" s="7">
        <v>6.0</v>
      </c>
      <c r="F2266" s="7">
        <v>4.0</v>
      </c>
      <c r="G2266" s="7" t="s">
        <v>487</v>
      </c>
      <c r="H2266" s="7" t="s">
        <v>1761</v>
      </c>
      <c r="I2266" s="7" t="s">
        <v>27</v>
      </c>
    </row>
    <row r="2267">
      <c r="A2267" s="7" t="s">
        <v>148</v>
      </c>
      <c r="B2267" s="7" t="s">
        <v>386</v>
      </c>
      <c r="C2267" s="8">
        <f>IFERROR(__xludf.DUMMYFUNCTION("SPLIT(B2267,""RM"")"),2380000.0)</f>
        <v>2380000</v>
      </c>
      <c r="D2267" s="7" t="s">
        <v>35</v>
      </c>
      <c r="E2267" s="7">
        <v>5.0</v>
      </c>
      <c r="G2267" s="7" t="s">
        <v>61</v>
      </c>
      <c r="H2267" s="7" t="s">
        <v>1202</v>
      </c>
      <c r="I2267" s="7" t="s">
        <v>103</v>
      </c>
    </row>
    <row r="2268">
      <c r="A2268" s="7" t="s">
        <v>432</v>
      </c>
      <c r="B2268" s="7" t="s">
        <v>655</v>
      </c>
      <c r="C2268" s="8">
        <f>IFERROR(__xludf.DUMMYFUNCTION("SPLIT(B2268,""RM"")"),2550000.0)</f>
        <v>2550000</v>
      </c>
      <c r="D2268" s="7" t="s">
        <v>70</v>
      </c>
      <c r="E2268" s="7">
        <v>5.0</v>
      </c>
      <c r="G2268" s="7" t="s">
        <v>64</v>
      </c>
      <c r="H2268" s="7" t="s">
        <v>1314</v>
      </c>
      <c r="I2268" s="7" t="s">
        <v>27</v>
      </c>
    </row>
    <row r="2269">
      <c r="A2269" s="7" t="s">
        <v>148</v>
      </c>
      <c r="B2269" s="7" t="s">
        <v>399</v>
      </c>
      <c r="C2269" s="8">
        <f>IFERROR(__xludf.DUMMYFUNCTION("SPLIT(B2269,""RM"")"),1750000.0)</f>
        <v>1750000</v>
      </c>
      <c r="D2269" s="7" t="s">
        <v>70</v>
      </c>
      <c r="E2269" s="7">
        <v>6.0</v>
      </c>
      <c r="F2269" s="7">
        <v>3.0</v>
      </c>
      <c r="G2269" s="7" t="s">
        <v>300</v>
      </c>
      <c r="H2269" s="7" t="s">
        <v>1121</v>
      </c>
      <c r="I2269" s="7" t="s">
        <v>103</v>
      </c>
    </row>
    <row r="2270">
      <c r="A2270" s="7" t="s">
        <v>171</v>
      </c>
      <c r="B2270" s="7" t="s">
        <v>277</v>
      </c>
      <c r="C2270" s="8">
        <f>IFERROR(__xludf.DUMMYFUNCTION("SPLIT(B2270,""RM"")"),2200000.0)</f>
        <v>2200000</v>
      </c>
      <c r="D2270" s="7" t="s">
        <v>39</v>
      </c>
      <c r="E2270" s="7">
        <v>5.0</v>
      </c>
      <c r="F2270" s="7">
        <v>4.0</v>
      </c>
      <c r="G2270" s="7" t="s">
        <v>30</v>
      </c>
      <c r="H2270" s="7" t="s">
        <v>1762</v>
      </c>
      <c r="I2270" s="7" t="s">
        <v>27</v>
      </c>
    </row>
    <row r="2271">
      <c r="A2271" s="7" t="s">
        <v>432</v>
      </c>
      <c r="B2271" s="7" t="s">
        <v>499</v>
      </c>
      <c r="C2271" s="8">
        <f>IFERROR(__xludf.DUMMYFUNCTION("SPLIT(B2271,""RM"")"),3900000.0)</f>
        <v>3900000</v>
      </c>
      <c r="D2271" s="7" t="s">
        <v>70</v>
      </c>
      <c r="E2271" s="7">
        <v>6.0</v>
      </c>
      <c r="G2271" s="7" t="s">
        <v>90</v>
      </c>
      <c r="H2271" s="7" t="s">
        <v>927</v>
      </c>
      <c r="I2271" s="7" t="s">
        <v>27</v>
      </c>
    </row>
    <row r="2272">
      <c r="A2272" s="7" t="s">
        <v>432</v>
      </c>
      <c r="B2272" s="7" t="s">
        <v>120</v>
      </c>
      <c r="C2272" s="8">
        <f>IFERROR(__xludf.DUMMYFUNCTION("SPLIT(B2272,""RM"")"),3600000.0)</f>
        <v>3600000</v>
      </c>
      <c r="D2272" s="7">
        <v>5.0</v>
      </c>
      <c r="E2272" s="7">
        <v>4.0</v>
      </c>
      <c r="G2272" s="7" t="s">
        <v>43</v>
      </c>
      <c r="H2272" s="7" t="s">
        <v>1491</v>
      </c>
      <c r="I2272" s="7" t="s">
        <v>27</v>
      </c>
    </row>
    <row r="2273">
      <c r="A2273" s="7" t="s">
        <v>72</v>
      </c>
      <c r="B2273" s="7" t="s">
        <v>260</v>
      </c>
      <c r="C2273" s="8">
        <f>IFERROR(__xludf.DUMMYFUNCTION("SPLIT(B2273,""RM"")"),1480000.0)</f>
        <v>1480000</v>
      </c>
      <c r="D2273" s="7" t="s">
        <v>35</v>
      </c>
      <c r="E2273" s="7">
        <v>5.0</v>
      </c>
      <c r="F2273" s="7">
        <v>2.0</v>
      </c>
      <c r="G2273" s="7" t="s">
        <v>793</v>
      </c>
      <c r="H2273" s="7" t="s">
        <v>740</v>
      </c>
      <c r="I2273" s="7" t="s">
        <v>27</v>
      </c>
    </row>
    <row r="2274">
      <c r="A2274" s="7" t="s">
        <v>28</v>
      </c>
      <c r="B2274" s="7" t="s">
        <v>974</v>
      </c>
      <c r="C2274" s="8">
        <f>IFERROR(__xludf.DUMMYFUNCTION("SPLIT(B2274,""RM"")"),488000.0)</f>
        <v>488000</v>
      </c>
      <c r="D2274" s="7" t="s">
        <v>57</v>
      </c>
      <c r="E2274" s="7">
        <v>3.0</v>
      </c>
      <c r="F2274" s="7">
        <v>2.0</v>
      </c>
      <c r="G2274" s="7" t="s">
        <v>121</v>
      </c>
      <c r="H2274" s="7" t="s">
        <v>392</v>
      </c>
      <c r="I2274" s="7" t="s">
        <v>27</v>
      </c>
    </row>
    <row r="2275">
      <c r="A2275" s="7" t="s">
        <v>358</v>
      </c>
      <c r="B2275" s="7" t="s">
        <v>969</v>
      </c>
      <c r="C2275" s="8">
        <f>IFERROR(__xludf.DUMMYFUNCTION("SPLIT(B2275,""RM"")"),430000.0)</f>
        <v>430000</v>
      </c>
      <c r="D2275" s="7">
        <v>3.0</v>
      </c>
      <c r="E2275" s="7">
        <v>2.0</v>
      </c>
      <c r="G2275" s="7" t="s">
        <v>354</v>
      </c>
      <c r="H2275" s="7" t="s">
        <v>1763</v>
      </c>
      <c r="I2275" s="7" t="s">
        <v>27</v>
      </c>
    </row>
    <row r="2276">
      <c r="A2276" s="7" t="s">
        <v>48</v>
      </c>
      <c r="B2276" s="7" t="s">
        <v>329</v>
      </c>
      <c r="C2276" s="8">
        <f>IFERROR(__xludf.DUMMYFUNCTION("SPLIT(B2276,""RM"")"),1200000.0)</f>
        <v>1200000</v>
      </c>
      <c r="D2276" s="7">
        <v>5.0</v>
      </c>
      <c r="E2276" s="7">
        <v>4.0</v>
      </c>
      <c r="G2276" s="7" t="s">
        <v>681</v>
      </c>
      <c r="H2276" s="7" t="s">
        <v>211</v>
      </c>
      <c r="I2276" s="7" t="s">
        <v>27</v>
      </c>
    </row>
    <row r="2277">
      <c r="A2277" s="7" t="s">
        <v>23</v>
      </c>
      <c r="B2277" s="7" t="s">
        <v>1060</v>
      </c>
      <c r="C2277" s="8">
        <f>IFERROR(__xludf.DUMMYFUNCTION("SPLIT(B2277,""RM"")"),5300000.0)</f>
        <v>5300000</v>
      </c>
      <c r="D2277" s="7" t="s">
        <v>35</v>
      </c>
      <c r="E2277" s="7">
        <v>4.0</v>
      </c>
      <c r="G2277" s="7" t="s">
        <v>67</v>
      </c>
      <c r="H2277" s="7" t="s">
        <v>1764</v>
      </c>
      <c r="I2277" s="7" t="s">
        <v>27</v>
      </c>
    </row>
    <row r="2278">
      <c r="A2278" s="7" t="s">
        <v>267</v>
      </c>
      <c r="B2278" s="7" t="s">
        <v>268</v>
      </c>
      <c r="C2278" s="8">
        <f>IFERROR(__xludf.DUMMYFUNCTION("SPLIT(B2278,""RM"")"),500000.0)</f>
        <v>500000</v>
      </c>
      <c r="D2278" s="7">
        <v>2.0</v>
      </c>
      <c r="E2278" s="7">
        <v>2.0</v>
      </c>
      <c r="F2278" s="7">
        <v>2.0</v>
      </c>
      <c r="G2278" s="7" t="s">
        <v>83</v>
      </c>
      <c r="H2278" s="7" t="s">
        <v>1688</v>
      </c>
      <c r="I2278" s="7" t="s">
        <v>22</v>
      </c>
    </row>
    <row r="2279">
      <c r="A2279" s="7" t="s">
        <v>37</v>
      </c>
      <c r="B2279" s="7" t="s">
        <v>1765</v>
      </c>
      <c r="C2279" s="8">
        <f>IFERROR(__xludf.DUMMYFUNCTION("SPLIT(B2279,""RM"")"),1734000.0)</f>
        <v>1734000</v>
      </c>
      <c r="D2279" s="7">
        <v>2.0</v>
      </c>
      <c r="E2279" s="7">
        <v>3.0</v>
      </c>
      <c r="G2279" s="7" t="s">
        <v>121</v>
      </c>
      <c r="H2279" s="7" t="s">
        <v>1092</v>
      </c>
      <c r="I2279" s="7" t="s">
        <v>27</v>
      </c>
    </row>
    <row r="2280">
      <c r="A2280" s="7" t="s">
        <v>177</v>
      </c>
      <c r="B2280" s="7" t="s">
        <v>1766</v>
      </c>
      <c r="C2280" s="8">
        <f>IFERROR(__xludf.DUMMYFUNCTION("SPLIT(B2280,""RM"")"),7570450.0)</f>
        <v>7570450</v>
      </c>
      <c r="D2280" s="7" t="s">
        <v>35</v>
      </c>
      <c r="E2280" s="7">
        <v>6.0</v>
      </c>
      <c r="F2280" s="7">
        <v>4.0</v>
      </c>
      <c r="G2280" s="7" t="s">
        <v>30</v>
      </c>
      <c r="H2280" s="7" t="s">
        <v>1767</v>
      </c>
      <c r="I2280" s="7" t="s">
        <v>27</v>
      </c>
    </row>
    <row r="2281">
      <c r="A2281" s="7" t="s">
        <v>32</v>
      </c>
      <c r="B2281" s="7" t="s">
        <v>1074</v>
      </c>
      <c r="C2281" s="8">
        <f>IFERROR(__xludf.DUMMYFUNCTION("SPLIT(B2281,""RM"")"),1130000.0)</f>
        <v>1130000</v>
      </c>
      <c r="D2281" s="7" t="s">
        <v>35</v>
      </c>
      <c r="E2281" s="7">
        <v>4.0</v>
      </c>
      <c r="F2281" s="7">
        <v>4.0</v>
      </c>
      <c r="G2281" s="7" t="s">
        <v>90</v>
      </c>
      <c r="H2281" s="7" t="s">
        <v>1768</v>
      </c>
      <c r="I2281" s="7" t="s">
        <v>103</v>
      </c>
    </row>
    <row r="2282">
      <c r="A2282" s="7" t="s">
        <v>32</v>
      </c>
      <c r="B2282" s="7" t="s">
        <v>1079</v>
      </c>
      <c r="C2282" s="8">
        <f>IFERROR(__xludf.DUMMYFUNCTION("SPLIT(B2282,""RM"")"),2350000.0)</f>
        <v>2350000</v>
      </c>
      <c r="D2282" s="7" t="s">
        <v>218</v>
      </c>
      <c r="E2282" s="7">
        <v>6.0</v>
      </c>
      <c r="F2282" s="7">
        <v>4.0</v>
      </c>
      <c r="G2282" s="7" t="s">
        <v>487</v>
      </c>
      <c r="H2282" s="7" t="s">
        <v>1769</v>
      </c>
      <c r="I2282" s="7" t="s">
        <v>27</v>
      </c>
    </row>
    <row r="2283">
      <c r="A2283" s="7" t="s">
        <v>177</v>
      </c>
      <c r="B2283" s="7" t="s">
        <v>1721</v>
      </c>
      <c r="C2283" s="8">
        <f>IFERROR(__xludf.DUMMYFUNCTION("SPLIT(B2283,""RM"")"),4100000.0)</f>
        <v>4100000</v>
      </c>
      <c r="D2283" s="7" t="s">
        <v>57</v>
      </c>
      <c r="E2283" s="7">
        <v>5.0</v>
      </c>
      <c r="F2283" s="7">
        <v>3.0</v>
      </c>
      <c r="G2283" s="7" t="s">
        <v>30</v>
      </c>
      <c r="H2283" s="7" t="s">
        <v>1770</v>
      </c>
      <c r="I2283" s="7" t="s">
        <v>27</v>
      </c>
    </row>
    <row r="2284">
      <c r="A2284" s="7" t="s">
        <v>17</v>
      </c>
      <c r="B2284" s="7" t="s">
        <v>236</v>
      </c>
      <c r="C2284" s="8">
        <f>IFERROR(__xludf.DUMMYFUNCTION("SPLIT(B2284,""RM"")"),2000000.0)</f>
        <v>2000000</v>
      </c>
      <c r="D2284" s="7">
        <v>2.0</v>
      </c>
      <c r="E2284" s="7">
        <v>2.0</v>
      </c>
      <c r="G2284" s="7" t="s">
        <v>20</v>
      </c>
      <c r="H2284" s="7" t="s">
        <v>135</v>
      </c>
      <c r="I2284" s="7" t="s">
        <v>22</v>
      </c>
    </row>
    <row r="2285">
      <c r="A2285" s="7" t="s">
        <v>17</v>
      </c>
      <c r="B2285" s="7" t="s">
        <v>1771</v>
      </c>
      <c r="C2285" s="8">
        <f>IFERROR(__xludf.DUMMYFUNCTION("SPLIT(B2285,""RM"")"),2757725.0)</f>
        <v>2757725</v>
      </c>
      <c r="D2285" s="7" t="s">
        <v>57</v>
      </c>
      <c r="E2285" s="7">
        <v>5.0</v>
      </c>
      <c r="G2285" s="7" t="s">
        <v>30</v>
      </c>
      <c r="H2285" s="7" t="s">
        <v>159</v>
      </c>
      <c r="I2285" s="7" t="s">
        <v>103</v>
      </c>
    </row>
    <row r="2286">
      <c r="A2286" s="7" t="s">
        <v>52</v>
      </c>
      <c r="B2286" s="7" t="s">
        <v>1772</v>
      </c>
      <c r="C2286" s="8">
        <f>IFERROR(__xludf.DUMMYFUNCTION("SPLIT(B2286,""RM"")"),3259200.0)</f>
        <v>3259200</v>
      </c>
      <c r="D2286" s="7" t="s">
        <v>57</v>
      </c>
      <c r="E2286" s="7">
        <v>5.0</v>
      </c>
      <c r="G2286" s="7" t="s">
        <v>83</v>
      </c>
      <c r="H2286" s="7" t="s">
        <v>1773</v>
      </c>
      <c r="I2286" s="7" t="s">
        <v>27</v>
      </c>
    </row>
    <row r="2287">
      <c r="A2287" s="7" t="s">
        <v>32</v>
      </c>
      <c r="B2287" s="7" t="s">
        <v>403</v>
      </c>
      <c r="C2287" s="8">
        <f>IFERROR(__xludf.DUMMYFUNCTION("SPLIT(B2287,""RM"")"),1600000.0)</f>
        <v>1600000</v>
      </c>
      <c r="D2287" s="7" t="s">
        <v>35</v>
      </c>
      <c r="E2287" s="7">
        <v>5.0</v>
      </c>
      <c r="G2287" s="7" t="s">
        <v>169</v>
      </c>
      <c r="H2287" s="7" t="s">
        <v>1774</v>
      </c>
      <c r="I2287" s="7" t="s">
        <v>103</v>
      </c>
    </row>
    <row r="2288">
      <c r="A2288" s="7" t="s">
        <v>32</v>
      </c>
      <c r="B2288" s="7" t="s">
        <v>329</v>
      </c>
      <c r="C2288" s="8">
        <f>IFERROR(__xludf.DUMMYFUNCTION("SPLIT(B2288,""RM"")"),1200000.0)</f>
        <v>1200000</v>
      </c>
      <c r="D2288" s="7" t="s">
        <v>35</v>
      </c>
      <c r="E2288" s="7">
        <v>5.0</v>
      </c>
      <c r="G2288" s="7" t="s">
        <v>169</v>
      </c>
      <c r="H2288" s="7" t="s">
        <v>344</v>
      </c>
      <c r="I2288" s="7" t="s">
        <v>103</v>
      </c>
    </row>
    <row r="2289">
      <c r="A2289" s="7" t="s">
        <v>371</v>
      </c>
      <c r="B2289" s="7" t="s">
        <v>34</v>
      </c>
      <c r="C2289" s="8">
        <f>IFERROR(__xludf.DUMMYFUNCTION("SPLIT(B2289,""RM"")"),900000.0)</f>
        <v>900000</v>
      </c>
      <c r="D2289" s="7">
        <v>5.0</v>
      </c>
      <c r="E2289" s="7">
        <v>3.0</v>
      </c>
      <c r="G2289" s="7" t="s">
        <v>169</v>
      </c>
      <c r="H2289" s="7" t="s">
        <v>1775</v>
      </c>
      <c r="I2289" s="7" t="s">
        <v>27</v>
      </c>
    </row>
    <row r="2290">
      <c r="A2290" s="7" t="s">
        <v>32</v>
      </c>
      <c r="B2290" s="7" t="s">
        <v>191</v>
      </c>
      <c r="C2290" s="8">
        <f>IFERROR(__xludf.DUMMYFUNCTION("SPLIT(B2290,""RM"")"),1000000.0)</f>
        <v>1000000</v>
      </c>
      <c r="D2290" s="7" t="s">
        <v>35</v>
      </c>
      <c r="E2290" s="7">
        <v>5.0</v>
      </c>
      <c r="G2290" s="7" t="s">
        <v>169</v>
      </c>
      <c r="H2290" s="7" t="s">
        <v>211</v>
      </c>
      <c r="I2290" s="7" t="s">
        <v>103</v>
      </c>
    </row>
    <row r="2291">
      <c r="A2291" s="7" t="s">
        <v>32</v>
      </c>
      <c r="B2291" s="7" t="s">
        <v>969</v>
      </c>
      <c r="C2291" s="8">
        <f>IFERROR(__xludf.DUMMYFUNCTION("SPLIT(B2291,""RM"")"),430000.0)</f>
        <v>430000</v>
      </c>
      <c r="D2291" s="7">
        <v>3.0</v>
      </c>
      <c r="E2291" s="7">
        <v>2.0</v>
      </c>
      <c r="F2291" s="7">
        <v>1.0</v>
      </c>
      <c r="G2291" s="7" t="s">
        <v>93</v>
      </c>
      <c r="H2291" s="7" t="s">
        <v>1776</v>
      </c>
      <c r="I2291" s="7" t="s">
        <v>27</v>
      </c>
    </row>
    <row r="2292">
      <c r="A2292" s="7" t="s">
        <v>32</v>
      </c>
      <c r="B2292" s="7" t="s">
        <v>156</v>
      </c>
      <c r="C2292" s="8">
        <f>IFERROR(__xludf.DUMMYFUNCTION("SPLIT(B2292,""RM"")"),850000.0)</f>
        <v>850000</v>
      </c>
      <c r="D2292" s="7">
        <v>3.0</v>
      </c>
      <c r="E2292" s="7">
        <v>2.0</v>
      </c>
      <c r="F2292" s="7">
        <v>2.0</v>
      </c>
      <c r="G2292" s="7" t="s">
        <v>82</v>
      </c>
      <c r="H2292" s="7" t="s">
        <v>1777</v>
      </c>
      <c r="I2292" s="7" t="s">
        <v>27</v>
      </c>
    </row>
    <row r="2293">
      <c r="A2293" s="7" t="s">
        <v>32</v>
      </c>
      <c r="B2293" s="7" t="s">
        <v>956</v>
      </c>
      <c r="C2293" s="8">
        <f>IFERROR(__xludf.DUMMYFUNCTION("SPLIT(B2293,""RM"")"),860000.0)</f>
        <v>860000</v>
      </c>
      <c r="D2293" s="7" t="s">
        <v>57</v>
      </c>
      <c r="E2293" s="7">
        <v>3.0</v>
      </c>
      <c r="F2293" s="7">
        <v>2.0</v>
      </c>
      <c r="G2293" s="7" t="s">
        <v>30</v>
      </c>
      <c r="H2293" s="7" t="s">
        <v>303</v>
      </c>
      <c r="I2293" s="7" t="s">
        <v>103</v>
      </c>
    </row>
    <row r="2294">
      <c r="A2294" s="7" t="s">
        <v>32</v>
      </c>
      <c r="B2294" s="7" t="s">
        <v>1199</v>
      </c>
      <c r="C2294" s="8">
        <f>IFERROR(__xludf.DUMMYFUNCTION("SPLIT(B2294,""RM"")"),855000.0)</f>
        <v>855000</v>
      </c>
      <c r="D2294" s="7" t="s">
        <v>57</v>
      </c>
      <c r="E2294" s="7">
        <v>3.0</v>
      </c>
      <c r="F2294" s="7">
        <v>2.0</v>
      </c>
      <c r="G2294" s="7" t="s">
        <v>30</v>
      </c>
      <c r="H2294" s="7" t="s">
        <v>303</v>
      </c>
      <c r="I2294" s="7" t="s">
        <v>103</v>
      </c>
    </row>
    <row r="2295">
      <c r="A2295" s="7" t="s">
        <v>32</v>
      </c>
      <c r="B2295" s="7" t="s">
        <v>18</v>
      </c>
      <c r="C2295" s="8">
        <f>IFERROR(__xludf.DUMMYFUNCTION("SPLIT(B2295,""RM"")"),1250000.0)</f>
        <v>1250000</v>
      </c>
      <c r="D2295" s="7" t="s">
        <v>57</v>
      </c>
      <c r="E2295" s="7">
        <v>4.0</v>
      </c>
      <c r="F2295" s="7">
        <v>2.0</v>
      </c>
      <c r="G2295" s="7" t="s">
        <v>30</v>
      </c>
      <c r="H2295" s="7" t="s">
        <v>1425</v>
      </c>
      <c r="I2295" s="7" t="s">
        <v>22</v>
      </c>
    </row>
    <row r="2296">
      <c r="A2296" s="7" t="s">
        <v>32</v>
      </c>
      <c r="B2296" s="7" t="s">
        <v>755</v>
      </c>
      <c r="C2296" s="8">
        <f>IFERROR(__xludf.DUMMYFUNCTION("SPLIT(B2296,""RM"")"),970000.0)</f>
        <v>970000</v>
      </c>
      <c r="D2296" s="7" t="s">
        <v>57</v>
      </c>
      <c r="E2296" s="7">
        <v>4.0</v>
      </c>
      <c r="F2296" s="7">
        <v>2.0</v>
      </c>
      <c r="G2296" s="7" t="s">
        <v>30</v>
      </c>
      <c r="H2296" s="7" t="s">
        <v>1425</v>
      </c>
      <c r="I2296" s="7" t="s">
        <v>22</v>
      </c>
    </row>
    <row r="2297">
      <c r="A2297" s="7" t="s">
        <v>32</v>
      </c>
      <c r="B2297" s="7" t="s">
        <v>1778</v>
      </c>
      <c r="C2297" s="8">
        <f>IFERROR(__xludf.DUMMYFUNCTION("SPLIT(B2297,""RM"")"),925000.0)</f>
        <v>925000</v>
      </c>
      <c r="D2297" s="7" t="s">
        <v>57</v>
      </c>
      <c r="E2297" s="7">
        <v>4.0</v>
      </c>
      <c r="F2297" s="7">
        <v>2.0</v>
      </c>
      <c r="G2297" s="7" t="s">
        <v>30</v>
      </c>
      <c r="H2297" s="7" t="s">
        <v>1425</v>
      </c>
      <c r="I2297" s="7" t="s">
        <v>22</v>
      </c>
    </row>
    <row r="2298">
      <c r="A2298" s="7" t="s">
        <v>32</v>
      </c>
      <c r="B2298" s="7" t="s">
        <v>1779</v>
      </c>
      <c r="C2298" s="8">
        <f>IFERROR(__xludf.DUMMYFUNCTION("SPLIT(B2298,""RM"")"),579000.0)</f>
        <v>579000</v>
      </c>
      <c r="D2298" s="7">
        <v>3.0</v>
      </c>
      <c r="E2298" s="7">
        <v>2.0</v>
      </c>
      <c r="F2298" s="7">
        <v>1.0</v>
      </c>
      <c r="G2298" s="7" t="s">
        <v>82</v>
      </c>
      <c r="H2298" s="7" t="s">
        <v>1780</v>
      </c>
      <c r="I2298" s="7" t="s">
        <v>103</v>
      </c>
    </row>
    <row r="2299">
      <c r="A2299" s="7" t="s">
        <v>32</v>
      </c>
      <c r="B2299" s="7" t="s">
        <v>1781</v>
      </c>
      <c r="C2299" s="8">
        <f>IFERROR(__xludf.DUMMYFUNCTION("SPLIT(B2299,""RM"")"),479000.0)</f>
        <v>479000</v>
      </c>
      <c r="D2299" s="7">
        <v>3.0</v>
      </c>
      <c r="E2299" s="7">
        <v>2.0</v>
      </c>
      <c r="F2299" s="7">
        <v>1.0</v>
      </c>
      <c r="G2299" s="7" t="s">
        <v>82</v>
      </c>
      <c r="H2299" s="7" t="s">
        <v>1782</v>
      </c>
      <c r="I2299" s="7" t="s">
        <v>103</v>
      </c>
    </row>
    <row r="2300">
      <c r="A2300" s="7" t="s">
        <v>32</v>
      </c>
      <c r="B2300" s="7" t="s">
        <v>1348</v>
      </c>
      <c r="C2300" s="8">
        <f>IFERROR(__xludf.DUMMYFUNCTION("SPLIT(B2300,""RM"")"),510000.0)</f>
        <v>510000</v>
      </c>
      <c r="D2300" s="7" t="s">
        <v>57</v>
      </c>
      <c r="E2300" s="7">
        <v>2.0</v>
      </c>
      <c r="F2300" s="7">
        <v>1.0</v>
      </c>
      <c r="G2300" s="7" t="s">
        <v>93</v>
      </c>
      <c r="H2300" s="7" t="s">
        <v>1783</v>
      </c>
      <c r="I2300" s="7" t="s">
        <v>103</v>
      </c>
    </row>
    <row r="2301">
      <c r="A2301" s="7" t="s">
        <v>32</v>
      </c>
      <c r="B2301" s="7" t="s">
        <v>1784</v>
      </c>
      <c r="C2301" s="8">
        <f>IFERROR(__xludf.DUMMYFUNCTION("SPLIT(B2301,""RM"")"),295000.0)</f>
        <v>295000</v>
      </c>
      <c r="D2301" s="7">
        <v>3.0</v>
      </c>
      <c r="E2301" s="7">
        <v>2.0</v>
      </c>
      <c r="F2301" s="7">
        <v>1.0</v>
      </c>
      <c r="G2301" s="7" t="s">
        <v>93</v>
      </c>
      <c r="H2301" s="7" t="s">
        <v>1785</v>
      </c>
      <c r="I2301" s="7" t="s">
        <v>27</v>
      </c>
    </row>
    <row r="2302">
      <c r="A2302" s="7" t="s">
        <v>241</v>
      </c>
      <c r="B2302" s="7" t="s">
        <v>1786</v>
      </c>
      <c r="C2302" s="8">
        <f>IFERROR(__xludf.DUMMYFUNCTION("SPLIT(B2302,""RM"")"),838000.0)</f>
        <v>838000</v>
      </c>
      <c r="D2302" s="7">
        <v>5.0</v>
      </c>
      <c r="E2302" s="7">
        <v>3.0</v>
      </c>
      <c r="F2302" s="7">
        <v>2.0</v>
      </c>
      <c r="G2302" s="7" t="s">
        <v>54</v>
      </c>
      <c r="H2302" s="7" t="s">
        <v>1121</v>
      </c>
      <c r="I2302" s="7" t="s">
        <v>103</v>
      </c>
    </row>
    <row r="2303">
      <c r="A2303" s="7" t="s">
        <v>72</v>
      </c>
      <c r="B2303" s="7" t="s">
        <v>260</v>
      </c>
      <c r="C2303" s="8">
        <f>IFERROR(__xludf.DUMMYFUNCTION("SPLIT(B2303,""RM"")"),1480000.0)</f>
        <v>1480000</v>
      </c>
      <c r="D2303" s="7" t="s">
        <v>57</v>
      </c>
      <c r="E2303" s="7">
        <v>3.0</v>
      </c>
      <c r="G2303" s="7" t="s">
        <v>30</v>
      </c>
      <c r="H2303" s="7" t="s">
        <v>1729</v>
      </c>
      <c r="I2303" s="7" t="s">
        <v>22</v>
      </c>
    </row>
    <row r="2304">
      <c r="A2304" s="7" t="s">
        <v>371</v>
      </c>
      <c r="B2304" s="7" t="s">
        <v>107</v>
      </c>
      <c r="C2304" s="8">
        <f>IFERROR(__xludf.DUMMYFUNCTION("SPLIT(B2304,""RM"")"),460000.0)</f>
        <v>460000</v>
      </c>
      <c r="D2304" s="7">
        <v>3.0</v>
      </c>
      <c r="E2304" s="7">
        <v>2.0</v>
      </c>
      <c r="G2304" s="7" t="s">
        <v>83</v>
      </c>
      <c r="H2304" s="7" t="s">
        <v>1521</v>
      </c>
      <c r="I2304" s="7" t="s">
        <v>27</v>
      </c>
    </row>
    <row r="2305">
      <c r="A2305" s="7" t="s">
        <v>32</v>
      </c>
      <c r="B2305" s="7" t="s">
        <v>1477</v>
      </c>
      <c r="C2305" s="8">
        <f>IFERROR(__xludf.DUMMYFUNCTION("SPLIT(B2305,""RM"")"),265000.0)</f>
        <v>265000</v>
      </c>
      <c r="D2305" s="7">
        <v>3.0</v>
      </c>
      <c r="E2305" s="7">
        <v>2.0</v>
      </c>
      <c r="F2305" s="7">
        <v>1.0</v>
      </c>
      <c r="G2305" s="7" t="s">
        <v>83</v>
      </c>
      <c r="H2305" s="7" t="s">
        <v>1787</v>
      </c>
    </row>
    <row r="2306">
      <c r="A2306" s="7" t="s">
        <v>17</v>
      </c>
      <c r="B2306" s="7" t="s">
        <v>165</v>
      </c>
      <c r="C2306" s="8">
        <f>IFERROR(__xludf.DUMMYFUNCTION("SPLIT(B2306,""RM"")"),3500000.0)</f>
        <v>3500000</v>
      </c>
      <c r="D2306" s="7" t="s">
        <v>57</v>
      </c>
      <c r="E2306" s="7">
        <v>5.0</v>
      </c>
      <c r="G2306" s="7" t="s">
        <v>93</v>
      </c>
      <c r="H2306" s="7" t="s">
        <v>1788</v>
      </c>
      <c r="I2306" s="7" t="s">
        <v>27</v>
      </c>
    </row>
    <row r="2307">
      <c r="A2307" s="7" t="s">
        <v>17</v>
      </c>
      <c r="B2307" s="7" t="s">
        <v>1771</v>
      </c>
      <c r="C2307" s="8">
        <f>IFERROR(__xludf.DUMMYFUNCTION("SPLIT(B2307,""RM"")"),2757725.0)</f>
        <v>2757725</v>
      </c>
      <c r="D2307" s="7" t="s">
        <v>57</v>
      </c>
      <c r="E2307" s="7">
        <v>5.0</v>
      </c>
      <c r="G2307" s="7" t="s">
        <v>30</v>
      </c>
      <c r="H2307" s="7" t="s">
        <v>159</v>
      </c>
      <c r="I2307" s="7" t="s">
        <v>27</v>
      </c>
    </row>
    <row r="2308">
      <c r="A2308" s="7" t="s">
        <v>17</v>
      </c>
      <c r="B2308" s="7" t="s">
        <v>339</v>
      </c>
      <c r="C2308" s="8">
        <f>IFERROR(__xludf.DUMMYFUNCTION("SPLIT(B2308,""RM"")"),3330000.0)</f>
        <v>3330000</v>
      </c>
      <c r="D2308" s="7" t="s">
        <v>57</v>
      </c>
      <c r="E2308" s="7">
        <v>5.0</v>
      </c>
      <c r="G2308" s="7" t="s">
        <v>30</v>
      </c>
      <c r="H2308" s="7" t="s">
        <v>1622</v>
      </c>
      <c r="I2308" s="7" t="s">
        <v>27</v>
      </c>
    </row>
    <row r="2309">
      <c r="A2309" s="7" t="s">
        <v>17</v>
      </c>
      <c r="B2309" s="7" t="s">
        <v>1710</v>
      </c>
      <c r="C2309" s="8">
        <f>IFERROR(__xludf.DUMMYFUNCTION("SPLIT(B2309,""RM"")"),3051300.0)</f>
        <v>3051300</v>
      </c>
      <c r="D2309" s="7" t="s">
        <v>35</v>
      </c>
      <c r="E2309" s="7">
        <v>5.0</v>
      </c>
      <c r="G2309" s="7" t="s">
        <v>30</v>
      </c>
      <c r="H2309" s="7" t="s">
        <v>431</v>
      </c>
      <c r="I2309" s="7" t="s">
        <v>103</v>
      </c>
    </row>
    <row r="2310">
      <c r="A2310" s="7" t="s">
        <v>17</v>
      </c>
      <c r="B2310" s="7" t="s">
        <v>1789</v>
      </c>
      <c r="C2310" s="8">
        <f>IFERROR(__xludf.DUMMYFUNCTION("SPLIT(B2310,""RM"")"),2464350.0)</f>
        <v>2464350</v>
      </c>
      <c r="D2310" s="7" t="s">
        <v>57</v>
      </c>
      <c r="E2310" s="7">
        <v>5.0</v>
      </c>
      <c r="G2310" s="7" t="s">
        <v>30</v>
      </c>
      <c r="H2310" s="7" t="s">
        <v>159</v>
      </c>
      <c r="I2310" s="7" t="s">
        <v>103</v>
      </c>
    </row>
    <row r="2311">
      <c r="A2311" s="7" t="s">
        <v>17</v>
      </c>
      <c r="B2311" s="7" t="s">
        <v>1417</v>
      </c>
      <c r="C2311" s="8">
        <f>IFERROR(__xludf.DUMMYFUNCTION("SPLIT(B2311,""RM"")"),2715300.0)</f>
        <v>2715300</v>
      </c>
      <c r="D2311" s="7" t="s">
        <v>57</v>
      </c>
      <c r="E2311" s="7">
        <v>5.0</v>
      </c>
      <c r="G2311" s="7" t="s">
        <v>30</v>
      </c>
      <c r="H2311" s="7" t="s">
        <v>1418</v>
      </c>
      <c r="I2311" s="7" t="s">
        <v>103</v>
      </c>
    </row>
    <row r="2312">
      <c r="A2312" s="7" t="s">
        <v>37</v>
      </c>
      <c r="B2312" s="7" t="s">
        <v>1790</v>
      </c>
      <c r="C2312" s="8">
        <f>IFERROR(__xludf.DUMMYFUNCTION("SPLIT(B2312,""RM"")"),8880000.0)</f>
        <v>8880000</v>
      </c>
      <c r="D2312" s="7" t="s">
        <v>60</v>
      </c>
      <c r="E2312" s="7">
        <v>9.0</v>
      </c>
      <c r="G2312" s="7" t="s">
        <v>67</v>
      </c>
      <c r="H2312" s="7" t="s">
        <v>1097</v>
      </c>
      <c r="I2312" s="7" t="s">
        <v>27</v>
      </c>
    </row>
    <row r="2313">
      <c r="A2313" s="7" t="s">
        <v>32</v>
      </c>
      <c r="B2313" s="7" t="s">
        <v>1791</v>
      </c>
      <c r="C2313" s="8">
        <f>IFERROR(__xludf.DUMMYFUNCTION("SPLIT(B2313,""RM"")"),403000.0)</f>
        <v>403000</v>
      </c>
      <c r="D2313" s="7">
        <v>2.0</v>
      </c>
      <c r="E2313" s="7">
        <v>2.0</v>
      </c>
      <c r="F2313" s="7">
        <v>1.0</v>
      </c>
      <c r="G2313" s="7" t="s">
        <v>93</v>
      </c>
      <c r="H2313" s="7" t="s">
        <v>246</v>
      </c>
      <c r="I2313" s="7" t="s">
        <v>27</v>
      </c>
    </row>
    <row r="2314">
      <c r="A2314" s="7" t="s">
        <v>148</v>
      </c>
      <c r="B2314" s="7" t="s">
        <v>81</v>
      </c>
      <c r="C2314" s="8">
        <f>IFERROR(__xludf.DUMMYFUNCTION("SPLIT(B2314,""RM"")"),1550000.0)</f>
        <v>1550000</v>
      </c>
      <c r="D2314" s="7" t="s">
        <v>57</v>
      </c>
      <c r="E2314" s="7">
        <v>4.0</v>
      </c>
      <c r="G2314" s="7" t="s">
        <v>470</v>
      </c>
      <c r="H2314" s="7" t="s">
        <v>400</v>
      </c>
      <c r="I2314" s="7" t="s">
        <v>27</v>
      </c>
    </row>
    <row r="2315">
      <c r="A2315" s="7" t="s">
        <v>177</v>
      </c>
      <c r="B2315" s="7" t="s">
        <v>1790</v>
      </c>
      <c r="C2315" s="8">
        <f>IFERROR(__xludf.DUMMYFUNCTION("SPLIT(B2315,""RM"")"),8880000.0)</f>
        <v>8880000</v>
      </c>
      <c r="D2315" s="7" t="s">
        <v>35</v>
      </c>
      <c r="E2315" s="7">
        <v>6.0</v>
      </c>
      <c r="G2315" s="7" t="s">
        <v>30</v>
      </c>
      <c r="H2315" s="7" t="s">
        <v>1792</v>
      </c>
      <c r="I2315" s="7" t="s">
        <v>27</v>
      </c>
    </row>
    <row r="2316">
      <c r="A2316" s="7" t="s">
        <v>177</v>
      </c>
      <c r="B2316" s="7" t="s">
        <v>1793</v>
      </c>
      <c r="C2316" s="8">
        <f>IFERROR(__xludf.DUMMYFUNCTION("SPLIT(B2316,""RM"")"),4266600.0)</f>
        <v>4266600</v>
      </c>
      <c r="D2316" s="7" t="s">
        <v>57</v>
      </c>
      <c r="E2316" s="7">
        <v>5.0</v>
      </c>
      <c r="F2316" s="7">
        <v>3.0</v>
      </c>
      <c r="G2316" s="7" t="s">
        <v>30</v>
      </c>
      <c r="H2316" s="7" t="s">
        <v>205</v>
      </c>
      <c r="I2316" s="7" t="s">
        <v>22</v>
      </c>
    </row>
    <row r="2317">
      <c r="A2317" s="7" t="s">
        <v>177</v>
      </c>
      <c r="B2317" s="7" t="s">
        <v>1794</v>
      </c>
      <c r="C2317" s="8">
        <f>IFERROR(__xludf.DUMMYFUNCTION("SPLIT(B2317,""RM"")"),5580000.0)</f>
        <v>5580000</v>
      </c>
      <c r="D2317" s="7" t="s">
        <v>57</v>
      </c>
      <c r="E2317" s="7">
        <v>5.0</v>
      </c>
      <c r="G2317" s="7" t="s">
        <v>30</v>
      </c>
      <c r="H2317" s="7" t="s">
        <v>205</v>
      </c>
      <c r="I2317" s="7" t="s">
        <v>27</v>
      </c>
    </row>
    <row r="2318">
      <c r="A2318" s="7" t="s">
        <v>177</v>
      </c>
      <c r="B2318" s="7" t="s">
        <v>616</v>
      </c>
      <c r="C2318" s="8">
        <f>IFERROR(__xludf.DUMMYFUNCTION("SPLIT(B2318,""RM"")"),7500000.0)</f>
        <v>7500000</v>
      </c>
      <c r="D2318" s="7" t="s">
        <v>35</v>
      </c>
      <c r="E2318" s="7">
        <v>5.0</v>
      </c>
      <c r="G2318" s="7" t="s">
        <v>30</v>
      </c>
      <c r="H2318" s="7" t="s">
        <v>1792</v>
      </c>
      <c r="I2318" s="7" t="s">
        <v>27</v>
      </c>
    </row>
    <row r="2319">
      <c r="A2319" s="7" t="s">
        <v>177</v>
      </c>
      <c r="B2319" s="7" t="s">
        <v>1795</v>
      </c>
      <c r="C2319" s="8">
        <f>IFERROR(__xludf.DUMMYFUNCTION("SPLIT(B2319,""RM"")"),4210700.0)</f>
        <v>4210700</v>
      </c>
      <c r="D2319" s="7" t="s">
        <v>57</v>
      </c>
      <c r="E2319" s="7">
        <v>5.0</v>
      </c>
      <c r="G2319" s="7" t="s">
        <v>30</v>
      </c>
      <c r="H2319" s="7" t="s">
        <v>1796</v>
      </c>
      <c r="I2319" s="7" t="s">
        <v>27</v>
      </c>
    </row>
    <row r="2320">
      <c r="A2320" s="7" t="s">
        <v>177</v>
      </c>
      <c r="B2320" s="7" t="s">
        <v>1797</v>
      </c>
      <c r="C2320" s="8">
        <f>IFERROR(__xludf.DUMMYFUNCTION("SPLIT(B2320,""RM"")"),7200000.0)</f>
        <v>7200000</v>
      </c>
      <c r="D2320" s="7">
        <v>4.0</v>
      </c>
      <c r="E2320" s="7">
        <v>6.0</v>
      </c>
      <c r="F2320" s="7">
        <v>4.0</v>
      </c>
      <c r="G2320" s="7" t="s">
        <v>30</v>
      </c>
      <c r="H2320" s="7" t="s">
        <v>1798</v>
      </c>
      <c r="I2320" s="7" t="s">
        <v>27</v>
      </c>
    </row>
    <row r="2321">
      <c r="A2321" s="7" t="s">
        <v>72</v>
      </c>
      <c r="B2321" s="7" t="s">
        <v>277</v>
      </c>
      <c r="C2321" s="8">
        <f>IFERROR(__xludf.DUMMYFUNCTION("SPLIT(B2321,""RM"")"),2200000.0)</f>
        <v>2200000</v>
      </c>
      <c r="D2321" s="7" t="s">
        <v>57</v>
      </c>
      <c r="E2321" s="7">
        <v>5.0</v>
      </c>
      <c r="F2321" s="7">
        <v>3.0</v>
      </c>
      <c r="G2321" s="7" t="s">
        <v>30</v>
      </c>
      <c r="H2321" s="7" t="s">
        <v>1799</v>
      </c>
      <c r="I2321" s="7" t="s">
        <v>27</v>
      </c>
    </row>
    <row r="2322">
      <c r="A2322" s="7" t="s">
        <v>155</v>
      </c>
      <c r="B2322" s="7" t="s">
        <v>156</v>
      </c>
      <c r="C2322" s="8">
        <f>IFERROR(__xludf.DUMMYFUNCTION("SPLIT(B2322,""RM"")"),850000.0)</f>
        <v>850000</v>
      </c>
      <c r="D2322" s="7" t="s">
        <v>19</v>
      </c>
      <c r="E2322" s="7">
        <v>2.0</v>
      </c>
      <c r="F2322" s="7">
        <v>2.0</v>
      </c>
      <c r="G2322" s="7" t="s">
        <v>93</v>
      </c>
      <c r="H2322" s="7" t="s">
        <v>1800</v>
      </c>
      <c r="I2322" s="7" t="s">
        <v>27</v>
      </c>
    </row>
    <row r="2323">
      <c r="A2323" s="7" t="s">
        <v>155</v>
      </c>
      <c r="B2323" s="7" t="s">
        <v>1517</v>
      </c>
      <c r="C2323" s="8">
        <f>IFERROR(__xludf.DUMMYFUNCTION("SPLIT(B2323,""RM"")"),910000.0)</f>
        <v>910000</v>
      </c>
      <c r="D2323" s="7">
        <v>3.0</v>
      </c>
      <c r="E2323" s="7">
        <v>3.0</v>
      </c>
      <c r="F2323" s="7">
        <v>2.0</v>
      </c>
      <c r="G2323" s="7" t="s">
        <v>83</v>
      </c>
      <c r="H2323" s="7" t="s">
        <v>630</v>
      </c>
      <c r="I2323" s="7" t="s">
        <v>27</v>
      </c>
    </row>
    <row r="2324">
      <c r="A2324" s="7" t="s">
        <v>41</v>
      </c>
      <c r="B2324" s="7" t="s">
        <v>513</v>
      </c>
      <c r="C2324" s="8">
        <f>IFERROR(__xludf.DUMMYFUNCTION("SPLIT(B2324,""RM"")"),1.2E7)</f>
        <v>12000000</v>
      </c>
      <c r="D2324" s="7" t="s">
        <v>1801</v>
      </c>
      <c r="E2324" s="7">
        <v>13.0</v>
      </c>
      <c r="F2324" s="7">
        <v>6.0</v>
      </c>
      <c r="G2324" s="7" t="s">
        <v>67</v>
      </c>
      <c r="H2324" s="7" t="s">
        <v>1802</v>
      </c>
      <c r="I2324" s="7" t="s">
        <v>27</v>
      </c>
    </row>
    <row r="2325">
      <c r="A2325" s="7" t="s">
        <v>41</v>
      </c>
      <c r="B2325" s="7" t="s">
        <v>1803</v>
      </c>
      <c r="C2325" s="8">
        <f>IFERROR(__xludf.DUMMYFUNCTION("SPLIT(B2325,""RM"")"),6523000.0)</f>
        <v>6523000</v>
      </c>
      <c r="G2325" s="7" t="s">
        <v>1804</v>
      </c>
      <c r="H2325" s="7" t="s">
        <v>1643</v>
      </c>
      <c r="I2325" s="7" t="s">
        <v>251</v>
      </c>
    </row>
    <row r="2326">
      <c r="A2326" s="7" t="s">
        <v>41</v>
      </c>
      <c r="B2326" s="7" t="s">
        <v>616</v>
      </c>
      <c r="C2326" s="8">
        <f>IFERROR(__xludf.DUMMYFUNCTION("SPLIT(B2326,""RM"")"),7500000.0)</f>
        <v>7500000</v>
      </c>
      <c r="D2326" s="7" t="s">
        <v>70</v>
      </c>
      <c r="E2326" s="7">
        <v>6.0</v>
      </c>
      <c r="G2326" s="7" t="s">
        <v>67</v>
      </c>
      <c r="H2326" s="7" t="s">
        <v>1640</v>
      </c>
      <c r="I2326" s="7" t="s">
        <v>22</v>
      </c>
    </row>
    <row r="2327">
      <c r="A2327" s="7" t="s">
        <v>41</v>
      </c>
      <c r="B2327" s="7" t="s">
        <v>260</v>
      </c>
      <c r="C2327" s="8">
        <f>IFERROR(__xludf.DUMMYFUNCTION("SPLIT(B2327,""RM"")"),1480000.0)</f>
        <v>1480000</v>
      </c>
      <c r="D2327" s="7">
        <v>4.0</v>
      </c>
      <c r="E2327" s="7">
        <v>3.0</v>
      </c>
      <c r="F2327" s="7">
        <v>2.0</v>
      </c>
      <c r="G2327" s="7" t="s">
        <v>203</v>
      </c>
      <c r="H2327" s="7" t="s">
        <v>1805</v>
      </c>
      <c r="I2327" s="7" t="s">
        <v>27</v>
      </c>
    </row>
    <row r="2328">
      <c r="A2328" s="7" t="s">
        <v>41</v>
      </c>
      <c r="B2328" s="7" t="s">
        <v>1806</v>
      </c>
      <c r="C2328" s="8">
        <f>IFERROR(__xludf.DUMMYFUNCTION("SPLIT(B2328,""RM"")"),8900000.0)</f>
        <v>8900000</v>
      </c>
      <c r="D2328" s="7" t="s">
        <v>299</v>
      </c>
      <c r="E2328" s="7">
        <v>9.0</v>
      </c>
      <c r="F2328" s="7">
        <v>4.0</v>
      </c>
      <c r="G2328" s="7" t="s">
        <v>61</v>
      </c>
      <c r="H2328" s="7" t="s">
        <v>1035</v>
      </c>
      <c r="I2328" s="7" t="s">
        <v>27</v>
      </c>
    </row>
    <row r="2329">
      <c r="A2329" s="7" t="s">
        <v>28</v>
      </c>
      <c r="B2329" s="7" t="s">
        <v>227</v>
      </c>
      <c r="C2329" s="8">
        <f>IFERROR(__xludf.DUMMYFUNCTION("SPLIT(B2329,""RM"")"),2850000.0)</f>
        <v>2850000</v>
      </c>
      <c r="D2329" s="7" t="s">
        <v>70</v>
      </c>
      <c r="E2329" s="7">
        <v>6.0</v>
      </c>
      <c r="F2329" s="7">
        <v>3.0</v>
      </c>
      <c r="G2329" s="7" t="s">
        <v>64</v>
      </c>
      <c r="H2329" s="7" t="s">
        <v>1807</v>
      </c>
      <c r="I2329" s="7" t="s">
        <v>22</v>
      </c>
    </row>
    <row r="2330">
      <c r="A2330" s="7" t="s">
        <v>155</v>
      </c>
      <c r="B2330" s="7" t="s">
        <v>172</v>
      </c>
      <c r="C2330" s="8">
        <f>IFERROR(__xludf.DUMMYFUNCTION("SPLIT(B2330,""RM"")"),580000.0)</f>
        <v>580000</v>
      </c>
      <c r="D2330" s="7">
        <v>3.0</v>
      </c>
      <c r="E2330" s="7">
        <v>2.0</v>
      </c>
      <c r="G2330" s="7" t="s">
        <v>20</v>
      </c>
      <c r="H2330" s="7" t="s">
        <v>1808</v>
      </c>
      <c r="I2330" s="7" t="s">
        <v>103</v>
      </c>
    </row>
    <row r="2331">
      <c r="A2331" s="7" t="s">
        <v>28</v>
      </c>
      <c r="B2331" s="7" t="s">
        <v>139</v>
      </c>
      <c r="C2331" s="8">
        <f>IFERROR(__xludf.DUMMYFUNCTION("SPLIT(B2331,""RM"")"),780000.0)</f>
        <v>780000</v>
      </c>
      <c r="D2331" s="7">
        <v>3.0</v>
      </c>
      <c r="E2331" s="7">
        <v>2.0</v>
      </c>
      <c r="F2331" s="7">
        <v>2.0</v>
      </c>
      <c r="G2331" s="7" t="s">
        <v>30</v>
      </c>
      <c r="H2331" s="7" t="s">
        <v>1514</v>
      </c>
      <c r="I2331" s="7" t="s">
        <v>27</v>
      </c>
    </row>
    <row r="2332">
      <c r="A2332" s="7" t="s">
        <v>28</v>
      </c>
      <c r="B2332" s="7" t="s">
        <v>168</v>
      </c>
      <c r="C2332" s="8">
        <f>IFERROR(__xludf.DUMMYFUNCTION("SPLIT(B2332,""RM"")"),750000.0)</f>
        <v>750000</v>
      </c>
      <c r="D2332" s="7">
        <v>3.0</v>
      </c>
      <c r="E2332" s="7">
        <v>2.0</v>
      </c>
      <c r="F2332" s="7">
        <v>2.0</v>
      </c>
      <c r="G2332" s="7" t="s">
        <v>30</v>
      </c>
      <c r="H2332" s="7" t="s">
        <v>1514</v>
      </c>
      <c r="I2332" s="7" t="s">
        <v>27</v>
      </c>
    </row>
    <row r="2333">
      <c r="A2333" s="7" t="s">
        <v>33</v>
      </c>
      <c r="B2333" s="7" t="s">
        <v>361</v>
      </c>
      <c r="C2333" s="8">
        <f>IFERROR(__xludf.DUMMYFUNCTION("SPLIT(B2333,""RM"")"),530000.0)</f>
        <v>530000</v>
      </c>
      <c r="D2333" s="7">
        <v>3.0</v>
      </c>
      <c r="E2333" s="7">
        <v>3.0</v>
      </c>
      <c r="F2333" s="7">
        <v>2.0</v>
      </c>
      <c r="G2333" s="7" t="s">
        <v>93</v>
      </c>
      <c r="H2333" s="7" t="s">
        <v>1156</v>
      </c>
      <c r="I2333" s="7" t="s">
        <v>103</v>
      </c>
    </row>
    <row r="2334">
      <c r="A2334" s="7" t="s">
        <v>89</v>
      </c>
      <c r="B2334" s="7" t="s">
        <v>759</v>
      </c>
      <c r="C2334" s="8">
        <f>IFERROR(__xludf.DUMMYFUNCTION("SPLIT(B2334,""RM"")"),520000.0)</f>
        <v>520000</v>
      </c>
      <c r="D2334" s="7">
        <v>3.0</v>
      </c>
      <c r="E2334" s="7">
        <v>2.0</v>
      </c>
      <c r="F2334" s="7">
        <v>2.0</v>
      </c>
      <c r="G2334" s="7" t="s">
        <v>30</v>
      </c>
      <c r="H2334" s="7" t="s">
        <v>1670</v>
      </c>
      <c r="I2334" s="7" t="s">
        <v>27</v>
      </c>
    </row>
    <row r="2335">
      <c r="A2335" s="7" t="s">
        <v>241</v>
      </c>
      <c r="B2335" s="7" t="s">
        <v>715</v>
      </c>
      <c r="C2335" s="8">
        <f>IFERROR(__xludf.DUMMYFUNCTION("SPLIT(B2335,""RM"")"),550000.0)</f>
        <v>550000</v>
      </c>
      <c r="D2335" s="7" t="s">
        <v>57</v>
      </c>
      <c r="E2335" s="7">
        <v>2.0</v>
      </c>
      <c r="F2335" s="7">
        <v>2.0</v>
      </c>
      <c r="G2335" s="7" t="s">
        <v>93</v>
      </c>
      <c r="H2335" s="7" t="s">
        <v>192</v>
      </c>
      <c r="I2335" s="7" t="s">
        <v>27</v>
      </c>
    </row>
    <row r="2336">
      <c r="A2336" s="7" t="s">
        <v>77</v>
      </c>
      <c r="B2336" s="7" t="s">
        <v>1809</v>
      </c>
      <c r="C2336" s="8">
        <f>IFERROR(__xludf.DUMMYFUNCTION("SPLIT(B2336,""RM"")"),1488000.0)</f>
        <v>1488000</v>
      </c>
      <c r="D2336" s="7" t="s">
        <v>19</v>
      </c>
      <c r="E2336" s="7">
        <v>2.0</v>
      </c>
      <c r="F2336" s="7">
        <v>2.0</v>
      </c>
      <c r="G2336" s="7" t="s">
        <v>30</v>
      </c>
      <c r="H2336" s="7" t="s">
        <v>1810</v>
      </c>
      <c r="I2336" s="7" t="s">
        <v>27</v>
      </c>
    </row>
    <row r="2337">
      <c r="A2337" s="7" t="s">
        <v>188</v>
      </c>
      <c r="B2337" s="7" t="s">
        <v>1811</v>
      </c>
      <c r="C2337" s="8">
        <f>IFERROR(__xludf.DUMMYFUNCTION("SPLIT(B2337,""RM"")"),573000.0)</f>
        <v>573000</v>
      </c>
      <c r="D2337" s="7" t="s">
        <v>325</v>
      </c>
      <c r="G2337" s="7" t="s">
        <v>20</v>
      </c>
      <c r="H2337" s="7" t="s">
        <v>1812</v>
      </c>
      <c r="I2337" s="7" t="s">
        <v>22</v>
      </c>
    </row>
    <row r="2338">
      <c r="A2338" s="7" t="s">
        <v>17</v>
      </c>
      <c r="B2338" s="7" t="s">
        <v>236</v>
      </c>
      <c r="C2338" s="8">
        <f>IFERROR(__xludf.DUMMYFUNCTION("SPLIT(B2338,""RM"")"),2000000.0)</f>
        <v>2000000</v>
      </c>
      <c r="D2338" s="7">
        <v>3.0</v>
      </c>
      <c r="E2338" s="7">
        <v>2.0</v>
      </c>
      <c r="F2338" s="7">
        <v>1.0</v>
      </c>
      <c r="G2338" s="7" t="s">
        <v>20</v>
      </c>
      <c r="H2338" s="7" t="s">
        <v>1813</v>
      </c>
      <c r="I2338" s="7" t="s">
        <v>22</v>
      </c>
    </row>
    <row r="2339">
      <c r="A2339" s="7" t="s">
        <v>180</v>
      </c>
      <c r="B2339" s="7" t="s">
        <v>1814</v>
      </c>
      <c r="C2339" s="8">
        <f>IFERROR(__xludf.DUMMYFUNCTION("SPLIT(B2339,""RM"")"),3950000.0)</f>
        <v>3950000</v>
      </c>
      <c r="D2339" s="7" t="s">
        <v>79</v>
      </c>
      <c r="E2339" s="7">
        <v>4.0</v>
      </c>
      <c r="F2339" s="7">
        <v>2.0</v>
      </c>
      <c r="G2339" s="7" t="s">
        <v>83</v>
      </c>
      <c r="H2339" s="7" t="s">
        <v>1280</v>
      </c>
      <c r="I2339" s="7" t="s">
        <v>27</v>
      </c>
    </row>
    <row r="2340">
      <c r="A2340" s="7" t="s">
        <v>177</v>
      </c>
      <c r="B2340" s="7" t="s">
        <v>658</v>
      </c>
      <c r="C2340" s="8">
        <f>IFERROR(__xludf.DUMMYFUNCTION("SPLIT(B2340,""RM"")"),2650000.0)</f>
        <v>2650000</v>
      </c>
      <c r="D2340" s="7">
        <v>4.0</v>
      </c>
      <c r="E2340" s="7">
        <v>3.0</v>
      </c>
      <c r="F2340" s="7">
        <v>2.0</v>
      </c>
      <c r="G2340" s="7" t="s">
        <v>169</v>
      </c>
      <c r="H2340" s="7" t="s">
        <v>719</v>
      </c>
      <c r="I2340" s="7" t="s">
        <v>27</v>
      </c>
    </row>
    <row r="2341">
      <c r="A2341" s="7" t="s">
        <v>267</v>
      </c>
      <c r="B2341" s="7" t="s">
        <v>510</v>
      </c>
      <c r="C2341" s="8">
        <f>IFERROR(__xludf.DUMMYFUNCTION("SPLIT(B2341,""RM"")"),380000.0)</f>
        <v>380000</v>
      </c>
      <c r="D2341" s="7">
        <v>3.0</v>
      </c>
      <c r="E2341" s="7">
        <v>2.0</v>
      </c>
      <c r="F2341" s="7">
        <v>1.0</v>
      </c>
      <c r="G2341" s="7" t="s">
        <v>83</v>
      </c>
      <c r="H2341" s="7" t="s">
        <v>1815</v>
      </c>
      <c r="I2341" s="7" t="s">
        <v>251</v>
      </c>
    </row>
    <row r="2342">
      <c r="A2342" s="7" t="s">
        <v>267</v>
      </c>
      <c r="B2342" s="7" t="s">
        <v>332</v>
      </c>
      <c r="C2342" s="8">
        <f>IFERROR(__xludf.DUMMYFUNCTION("SPLIT(B2342,""RM"")"),998000.0)</f>
        <v>998000</v>
      </c>
      <c r="D2342" s="7" t="s">
        <v>57</v>
      </c>
      <c r="E2342" s="7">
        <v>4.0</v>
      </c>
      <c r="F2342" s="7">
        <v>2.0</v>
      </c>
      <c r="G2342" s="7" t="s">
        <v>30</v>
      </c>
      <c r="H2342" s="7" t="s">
        <v>1816</v>
      </c>
      <c r="I2342" s="7" t="s">
        <v>22</v>
      </c>
    </row>
    <row r="2343">
      <c r="A2343" s="7" t="s">
        <v>89</v>
      </c>
      <c r="B2343" s="7" t="s">
        <v>715</v>
      </c>
      <c r="C2343" s="8">
        <f>IFERROR(__xludf.DUMMYFUNCTION("SPLIT(B2343,""RM"")"),550000.0)</f>
        <v>550000</v>
      </c>
      <c r="D2343" s="7">
        <v>3.0</v>
      </c>
      <c r="E2343" s="7">
        <v>2.0</v>
      </c>
      <c r="F2343" s="7">
        <v>1.0</v>
      </c>
      <c r="G2343" s="7" t="s">
        <v>83</v>
      </c>
      <c r="H2343" s="7" t="s">
        <v>1532</v>
      </c>
      <c r="I2343" s="7" t="s">
        <v>27</v>
      </c>
    </row>
    <row r="2344">
      <c r="A2344" s="7" t="s">
        <v>17</v>
      </c>
      <c r="B2344" s="7" t="s">
        <v>349</v>
      </c>
      <c r="C2344" s="8">
        <f>IFERROR(__xludf.DUMMYFUNCTION("SPLIT(B2344,""RM"")"),1400000.0)</f>
        <v>1400000</v>
      </c>
      <c r="D2344" s="7">
        <v>2.0</v>
      </c>
      <c r="E2344" s="7">
        <v>2.0</v>
      </c>
      <c r="G2344" s="7" t="s">
        <v>30</v>
      </c>
      <c r="H2344" s="7" t="s">
        <v>930</v>
      </c>
      <c r="I2344" s="7" t="s">
        <v>22</v>
      </c>
    </row>
    <row r="2345">
      <c r="A2345" s="7" t="s">
        <v>17</v>
      </c>
      <c r="B2345" s="7" t="s">
        <v>1817</v>
      </c>
      <c r="C2345" s="8">
        <f>IFERROR(__xludf.DUMMYFUNCTION("SPLIT(B2345,""RM"")"),2152000.0)</f>
        <v>2152000</v>
      </c>
      <c r="D2345" s="7" t="s">
        <v>197</v>
      </c>
      <c r="E2345" s="7">
        <v>2.0</v>
      </c>
      <c r="F2345" s="7">
        <v>1.0</v>
      </c>
      <c r="G2345" s="7" t="s">
        <v>82</v>
      </c>
      <c r="H2345" s="7" t="s">
        <v>342</v>
      </c>
      <c r="I2345" s="7" t="s">
        <v>22</v>
      </c>
    </row>
    <row r="2346">
      <c r="A2346" s="7" t="s">
        <v>17</v>
      </c>
      <c r="B2346" s="7" t="s">
        <v>1818</v>
      </c>
      <c r="C2346" s="8">
        <f>IFERROR(__xludf.DUMMYFUNCTION("SPLIT(B2346,""RM"")"),3252600.0)</f>
        <v>3252600</v>
      </c>
      <c r="D2346" s="7" t="s">
        <v>19</v>
      </c>
      <c r="E2346" s="7">
        <v>3.0</v>
      </c>
      <c r="F2346" s="7">
        <v>2.0</v>
      </c>
      <c r="G2346" s="7" t="s">
        <v>121</v>
      </c>
      <c r="H2346" s="7" t="s">
        <v>99</v>
      </c>
      <c r="I2346" s="7" t="s">
        <v>27</v>
      </c>
    </row>
    <row r="2347">
      <c r="A2347" s="7" t="s">
        <v>17</v>
      </c>
      <c r="B2347" s="7" t="s">
        <v>1819</v>
      </c>
      <c r="C2347" s="8">
        <f>IFERROR(__xludf.DUMMYFUNCTION("SPLIT(B2347,""RM"")"),4957719.0)</f>
        <v>4957719</v>
      </c>
      <c r="D2347" s="7" t="s">
        <v>57</v>
      </c>
      <c r="E2347" s="7">
        <v>5.0</v>
      </c>
      <c r="F2347" s="7">
        <v>2.0</v>
      </c>
      <c r="G2347" s="7" t="s">
        <v>312</v>
      </c>
      <c r="H2347" s="7" t="s">
        <v>829</v>
      </c>
      <c r="I2347" s="7" t="s">
        <v>22</v>
      </c>
    </row>
    <row r="2348">
      <c r="A2348" s="7" t="s">
        <v>428</v>
      </c>
      <c r="B2348" s="7" t="s">
        <v>407</v>
      </c>
      <c r="C2348" s="8">
        <f>IFERROR(__xludf.DUMMYFUNCTION("SPLIT(B2348,""RM"")"),880000.0)</f>
        <v>880000</v>
      </c>
      <c r="D2348" s="7">
        <v>3.0</v>
      </c>
      <c r="E2348" s="7">
        <v>2.0</v>
      </c>
      <c r="G2348" s="7" t="s">
        <v>20</v>
      </c>
      <c r="H2348" s="7" t="s">
        <v>1820</v>
      </c>
      <c r="I2348" s="7" t="s">
        <v>27</v>
      </c>
    </row>
    <row r="2349">
      <c r="A2349" s="7" t="s">
        <v>17</v>
      </c>
      <c r="B2349" s="7" t="s">
        <v>239</v>
      </c>
      <c r="C2349" s="8">
        <f>IFERROR(__xludf.DUMMYFUNCTION("SPLIT(B2349,""RM"")"),1280000.0)</f>
        <v>1280000</v>
      </c>
      <c r="D2349" s="7">
        <v>3.0</v>
      </c>
      <c r="E2349" s="7">
        <v>2.0</v>
      </c>
      <c r="F2349" s="7">
        <v>1.0</v>
      </c>
      <c r="G2349" s="7" t="s">
        <v>20</v>
      </c>
      <c r="H2349" s="7" t="s">
        <v>948</v>
      </c>
      <c r="I2349" s="7" t="s">
        <v>22</v>
      </c>
    </row>
    <row r="2350">
      <c r="A2350" s="7" t="s">
        <v>17</v>
      </c>
      <c r="B2350" s="7" t="s">
        <v>536</v>
      </c>
      <c r="C2350" s="8">
        <f>IFERROR(__xludf.DUMMYFUNCTION("SPLIT(B2350,""RM"")"),495000.0)</f>
        <v>495000</v>
      </c>
      <c r="D2350" s="7" t="s">
        <v>325</v>
      </c>
      <c r="E2350" s="7">
        <v>1.0</v>
      </c>
      <c r="G2350" s="7" t="s">
        <v>1821</v>
      </c>
      <c r="H2350" s="7" t="s">
        <v>980</v>
      </c>
      <c r="I2350" s="7" t="s">
        <v>22</v>
      </c>
    </row>
    <row r="2351">
      <c r="A2351" s="7" t="s">
        <v>72</v>
      </c>
      <c r="B2351" s="7" t="s">
        <v>351</v>
      </c>
      <c r="C2351" s="8">
        <f>IFERROR(__xludf.DUMMYFUNCTION("SPLIT(B2351,""RM"")"),3800000.0)</f>
        <v>3800000</v>
      </c>
      <c r="D2351" s="7" t="s">
        <v>35</v>
      </c>
      <c r="E2351" s="7">
        <v>4.0</v>
      </c>
      <c r="G2351" s="7" t="s">
        <v>64</v>
      </c>
      <c r="H2351" s="7" t="s">
        <v>1822</v>
      </c>
      <c r="I2351" s="7" t="s">
        <v>27</v>
      </c>
    </row>
    <row r="2352">
      <c r="A2352" s="7" t="s">
        <v>100</v>
      </c>
      <c r="B2352" s="7" t="s">
        <v>1823</v>
      </c>
      <c r="C2352" s="8">
        <f>IFERROR(__xludf.DUMMYFUNCTION("SPLIT(B2352,""RM"")"),508000.0)</f>
        <v>508000</v>
      </c>
      <c r="D2352" s="7">
        <v>2.0</v>
      </c>
      <c r="E2352" s="7">
        <v>2.0</v>
      </c>
      <c r="F2352" s="7">
        <v>1.0</v>
      </c>
      <c r="G2352" s="7" t="s">
        <v>82</v>
      </c>
      <c r="H2352" s="7" t="s">
        <v>1824</v>
      </c>
      <c r="I2352" s="7" t="s">
        <v>27</v>
      </c>
    </row>
    <row r="2353">
      <c r="A2353" s="7" t="s">
        <v>177</v>
      </c>
      <c r="B2353" s="7" t="s">
        <v>1825</v>
      </c>
      <c r="C2353" s="8">
        <f>IFERROR(__xludf.DUMMYFUNCTION("SPLIT(B2353,""RM"")"),3750000.0)</f>
        <v>3750000</v>
      </c>
      <c r="D2353" s="7" t="s">
        <v>39</v>
      </c>
      <c r="E2353" s="7">
        <v>6.0</v>
      </c>
      <c r="F2353" s="7">
        <v>4.0</v>
      </c>
      <c r="G2353" s="7" t="s">
        <v>67</v>
      </c>
      <c r="H2353" s="7" t="s">
        <v>1826</v>
      </c>
      <c r="I2353" s="7" t="s">
        <v>27</v>
      </c>
    </row>
    <row r="2354">
      <c r="A2354" s="7" t="s">
        <v>72</v>
      </c>
      <c r="B2354" s="7" t="s">
        <v>1827</v>
      </c>
      <c r="C2354" s="8">
        <f>IFERROR(__xludf.DUMMYFUNCTION("SPLIT(B2354,""RM"")"),4400000.0)</f>
        <v>4400000</v>
      </c>
      <c r="D2354" s="7" t="s">
        <v>60</v>
      </c>
      <c r="E2354" s="7">
        <v>6.0</v>
      </c>
      <c r="G2354" s="7" t="s">
        <v>64</v>
      </c>
      <c r="H2354" s="7" t="s">
        <v>1828</v>
      </c>
      <c r="I2354" s="7" t="s">
        <v>27</v>
      </c>
    </row>
    <row r="2355">
      <c r="A2355" s="7" t="s">
        <v>72</v>
      </c>
      <c r="B2355" s="7" t="s">
        <v>120</v>
      </c>
      <c r="C2355" s="8">
        <f>IFERROR(__xludf.DUMMYFUNCTION("SPLIT(B2355,""RM"")"),3600000.0)</f>
        <v>3600000</v>
      </c>
      <c r="D2355" s="7" t="s">
        <v>35</v>
      </c>
      <c r="E2355" s="7">
        <v>5.0</v>
      </c>
      <c r="G2355" s="7" t="s">
        <v>90</v>
      </c>
      <c r="H2355" s="7" t="s">
        <v>1491</v>
      </c>
      <c r="I2355" s="7" t="s">
        <v>27</v>
      </c>
    </row>
    <row r="2356">
      <c r="A2356" s="7" t="s">
        <v>37</v>
      </c>
      <c r="B2356" s="7" t="s">
        <v>1778</v>
      </c>
      <c r="C2356" s="8">
        <f>IFERROR(__xludf.DUMMYFUNCTION("SPLIT(B2356,""RM"")"),925000.0)</f>
        <v>925000</v>
      </c>
      <c r="D2356" s="7">
        <v>3.0</v>
      </c>
      <c r="E2356" s="7">
        <v>2.0</v>
      </c>
      <c r="G2356" s="7" t="s">
        <v>121</v>
      </c>
      <c r="H2356" s="7" t="s">
        <v>167</v>
      </c>
      <c r="I2356" s="7" t="s">
        <v>27</v>
      </c>
    </row>
    <row r="2357">
      <c r="A2357" s="7" t="s">
        <v>37</v>
      </c>
      <c r="B2357" s="7" t="s">
        <v>641</v>
      </c>
      <c r="C2357" s="8">
        <f>IFERROR(__xludf.DUMMYFUNCTION("SPLIT(B2357,""RM"")"),830000.0)</f>
        <v>830000</v>
      </c>
      <c r="D2357" s="7">
        <v>3.0</v>
      </c>
      <c r="E2357" s="7">
        <v>2.0</v>
      </c>
      <c r="F2357" s="7">
        <v>1.0</v>
      </c>
      <c r="G2357" s="7" t="s">
        <v>20</v>
      </c>
      <c r="H2357" s="7" t="s">
        <v>1635</v>
      </c>
      <c r="I2357" s="7" t="s">
        <v>27</v>
      </c>
    </row>
    <row r="2358">
      <c r="A2358" s="7" t="s">
        <v>37</v>
      </c>
      <c r="B2358" s="7" t="s">
        <v>1829</v>
      </c>
      <c r="C2358" s="8">
        <f>IFERROR(__xludf.DUMMYFUNCTION("SPLIT(B2358,""RM"")"),1498000.0)</f>
        <v>1498000</v>
      </c>
      <c r="D2358" s="7" t="s">
        <v>57</v>
      </c>
      <c r="E2358" s="7">
        <v>4.0</v>
      </c>
      <c r="G2358" s="7" t="s">
        <v>121</v>
      </c>
      <c r="H2358" s="7" t="s">
        <v>1830</v>
      </c>
      <c r="I2358" s="7" t="s">
        <v>27</v>
      </c>
    </row>
    <row r="2359">
      <c r="A2359" s="7" t="s">
        <v>37</v>
      </c>
      <c r="B2359" s="7" t="s">
        <v>1334</v>
      </c>
      <c r="C2359" s="8">
        <f>IFERROR(__xludf.DUMMYFUNCTION("SPLIT(B2359,""RM"")"),808000.0)</f>
        <v>808000</v>
      </c>
      <c r="D2359" s="7">
        <v>2.0</v>
      </c>
      <c r="E2359" s="7">
        <v>2.0</v>
      </c>
      <c r="G2359" s="7" t="s">
        <v>20</v>
      </c>
      <c r="H2359" s="7" t="s">
        <v>1352</v>
      </c>
      <c r="I2359" s="7" t="s">
        <v>27</v>
      </c>
    </row>
    <row r="2360">
      <c r="A2360" s="7" t="s">
        <v>72</v>
      </c>
      <c r="B2360" s="7" t="s">
        <v>1831</v>
      </c>
      <c r="C2360" s="8">
        <f>IFERROR(__xludf.DUMMYFUNCTION("SPLIT(B2360,""RM"")"),2688000.0)</f>
        <v>2688000</v>
      </c>
      <c r="D2360" s="7" t="s">
        <v>39</v>
      </c>
      <c r="E2360" s="7">
        <v>5.0</v>
      </c>
      <c r="F2360" s="7">
        <v>3.0</v>
      </c>
      <c r="G2360" s="7" t="s">
        <v>83</v>
      </c>
      <c r="H2360" s="7" t="s">
        <v>926</v>
      </c>
      <c r="I2360" s="7" t="s">
        <v>27</v>
      </c>
    </row>
    <row r="2361">
      <c r="A2361" s="7" t="s">
        <v>358</v>
      </c>
      <c r="B2361" s="7" t="s">
        <v>156</v>
      </c>
      <c r="C2361" s="8">
        <f>IFERROR(__xludf.DUMMYFUNCTION("SPLIT(B2361,""RM"")"),850000.0)</f>
        <v>850000</v>
      </c>
      <c r="D2361" s="7">
        <v>3.0</v>
      </c>
      <c r="E2361" s="7">
        <v>2.0</v>
      </c>
      <c r="F2361" s="7">
        <v>2.0</v>
      </c>
      <c r="G2361" s="7" t="s">
        <v>83</v>
      </c>
      <c r="H2361" s="7" t="s">
        <v>1412</v>
      </c>
      <c r="I2361" s="7" t="s">
        <v>27</v>
      </c>
    </row>
    <row r="2362">
      <c r="A2362" s="7" t="s">
        <v>428</v>
      </c>
      <c r="B2362" s="7" t="s">
        <v>715</v>
      </c>
      <c r="C2362" s="8">
        <f>IFERROR(__xludf.DUMMYFUNCTION("SPLIT(B2362,""RM"")"),550000.0)</f>
        <v>550000</v>
      </c>
      <c r="D2362" s="7">
        <v>1.0</v>
      </c>
      <c r="E2362" s="7">
        <v>1.0</v>
      </c>
      <c r="F2362" s="7">
        <v>1.0</v>
      </c>
      <c r="G2362" s="7" t="s">
        <v>20</v>
      </c>
      <c r="H2362" s="7" t="s">
        <v>1270</v>
      </c>
      <c r="I2362" s="7" t="s">
        <v>27</v>
      </c>
    </row>
    <row r="2363">
      <c r="A2363" s="7" t="s">
        <v>72</v>
      </c>
      <c r="B2363" s="7" t="s">
        <v>386</v>
      </c>
      <c r="C2363" s="8">
        <f>IFERROR(__xludf.DUMMYFUNCTION("SPLIT(B2363,""RM"")"),2380000.0)</f>
        <v>2380000</v>
      </c>
      <c r="D2363" s="7" t="s">
        <v>35</v>
      </c>
      <c r="E2363" s="7">
        <v>4.0</v>
      </c>
      <c r="F2363" s="7">
        <v>3.0</v>
      </c>
      <c r="G2363" s="7" t="s">
        <v>83</v>
      </c>
      <c r="H2363" s="7" t="s">
        <v>1832</v>
      </c>
      <c r="I2363" s="7" t="s">
        <v>27</v>
      </c>
    </row>
    <row r="2364">
      <c r="A2364" s="7" t="s">
        <v>28</v>
      </c>
      <c r="B2364" s="7" t="s">
        <v>641</v>
      </c>
      <c r="C2364" s="8">
        <f>IFERROR(__xludf.DUMMYFUNCTION("SPLIT(B2364,""RM"")"),830000.0)</f>
        <v>830000</v>
      </c>
      <c r="D2364" s="7">
        <v>3.0</v>
      </c>
      <c r="E2364" s="7">
        <v>3.0</v>
      </c>
      <c r="F2364" s="7">
        <v>2.0</v>
      </c>
      <c r="G2364" s="7" t="s">
        <v>83</v>
      </c>
      <c r="H2364" s="7" t="s">
        <v>1833</v>
      </c>
      <c r="I2364" s="7" t="s">
        <v>22</v>
      </c>
    </row>
    <row r="2365">
      <c r="A2365" s="7" t="s">
        <v>72</v>
      </c>
      <c r="B2365" s="7" t="s">
        <v>649</v>
      </c>
      <c r="C2365" s="8">
        <f>IFERROR(__xludf.DUMMYFUNCTION("SPLIT(B2365,""RM"")"),1020000.0)</f>
        <v>1020000</v>
      </c>
      <c r="D2365" s="7">
        <v>2.0</v>
      </c>
      <c r="E2365" s="7">
        <v>2.0</v>
      </c>
      <c r="F2365" s="7">
        <v>1.0</v>
      </c>
      <c r="G2365" s="7" t="s">
        <v>20</v>
      </c>
      <c r="H2365" s="7" t="s">
        <v>133</v>
      </c>
    </row>
    <row r="2366">
      <c r="A2366" s="7" t="s">
        <v>72</v>
      </c>
      <c r="B2366" s="7" t="s">
        <v>613</v>
      </c>
      <c r="C2366" s="8">
        <f>IFERROR(__xludf.DUMMYFUNCTION("SPLIT(B2366,""RM"")"),1890000.0)</f>
        <v>1890000</v>
      </c>
      <c r="D2366" s="7" t="s">
        <v>57</v>
      </c>
      <c r="E2366" s="7">
        <v>5.0</v>
      </c>
      <c r="F2366" s="7">
        <v>3.0</v>
      </c>
      <c r="G2366" s="7" t="s">
        <v>83</v>
      </c>
      <c r="H2366" s="7" t="s">
        <v>561</v>
      </c>
    </row>
    <row r="2367">
      <c r="A2367" s="7" t="s">
        <v>72</v>
      </c>
      <c r="B2367" s="7" t="s">
        <v>1834</v>
      </c>
      <c r="C2367" s="8">
        <f>IFERROR(__xludf.DUMMYFUNCTION("SPLIT(B2367,""RM"")"),1540000.0)</f>
        <v>1540000</v>
      </c>
      <c r="D2367" s="7" t="s">
        <v>57</v>
      </c>
      <c r="E2367" s="7">
        <v>4.0</v>
      </c>
      <c r="F2367" s="7">
        <v>2.0</v>
      </c>
      <c r="G2367" s="7" t="s">
        <v>83</v>
      </c>
      <c r="H2367" s="7" t="s">
        <v>1835</v>
      </c>
    </row>
    <row r="2368">
      <c r="A2368" s="7" t="s">
        <v>72</v>
      </c>
      <c r="B2368" s="7" t="s">
        <v>1836</v>
      </c>
      <c r="C2368" s="8">
        <f>IFERROR(__xludf.DUMMYFUNCTION("SPLIT(B2368,""RM"")"),675000.0)</f>
        <v>675000</v>
      </c>
      <c r="D2368" s="7">
        <v>3.0</v>
      </c>
      <c r="E2368" s="7">
        <v>2.0</v>
      </c>
      <c r="F2368" s="7">
        <v>2.0</v>
      </c>
      <c r="G2368" s="7" t="s">
        <v>83</v>
      </c>
      <c r="H2368" s="7" t="s">
        <v>1734</v>
      </c>
      <c r="I2368" s="7" t="s">
        <v>103</v>
      </c>
    </row>
    <row r="2369">
      <c r="A2369" s="7" t="s">
        <v>52</v>
      </c>
      <c r="B2369" s="7" t="s">
        <v>1328</v>
      </c>
      <c r="C2369" s="8">
        <f>IFERROR(__xludf.DUMMYFUNCTION("SPLIT(B2369,""RM"")"),650000.0)</f>
        <v>650000</v>
      </c>
      <c r="D2369" s="7" t="s">
        <v>19</v>
      </c>
      <c r="E2369" s="7">
        <v>2.0</v>
      </c>
      <c r="F2369" s="7">
        <v>1.0</v>
      </c>
      <c r="G2369" s="7" t="s">
        <v>93</v>
      </c>
      <c r="H2369" s="7" t="s">
        <v>51</v>
      </c>
      <c r="I2369" s="7" t="s">
        <v>27</v>
      </c>
    </row>
    <row r="2370">
      <c r="A2370" s="7" t="s">
        <v>371</v>
      </c>
      <c r="B2370" s="7" t="s">
        <v>969</v>
      </c>
      <c r="C2370" s="8">
        <f>IFERROR(__xludf.DUMMYFUNCTION("SPLIT(B2370,""RM"")"),430000.0)</f>
        <v>430000</v>
      </c>
      <c r="D2370" s="7">
        <v>2.0</v>
      </c>
      <c r="E2370" s="7">
        <v>2.0</v>
      </c>
      <c r="F2370" s="7">
        <v>1.0</v>
      </c>
      <c r="G2370" s="7" t="s">
        <v>83</v>
      </c>
      <c r="H2370" s="7" t="s">
        <v>734</v>
      </c>
      <c r="I2370" s="7" t="s">
        <v>27</v>
      </c>
    </row>
    <row r="2371">
      <c r="A2371" s="7" t="s">
        <v>72</v>
      </c>
      <c r="B2371" s="7" t="s">
        <v>563</v>
      </c>
      <c r="C2371" s="8">
        <f>IFERROR(__xludf.DUMMYFUNCTION("SPLIT(B2371,""RM"")"),600000.0)</f>
        <v>600000</v>
      </c>
      <c r="D2371" s="7">
        <v>1.0</v>
      </c>
      <c r="E2371" s="7">
        <v>1.0</v>
      </c>
      <c r="G2371" s="7" t="s">
        <v>82</v>
      </c>
      <c r="H2371" s="7" t="s">
        <v>685</v>
      </c>
      <c r="I2371" s="7" t="s">
        <v>22</v>
      </c>
    </row>
    <row r="2372">
      <c r="A2372" s="7" t="s">
        <v>72</v>
      </c>
      <c r="B2372" s="7" t="s">
        <v>563</v>
      </c>
      <c r="C2372" s="8">
        <f>IFERROR(__xludf.DUMMYFUNCTION("SPLIT(B2372,""RM"")"),600000.0)</f>
        <v>600000</v>
      </c>
      <c r="D2372" s="7">
        <v>1.0</v>
      </c>
      <c r="E2372" s="7">
        <v>1.0</v>
      </c>
      <c r="F2372" s="7">
        <v>1.0</v>
      </c>
      <c r="G2372" s="7" t="s">
        <v>20</v>
      </c>
      <c r="H2372" s="7" t="s">
        <v>850</v>
      </c>
      <c r="I2372" s="7" t="s">
        <v>22</v>
      </c>
    </row>
    <row r="2373">
      <c r="A2373" s="7" t="s">
        <v>72</v>
      </c>
      <c r="B2373" s="7" t="s">
        <v>156</v>
      </c>
      <c r="C2373" s="8">
        <f>IFERROR(__xludf.DUMMYFUNCTION("SPLIT(B2373,""RM"")"),850000.0)</f>
        <v>850000</v>
      </c>
      <c r="D2373" s="7">
        <v>2.0</v>
      </c>
      <c r="E2373" s="7">
        <v>2.0</v>
      </c>
      <c r="F2373" s="7">
        <v>1.0</v>
      </c>
      <c r="G2373" s="7" t="s">
        <v>121</v>
      </c>
      <c r="H2373" s="7" t="s">
        <v>1454</v>
      </c>
      <c r="I2373" s="7" t="s">
        <v>22</v>
      </c>
    </row>
    <row r="2374">
      <c r="A2374" s="7" t="s">
        <v>432</v>
      </c>
      <c r="B2374" s="7" t="s">
        <v>1348</v>
      </c>
      <c r="C2374" s="8">
        <f>IFERROR(__xludf.DUMMYFUNCTION("SPLIT(B2374,""RM"")"),510000.0)</f>
        <v>510000</v>
      </c>
      <c r="D2374" s="7">
        <v>1.0</v>
      </c>
      <c r="E2374" s="7">
        <v>1.0</v>
      </c>
      <c r="F2374" s="7">
        <v>1.0</v>
      </c>
      <c r="G2374" s="7" t="s">
        <v>20</v>
      </c>
      <c r="H2374" s="7" t="s">
        <v>1524</v>
      </c>
      <c r="I2374" s="7" t="s">
        <v>22</v>
      </c>
    </row>
    <row r="2375">
      <c r="A2375" s="7" t="s">
        <v>72</v>
      </c>
      <c r="B2375" s="7" t="s">
        <v>311</v>
      </c>
      <c r="C2375" s="8">
        <f>IFERROR(__xludf.DUMMYFUNCTION("SPLIT(B2375,""RM"")"),1100000.0)</f>
        <v>1100000</v>
      </c>
      <c r="D2375" s="7">
        <v>2.0</v>
      </c>
      <c r="E2375" s="7">
        <v>2.0</v>
      </c>
      <c r="F2375" s="7">
        <v>2.0</v>
      </c>
      <c r="G2375" s="7" t="s">
        <v>121</v>
      </c>
      <c r="H2375" s="7" t="s">
        <v>901</v>
      </c>
      <c r="I2375" s="7" t="s">
        <v>22</v>
      </c>
    </row>
    <row r="2376">
      <c r="A2376" s="7" t="s">
        <v>72</v>
      </c>
      <c r="B2376" s="7" t="s">
        <v>309</v>
      </c>
      <c r="C2376" s="8">
        <f>IFERROR(__xludf.DUMMYFUNCTION("SPLIT(B2376,""RM"")"),2100000.0)</f>
        <v>2100000</v>
      </c>
      <c r="D2376" s="7">
        <v>3.0</v>
      </c>
      <c r="E2376" s="7">
        <v>2.0</v>
      </c>
      <c r="F2376" s="7">
        <v>2.0</v>
      </c>
      <c r="G2376" s="7" t="s">
        <v>121</v>
      </c>
      <c r="H2376" s="7" t="s">
        <v>1837</v>
      </c>
      <c r="I2376" s="7" t="s">
        <v>22</v>
      </c>
    </row>
    <row r="2377">
      <c r="A2377" s="7" t="s">
        <v>23</v>
      </c>
      <c r="B2377" s="7" t="s">
        <v>257</v>
      </c>
      <c r="C2377" s="8">
        <f>IFERROR(__xludf.DUMMYFUNCTION("SPLIT(B2377,""RM"")"),2480000.0)</f>
        <v>2480000</v>
      </c>
      <c r="D2377" s="7">
        <v>4.0</v>
      </c>
      <c r="E2377" s="7">
        <v>4.0</v>
      </c>
      <c r="F2377" s="7">
        <v>2.0</v>
      </c>
      <c r="G2377" s="7" t="s">
        <v>169</v>
      </c>
      <c r="H2377" s="7" t="s">
        <v>333</v>
      </c>
      <c r="I2377" s="7" t="s">
        <v>27</v>
      </c>
    </row>
    <row r="2378">
      <c r="A2378" s="7" t="s">
        <v>72</v>
      </c>
      <c r="B2378" s="7" t="s">
        <v>1838</v>
      </c>
      <c r="C2378" s="8">
        <f>IFERROR(__xludf.DUMMYFUNCTION("SPLIT(B2378,""RM"")"),7900000.0)</f>
        <v>7900000</v>
      </c>
      <c r="D2378" s="7" t="s">
        <v>70</v>
      </c>
      <c r="E2378" s="7">
        <v>6.0</v>
      </c>
      <c r="F2378" s="7">
        <v>5.0</v>
      </c>
      <c r="G2378" s="7" t="s">
        <v>25</v>
      </c>
      <c r="H2378" s="7" t="s">
        <v>264</v>
      </c>
      <c r="I2378" s="7" t="s">
        <v>22</v>
      </c>
    </row>
    <row r="2379">
      <c r="A2379" s="7" t="s">
        <v>48</v>
      </c>
      <c r="B2379" s="7" t="s">
        <v>314</v>
      </c>
      <c r="C2379" s="8">
        <f>IFERROR(__xludf.DUMMYFUNCTION("SPLIT(B2379,""RM"")"),670000.0)</f>
        <v>670000</v>
      </c>
      <c r="D2379" s="7">
        <v>4.0</v>
      </c>
      <c r="E2379" s="7">
        <v>3.0</v>
      </c>
      <c r="G2379" s="7" t="s">
        <v>54</v>
      </c>
      <c r="H2379" s="7" t="s">
        <v>1839</v>
      </c>
    </row>
    <row r="2380">
      <c r="A2380" s="7" t="s">
        <v>17</v>
      </c>
      <c r="B2380" s="7" t="s">
        <v>193</v>
      </c>
      <c r="C2380" s="8">
        <f>IFERROR(__xludf.DUMMYFUNCTION("SPLIT(B2380,""RM"")"),1650000.0)</f>
        <v>1650000</v>
      </c>
      <c r="D2380" s="7">
        <v>2.0</v>
      </c>
      <c r="E2380" s="7">
        <v>1.0</v>
      </c>
      <c r="F2380" s="7">
        <v>1.0</v>
      </c>
      <c r="G2380" s="7" t="s">
        <v>20</v>
      </c>
      <c r="H2380" s="7" t="s">
        <v>734</v>
      </c>
      <c r="I2380" s="7" t="s">
        <v>22</v>
      </c>
    </row>
    <row r="2381">
      <c r="A2381" s="7" t="s">
        <v>180</v>
      </c>
      <c r="B2381" s="7" t="s">
        <v>499</v>
      </c>
      <c r="C2381" s="8">
        <f>IFERROR(__xludf.DUMMYFUNCTION("SPLIT(B2381,""RM"")"),3900000.0)</f>
        <v>3900000</v>
      </c>
      <c r="D2381" s="7" t="s">
        <v>57</v>
      </c>
      <c r="E2381" s="7">
        <v>2.0</v>
      </c>
      <c r="G2381" s="7" t="s">
        <v>83</v>
      </c>
      <c r="H2381" s="7" t="s">
        <v>1840</v>
      </c>
    </row>
    <row r="2382">
      <c r="A2382" s="7" t="s">
        <v>17</v>
      </c>
      <c r="B2382" s="7" t="s">
        <v>42</v>
      </c>
      <c r="C2382" s="8">
        <f>IFERROR(__xludf.DUMMYFUNCTION("SPLIT(B2382,""RM"")"),2600000.0)</f>
        <v>2600000</v>
      </c>
      <c r="D2382" s="7">
        <v>3.0</v>
      </c>
      <c r="E2382" s="7">
        <v>4.0</v>
      </c>
      <c r="F2382" s="7">
        <v>2.0</v>
      </c>
      <c r="G2382" s="7" t="s">
        <v>83</v>
      </c>
      <c r="H2382" s="7" t="s">
        <v>1841</v>
      </c>
      <c r="I2382" s="7" t="s">
        <v>103</v>
      </c>
    </row>
    <row r="2383">
      <c r="A2383" s="7" t="s">
        <v>17</v>
      </c>
      <c r="B2383" s="7" t="s">
        <v>165</v>
      </c>
      <c r="C2383" s="8">
        <f>IFERROR(__xludf.DUMMYFUNCTION("SPLIT(B2383,""RM"")"),3500000.0)</f>
        <v>3500000</v>
      </c>
      <c r="D2383" s="7">
        <v>4.0</v>
      </c>
      <c r="E2383" s="7">
        <v>4.0</v>
      </c>
      <c r="F2383" s="7">
        <v>2.0</v>
      </c>
      <c r="G2383" s="7" t="s">
        <v>83</v>
      </c>
      <c r="H2383" s="7" t="s">
        <v>1842</v>
      </c>
      <c r="I2383" s="7" t="s">
        <v>103</v>
      </c>
    </row>
    <row r="2384">
      <c r="A2384" s="7" t="s">
        <v>17</v>
      </c>
      <c r="B2384" s="7" t="s">
        <v>292</v>
      </c>
      <c r="C2384" s="8">
        <f>IFERROR(__xludf.DUMMYFUNCTION("SPLIT(B2384,""RM"")"),3400000.0)</f>
        <v>3400000</v>
      </c>
      <c r="D2384" s="7" t="s">
        <v>35</v>
      </c>
      <c r="E2384" s="7">
        <v>5.0</v>
      </c>
      <c r="G2384" s="7" t="s">
        <v>30</v>
      </c>
      <c r="H2384" s="7" t="s">
        <v>944</v>
      </c>
      <c r="I2384" s="7" t="s">
        <v>27</v>
      </c>
    </row>
    <row r="2385">
      <c r="A2385" s="7" t="s">
        <v>180</v>
      </c>
      <c r="B2385" s="7" t="s">
        <v>127</v>
      </c>
      <c r="C2385" s="8">
        <f>IFERROR(__xludf.DUMMYFUNCTION("SPLIT(B2385,""RM"")"),4200000.0)</f>
        <v>4200000</v>
      </c>
      <c r="D2385" s="7">
        <v>3.0</v>
      </c>
      <c r="E2385" s="7">
        <v>2.0</v>
      </c>
      <c r="G2385" s="7" t="s">
        <v>83</v>
      </c>
      <c r="H2385" s="7" t="s">
        <v>1840</v>
      </c>
      <c r="I2385" s="7" t="s">
        <v>22</v>
      </c>
    </row>
    <row r="2386">
      <c r="A2386" s="7" t="s">
        <v>143</v>
      </c>
      <c r="B2386" s="7" t="s">
        <v>34</v>
      </c>
      <c r="C2386" s="8">
        <f>IFERROR(__xludf.DUMMYFUNCTION("SPLIT(B2386,""RM"")"),900000.0)</f>
        <v>900000</v>
      </c>
      <c r="D2386" s="7">
        <v>2.0</v>
      </c>
      <c r="E2386" s="7">
        <v>2.0</v>
      </c>
      <c r="F2386" s="7">
        <v>1.0</v>
      </c>
      <c r="G2386" s="7" t="s">
        <v>83</v>
      </c>
      <c r="H2386" s="7" t="s">
        <v>1106</v>
      </c>
      <c r="I2386" s="7" t="s">
        <v>22</v>
      </c>
    </row>
    <row r="2387">
      <c r="A2387" s="7" t="s">
        <v>371</v>
      </c>
      <c r="B2387" s="7" t="s">
        <v>761</v>
      </c>
      <c r="C2387" s="8">
        <f>IFERROR(__xludf.DUMMYFUNCTION("SPLIT(B2387,""RM"")"),480000.0)</f>
        <v>480000</v>
      </c>
      <c r="D2387" s="7" t="s">
        <v>57</v>
      </c>
      <c r="E2387" s="7">
        <v>2.0</v>
      </c>
      <c r="F2387" s="7">
        <v>1.0</v>
      </c>
      <c r="G2387" s="7" t="s">
        <v>83</v>
      </c>
      <c r="H2387" s="7" t="s">
        <v>1521</v>
      </c>
      <c r="I2387" s="7" t="s">
        <v>22</v>
      </c>
    </row>
    <row r="2388">
      <c r="A2388" s="7" t="s">
        <v>72</v>
      </c>
      <c r="B2388" s="7" t="s">
        <v>1843</v>
      </c>
      <c r="C2388" s="8">
        <f>IFERROR(__xludf.DUMMYFUNCTION("SPLIT(B2388,""RM"")"),6450000.0)</f>
        <v>6450000</v>
      </c>
      <c r="D2388" s="7" t="s">
        <v>70</v>
      </c>
      <c r="E2388" s="7">
        <v>6.0</v>
      </c>
      <c r="G2388" s="7" t="s">
        <v>25</v>
      </c>
      <c r="H2388" s="7" t="s">
        <v>1844</v>
      </c>
      <c r="I2388" s="7" t="s">
        <v>27</v>
      </c>
    </row>
    <row r="2389">
      <c r="A2389" s="7" t="s">
        <v>77</v>
      </c>
      <c r="B2389" s="7" t="s">
        <v>913</v>
      </c>
      <c r="C2389" s="8">
        <f>IFERROR(__xludf.DUMMYFUNCTION("SPLIT(B2389,""RM"")"),3890000.0)</f>
        <v>3890000</v>
      </c>
      <c r="D2389" s="7">
        <v>6.0</v>
      </c>
      <c r="E2389" s="7">
        <v>6.0</v>
      </c>
      <c r="F2389" s="7">
        <v>4.0</v>
      </c>
      <c r="G2389" s="7" t="s">
        <v>487</v>
      </c>
      <c r="H2389" s="7" t="s">
        <v>912</v>
      </c>
      <c r="I2389" s="7" t="s">
        <v>22</v>
      </c>
    </row>
    <row r="2390">
      <c r="A2390" s="7" t="s">
        <v>77</v>
      </c>
      <c r="B2390" s="7" t="s">
        <v>1845</v>
      </c>
      <c r="C2390" s="8">
        <f>IFERROR(__xludf.DUMMYFUNCTION("SPLIT(B2390,""RM"")"),4560000.0)</f>
        <v>4560000</v>
      </c>
      <c r="G2390" s="7" t="s">
        <v>667</v>
      </c>
      <c r="H2390" s="7" t="s">
        <v>1846</v>
      </c>
    </row>
    <row r="2391">
      <c r="A2391" s="7" t="s">
        <v>28</v>
      </c>
      <c r="B2391" s="7" t="s">
        <v>311</v>
      </c>
      <c r="C2391" s="8">
        <f>IFERROR(__xludf.DUMMYFUNCTION("SPLIT(B2391,""RM"")"),1100000.0)</f>
        <v>1100000</v>
      </c>
      <c r="D2391" s="7">
        <v>2.0</v>
      </c>
      <c r="E2391" s="7">
        <v>2.0</v>
      </c>
      <c r="F2391" s="7">
        <v>1.0</v>
      </c>
      <c r="G2391" s="7" t="s">
        <v>82</v>
      </c>
      <c r="H2391" s="7" t="s">
        <v>1847</v>
      </c>
      <c r="I2391" s="7" t="s">
        <v>22</v>
      </c>
    </row>
    <row r="2392">
      <c r="A2392" s="7" t="s">
        <v>432</v>
      </c>
      <c r="B2392" s="7" t="s">
        <v>1823</v>
      </c>
      <c r="C2392" s="8">
        <f>IFERROR(__xludf.DUMMYFUNCTION("SPLIT(B2392,""RM"")"),508000.0)</f>
        <v>508000</v>
      </c>
      <c r="D2392" s="7" t="s">
        <v>325</v>
      </c>
      <c r="E2392" s="7">
        <v>1.0</v>
      </c>
      <c r="G2392" s="7" t="s">
        <v>20</v>
      </c>
      <c r="H2392" s="7" t="s">
        <v>1848</v>
      </c>
      <c r="I2392" s="7" t="s">
        <v>27</v>
      </c>
    </row>
    <row r="2393">
      <c r="A2393" s="7" t="s">
        <v>428</v>
      </c>
      <c r="B2393" s="7" t="s">
        <v>78</v>
      </c>
      <c r="C2393" s="8">
        <f>IFERROR(__xludf.DUMMYFUNCTION("SPLIT(B2393,""RM"")"),1500000.0)</f>
        <v>1500000</v>
      </c>
      <c r="D2393" s="7" t="s">
        <v>57</v>
      </c>
      <c r="E2393" s="7">
        <v>4.0</v>
      </c>
      <c r="F2393" s="7">
        <v>3.0</v>
      </c>
      <c r="G2393" s="7" t="s">
        <v>30</v>
      </c>
      <c r="H2393" s="7" t="s">
        <v>1849</v>
      </c>
      <c r="I2393" s="7" t="s">
        <v>27</v>
      </c>
    </row>
    <row r="2394">
      <c r="A2394" s="7" t="s">
        <v>28</v>
      </c>
      <c r="B2394" s="7" t="s">
        <v>1318</v>
      </c>
      <c r="C2394" s="8">
        <f>IFERROR(__xludf.DUMMYFUNCTION("SPLIT(B2394,""RM"")"),470000.0)</f>
        <v>470000</v>
      </c>
      <c r="D2394" s="7">
        <v>3.0</v>
      </c>
      <c r="E2394" s="7">
        <v>2.0</v>
      </c>
      <c r="F2394" s="7">
        <v>1.0</v>
      </c>
      <c r="G2394" s="7" t="s">
        <v>83</v>
      </c>
      <c r="H2394" s="7" t="s">
        <v>1850</v>
      </c>
      <c r="I2394" s="7" t="s">
        <v>22</v>
      </c>
    </row>
    <row r="2395">
      <c r="A2395" s="7" t="s">
        <v>28</v>
      </c>
      <c r="B2395" s="7" t="s">
        <v>890</v>
      </c>
      <c r="C2395" s="8">
        <f>IFERROR(__xludf.DUMMYFUNCTION("SPLIT(B2395,""RM"")"),450000.0)</f>
        <v>450000</v>
      </c>
      <c r="D2395" s="7">
        <v>3.0</v>
      </c>
      <c r="E2395" s="7">
        <v>2.0</v>
      </c>
      <c r="F2395" s="7">
        <v>1.0</v>
      </c>
      <c r="G2395" s="7" t="s">
        <v>30</v>
      </c>
      <c r="H2395" s="7" t="s">
        <v>734</v>
      </c>
      <c r="I2395" s="7" t="s">
        <v>27</v>
      </c>
    </row>
    <row r="2396">
      <c r="A2396" s="7" t="s">
        <v>143</v>
      </c>
      <c r="B2396" s="7" t="s">
        <v>1851</v>
      </c>
      <c r="C2396" s="8">
        <f>IFERROR(__xludf.DUMMYFUNCTION("SPLIT(B2396,""RM"")"),362000.0)</f>
        <v>362000</v>
      </c>
      <c r="D2396" s="7">
        <v>1.0</v>
      </c>
      <c r="E2396" s="7">
        <v>1.0</v>
      </c>
      <c r="G2396" s="7" t="s">
        <v>20</v>
      </c>
      <c r="H2396" s="7" t="s">
        <v>1852</v>
      </c>
      <c r="I2396" s="7" t="s">
        <v>22</v>
      </c>
    </row>
    <row r="2397">
      <c r="A2397" s="7" t="s">
        <v>77</v>
      </c>
      <c r="B2397" s="7" t="s">
        <v>319</v>
      </c>
      <c r="C2397" s="8">
        <f>IFERROR(__xludf.DUMMYFUNCTION("SPLIT(B2397,""RM"")"),3480000.0)</f>
        <v>3480000</v>
      </c>
      <c r="D2397" s="7" t="s">
        <v>35</v>
      </c>
      <c r="E2397" s="7">
        <v>3.0</v>
      </c>
      <c r="F2397" s="7">
        <v>2.0</v>
      </c>
      <c r="G2397" s="7" t="s">
        <v>184</v>
      </c>
      <c r="H2397" s="7" t="s">
        <v>1853</v>
      </c>
      <c r="I2397" s="7" t="s">
        <v>27</v>
      </c>
    </row>
    <row r="2398">
      <c r="A2398" s="7" t="s">
        <v>77</v>
      </c>
      <c r="B2398" s="7" t="s">
        <v>158</v>
      </c>
      <c r="C2398" s="8">
        <f>IFERROR(__xludf.DUMMYFUNCTION("SPLIT(B2398,""RM"")"),1850000.0)</f>
        <v>1850000</v>
      </c>
      <c r="D2398" s="7" t="s">
        <v>57</v>
      </c>
      <c r="E2398" s="7">
        <v>3.0</v>
      </c>
      <c r="F2398" s="7">
        <v>2.0</v>
      </c>
      <c r="G2398" s="7" t="s">
        <v>54</v>
      </c>
      <c r="H2398" s="7" t="s">
        <v>283</v>
      </c>
      <c r="I2398" s="7" t="s">
        <v>27</v>
      </c>
    </row>
    <row r="2399">
      <c r="A2399" s="7" t="s">
        <v>77</v>
      </c>
      <c r="B2399" s="7" t="s">
        <v>98</v>
      </c>
      <c r="C2399" s="8">
        <f>IFERROR(__xludf.DUMMYFUNCTION("SPLIT(B2399,""RM"")"),1830000.0)</f>
        <v>1830000</v>
      </c>
      <c r="D2399" s="7" t="s">
        <v>57</v>
      </c>
      <c r="E2399" s="7">
        <v>3.0</v>
      </c>
      <c r="G2399" s="7" t="s">
        <v>169</v>
      </c>
      <c r="H2399" s="7" t="s">
        <v>283</v>
      </c>
      <c r="I2399" s="7" t="s">
        <v>27</v>
      </c>
    </row>
    <row r="2400">
      <c r="A2400" s="7" t="s">
        <v>77</v>
      </c>
      <c r="B2400" s="7" t="s">
        <v>484</v>
      </c>
      <c r="C2400" s="8">
        <f>IFERROR(__xludf.DUMMYFUNCTION("SPLIT(B2400,""RM"")"),2950000.0)</f>
        <v>2950000</v>
      </c>
      <c r="D2400" s="7" t="s">
        <v>57</v>
      </c>
      <c r="E2400" s="7">
        <v>4.0</v>
      </c>
      <c r="F2400" s="7">
        <v>2.0</v>
      </c>
      <c r="G2400" s="7" t="s">
        <v>169</v>
      </c>
      <c r="H2400" s="7" t="s">
        <v>1854</v>
      </c>
      <c r="I2400" s="7" t="s">
        <v>27</v>
      </c>
    </row>
    <row r="2401">
      <c r="A2401" s="7" t="s">
        <v>77</v>
      </c>
      <c r="B2401" s="7" t="s">
        <v>306</v>
      </c>
      <c r="C2401" s="8">
        <f>IFERROR(__xludf.DUMMYFUNCTION("SPLIT(B2401,""RM"")"),1990000.0)</f>
        <v>1990000</v>
      </c>
      <c r="D2401" s="7" t="s">
        <v>57</v>
      </c>
      <c r="E2401" s="7">
        <v>4.0</v>
      </c>
      <c r="G2401" s="7" t="s">
        <v>169</v>
      </c>
      <c r="H2401" s="7" t="s">
        <v>1409</v>
      </c>
    </row>
    <row r="2402">
      <c r="A2402" s="7" t="s">
        <v>77</v>
      </c>
      <c r="B2402" s="7" t="s">
        <v>183</v>
      </c>
      <c r="C2402" s="8">
        <f>IFERROR(__xludf.DUMMYFUNCTION("SPLIT(B2402,""RM"")"),2880000.0)</f>
        <v>2880000</v>
      </c>
      <c r="D2402" s="7" t="s">
        <v>57</v>
      </c>
      <c r="E2402" s="7">
        <v>4.0</v>
      </c>
      <c r="F2402" s="7">
        <v>2.0</v>
      </c>
      <c r="G2402" s="7" t="s">
        <v>169</v>
      </c>
      <c r="H2402" s="7" t="s">
        <v>1854</v>
      </c>
      <c r="I2402" s="7" t="s">
        <v>27</v>
      </c>
    </row>
    <row r="2403">
      <c r="A2403" s="7" t="s">
        <v>77</v>
      </c>
      <c r="B2403" s="7" t="s">
        <v>277</v>
      </c>
      <c r="C2403" s="8">
        <f>IFERROR(__xludf.DUMMYFUNCTION("SPLIT(B2403,""RM"")"),2200000.0)</f>
        <v>2200000</v>
      </c>
      <c r="D2403" s="7">
        <v>4.0</v>
      </c>
      <c r="E2403" s="7">
        <v>3.0</v>
      </c>
      <c r="G2403" s="7" t="s">
        <v>169</v>
      </c>
      <c r="H2403" s="7" t="s">
        <v>1409</v>
      </c>
      <c r="I2403" s="7" t="s">
        <v>22</v>
      </c>
    </row>
    <row r="2404">
      <c r="A2404" s="7" t="s">
        <v>72</v>
      </c>
      <c r="B2404" s="7" t="s">
        <v>316</v>
      </c>
      <c r="C2404" s="8">
        <f>IFERROR(__xludf.DUMMYFUNCTION("SPLIT(B2404,""RM"")"),820000.0)</f>
        <v>820000</v>
      </c>
      <c r="F2404" s="7">
        <v>2.0</v>
      </c>
      <c r="G2404" s="7" t="s">
        <v>30</v>
      </c>
      <c r="H2404" s="7" t="s">
        <v>1855</v>
      </c>
      <c r="I2404" s="7" t="s">
        <v>22</v>
      </c>
    </row>
    <row r="2405">
      <c r="A2405" s="7" t="s">
        <v>32</v>
      </c>
      <c r="B2405" s="7" t="s">
        <v>563</v>
      </c>
      <c r="C2405" s="8">
        <f>IFERROR(__xludf.DUMMYFUNCTION("SPLIT(B2405,""RM"")"),600000.0)</f>
        <v>600000</v>
      </c>
      <c r="D2405" s="7">
        <v>4.0</v>
      </c>
      <c r="E2405" s="7">
        <v>3.0</v>
      </c>
      <c r="G2405" s="7" t="s">
        <v>169</v>
      </c>
      <c r="H2405" s="7" t="s">
        <v>1856</v>
      </c>
    </row>
    <row r="2406">
      <c r="A2406" s="7" t="s">
        <v>188</v>
      </c>
      <c r="B2406" s="7" t="s">
        <v>263</v>
      </c>
      <c r="C2406" s="8">
        <f>IFERROR(__xludf.DUMMYFUNCTION("SPLIT(B2406,""RM"")"),9500000.0)</f>
        <v>9500000</v>
      </c>
      <c r="D2406" s="7" t="s">
        <v>39</v>
      </c>
      <c r="E2406" s="7">
        <v>6.0</v>
      </c>
      <c r="G2406" s="7" t="s">
        <v>121</v>
      </c>
      <c r="H2406" s="7" t="s">
        <v>1857</v>
      </c>
      <c r="I2406" s="7" t="s">
        <v>27</v>
      </c>
    </row>
    <row r="2407">
      <c r="A2407" s="7" t="s">
        <v>32</v>
      </c>
      <c r="B2407" s="7" t="s">
        <v>641</v>
      </c>
      <c r="C2407" s="8">
        <f>IFERROR(__xludf.DUMMYFUNCTION("SPLIT(B2407,""RM"")"),830000.0)</f>
        <v>830000</v>
      </c>
      <c r="D2407" s="7">
        <v>1.0</v>
      </c>
      <c r="E2407" s="7">
        <v>1.0</v>
      </c>
      <c r="F2407" s="7">
        <v>1.0</v>
      </c>
      <c r="G2407" s="7" t="s">
        <v>354</v>
      </c>
      <c r="H2407" s="7" t="s">
        <v>929</v>
      </c>
      <c r="I2407" s="7" t="s">
        <v>22</v>
      </c>
    </row>
    <row r="2408">
      <c r="A2408" s="7" t="s">
        <v>32</v>
      </c>
      <c r="B2408" s="7" t="s">
        <v>349</v>
      </c>
      <c r="C2408" s="8">
        <f>IFERROR(__xludf.DUMMYFUNCTION("SPLIT(B2408,""RM"")"),1400000.0)</f>
        <v>1400000</v>
      </c>
      <c r="D2408" s="7">
        <v>3.0</v>
      </c>
      <c r="E2408" s="7">
        <v>2.0</v>
      </c>
      <c r="F2408" s="7">
        <v>1.0</v>
      </c>
      <c r="G2408" s="7" t="s">
        <v>82</v>
      </c>
      <c r="H2408" s="7" t="s">
        <v>237</v>
      </c>
      <c r="I2408" s="7" t="s">
        <v>22</v>
      </c>
    </row>
    <row r="2409">
      <c r="A2409" s="7" t="s">
        <v>32</v>
      </c>
      <c r="B2409" s="7" t="s">
        <v>1858</v>
      </c>
      <c r="C2409" s="8">
        <f>IFERROR(__xludf.DUMMYFUNCTION("SPLIT(B2409,""RM"")"),1105500.0)</f>
        <v>1105500</v>
      </c>
      <c r="D2409" s="7">
        <v>2.0</v>
      </c>
      <c r="E2409" s="7">
        <v>2.0</v>
      </c>
      <c r="F2409" s="7">
        <v>1.0</v>
      </c>
      <c r="G2409" s="7" t="s">
        <v>20</v>
      </c>
      <c r="H2409" s="7" t="s">
        <v>1694</v>
      </c>
    </row>
    <row r="2410">
      <c r="A2410" s="7" t="s">
        <v>32</v>
      </c>
      <c r="B2410" s="7" t="s">
        <v>1859</v>
      </c>
      <c r="C2410" s="8">
        <f>IFERROR(__xludf.DUMMYFUNCTION("SPLIT(B2410,""RM"")"),1216800.0)</f>
        <v>1216800</v>
      </c>
      <c r="D2410" s="7">
        <v>2.0</v>
      </c>
      <c r="E2410" s="7">
        <v>2.0</v>
      </c>
      <c r="F2410" s="7">
        <v>1.0</v>
      </c>
      <c r="G2410" s="7" t="s">
        <v>82</v>
      </c>
      <c r="H2410" s="7" t="s">
        <v>1694</v>
      </c>
      <c r="I2410" s="7" t="s">
        <v>251</v>
      </c>
    </row>
    <row r="2411">
      <c r="A2411" s="7" t="s">
        <v>32</v>
      </c>
      <c r="B2411" s="7" t="s">
        <v>349</v>
      </c>
      <c r="C2411" s="8">
        <f>IFERROR(__xludf.DUMMYFUNCTION("SPLIT(B2411,""RM"")"),1400000.0)</f>
        <v>1400000</v>
      </c>
      <c r="D2411" s="7">
        <v>3.0</v>
      </c>
      <c r="E2411" s="7">
        <v>2.0</v>
      </c>
      <c r="F2411" s="7">
        <v>1.0</v>
      </c>
      <c r="G2411" s="7" t="s">
        <v>82</v>
      </c>
      <c r="H2411" s="7" t="s">
        <v>237</v>
      </c>
      <c r="I2411" s="7" t="s">
        <v>22</v>
      </c>
    </row>
    <row r="2412">
      <c r="A2412" s="7" t="s">
        <v>32</v>
      </c>
      <c r="B2412" s="7" t="s">
        <v>329</v>
      </c>
      <c r="C2412" s="8">
        <f>IFERROR(__xludf.DUMMYFUNCTION("SPLIT(B2412,""RM"")"),1200000.0)</f>
        <v>1200000</v>
      </c>
      <c r="D2412" s="7">
        <v>2.0</v>
      </c>
      <c r="E2412" s="7">
        <v>2.0</v>
      </c>
      <c r="F2412" s="7">
        <v>1.0</v>
      </c>
      <c r="G2412" s="7" t="s">
        <v>121</v>
      </c>
      <c r="H2412" s="7" t="s">
        <v>1449</v>
      </c>
      <c r="I2412" s="7" t="s">
        <v>22</v>
      </c>
    </row>
    <row r="2413">
      <c r="A2413" s="7" t="s">
        <v>32</v>
      </c>
      <c r="B2413" s="7" t="s">
        <v>1860</v>
      </c>
      <c r="C2413" s="8">
        <f>IFERROR(__xludf.DUMMYFUNCTION("SPLIT(B2413,""RM"")"),1003000.0)</f>
        <v>1003000</v>
      </c>
      <c r="D2413" s="7">
        <v>2.0</v>
      </c>
      <c r="E2413" s="7">
        <v>2.0</v>
      </c>
      <c r="F2413" s="7">
        <v>1.0</v>
      </c>
      <c r="G2413" s="7" t="s">
        <v>20</v>
      </c>
      <c r="H2413" s="7" t="s">
        <v>392</v>
      </c>
    </row>
    <row r="2414">
      <c r="A2414" s="7" t="s">
        <v>32</v>
      </c>
      <c r="B2414" s="7" t="s">
        <v>1861</v>
      </c>
      <c r="C2414" s="8">
        <f>IFERROR(__xludf.DUMMYFUNCTION("SPLIT(B2414,""RM"")"),1123000.0)</f>
        <v>1123000</v>
      </c>
      <c r="D2414" s="7">
        <v>2.0</v>
      </c>
      <c r="E2414" s="7">
        <v>2.0</v>
      </c>
      <c r="F2414" s="7">
        <v>1.0</v>
      </c>
      <c r="G2414" s="7" t="s">
        <v>20</v>
      </c>
      <c r="H2414" s="7" t="s">
        <v>1694</v>
      </c>
    </row>
    <row r="2415">
      <c r="A2415" s="7" t="s">
        <v>17</v>
      </c>
      <c r="B2415" s="7" t="s">
        <v>1862</v>
      </c>
      <c r="C2415" s="8">
        <f>IFERROR(__xludf.DUMMYFUNCTION("SPLIT(B2415,""RM"")"),899000.0)</f>
        <v>899000</v>
      </c>
      <c r="D2415" s="7">
        <v>2.0</v>
      </c>
      <c r="E2415" s="7">
        <v>2.0</v>
      </c>
      <c r="F2415" s="7">
        <v>1.0</v>
      </c>
      <c r="G2415" s="7" t="s">
        <v>20</v>
      </c>
      <c r="H2415" s="7" t="s">
        <v>519</v>
      </c>
      <c r="I2415" s="7" t="s">
        <v>22</v>
      </c>
    </row>
    <row r="2416">
      <c r="A2416" s="7" t="s">
        <v>37</v>
      </c>
      <c r="B2416" s="7" t="s">
        <v>1075</v>
      </c>
      <c r="C2416" s="8">
        <f>IFERROR(__xludf.DUMMYFUNCTION("SPLIT(B2416,""RM"")"),790000.0)</f>
        <v>790000</v>
      </c>
      <c r="D2416" s="7">
        <v>2.0</v>
      </c>
      <c r="E2416" s="7">
        <v>2.0</v>
      </c>
      <c r="F2416" s="7">
        <v>1.0</v>
      </c>
      <c r="G2416" s="7" t="s">
        <v>20</v>
      </c>
      <c r="H2416" s="7" t="s">
        <v>1352</v>
      </c>
    </row>
    <row r="2417">
      <c r="A2417" s="7" t="s">
        <v>37</v>
      </c>
      <c r="B2417" s="7" t="s">
        <v>78</v>
      </c>
      <c r="C2417" s="8">
        <f>IFERROR(__xludf.DUMMYFUNCTION("SPLIT(B2417,""RM"")"),1500000.0)</f>
        <v>1500000</v>
      </c>
      <c r="D2417" s="7" t="s">
        <v>57</v>
      </c>
      <c r="F2417" s="7">
        <v>2.0</v>
      </c>
      <c r="G2417" s="7" t="s">
        <v>20</v>
      </c>
      <c r="H2417" s="7" t="s">
        <v>1830</v>
      </c>
    </row>
    <row r="2418">
      <c r="A2418" s="7" t="s">
        <v>37</v>
      </c>
      <c r="B2418" s="7" t="s">
        <v>78</v>
      </c>
      <c r="C2418" s="8">
        <f>IFERROR(__xludf.DUMMYFUNCTION("SPLIT(B2418,""RM"")"),1500000.0)</f>
        <v>1500000</v>
      </c>
      <c r="D2418" s="7" t="s">
        <v>35</v>
      </c>
      <c r="E2418" s="7">
        <v>3.0</v>
      </c>
      <c r="F2418" s="7">
        <v>2.0</v>
      </c>
      <c r="G2418" s="7" t="s">
        <v>378</v>
      </c>
      <c r="H2418" s="7" t="s">
        <v>1863</v>
      </c>
      <c r="I2418" s="7" t="s">
        <v>27</v>
      </c>
    </row>
    <row r="2419">
      <c r="A2419" s="7" t="s">
        <v>32</v>
      </c>
      <c r="B2419" s="7" t="s">
        <v>951</v>
      </c>
      <c r="C2419" s="8">
        <f>IFERROR(__xludf.DUMMYFUNCTION("SPLIT(B2419,""RM"")"),415000.0)</f>
        <v>415000</v>
      </c>
      <c r="D2419" s="7">
        <v>3.0</v>
      </c>
      <c r="E2419" s="7">
        <v>2.0</v>
      </c>
      <c r="F2419" s="7">
        <v>2.0</v>
      </c>
      <c r="G2419" s="7" t="s">
        <v>83</v>
      </c>
      <c r="H2419" s="7" t="s">
        <v>1864</v>
      </c>
      <c r="I2419" s="7" t="s">
        <v>22</v>
      </c>
    </row>
    <row r="2420">
      <c r="A2420" s="7" t="s">
        <v>371</v>
      </c>
      <c r="B2420" s="7" t="s">
        <v>314</v>
      </c>
      <c r="C2420" s="8">
        <f>IFERROR(__xludf.DUMMYFUNCTION("SPLIT(B2420,""RM"")"),670000.0)</f>
        <v>670000</v>
      </c>
      <c r="D2420" s="7" t="s">
        <v>57</v>
      </c>
      <c r="E2420" s="7">
        <v>2.0</v>
      </c>
      <c r="F2420" s="7">
        <v>1.0</v>
      </c>
      <c r="G2420" s="7" t="s">
        <v>93</v>
      </c>
      <c r="H2420" s="7" t="s">
        <v>1865</v>
      </c>
      <c r="I2420" s="7" t="s">
        <v>27</v>
      </c>
    </row>
    <row r="2421">
      <c r="A2421" s="7" t="s">
        <v>72</v>
      </c>
      <c r="B2421" s="7" t="s">
        <v>984</v>
      </c>
      <c r="C2421" s="8">
        <f>IFERROR(__xludf.DUMMYFUNCTION("SPLIT(B2421,""RM"")"),1120000.0)</f>
        <v>1120000</v>
      </c>
      <c r="D2421" s="7">
        <v>2.0</v>
      </c>
      <c r="E2421" s="7">
        <v>2.0</v>
      </c>
      <c r="F2421" s="7">
        <v>1.0</v>
      </c>
      <c r="G2421" s="7" t="s">
        <v>82</v>
      </c>
      <c r="H2421" s="7" t="s">
        <v>738</v>
      </c>
      <c r="I2421" s="7" t="s">
        <v>22</v>
      </c>
    </row>
    <row r="2422">
      <c r="A2422" s="7" t="s">
        <v>72</v>
      </c>
      <c r="B2422" s="7" t="s">
        <v>1866</v>
      </c>
      <c r="C2422" s="8">
        <f>IFERROR(__xludf.DUMMYFUNCTION("SPLIT(B2422,""RM"")"),2910000.0)</f>
        <v>2910000</v>
      </c>
      <c r="D2422" s="7" t="s">
        <v>35</v>
      </c>
      <c r="E2422" s="7">
        <v>5.0</v>
      </c>
      <c r="F2422" s="7">
        <v>3.0</v>
      </c>
      <c r="G2422" s="7" t="s">
        <v>83</v>
      </c>
      <c r="H2422" s="7" t="s">
        <v>989</v>
      </c>
      <c r="I2422" s="7" t="s">
        <v>22</v>
      </c>
    </row>
    <row r="2423">
      <c r="A2423" s="7" t="s">
        <v>72</v>
      </c>
      <c r="B2423" s="7" t="s">
        <v>1075</v>
      </c>
      <c r="C2423" s="8">
        <f>IFERROR(__xludf.DUMMYFUNCTION("SPLIT(B2423,""RM"")"),790000.0)</f>
        <v>790000</v>
      </c>
      <c r="D2423" s="7" t="s">
        <v>197</v>
      </c>
      <c r="E2423" s="7">
        <v>1.0</v>
      </c>
      <c r="G2423" s="7" t="s">
        <v>938</v>
      </c>
      <c r="H2423" s="7" t="s">
        <v>1867</v>
      </c>
      <c r="I2423" s="7" t="s">
        <v>22</v>
      </c>
    </row>
    <row r="2424">
      <c r="A2424" s="7" t="s">
        <v>148</v>
      </c>
      <c r="B2424" s="7" t="s">
        <v>484</v>
      </c>
      <c r="C2424" s="8">
        <f>IFERROR(__xludf.DUMMYFUNCTION("SPLIT(B2424,""RM"")"),2950000.0)</f>
        <v>2950000</v>
      </c>
      <c r="D2424" s="7">
        <v>5.0</v>
      </c>
      <c r="E2424" s="7">
        <v>5.0</v>
      </c>
      <c r="F2424" s="7">
        <v>4.0</v>
      </c>
      <c r="G2424" s="7" t="s">
        <v>64</v>
      </c>
      <c r="H2424" s="7" t="s">
        <v>1868</v>
      </c>
      <c r="I2424" s="7" t="s">
        <v>22</v>
      </c>
    </row>
    <row r="2425">
      <c r="A2425" s="7" t="s">
        <v>72</v>
      </c>
      <c r="B2425" s="7" t="s">
        <v>174</v>
      </c>
      <c r="C2425" s="8">
        <f>IFERROR(__xludf.DUMMYFUNCTION("SPLIT(B2425,""RM"")"),3000000.0)</f>
        <v>3000000</v>
      </c>
      <c r="D2425" s="7" t="s">
        <v>70</v>
      </c>
      <c r="E2425" s="7">
        <v>5.0</v>
      </c>
      <c r="F2425" s="7">
        <v>2.0</v>
      </c>
      <c r="G2425" s="7" t="s">
        <v>43</v>
      </c>
      <c r="H2425" s="7" t="s">
        <v>860</v>
      </c>
      <c r="I2425" s="7" t="s">
        <v>27</v>
      </c>
    </row>
    <row r="2426">
      <c r="A2426" s="7" t="s">
        <v>72</v>
      </c>
      <c r="B2426" s="7" t="s">
        <v>635</v>
      </c>
      <c r="C2426" s="8">
        <f>IFERROR(__xludf.DUMMYFUNCTION("SPLIT(B2426,""RM"")"),720000.0)</f>
        <v>720000</v>
      </c>
      <c r="D2426" s="7">
        <v>3.0</v>
      </c>
      <c r="E2426" s="7">
        <v>2.0</v>
      </c>
      <c r="F2426" s="7">
        <v>1.0</v>
      </c>
      <c r="G2426" s="7" t="s">
        <v>83</v>
      </c>
      <c r="H2426" s="7" t="s">
        <v>982</v>
      </c>
    </row>
    <row r="2427">
      <c r="A2427" s="7" t="s">
        <v>109</v>
      </c>
      <c r="B2427" s="7" t="s">
        <v>1111</v>
      </c>
      <c r="C2427" s="8">
        <f>IFERROR(__xludf.DUMMYFUNCTION("SPLIT(B2427,""RM"")"),390000.0)</f>
        <v>390000</v>
      </c>
      <c r="G2427" s="7" t="s">
        <v>83</v>
      </c>
    </row>
    <row r="2428">
      <c r="A2428" s="7" t="s">
        <v>32</v>
      </c>
      <c r="B2428" s="7" t="s">
        <v>1869</v>
      </c>
      <c r="C2428" s="8">
        <f>IFERROR(__xludf.DUMMYFUNCTION("SPLIT(B2428,""RM"")"),458000.0)</f>
        <v>458000</v>
      </c>
      <c r="D2428" s="7">
        <v>3.0</v>
      </c>
      <c r="E2428" s="7">
        <v>2.0</v>
      </c>
      <c r="F2428" s="7">
        <v>1.0</v>
      </c>
      <c r="G2428" s="7" t="s">
        <v>82</v>
      </c>
      <c r="H2428" s="7" t="s">
        <v>1870</v>
      </c>
      <c r="I2428" s="7" t="s">
        <v>27</v>
      </c>
    </row>
    <row r="2429">
      <c r="A2429" s="7" t="s">
        <v>72</v>
      </c>
      <c r="B2429" s="7" t="s">
        <v>120</v>
      </c>
      <c r="C2429" s="8">
        <f>IFERROR(__xludf.DUMMYFUNCTION("SPLIT(B2429,""RM"")"),3600000.0)</f>
        <v>3600000</v>
      </c>
      <c r="D2429" s="7">
        <v>5.0</v>
      </c>
      <c r="E2429" s="7">
        <v>4.0</v>
      </c>
      <c r="G2429" s="7" t="s">
        <v>43</v>
      </c>
      <c r="H2429" s="7" t="s">
        <v>1491</v>
      </c>
      <c r="I2429" s="7" t="s">
        <v>27</v>
      </c>
    </row>
    <row r="2430">
      <c r="A2430" s="7" t="s">
        <v>432</v>
      </c>
      <c r="B2430" s="7" t="s">
        <v>149</v>
      </c>
      <c r="C2430" s="8">
        <f>IFERROR(__xludf.DUMMYFUNCTION("SPLIT(B2430,""RM"")"),4000000.0)</f>
        <v>4000000</v>
      </c>
      <c r="D2430" s="7" t="s">
        <v>70</v>
      </c>
      <c r="E2430" s="7">
        <v>5.0</v>
      </c>
      <c r="G2430" s="7" t="s">
        <v>736</v>
      </c>
      <c r="H2430" s="7" t="s">
        <v>860</v>
      </c>
      <c r="I2430" s="7" t="s">
        <v>27</v>
      </c>
    </row>
    <row r="2431">
      <c r="A2431" s="7" t="s">
        <v>428</v>
      </c>
      <c r="B2431" s="7" t="s">
        <v>221</v>
      </c>
      <c r="C2431" s="8">
        <f>IFERROR(__xludf.DUMMYFUNCTION("SPLIT(B2431,""RM"")"),630000.0)</f>
        <v>630000</v>
      </c>
      <c r="D2431" s="7">
        <v>1.0</v>
      </c>
      <c r="E2431" s="7">
        <v>1.0</v>
      </c>
      <c r="F2431" s="7">
        <v>1.0</v>
      </c>
      <c r="G2431" s="7" t="s">
        <v>82</v>
      </c>
      <c r="H2431" s="7" t="s">
        <v>1871</v>
      </c>
      <c r="I2431" s="7" t="s">
        <v>27</v>
      </c>
    </row>
    <row r="2432">
      <c r="A2432" s="7" t="s">
        <v>72</v>
      </c>
      <c r="B2432" s="7" t="s">
        <v>1872</v>
      </c>
      <c r="C2432" s="8">
        <f>IFERROR(__xludf.DUMMYFUNCTION("SPLIT(B2432,""RM"")"),4860000.0)</f>
        <v>4860000</v>
      </c>
      <c r="D2432" s="7">
        <v>6.0</v>
      </c>
      <c r="E2432" s="7">
        <v>6.0</v>
      </c>
      <c r="F2432" s="7">
        <v>4.0</v>
      </c>
      <c r="G2432" s="7" t="s">
        <v>25</v>
      </c>
      <c r="H2432" s="7" t="s">
        <v>1873</v>
      </c>
      <c r="I2432" s="7" t="s">
        <v>27</v>
      </c>
    </row>
    <row r="2433">
      <c r="A2433" s="7" t="s">
        <v>692</v>
      </c>
      <c r="B2433" s="7" t="s">
        <v>403</v>
      </c>
      <c r="C2433" s="8">
        <f>IFERROR(__xludf.DUMMYFUNCTION("SPLIT(B2433,""RM"")"),1600000.0)</f>
        <v>1600000</v>
      </c>
      <c r="D2433" s="7" t="s">
        <v>35</v>
      </c>
      <c r="E2433" s="7">
        <v>4.0</v>
      </c>
      <c r="F2433" s="7">
        <v>3.0</v>
      </c>
      <c r="G2433" s="7" t="s">
        <v>54</v>
      </c>
      <c r="H2433" s="7" t="s">
        <v>283</v>
      </c>
      <c r="I2433" s="7" t="s">
        <v>27</v>
      </c>
    </row>
    <row r="2434">
      <c r="A2434" s="7" t="s">
        <v>692</v>
      </c>
      <c r="B2434" s="7" t="s">
        <v>53</v>
      </c>
      <c r="C2434" s="8">
        <f>IFERROR(__xludf.DUMMYFUNCTION("SPLIT(B2434,""RM"")"),1680000.0)</f>
        <v>1680000</v>
      </c>
      <c r="D2434" s="7" t="s">
        <v>70</v>
      </c>
      <c r="E2434" s="7">
        <v>5.0</v>
      </c>
      <c r="G2434" s="7" t="s">
        <v>203</v>
      </c>
      <c r="H2434" s="7" t="s">
        <v>283</v>
      </c>
      <c r="I2434" s="7" t="s">
        <v>27</v>
      </c>
    </row>
    <row r="2435">
      <c r="A2435" s="7" t="s">
        <v>692</v>
      </c>
      <c r="B2435" s="7" t="s">
        <v>422</v>
      </c>
      <c r="C2435" s="8">
        <f>IFERROR(__xludf.DUMMYFUNCTION("SPLIT(B2435,""RM"")"),2050000.0)</f>
        <v>2050000</v>
      </c>
      <c r="D2435" s="7" t="s">
        <v>70</v>
      </c>
      <c r="E2435" s="7">
        <v>5.0</v>
      </c>
      <c r="F2435" s="7">
        <v>3.0</v>
      </c>
      <c r="G2435" s="7" t="s">
        <v>804</v>
      </c>
      <c r="H2435" s="7" t="s">
        <v>1129</v>
      </c>
      <c r="I2435" s="7" t="s">
        <v>27</v>
      </c>
    </row>
    <row r="2436">
      <c r="A2436" s="7" t="s">
        <v>692</v>
      </c>
      <c r="B2436" s="7" t="s">
        <v>329</v>
      </c>
      <c r="C2436" s="8">
        <f>IFERROR(__xludf.DUMMYFUNCTION("SPLIT(B2436,""RM"")"),1200000.0)</f>
        <v>1200000</v>
      </c>
      <c r="D2436" s="7" t="s">
        <v>57</v>
      </c>
      <c r="E2436" s="7">
        <v>3.0</v>
      </c>
      <c r="F2436" s="7">
        <v>3.0</v>
      </c>
      <c r="G2436" s="7" t="s">
        <v>494</v>
      </c>
      <c r="H2436" s="7" t="s">
        <v>1680</v>
      </c>
      <c r="I2436" s="7" t="s">
        <v>103</v>
      </c>
    </row>
    <row r="2437">
      <c r="A2437" s="7" t="s">
        <v>692</v>
      </c>
      <c r="B2437" s="7" t="s">
        <v>279</v>
      </c>
      <c r="C2437" s="8">
        <f>IFERROR(__xludf.DUMMYFUNCTION("SPLIT(B2437,""RM"")"),1380000.0)</f>
        <v>1380000</v>
      </c>
      <c r="D2437" s="7" t="s">
        <v>57</v>
      </c>
      <c r="E2437" s="7">
        <v>3.0</v>
      </c>
      <c r="F2437" s="7">
        <v>3.0</v>
      </c>
      <c r="G2437" s="7" t="s">
        <v>494</v>
      </c>
      <c r="H2437" s="7" t="s">
        <v>1874</v>
      </c>
      <c r="I2437" s="7" t="s">
        <v>27</v>
      </c>
    </row>
    <row r="2438">
      <c r="A2438" s="7" t="s">
        <v>371</v>
      </c>
      <c r="B2438" s="7" t="s">
        <v>715</v>
      </c>
      <c r="C2438" s="8">
        <f>IFERROR(__xludf.DUMMYFUNCTION("SPLIT(B2438,""RM"")"),550000.0)</f>
        <v>550000</v>
      </c>
      <c r="D2438" s="7">
        <v>2.0</v>
      </c>
      <c r="E2438" s="7">
        <v>2.0</v>
      </c>
      <c r="F2438" s="7">
        <v>1.0</v>
      </c>
      <c r="G2438" s="7" t="s">
        <v>93</v>
      </c>
      <c r="H2438" s="7" t="s">
        <v>640</v>
      </c>
      <c r="I2438" s="7" t="s">
        <v>22</v>
      </c>
    </row>
    <row r="2439">
      <c r="A2439" s="7" t="s">
        <v>371</v>
      </c>
      <c r="B2439" s="7" t="s">
        <v>890</v>
      </c>
      <c r="C2439" s="8">
        <f>IFERROR(__xludf.DUMMYFUNCTION("SPLIT(B2439,""RM"")"),450000.0)</f>
        <v>450000</v>
      </c>
      <c r="D2439" s="7" t="s">
        <v>197</v>
      </c>
      <c r="E2439" s="7">
        <v>2.0</v>
      </c>
      <c r="F2439" s="7">
        <v>2.0</v>
      </c>
      <c r="G2439" s="7" t="s">
        <v>83</v>
      </c>
      <c r="H2439" s="7" t="s">
        <v>1875</v>
      </c>
      <c r="I2439" s="7" t="s">
        <v>27</v>
      </c>
    </row>
    <row r="2440">
      <c r="A2440" s="7" t="s">
        <v>100</v>
      </c>
      <c r="B2440" s="7" t="s">
        <v>1876</v>
      </c>
      <c r="C2440" s="8">
        <f>IFERROR(__xludf.DUMMYFUNCTION("SPLIT(B2440,""RM"")"),642000.0)</f>
        <v>642000</v>
      </c>
      <c r="D2440" s="7">
        <v>3.0</v>
      </c>
      <c r="E2440" s="7">
        <v>2.0</v>
      </c>
      <c r="F2440" s="7">
        <v>2.0</v>
      </c>
      <c r="G2440" s="7" t="s">
        <v>20</v>
      </c>
      <c r="H2440" s="7" t="s">
        <v>380</v>
      </c>
      <c r="I2440" s="7" t="s">
        <v>27</v>
      </c>
    </row>
    <row r="2441">
      <c r="A2441" s="7" t="s">
        <v>371</v>
      </c>
      <c r="B2441" s="7" t="s">
        <v>501</v>
      </c>
      <c r="C2441" s="8">
        <f>IFERROR(__xludf.DUMMYFUNCTION("SPLIT(B2441,""RM"")"),1240000.0)</f>
        <v>1240000</v>
      </c>
      <c r="D2441" s="7">
        <v>6.0</v>
      </c>
      <c r="E2441" s="7">
        <v>4.0</v>
      </c>
      <c r="F2441" s="7">
        <v>4.0</v>
      </c>
      <c r="G2441" s="7" t="s">
        <v>203</v>
      </c>
      <c r="H2441" s="7" t="s">
        <v>444</v>
      </c>
      <c r="I2441" s="7" t="s">
        <v>27</v>
      </c>
    </row>
    <row r="2442">
      <c r="A2442" s="7" t="s">
        <v>177</v>
      </c>
      <c r="B2442" s="7" t="s">
        <v>616</v>
      </c>
      <c r="C2442" s="8">
        <f>IFERROR(__xludf.DUMMYFUNCTION("SPLIT(B2442,""RM"")"),7500000.0)</f>
        <v>7500000</v>
      </c>
      <c r="D2442" s="7" t="s">
        <v>70</v>
      </c>
      <c r="E2442" s="7">
        <v>7.0</v>
      </c>
      <c r="G2442" s="7" t="s">
        <v>25</v>
      </c>
      <c r="H2442" s="7" t="s">
        <v>696</v>
      </c>
      <c r="I2442" s="7" t="s">
        <v>22</v>
      </c>
    </row>
    <row r="2443">
      <c r="A2443" s="7" t="s">
        <v>241</v>
      </c>
      <c r="B2443" s="7" t="s">
        <v>168</v>
      </c>
      <c r="C2443" s="8">
        <f>IFERROR(__xludf.DUMMYFUNCTION("SPLIT(B2443,""RM"")"),750000.0)</f>
        <v>750000</v>
      </c>
      <c r="D2443" s="7" t="s">
        <v>57</v>
      </c>
      <c r="E2443" s="7">
        <v>3.0</v>
      </c>
      <c r="F2443" s="7">
        <v>2.0</v>
      </c>
      <c r="G2443" s="7" t="s">
        <v>30</v>
      </c>
      <c r="H2443" s="7" t="s">
        <v>473</v>
      </c>
      <c r="I2443" s="7" t="s">
        <v>27</v>
      </c>
    </row>
    <row r="2444">
      <c r="A2444" s="7" t="s">
        <v>241</v>
      </c>
      <c r="B2444" s="7" t="s">
        <v>1328</v>
      </c>
      <c r="C2444" s="8">
        <f>IFERROR(__xludf.DUMMYFUNCTION("SPLIT(B2444,""RM"")"),650000.0)</f>
        <v>650000</v>
      </c>
      <c r="D2444" s="7" t="s">
        <v>57</v>
      </c>
      <c r="E2444" s="7">
        <v>2.0</v>
      </c>
      <c r="F2444" s="7">
        <v>2.0</v>
      </c>
      <c r="G2444" s="7" t="s">
        <v>93</v>
      </c>
      <c r="H2444" s="7" t="s">
        <v>1108</v>
      </c>
      <c r="I2444" s="7" t="s">
        <v>22</v>
      </c>
    </row>
    <row r="2445">
      <c r="A2445" s="7" t="s">
        <v>241</v>
      </c>
      <c r="B2445" s="7" t="s">
        <v>156</v>
      </c>
      <c r="C2445" s="8">
        <f>IFERROR(__xludf.DUMMYFUNCTION("SPLIT(B2445,""RM"")"),850000.0)</f>
        <v>850000</v>
      </c>
      <c r="D2445" s="7" t="s">
        <v>57</v>
      </c>
      <c r="E2445" s="7">
        <v>3.0</v>
      </c>
      <c r="F2445" s="7">
        <v>2.0</v>
      </c>
      <c r="G2445" s="7" t="s">
        <v>30</v>
      </c>
      <c r="H2445" s="7" t="s">
        <v>1877</v>
      </c>
      <c r="I2445" s="7" t="s">
        <v>27</v>
      </c>
    </row>
    <row r="2446">
      <c r="A2446" s="7" t="s">
        <v>17</v>
      </c>
      <c r="B2446" s="7" t="s">
        <v>460</v>
      </c>
      <c r="C2446" s="8">
        <f>IFERROR(__xludf.DUMMYFUNCTION("SPLIT(B2446,""RM"")"),1580000.0)</f>
        <v>1580000</v>
      </c>
      <c r="D2446" s="7">
        <v>2.0</v>
      </c>
      <c r="E2446" s="7">
        <v>2.0</v>
      </c>
      <c r="F2446" s="7">
        <v>1.0</v>
      </c>
      <c r="G2446" s="7" t="s">
        <v>20</v>
      </c>
      <c r="H2446" s="7" t="s">
        <v>1878</v>
      </c>
      <c r="I2446" s="7" t="s">
        <v>27</v>
      </c>
    </row>
    <row r="2447">
      <c r="A2447" s="7" t="s">
        <v>17</v>
      </c>
      <c r="B2447" s="7" t="s">
        <v>1292</v>
      </c>
      <c r="C2447" s="8">
        <f>IFERROR(__xludf.DUMMYFUNCTION("SPLIT(B2447,""RM"")"),1560000.0)</f>
        <v>1560000</v>
      </c>
      <c r="D2447" s="7">
        <v>2.0</v>
      </c>
      <c r="E2447" s="7">
        <v>2.0</v>
      </c>
      <c r="F2447" s="7">
        <v>1.0</v>
      </c>
      <c r="G2447" s="7" t="s">
        <v>83</v>
      </c>
      <c r="H2447" s="7" t="s">
        <v>930</v>
      </c>
      <c r="I2447" s="7" t="s">
        <v>22</v>
      </c>
    </row>
    <row r="2448">
      <c r="A2448" s="7" t="s">
        <v>17</v>
      </c>
      <c r="B2448" s="7" t="s">
        <v>214</v>
      </c>
      <c r="C2448" s="8">
        <f>IFERROR(__xludf.DUMMYFUNCTION("SPLIT(B2448,""RM"")"),1180000.0)</f>
        <v>1180000</v>
      </c>
      <c r="D2448" s="7">
        <v>2.0</v>
      </c>
      <c r="E2448" s="7">
        <v>2.0</v>
      </c>
      <c r="F2448" s="7">
        <v>1.0</v>
      </c>
      <c r="G2448" s="7" t="s">
        <v>83</v>
      </c>
      <c r="H2448" s="7" t="s">
        <v>383</v>
      </c>
      <c r="I2448" s="7" t="s">
        <v>22</v>
      </c>
    </row>
    <row r="2449">
      <c r="A2449" s="7" t="s">
        <v>17</v>
      </c>
      <c r="B2449" s="7" t="s">
        <v>931</v>
      </c>
      <c r="C2449" s="8">
        <f>IFERROR(__xludf.DUMMYFUNCTION("SPLIT(B2449,""RM"")"),2450000.0)</f>
        <v>2450000</v>
      </c>
      <c r="D2449" s="7" t="s">
        <v>57</v>
      </c>
      <c r="E2449" s="7">
        <v>4.0</v>
      </c>
      <c r="F2449" s="7">
        <v>2.0</v>
      </c>
      <c r="G2449" s="7" t="s">
        <v>20</v>
      </c>
      <c r="H2449" s="7" t="s">
        <v>1879</v>
      </c>
      <c r="I2449" s="7" t="s">
        <v>22</v>
      </c>
    </row>
    <row r="2450">
      <c r="A2450" s="7" t="s">
        <v>17</v>
      </c>
      <c r="B2450" s="7" t="s">
        <v>236</v>
      </c>
      <c r="C2450" s="8">
        <f>IFERROR(__xludf.DUMMYFUNCTION("SPLIT(B2450,""RM"")"),2000000.0)</f>
        <v>2000000</v>
      </c>
      <c r="D2450" s="7" t="s">
        <v>57</v>
      </c>
      <c r="E2450" s="7">
        <v>4.0</v>
      </c>
      <c r="F2450" s="7">
        <v>2.0</v>
      </c>
      <c r="G2450" s="7" t="s">
        <v>20</v>
      </c>
      <c r="H2450" s="7" t="s">
        <v>551</v>
      </c>
      <c r="I2450" s="7" t="s">
        <v>22</v>
      </c>
    </row>
    <row r="2451">
      <c r="A2451" s="7" t="s">
        <v>17</v>
      </c>
      <c r="B2451" s="7" t="s">
        <v>658</v>
      </c>
      <c r="C2451" s="8">
        <f>IFERROR(__xludf.DUMMYFUNCTION("SPLIT(B2451,""RM"")"),2650000.0)</f>
        <v>2650000</v>
      </c>
      <c r="D2451" s="7" t="s">
        <v>35</v>
      </c>
      <c r="E2451" s="7">
        <v>5.0</v>
      </c>
      <c r="F2451" s="7">
        <v>2.0</v>
      </c>
      <c r="G2451" s="7" t="s">
        <v>20</v>
      </c>
      <c r="H2451" s="7" t="s">
        <v>1720</v>
      </c>
      <c r="I2451" s="7" t="s">
        <v>27</v>
      </c>
    </row>
    <row r="2452">
      <c r="A2452" s="7" t="s">
        <v>17</v>
      </c>
      <c r="B2452" s="7" t="s">
        <v>475</v>
      </c>
      <c r="C2452" s="8">
        <f>IFERROR(__xludf.DUMMYFUNCTION("SPLIT(B2452,""RM"")"),2800000.0)</f>
        <v>2800000</v>
      </c>
      <c r="D2452" s="7" t="s">
        <v>57</v>
      </c>
      <c r="E2452" s="7">
        <v>5.0</v>
      </c>
      <c r="F2452" s="7">
        <v>3.0</v>
      </c>
      <c r="G2452" s="7" t="s">
        <v>83</v>
      </c>
      <c r="H2452" s="7" t="s">
        <v>1421</v>
      </c>
      <c r="I2452" s="7" t="s">
        <v>27</v>
      </c>
    </row>
    <row r="2453">
      <c r="A2453" s="7" t="s">
        <v>17</v>
      </c>
      <c r="B2453" s="7" t="s">
        <v>174</v>
      </c>
      <c r="C2453" s="8">
        <f>IFERROR(__xludf.DUMMYFUNCTION("SPLIT(B2453,""RM"")"),3000000.0)</f>
        <v>3000000</v>
      </c>
      <c r="D2453" s="7" t="s">
        <v>57</v>
      </c>
      <c r="E2453" s="7">
        <v>5.0</v>
      </c>
      <c r="F2453" s="7">
        <v>2.0</v>
      </c>
      <c r="G2453" s="7" t="s">
        <v>83</v>
      </c>
      <c r="H2453" s="7" t="s">
        <v>1077</v>
      </c>
      <c r="I2453" s="7" t="s">
        <v>22</v>
      </c>
    </row>
    <row r="2454">
      <c r="A2454" s="7" t="s">
        <v>17</v>
      </c>
      <c r="B2454" s="7" t="s">
        <v>1543</v>
      </c>
      <c r="C2454" s="8">
        <f>IFERROR(__xludf.DUMMYFUNCTION("SPLIT(B2454,""RM"")"),918000.0)</f>
        <v>918000</v>
      </c>
      <c r="D2454" s="7">
        <v>1.0</v>
      </c>
      <c r="E2454" s="7">
        <v>1.0</v>
      </c>
      <c r="F2454" s="7">
        <v>1.0</v>
      </c>
      <c r="G2454" s="7" t="s">
        <v>20</v>
      </c>
      <c r="H2454" s="7" t="s">
        <v>512</v>
      </c>
      <c r="I2454" s="7" t="s">
        <v>22</v>
      </c>
    </row>
    <row r="2455">
      <c r="A2455" s="7" t="s">
        <v>180</v>
      </c>
      <c r="B2455" s="7" t="s">
        <v>1446</v>
      </c>
      <c r="C2455" s="8">
        <f>IFERROR(__xludf.DUMMYFUNCTION("SPLIT(B2455,""RM"")"),999999.0)</f>
        <v>999999</v>
      </c>
      <c r="G2455" s="7" t="s">
        <v>121</v>
      </c>
      <c r="H2455" s="7" t="s">
        <v>1614</v>
      </c>
      <c r="I2455" s="7" t="s">
        <v>22</v>
      </c>
    </row>
    <row r="2456">
      <c r="A2456" s="7" t="s">
        <v>368</v>
      </c>
      <c r="B2456" s="7" t="s">
        <v>172</v>
      </c>
      <c r="C2456" s="8">
        <f>IFERROR(__xludf.DUMMYFUNCTION("SPLIT(B2456,""RM"")"),580000.0)</f>
        <v>580000</v>
      </c>
      <c r="D2456" s="7">
        <v>2.0</v>
      </c>
      <c r="E2456" s="7">
        <v>2.0</v>
      </c>
      <c r="F2456" s="7">
        <v>2.0</v>
      </c>
      <c r="G2456" s="7" t="s">
        <v>20</v>
      </c>
      <c r="H2456" s="7" t="s">
        <v>1567</v>
      </c>
    </row>
    <row r="2457">
      <c r="A2457" s="7" t="s">
        <v>368</v>
      </c>
      <c r="B2457" s="7" t="s">
        <v>139</v>
      </c>
      <c r="C2457" s="8">
        <f>IFERROR(__xludf.DUMMYFUNCTION("SPLIT(B2457,""RM"")"),780000.0)</f>
        <v>780000</v>
      </c>
      <c r="D2457" s="7">
        <v>3.0</v>
      </c>
      <c r="E2457" s="7">
        <v>2.0</v>
      </c>
      <c r="F2457" s="7">
        <v>2.0</v>
      </c>
      <c r="G2457" s="7" t="s">
        <v>20</v>
      </c>
      <c r="H2457" s="7" t="s">
        <v>161</v>
      </c>
      <c r="I2457" s="7" t="s">
        <v>27</v>
      </c>
    </row>
    <row r="2458">
      <c r="A2458" s="7" t="s">
        <v>368</v>
      </c>
      <c r="B2458" s="7" t="s">
        <v>967</v>
      </c>
      <c r="C2458" s="8">
        <f>IFERROR(__xludf.DUMMYFUNCTION("SPLIT(B2458,""RM"")"),680000.0)</f>
        <v>680000</v>
      </c>
      <c r="D2458" s="7">
        <v>3.0</v>
      </c>
      <c r="E2458" s="7">
        <v>2.0</v>
      </c>
      <c r="F2458" s="7">
        <v>1.0</v>
      </c>
      <c r="G2458" s="7" t="s">
        <v>20</v>
      </c>
      <c r="H2458" s="7" t="s">
        <v>892</v>
      </c>
    </row>
    <row r="2459">
      <c r="A2459" s="7" t="s">
        <v>17</v>
      </c>
      <c r="B2459" s="7" t="s">
        <v>281</v>
      </c>
      <c r="C2459" s="8">
        <f>IFERROR(__xludf.DUMMYFUNCTION("SPLIT(B2459,""RM"")"),2500000.0)</f>
        <v>2500000</v>
      </c>
      <c r="D2459" s="7" t="s">
        <v>57</v>
      </c>
      <c r="E2459" s="7">
        <v>3.0</v>
      </c>
      <c r="G2459" s="7" t="s">
        <v>312</v>
      </c>
      <c r="H2459" s="7" t="s">
        <v>307</v>
      </c>
      <c r="I2459" s="7" t="s">
        <v>22</v>
      </c>
    </row>
    <row r="2460">
      <c r="A2460" s="7" t="s">
        <v>100</v>
      </c>
      <c r="B2460" s="7" t="s">
        <v>1880</v>
      </c>
      <c r="C2460" s="8">
        <f>IFERROR(__xludf.DUMMYFUNCTION("SPLIT(B2460,""RM"")"),499000.0)</f>
        <v>499000</v>
      </c>
      <c r="D2460" s="7">
        <v>2.0</v>
      </c>
      <c r="E2460" s="7">
        <v>2.0</v>
      </c>
      <c r="F2460" s="7">
        <v>2.0</v>
      </c>
      <c r="G2460" s="7" t="s">
        <v>82</v>
      </c>
      <c r="H2460" s="7" t="s">
        <v>1881</v>
      </c>
      <c r="I2460" s="7" t="s">
        <v>22</v>
      </c>
    </row>
    <row r="2461">
      <c r="A2461" s="7" t="s">
        <v>33</v>
      </c>
      <c r="B2461" s="7" t="s">
        <v>657</v>
      </c>
      <c r="C2461" s="8">
        <f>IFERROR(__xludf.DUMMYFUNCTION("SPLIT(B2461,""RM"")"),980000.0)</f>
        <v>980000</v>
      </c>
      <c r="D2461" s="7">
        <v>3.0</v>
      </c>
      <c r="E2461" s="7">
        <v>2.0</v>
      </c>
      <c r="F2461" s="7">
        <v>2.0</v>
      </c>
      <c r="G2461" s="7" t="s">
        <v>20</v>
      </c>
      <c r="H2461" s="7" t="s">
        <v>1882</v>
      </c>
      <c r="I2461" s="7" t="s">
        <v>22</v>
      </c>
    </row>
    <row r="2462">
      <c r="A2462" s="7" t="s">
        <v>100</v>
      </c>
      <c r="B2462" s="7" t="s">
        <v>1876</v>
      </c>
      <c r="C2462" s="8">
        <f>IFERROR(__xludf.DUMMYFUNCTION("SPLIT(B2462,""RM"")"),642000.0)</f>
        <v>642000</v>
      </c>
      <c r="D2462" s="7">
        <v>2.0</v>
      </c>
      <c r="E2462" s="7">
        <v>2.0</v>
      </c>
      <c r="F2462" s="7">
        <v>2.0</v>
      </c>
      <c r="G2462" s="7" t="s">
        <v>82</v>
      </c>
      <c r="H2462" s="7" t="s">
        <v>1883</v>
      </c>
      <c r="I2462" s="7" t="s">
        <v>22</v>
      </c>
    </row>
    <row r="2463">
      <c r="A2463" s="7" t="s">
        <v>267</v>
      </c>
      <c r="B2463" s="7" t="s">
        <v>105</v>
      </c>
      <c r="C2463" s="8">
        <f>IFERROR(__xludf.DUMMYFUNCTION("SPLIT(B2463,""RM"")"),560000.0)</f>
        <v>560000</v>
      </c>
      <c r="D2463" s="7">
        <v>2.0</v>
      </c>
      <c r="E2463" s="7">
        <v>2.0</v>
      </c>
      <c r="F2463" s="7">
        <v>2.0</v>
      </c>
      <c r="G2463" s="7" t="s">
        <v>93</v>
      </c>
      <c r="H2463" s="7" t="s">
        <v>1884</v>
      </c>
      <c r="I2463" s="7" t="s">
        <v>22</v>
      </c>
    </row>
    <row r="2464">
      <c r="A2464" s="7" t="s">
        <v>177</v>
      </c>
      <c r="B2464" s="7" t="s">
        <v>349</v>
      </c>
      <c r="C2464" s="8">
        <f>IFERROR(__xludf.DUMMYFUNCTION("SPLIT(B2464,""RM"")"),1400000.0)</f>
        <v>1400000</v>
      </c>
      <c r="D2464" s="7" t="s">
        <v>57</v>
      </c>
      <c r="E2464" s="7">
        <v>4.0</v>
      </c>
      <c r="F2464" s="7">
        <v>1.0</v>
      </c>
      <c r="G2464" s="7" t="s">
        <v>83</v>
      </c>
      <c r="H2464" s="7" t="s">
        <v>1885</v>
      </c>
      <c r="I2464" s="7" t="s">
        <v>27</v>
      </c>
    </row>
    <row r="2465">
      <c r="A2465" s="7" t="s">
        <v>77</v>
      </c>
      <c r="B2465" s="7" t="s">
        <v>272</v>
      </c>
      <c r="C2465" s="8">
        <f>IFERROR(__xludf.DUMMYFUNCTION("SPLIT(B2465,""RM"")"),3490000.0)</f>
        <v>3490000</v>
      </c>
      <c r="D2465" s="7" t="s">
        <v>35</v>
      </c>
      <c r="E2465" s="7">
        <v>6.0</v>
      </c>
      <c r="F2465" s="7">
        <v>4.0</v>
      </c>
      <c r="G2465" s="7" t="s">
        <v>90</v>
      </c>
      <c r="H2465" s="7" t="s">
        <v>1886</v>
      </c>
      <c r="I2465" s="7" t="s">
        <v>27</v>
      </c>
    </row>
    <row r="2466">
      <c r="A2466" s="7" t="s">
        <v>77</v>
      </c>
      <c r="B2466" s="7" t="s">
        <v>183</v>
      </c>
      <c r="C2466" s="8">
        <f>IFERROR(__xludf.DUMMYFUNCTION("SPLIT(B2466,""RM"")"),2880000.0)</f>
        <v>2880000</v>
      </c>
      <c r="D2466" s="7" t="s">
        <v>79</v>
      </c>
      <c r="E2466" s="7">
        <v>5.0</v>
      </c>
      <c r="F2466" s="7">
        <v>3.0</v>
      </c>
      <c r="G2466" s="7" t="s">
        <v>273</v>
      </c>
      <c r="H2466" s="7" t="s">
        <v>1037</v>
      </c>
      <c r="I2466" s="7" t="s">
        <v>22</v>
      </c>
    </row>
    <row r="2467">
      <c r="A2467" s="7" t="s">
        <v>77</v>
      </c>
      <c r="B2467" s="7" t="s">
        <v>1887</v>
      </c>
      <c r="C2467" s="8">
        <f>IFERROR(__xludf.DUMMYFUNCTION("SPLIT(B2467,""RM"")"),6990000.0)</f>
        <v>6990000</v>
      </c>
      <c r="D2467" s="7" t="s">
        <v>299</v>
      </c>
      <c r="E2467" s="7">
        <v>8.0</v>
      </c>
      <c r="F2467" s="7">
        <v>3.0</v>
      </c>
      <c r="G2467" s="7" t="s">
        <v>300</v>
      </c>
      <c r="H2467" s="7" t="s">
        <v>301</v>
      </c>
      <c r="I2467" s="7" t="s">
        <v>27</v>
      </c>
    </row>
    <row r="2468">
      <c r="A2468" s="7" t="s">
        <v>33</v>
      </c>
      <c r="B2468" s="7" t="s">
        <v>221</v>
      </c>
      <c r="C2468" s="8">
        <f>IFERROR(__xludf.DUMMYFUNCTION("SPLIT(B2468,""RM"")"),630000.0)</f>
        <v>630000</v>
      </c>
      <c r="D2468" s="7" t="s">
        <v>57</v>
      </c>
      <c r="E2468" s="7">
        <v>3.0</v>
      </c>
      <c r="F2468" s="7">
        <v>2.0</v>
      </c>
      <c r="G2468" s="7" t="s">
        <v>83</v>
      </c>
      <c r="H2468" s="7" t="s">
        <v>1888</v>
      </c>
    </row>
    <row r="2469">
      <c r="A2469" s="7" t="s">
        <v>72</v>
      </c>
      <c r="B2469" s="7" t="s">
        <v>448</v>
      </c>
      <c r="C2469" s="8">
        <f>IFERROR(__xludf.DUMMYFUNCTION("SPLIT(B2469,""RM"")"),1420000.0)</f>
        <v>1420000</v>
      </c>
      <c r="D2469" s="7" t="s">
        <v>57</v>
      </c>
      <c r="E2469" s="7">
        <v>2.0</v>
      </c>
      <c r="F2469" s="7">
        <v>2.0</v>
      </c>
      <c r="G2469" s="7" t="s">
        <v>83</v>
      </c>
      <c r="H2469" s="7" t="s">
        <v>334</v>
      </c>
      <c r="I2469" s="7" t="s">
        <v>27</v>
      </c>
    </row>
    <row r="2470">
      <c r="A2470" s="7" t="s">
        <v>72</v>
      </c>
      <c r="B2470" s="7" t="s">
        <v>279</v>
      </c>
      <c r="C2470" s="8">
        <f>IFERROR(__xludf.DUMMYFUNCTION("SPLIT(B2470,""RM"")"),1380000.0)</f>
        <v>1380000</v>
      </c>
      <c r="D2470" s="7">
        <v>3.0</v>
      </c>
      <c r="E2470" s="7">
        <v>2.0</v>
      </c>
      <c r="F2470" s="7">
        <v>2.0</v>
      </c>
      <c r="G2470" s="7" t="s">
        <v>83</v>
      </c>
      <c r="H2470" s="7" t="s">
        <v>135</v>
      </c>
      <c r="I2470" s="7" t="s">
        <v>27</v>
      </c>
    </row>
    <row r="2471">
      <c r="A2471" s="7" t="s">
        <v>72</v>
      </c>
      <c r="B2471" s="7" t="s">
        <v>243</v>
      </c>
      <c r="C2471" s="8">
        <f>IFERROR(__xludf.DUMMYFUNCTION("SPLIT(B2471,""RM"")"),1350000.0)</f>
        <v>1350000</v>
      </c>
      <c r="D2471" s="7">
        <v>3.0</v>
      </c>
      <c r="E2471" s="7">
        <v>2.0</v>
      </c>
      <c r="F2471" s="7">
        <v>2.0</v>
      </c>
      <c r="G2471" s="7" t="s">
        <v>83</v>
      </c>
      <c r="H2471" s="7" t="s">
        <v>135</v>
      </c>
      <c r="I2471" s="7" t="s">
        <v>27</v>
      </c>
    </row>
    <row r="2472">
      <c r="A2472" s="7" t="s">
        <v>72</v>
      </c>
      <c r="B2472" s="7" t="s">
        <v>327</v>
      </c>
      <c r="C2472" s="8">
        <f>IFERROR(__xludf.DUMMYFUNCTION("SPLIT(B2472,""RM"")"),1300000.0)</f>
        <v>1300000</v>
      </c>
      <c r="D2472" s="7">
        <v>3.0</v>
      </c>
      <c r="E2472" s="7">
        <v>2.0</v>
      </c>
      <c r="F2472" s="7">
        <v>2.0</v>
      </c>
      <c r="G2472" s="7" t="s">
        <v>83</v>
      </c>
      <c r="H2472" s="7" t="s">
        <v>135</v>
      </c>
      <c r="I2472" s="7" t="s">
        <v>27</v>
      </c>
    </row>
    <row r="2473">
      <c r="A2473" s="7" t="s">
        <v>72</v>
      </c>
      <c r="B2473" s="7" t="s">
        <v>844</v>
      </c>
      <c r="C2473" s="8">
        <f>IFERROR(__xludf.DUMMYFUNCTION("SPLIT(B2473,""RM"")"),1690000.0)</f>
        <v>1690000</v>
      </c>
      <c r="D2473" s="7" t="s">
        <v>39</v>
      </c>
      <c r="E2473" s="7">
        <v>4.0</v>
      </c>
      <c r="F2473" s="7">
        <v>2.0</v>
      </c>
      <c r="G2473" s="7" t="s">
        <v>83</v>
      </c>
      <c r="H2473" s="7" t="s">
        <v>1693</v>
      </c>
    </row>
    <row r="2474">
      <c r="A2474" s="7" t="s">
        <v>72</v>
      </c>
      <c r="B2474" s="7" t="s">
        <v>1889</v>
      </c>
      <c r="C2474" s="8">
        <f>IFERROR(__xludf.DUMMYFUNCTION("SPLIT(B2474,""RM"")"),1.75E7)</f>
        <v>17500000</v>
      </c>
      <c r="D2474" s="7" t="s">
        <v>35</v>
      </c>
      <c r="E2474" s="7">
        <v>3.0</v>
      </c>
      <c r="F2474" s="7">
        <v>3.0</v>
      </c>
      <c r="G2474" s="7" t="s">
        <v>83</v>
      </c>
      <c r="H2474" s="7" t="s">
        <v>74</v>
      </c>
      <c r="I2474" s="7" t="s">
        <v>27</v>
      </c>
    </row>
    <row r="2475">
      <c r="A2475" s="7" t="s">
        <v>72</v>
      </c>
      <c r="B2475" s="7" t="s">
        <v>411</v>
      </c>
      <c r="C2475" s="8">
        <f>IFERROR(__xludf.DUMMYFUNCTION("SPLIT(B2475,""RM"")"),2150000.0)</f>
        <v>2150000</v>
      </c>
      <c r="D2475" s="7" t="s">
        <v>57</v>
      </c>
      <c r="E2475" s="7">
        <v>5.0</v>
      </c>
      <c r="F2475" s="7">
        <v>3.0</v>
      </c>
      <c r="G2475" s="7" t="s">
        <v>83</v>
      </c>
      <c r="H2475" s="7" t="s">
        <v>1890</v>
      </c>
      <c r="I2475" s="7" t="s">
        <v>27</v>
      </c>
    </row>
    <row r="2476">
      <c r="A2476" s="7" t="s">
        <v>72</v>
      </c>
      <c r="B2476" s="7" t="s">
        <v>813</v>
      </c>
      <c r="C2476" s="8">
        <f>IFERROR(__xludf.DUMMYFUNCTION("SPLIT(B2476,""RM"")"),2290000.0)</f>
        <v>2290000</v>
      </c>
      <c r="D2476" s="7" t="s">
        <v>35</v>
      </c>
      <c r="E2476" s="7">
        <v>3.0</v>
      </c>
      <c r="F2476" s="7">
        <v>3.0</v>
      </c>
      <c r="G2476" s="7" t="s">
        <v>83</v>
      </c>
      <c r="H2476" s="7" t="s">
        <v>113</v>
      </c>
      <c r="I2476" s="7" t="s">
        <v>27</v>
      </c>
    </row>
    <row r="2477">
      <c r="A2477" s="7" t="s">
        <v>72</v>
      </c>
      <c r="B2477" s="7" t="s">
        <v>967</v>
      </c>
      <c r="C2477" s="8">
        <f>IFERROR(__xludf.DUMMYFUNCTION("SPLIT(B2477,""RM"")"),680000.0)</f>
        <v>680000</v>
      </c>
      <c r="D2477" s="7">
        <v>2.0</v>
      </c>
      <c r="E2477" s="7">
        <v>2.0</v>
      </c>
      <c r="F2477" s="7">
        <v>1.0</v>
      </c>
      <c r="G2477" s="7" t="s">
        <v>20</v>
      </c>
      <c r="H2477" s="7" t="s">
        <v>1891</v>
      </c>
      <c r="I2477" s="7" t="s">
        <v>22</v>
      </c>
    </row>
    <row r="2478">
      <c r="A2478" s="7" t="s">
        <v>72</v>
      </c>
      <c r="B2478" s="7" t="s">
        <v>120</v>
      </c>
      <c r="C2478" s="8">
        <f>IFERROR(__xludf.DUMMYFUNCTION("SPLIT(B2478,""RM"")"),3600000.0)</f>
        <v>3600000</v>
      </c>
      <c r="D2478" s="7" t="s">
        <v>35</v>
      </c>
      <c r="E2478" s="7">
        <v>4.0</v>
      </c>
      <c r="F2478" s="7">
        <v>3.0</v>
      </c>
      <c r="G2478" s="7" t="s">
        <v>83</v>
      </c>
      <c r="H2478" s="7" t="s">
        <v>147</v>
      </c>
      <c r="I2478" s="7" t="s">
        <v>27</v>
      </c>
    </row>
    <row r="2479">
      <c r="A2479" s="7" t="s">
        <v>171</v>
      </c>
      <c r="B2479" s="7" t="s">
        <v>543</v>
      </c>
      <c r="C2479" s="8">
        <f>IFERROR(__xludf.DUMMYFUNCTION("SPLIT(B2479,""RM"")"),425000.0)</f>
        <v>425000</v>
      </c>
      <c r="D2479" s="7">
        <v>3.0</v>
      </c>
      <c r="E2479" s="7">
        <v>2.0</v>
      </c>
      <c r="F2479" s="7">
        <v>1.0</v>
      </c>
      <c r="G2479" s="7" t="s">
        <v>30</v>
      </c>
      <c r="H2479" s="7" t="s">
        <v>1722</v>
      </c>
      <c r="I2479" s="7" t="s">
        <v>27</v>
      </c>
    </row>
    <row r="2480">
      <c r="A2480" s="7" t="s">
        <v>171</v>
      </c>
      <c r="B2480" s="7" t="s">
        <v>1659</v>
      </c>
      <c r="C2480" s="8">
        <f>IFERROR(__xludf.DUMMYFUNCTION("SPLIT(B2480,""RM"")"),540000.0)</f>
        <v>540000</v>
      </c>
      <c r="D2480" s="7">
        <v>4.0</v>
      </c>
      <c r="E2480" s="7">
        <v>2.0</v>
      </c>
      <c r="F2480" s="7">
        <v>2.0</v>
      </c>
      <c r="G2480" s="7" t="s">
        <v>93</v>
      </c>
      <c r="H2480" s="7" t="s">
        <v>192</v>
      </c>
      <c r="I2480" s="7" t="s">
        <v>27</v>
      </c>
    </row>
    <row r="2481">
      <c r="A2481" s="7" t="s">
        <v>171</v>
      </c>
      <c r="B2481" s="7" t="s">
        <v>1348</v>
      </c>
      <c r="C2481" s="8">
        <f>IFERROR(__xludf.DUMMYFUNCTION("SPLIT(B2481,""RM"")"),510000.0)</f>
        <v>510000</v>
      </c>
      <c r="D2481" s="7">
        <v>4.0</v>
      </c>
      <c r="E2481" s="7">
        <v>2.0</v>
      </c>
      <c r="F2481" s="7">
        <v>2.0</v>
      </c>
      <c r="G2481" s="7" t="s">
        <v>93</v>
      </c>
      <c r="H2481" s="7" t="s">
        <v>192</v>
      </c>
      <c r="I2481" s="7" t="s">
        <v>27</v>
      </c>
    </row>
    <row r="2482">
      <c r="A2482" s="7" t="s">
        <v>171</v>
      </c>
      <c r="B2482" s="7" t="s">
        <v>702</v>
      </c>
      <c r="C2482" s="8">
        <f>IFERROR(__xludf.DUMMYFUNCTION("SPLIT(B2482,""RM"")"),410000.0)</f>
        <v>410000</v>
      </c>
      <c r="D2482" s="7">
        <v>4.0</v>
      </c>
      <c r="E2482" s="7">
        <v>2.0</v>
      </c>
      <c r="F2482" s="7">
        <v>1.0</v>
      </c>
      <c r="G2482" s="7" t="s">
        <v>93</v>
      </c>
      <c r="H2482" s="7" t="s">
        <v>1681</v>
      </c>
      <c r="I2482" s="7" t="s">
        <v>27</v>
      </c>
    </row>
    <row r="2483">
      <c r="A2483" s="7" t="s">
        <v>171</v>
      </c>
      <c r="B2483" s="7" t="s">
        <v>1892</v>
      </c>
      <c r="C2483" s="8">
        <f>IFERROR(__xludf.DUMMYFUNCTION("SPLIT(B2483,""RM"")"),515000.0)</f>
        <v>515000</v>
      </c>
      <c r="D2483" s="7" t="s">
        <v>57</v>
      </c>
      <c r="E2483" s="7">
        <v>2.0</v>
      </c>
      <c r="F2483" s="7">
        <v>2.0</v>
      </c>
      <c r="G2483" s="7" t="s">
        <v>93</v>
      </c>
      <c r="H2483" s="7" t="s">
        <v>192</v>
      </c>
      <c r="I2483" s="7" t="s">
        <v>27</v>
      </c>
    </row>
    <row r="2484">
      <c r="A2484" s="7" t="s">
        <v>171</v>
      </c>
      <c r="B2484" s="7" t="s">
        <v>969</v>
      </c>
      <c r="C2484" s="8">
        <f>IFERROR(__xludf.DUMMYFUNCTION("SPLIT(B2484,""RM"")"),430000.0)</f>
        <v>430000</v>
      </c>
      <c r="D2484" s="7">
        <v>4.0</v>
      </c>
      <c r="E2484" s="7">
        <v>2.0</v>
      </c>
      <c r="F2484" s="7">
        <v>2.0</v>
      </c>
      <c r="G2484" s="7" t="s">
        <v>93</v>
      </c>
      <c r="H2484" s="7" t="s">
        <v>1681</v>
      </c>
      <c r="I2484" s="7" t="s">
        <v>27</v>
      </c>
    </row>
    <row r="2485">
      <c r="A2485" s="7" t="s">
        <v>171</v>
      </c>
      <c r="B2485" s="7" t="s">
        <v>268</v>
      </c>
      <c r="C2485" s="8">
        <f>IFERROR(__xludf.DUMMYFUNCTION("SPLIT(B2485,""RM"")"),500000.0)</f>
        <v>500000</v>
      </c>
      <c r="D2485" s="7">
        <v>4.0</v>
      </c>
      <c r="E2485" s="7">
        <v>2.0</v>
      </c>
      <c r="F2485" s="7">
        <v>2.0</v>
      </c>
      <c r="G2485" s="7" t="s">
        <v>93</v>
      </c>
      <c r="H2485" s="7" t="s">
        <v>490</v>
      </c>
      <c r="I2485" s="7" t="s">
        <v>27</v>
      </c>
    </row>
    <row r="2486">
      <c r="A2486" s="7" t="s">
        <v>171</v>
      </c>
      <c r="B2486" s="7" t="s">
        <v>983</v>
      </c>
      <c r="C2486" s="8">
        <f>IFERROR(__xludf.DUMMYFUNCTION("SPLIT(B2486,""RM"")"),440000.0)</f>
        <v>440000</v>
      </c>
      <c r="D2486" s="7">
        <v>4.0</v>
      </c>
      <c r="E2486" s="7">
        <v>2.0</v>
      </c>
      <c r="F2486" s="7">
        <v>1.0</v>
      </c>
      <c r="G2486" s="7" t="s">
        <v>30</v>
      </c>
      <c r="H2486" s="7" t="s">
        <v>1681</v>
      </c>
      <c r="I2486" s="7" t="s">
        <v>27</v>
      </c>
    </row>
    <row r="2487">
      <c r="A2487" s="7" t="s">
        <v>171</v>
      </c>
      <c r="B2487" s="7" t="s">
        <v>759</v>
      </c>
      <c r="C2487" s="8">
        <f>IFERROR(__xludf.DUMMYFUNCTION("SPLIT(B2487,""RM"")"),520000.0)</f>
        <v>520000</v>
      </c>
      <c r="D2487" s="7">
        <v>4.0</v>
      </c>
      <c r="E2487" s="7">
        <v>2.0</v>
      </c>
      <c r="F2487" s="7">
        <v>1.0</v>
      </c>
      <c r="G2487" s="7" t="s">
        <v>83</v>
      </c>
      <c r="H2487" s="7" t="s">
        <v>760</v>
      </c>
      <c r="I2487" s="7" t="s">
        <v>27</v>
      </c>
    </row>
    <row r="2488">
      <c r="A2488" s="7" t="s">
        <v>171</v>
      </c>
      <c r="B2488" s="7" t="s">
        <v>172</v>
      </c>
      <c r="C2488" s="8">
        <f>IFERROR(__xludf.DUMMYFUNCTION("SPLIT(B2488,""RM"")"),580000.0)</f>
        <v>580000</v>
      </c>
      <c r="D2488" s="7">
        <v>3.0</v>
      </c>
      <c r="E2488" s="7">
        <v>3.0</v>
      </c>
      <c r="F2488" s="7">
        <v>2.0</v>
      </c>
      <c r="G2488" s="7" t="s">
        <v>82</v>
      </c>
      <c r="H2488" s="7" t="s">
        <v>1604</v>
      </c>
      <c r="I2488" s="7" t="s">
        <v>27</v>
      </c>
    </row>
    <row r="2489">
      <c r="A2489" s="7" t="s">
        <v>100</v>
      </c>
      <c r="B2489" s="7" t="s">
        <v>733</v>
      </c>
      <c r="C2489" s="8">
        <f>IFERROR(__xludf.DUMMYFUNCTION("SPLIT(B2489,""RM"")"),565000.0)</f>
        <v>565000</v>
      </c>
      <c r="D2489" s="7" t="s">
        <v>57</v>
      </c>
      <c r="E2489" s="7">
        <v>2.0</v>
      </c>
      <c r="F2489" s="7">
        <v>2.0</v>
      </c>
      <c r="G2489" s="7" t="s">
        <v>121</v>
      </c>
      <c r="H2489" s="7" t="s">
        <v>957</v>
      </c>
      <c r="I2489" s="7" t="s">
        <v>27</v>
      </c>
    </row>
    <row r="2490">
      <c r="A2490" s="7" t="s">
        <v>33</v>
      </c>
      <c r="B2490" s="7" t="s">
        <v>1114</v>
      </c>
      <c r="C2490" s="8">
        <f>IFERROR(__xludf.DUMMYFUNCTION("SPLIT(B2490,""RM"")"),890000.0)</f>
        <v>890000</v>
      </c>
      <c r="D2490" s="7">
        <v>3.0</v>
      </c>
      <c r="E2490" s="7">
        <v>2.0</v>
      </c>
      <c r="F2490" s="7">
        <v>2.0</v>
      </c>
      <c r="G2490" s="7" t="s">
        <v>20</v>
      </c>
      <c r="H2490" s="7" t="s">
        <v>795</v>
      </c>
    </row>
    <row r="2491">
      <c r="A2491" s="7" t="s">
        <v>100</v>
      </c>
      <c r="B2491" s="7" t="s">
        <v>619</v>
      </c>
      <c r="C2491" s="8">
        <f>IFERROR(__xludf.DUMMYFUNCTION("SPLIT(B2491,""RM"")"),640000.0)</f>
        <v>640000</v>
      </c>
      <c r="D2491" s="7" t="s">
        <v>57</v>
      </c>
      <c r="E2491" s="7">
        <v>2.0</v>
      </c>
      <c r="F2491" s="7">
        <v>2.0</v>
      </c>
      <c r="G2491" s="7" t="s">
        <v>83</v>
      </c>
      <c r="H2491" s="7" t="s">
        <v>954</v>
      </c>
      <c r="I2491" s="7" t="s">
        <v>27</v>
      </c>
    </row>
    <row r="2492">
      <c r="A2492" s="7" t="s">
        <v>100</v>
      </c>
      <c r="B2492" s="7" t="s">
        <v>953</v>
      </c>
      <c r="C2492" s="8">
        <f>IFERROR(__xludf.DUMMYFUNCTION("SPLIT(B2492,""RM"")"),730000.0)</f>
        <v>730000</v>
      </c>
      <c r="D2492" s="7">
        <v>4.0</v>
      </c>
      <c r="E2492" s="7">
        <v>2.0</v>
      </c>
      <c r="F2492" s="7">
        <v>2.0</v>
      </c>
      <c r="G2492" s="7" t="s">
        <v>83</v>
      </c>
      <c r="H2492" s="7" t="s">
        <v>919</v>
      </c>
      <c r="I2492" s="7" t="s">
        <v>27</v>
      </c>
    </row>
    <row r="2493">
      <c r="A2493" s="7" t="s">
        <v>89</v>
      </c>
      <c r="B2493" s="7" t="s">
        <v>890</v>
      </c>
      <c r="C2493" s="8">
        <f>IFERROR(__xludf.DUMMYFUNCTION("SPLIT(B2493,""RM"")"),450000.0)</f>
        <v>450000</v>
      </c>
      <c r="D2493" s="7">
        <v>2.0</v>
      </c>
      <c r="E2493" s="7">
        <v>2.0</v>
      </c>
      <c r="F2493" s="7">
        <v>1.0</v>
      </c>
      <c r="G2493" s="7" t="s">
        <v>83</v>
      </c>
      <c r="H2493" s="7" t="s">
        <v>1893</v>
      </c>
      <c r="I2493" s="7" t="s">
        <v>27</v>
      </c>
    </row>
    <row r="2494">
      <c r="A2494" s="7" t="s">
        <v>143</v>
      </c>
      <c r="B2494" s="7" t="s">
        <v>1894</v>
      </c>
      <c r="C2494" s="8">
        <f>IFERROR(__xludf.DUMMYFUNCTION("SPLIT(B2494,""RM"")"),988000.0)</f>
        <v>988000</v>
      </c>
      <c r="D2494" s="7" t="s">
        <v>197</v>
      </c>
      <c r="E2494" s="7">
        <v>1.0</v>
      </c>
      <c r="G2494" s="7" t="s">
        <v>20</v>
      </c>
      <c r="H2494" s="7" t="s">
        <v>1537</v>
      </c>
      <c r="I2494" s="7" t="s">
        <v>27</v>
      </c>
    </row>
    <row r="2495">
      <c r="A2495" s="7" t="s">
        <v>188</v>
      </c>
      <c r="B2495" s="7" t="s">
        <v>153</v>
      </c>
      <c r="C2495" s="8">
        <f>IFERROR(__xludf.DUMMYFUNCTION("SPLIT(B2495,""RM"")"),3780000.0)</f>
        <v>3780000</v>
      </c>
      <c r="D2495" s="7" t="s">
        <v>57</v>
      </c>
      <c r="E2495" s="7">
        <v>3.0</v>
      </c>
      <c r="F2495" s="7">
        <v>2.0</v>
      </c>
      <c r="G2495" s="7" t="s">
        <v>20</v>
      </c>
      <c r="H2495" s="7" t="s">
        <v>680</v>
      </c>
      <c r="I2495" s="7" t="s">
        <v>22</v>
      </c>
    </row>
    <row r="2496">
      <c r="A2496" s="7" t="s">
        <v>17</v>
      </c>
      <c r="B2496" s="7" t="s">
        <v>1895</v>
      </c>
      <c r="C2496" s="8">
        <f>IFERROR(__xludf.DUMMYFUNCTION("SPLIT(B2496,""RM"")"),1828000.0)</f>
        <v>1828000</v>
      </c>
      <c r="D2496" s="7" t="s">
        <v>57</v>
      </c>
      <c r="E2496" s="7">
        <v>3.0</v>
      </c>
      <c r="F2496" s="7">
        <v>2.0</v>
      </c>
      <c r="G2496" s="7" t="s">
        <v>20</v>
      </c>
      <c r="H2496" s="7" t="s">
        <v>830</v>
      </c>
      <c r="I2496" s="7" t="s">
        <v>22</v>
      </c>
    </row>
    <row r="2497">
      <c r="A2497" s="7" t="s">
        <v>188</v>
      </c>
      <c r="B2497" s="7" t="s">
        <v>1492</v>
      </c>
      <c r="C2497" s="8">
        <f>IFERROR(__xludf.DUMMYFUNCTION("SPLIT(B2497,""RM"")"),4450000.0)</f>
        <v>4450000</v>
      </c>
      <c r="D2497" s="7" t="s">
        <v>57</v>
      </c>
      <c r="E2497" s="7">
        <v>3.0</v>
      </c>
      <c r="F2497" s="7">
        <v>2.0</v>
      </c>
      <c r="G2497" s="7" t="s">
        <v>20</v>
      </c>
      <c r="H2497" s="7" t="s">
        <v>1896</v>
      </c>
      <c r="I2497" s="7" t="s">
        <v>22</v>
      </c>
    </row>
    <row r="2498">
      <c r="A2498" s="7" t="s">
        <v>17</v>
      </c>
      <c r="B2498" s="7" t="s">
        <v>1897</v>
      </c>
      <c r="C2498" s="8">
        <f>IFERROR(__xludf.DUMMYFUNCTION("SPLIT(B2498,""RM"")"),2789000.0)</f>
        <v>2789000</v>
      </c>
      <c r="D2498" s="7">
        <v>4.0</v>
      </c>
      <c r="E2498" s="7">
        <v>3.0</v>
      </c>
      <c r="F2498" s="7">
        <v>2.0</v>
      </c>
      <c r="G2498" s="7" t="s">
        <v>312</v>
      </c>
      <c r="H2498" s="7" t="s">
        <v>340</v>
      </c>
      <c r="I2498" s="7" t="s">
        <v>22</v>
      </c>
    </row>
    <row r="2499">
      <c r="A2499" s="7" t="s">
        <v>33</v>
      </c>
      <c r="B2499" s="7" t="s">
        <v>809</v>
      </c>
      <c r="C2499" s="8">
        <f>IFERROR(__xludf.DUMMYFUNCTION("SPLIT(B2499,""RM"")"),645000.0)</f>
        <v>645000</v>
      </c>
      <c r="D2499" s="7" t="s">
        <v>57</v>
      </c>
      <c r="E2499" s="7">
        <v>4.0</v>
      </c>
      <c r="F2499" s="7">
        <v>3.0</v>
      </c>
      <c r="G2499" s="7" t="s">
        <v>83</v>
      </c>
      <c r="H2499" s="7" t="s">
        <v>1243</v>
      </c>
      <c r="I2499" s="7" t="s">
        <v>22</v>
      </c>
    </row>
    <row r="2500">
      <c r="A2500" s="7" t="s">
        <v>177</v>
      </c>
      <c r="B2500" s="7" t="s">
        <v>193</v>
      </c>
      <c r="C2500" s="8">
        <f>IFERROR(__xludf.DUMMYFUNCTION("SPLIT(B2500,""RM"")"),1650000.0)</f>
        <v>1650000</v>
      </c>
      <c r="D2500" s="7">
        <v>4.0</v>
      </c>
      <c r="E2500" s="7">
        <v>3.0</v>
      </c>
      <c r="F2500" s="7">
        <v>2.0</v>
      </c>
      <c r="G2500" s="7" t="s">
        <v>54</v>
      </c>
      <c r="H2500" s="7" t="s">
        <v>1898</v>
      </c>
      <c r="I2500" s="7" t="s">
        <v>251</v>
      </c>
    </row>
    <row r="2501">
      <c r="A2501" s="7" t="s">
        <v>148</v>
      </c>
      <c r="B2501" s="7" t="s">
        <v>447</v>
      </c>
      <c r="C2501" s="8">
        <f>IFERROR(__xludf.DUMMYFUNCTION("SPLIT(B2501,""RM"")"),3700000.0)</f>
        <v>3700000</v>
      </c>
      <c r="D2501" s="7" t="s">
        <v>1754</v>
      </c>
      <c r="E2501" s="7">
        <v>7.0</v>
      </c>
      <c r="F2501" s="7">
        <v>3.0</v>
      </c>
      <c r="G2501" s="7" t="s">
        <v>61</v>
      </c>
      <c r="H2501" s="7" t="s">
        <v>1899</v>
      </c>
      <c r="I2501" s="7" t="s">
        <v>27</v>
      </c>
    </row>
    <row r="2502">
      <c r="A2502" s="7" t="s">
        <v>17</v>
      </c>
      <c r="B2502" s="7" t="s">
        <v>349</v>
      </c>
      <c r="C2502" s="8">
        <f>IFERROR(__xludf.DUMMYFUNCTION("SPLIT(B2502,""RM"")"),1400000.0)</f>
        <v>1400000</v>
      </c>
      <c r="D2502" s="7">
        <v>2.0</v>
      </c>
      <c r="E2502" s="7">
        <v>2.0</v>
      </c>
      <c r="G2502" s="7" t="s">
        <v>121</v>
      </c>
      <c r="H2502" s="7" t="s">
        <v>1178</v>
      </c>
      <c r="I2502" s="7" t="s">
        <v>22</v>
      </c>
    </row>
    <row r="2503">
      <c r="A2503" s="7" t="s">
        <v>48</v>
      </c>
      <c r="B2503" s="7" t="s">
        <v>101</v>
      </c>
      <c r="C2503" s="8">
        <f>IFERROR(__xludf.DUMMYFUNCTION("SPLIT(B2503,""RM"")"),3300000.0)</f>
        <v>3300000</v>
      </c>
      <c r="D2503" s="7" t="s">
        <v>39</v>
      </c>
      <c r="E2503" s="7">
        <v>5.0</v>
      </c>
      <c r="G2503" s="7" t="s">
        <v>487</v>
      </c>
      <c r="H2503" s="7" t="s">
        <v>271</v>
      </c>
      <c r="I2503" s="7" t="s">
        <v>27</v>
      </c>
    </row>
    <row r="2504">
      <c r="A2504" s="7" t="s">
        <v>72</v>
      </c>
      <c r="B2504" s="7" t="s">
        <v>214</v>
      </c>
      <c r="C2504" s="8">
        <f>IFERROR(__xludf.DUMMYFUNCTION("SPLIT(B2504,""RM"")"),1180000.0)</f>
        <v>1180000</v>
      </c>
      <c r="D2504" s="7" t="s">
        <v>57</v>
      </c>
      <c r="E2504" s="7">
        <v>3.0</v>
      </c>
      <c r="F2504" s="7">
        <v>2.0</v>
      </c>
      <c r="G2504" s="7" t="s">
        <v>93</v>
      </c>
      <c r="H2504" s="7" t="s">
        <v>1900</v>
      </c>
      <c r="I2504" s="7" t="s">
        <v>22</v>
      </c>
    </row>
    <row r="2505">
      <c r="A2505" s="7" t="s">
        <v>177</v>
      </c>
      <c r="B2505" s="7" t="s">
        <v>1901</v>
      </c>
      <c r="C2505" s="8">
        <f>IFERROR(__xludf.DUMMYFUNCTION("SPLIT(B2505,""RM"")"),6750000.0)</f>
        <v>6750000</v>
      </c>
      <c r="D2505" s="7" t="s">
        <v>39</v>
      </c>
      <c r="E2505" s="7">
        <v>6.0</v>
      </c>
      <c r="F2505" s="7">
        <v>3.0</v>
      </c>
      <c r="G2505" s="7" t="s">
        <v>61</v>
      </c>
      <c r="H2505" s="7" t="s">
        <v>1902</v>
      </c>
      <c r="I2505" s="7" t="s">
        <v>27</v>
      </c>
    </row>
    <row r="2506">
      <c r="A2506" s="7" t="s">
        <v>72</v>
      </c>
      <c r="B2506" s="7" t="s">
        <v>260</v>
      </c>
      <c r="C2506" s="8">
        <f>IFERROR(__xludf.DUMMYFUNCTION("SPLIT(B2506,""RM"")"),1480000.0)</f>
        <v>1480000</v>
      </c>
      <c r="D2506" s="7" t="s">
        <v>35</v>
      </c>
      <c r="E2506" s="7">
        <v>5.0</v>
      </c>
      <c r="F2506" s="7">
        <v>2.0</v>
      </c>
      <c r="G2506" s="7" t="s">
        <v>30</v>
      </c>
      <c r="H2506" s="7" t="s">
        <v>1903</v>
      </c>
      <c r="I2506" s="7" t="s">
        <v>27</v>
      </c>
    </row>
    <row r="2507">
      <c r="A2507" s="7" t="s">
        <v>709</v>
      </c>
      <c r="B2507" s="7" t="s">
        <v>69</v>
      </c>
      <c r="C2507" s="8">
        <f>IFERROR(__xludf.DUMMYFUNCTION("SPLIT(B2507,""RM"")"),4500000.0)</f>
        <v>4500000</v>
      </c>
      <c r="D2507" s="7" t="s">
        <v>70</v>
      </c>
      <c r="E2507" s="7">
        <v>5.0</v>
      </c>
      <c r="G2507" s="7" t="s">
        <v>25</v>
      </c>
      <c r="H2507" s="7" t="s">
        <v>612</v>
      </c>
    </row>
    <row r="2508">
      <c r="A2508" s="7" t="s">
        <v>709</v>
      </c>
      <c r="B2508" s="7" t="s">
        <v>479</v>
      </c>
      <c r="C2508" s="8">
        <f>IFERROR(__xludf.DUMMYFUNCTION("SPLIT(B2508,""RM"")"),5500000.0)</f>
        <v>5500000</v>
      </c>
      <c r="D2508" s="7" t="s">
        <v>35</v>
      </c>
      <c r="E2508" s="7">
        <v>5.0</v>
      </c>
      <c r="G2508" s="7" t="s">
        <v>25</v>
      </c>
      <c r="H2508" s="7" t="s">
        <v>1904</v>
      </c>
    </row>
    <row r="2509">
      <c r="A2509" s="7" t="s">
        <v>371</v>
      </c>
      <c r="B2509" s="7" t="s">
        <v>969</v>
      </c>
      <c r="C2509" s="8">
        <f>IFERROR(__xludf.DUMMYFUNCTION("SPLIT(B2509,""RM"")"),430000.0)</f>
        <v>430000</v>
      </c>
      <c r="D2509" s="7">
        <v>3.0</v>
      </c>
      <c r="E2509" s="7">
        <v>2.0</v>
      </c>
      <c r="F2509" s="7">
        <v>2.0</v>
      </c>
      <c r="G2509" s="7" t="s">
        <v>93</v>
      </c>
      <c r="H2509" s="7" t="s">
        <v>604</v>
      </c>
    </row>
    <row r="2510">
      <c r="A2510" s="7" t="s">
        <v>177</v>
      </c>
      <c r="B2510" s="7" t="s">
        <v>351</v>
      </c>
      <c r="C2510" s="8">
        <f>IFERROR(__xludf.DUMMYFUNCTION("SPLIT(B2510,""RM"")"),3800000.0)</f>
        <v>3800000</v>
      </c>
      <c r="D2510" s="7">
        <v>5.0</v>
      </c>
      <c r="E2510" s="7">
        <v>5.0</v>
      </c>
      <c r="G2510" s="7" t="s">
        <v>25</v>
      </c>
      <c r="H2510" s="7" t="s">
        <v>1905</v>
      </c>
      <c r="I2510" s="7" t="s">
        <v>27</v>
      </c>
    </row>
    <row r="2511">
      <c r="A2511" s="7" t="s">
        <v>17</v>
      </c>
      <c r="B2511" s="7" t="s">
        <v>311</v>
      </c>
      <c r="C2511" s="8">
        <f>IFERROR(__xludf.DUMMYFUNCTION("SPLIT(B2511,""RM"")"),1100000.0)</f>
        <v>1100000</v>
      </c>
      <c r="D2511" s="7" t="s">
        <v>19</v>
      </c>
      <c r="E2511" s="7">
        <v>2.0</v>
      </c>
      <c r="F2511" s="7">
        <v>1.0</v>
      </c>
      <c r="G2511" s="7" t="s">
        <v>20</v>
      </c>
      <c r="H2511" s="7" t="s">
        <v>392</v>
      </c>
      <c r="I2511" s="7" t="s">
        <v>22</v>
      </c>
    </row>
    <row r="2512">
      <c r="A2512" s="7" t="s">
        <v>104</v>
      </c>
      <c r="B2512" s="7" t="s">
        <v>1906</v>
      </c>
      <c r="C2512" s="8">
        <f>IFERROR(__xludf.DUMMYFUNCTION("SPLIT(B2512,""RM"")"),290000.0)</f>
        <v>290000</v>
      </c>
      <c r="D2512" s="7">
        <v>3.0</v>
      </c>
      <c r="E2512" s="7">
        <v>2.0</v>
      </c>
      <c r="F2512" s="7">
        <v>1.0</v>
      </c>
      <c r="G2512" s="7" t="s">
        <v>354</v>
      </c>
      <c r="H2512" s="7" t="s">
        <v>1907</v>
      </c>
      <c r="I2512" s="7" t="s">
        <v>27</v>
      </c>
    </row>
    <row r="2513">
      <c r="A2513" s="7" t="s">
        <v>104</v>
      </c>
      <c r="B2513" s="7" t="s">
        <v>1906</v>
      </c>
      <c r="C2513" s="8">
        <f>IFERROR(__xludf.DUMMYFUNCTION("SPLIT(B2513,""RM"")"),290000.0)</f>
        <v>290000</v>
      </c>
      <c r="D2513" s="7">
        <v>3.0</v>
      </c>
      <c r="E2513" s="7">
        <v>2.0</v>
      </c>
      <c r="F2513" s="7">
        <v>1.0</v>
      </c>
      <c r="G2513" s="7" t="s">
        <v>354</v>
      </c>
      <c r="H2513" s="7" t="s">
        <v>1635</v>
      </c>
      <c r="I2513" s="7" t="s">
        <v>27</v>
      </c>
    </row>
    <row r="2514">
      <c r="A2514" s="7" t="s">
        <v>371</v>
      </c>
      <c r="B2514" s="7" t="s">
        <v>1908</v>
      </c>
      <c r="C2514" s="8">
        <f>IFERROR(__xludf.DUMMYFUNCTION("SPLIT(B2514,""RM"")"),699000.0)</f>
        <v>699000</v>
      </c>
      <c r="D2514" s="7" t="s">
        <v>57</v>
      </c>
      <c r="E2514" s="7">
        <v>3.0</v>
      </c>
      <c r="G2514" s="7" t="s">
        <v>54</v>
      </c>
      <c r="H2514" s="7" t="s">
        <v>1909</v>
      </c>
      <c r="I2514" s="7" t="s">
        <v>103</v>
      </c>
    </row>
    <row r="2515">
      <c r="A2515" s="7" t="s">
        <v>371</v>
      </c>
      <c r="B2515" s="7" t="s">
        <v>969</v>
      </c>
      <c r="C2515" s="8">
        <f>IFERROR(__xludf.DUMMYFUNCTION("SPLIT(B2515,""RM"")"),430000.0)</f>
        <v>430000</v>
      </c>
      <c r="D2515" s="7">
        <v>3.0</v>
      </c>
      <c r="E2515" s="7">
        <v>2.0</v>
      </c>
      <c r="F2515" s="7">
        <v>1.0</v>
      </c>
      <c r="G2515" s="7" t="s">
        <v>93</v>
      </c>
      <c r="H2515" s="7" t="s">
        <v>1630</v>
      </c>
    </row>
    <row r="2516">
      <c r="A2516" s="7" t="s">
        <v>371</v>
      </c>
      <c r="B2516" s="7" t="s">
        <v>1910</v>
      </c>
      <c r="C2516" s="8">
        <f>IFERROR(__xludf.DUMMYFUNCTION("SPLIT(B2516,""RM"")"),378000.0)</f>
        <v>378000</v>
      </c>
      <c r="D2516" s="7">
        <v>4.0</v>
      </c>
      <c r="E2516" s="7">
        <v>2.0</v>
      </c>
      <c r="F2516" s="7">
        <v>1.0</v>
      </c>
      <c r="G2516" s="7" t="s">
        <v>50</v>
      </c>
      <c r="H2516" s="7" t="s">
        <v>1687</v>
      </c>
      <c r="I2516" s="7" t="s">
        <v>27</v>
      </c>
    </row>
    <row r="2517">
      <c r="A2517" s="7" t="s">
        <v>371</v>
      </c>
      <c r="B2517" s="7" t="s">
        <v>639</v>
      </c>
      <c r="C2517" s="8">
        <f>IFERROR(__xludf.DUMMYFUNCTION("SPLIT(B2517,""RM"")"),360000.0)</f>
        <v>360000</v>
      </c>
      <c r="D2517" s="7">
        <v>3.0</v>
      </c>
      <c r="E2517" s="7">
        <v>2.0</v>
      </c>
      <c r="F2517" s="7">
        <v>1.0</v>
      </c>
      <c r="G2517" s="7" t="s">
        <v>354</v>
      </c>
      <c r="H2517" s="7" t="s">
        <v>1178</v>
      </c>
      <c r="I2517" s="7" t="s">
        <v>27</v>
      </c>
    </row>
    <row r="2518">
      <c r="A2518" s="7" t="s">
        <v>104</v>
      </c>
      <c r="B2518" s="7" t="s">
        <v>1911</v>
      </c>
      <c r="C2518" s="8">
        <f>IFERROR(__xludf.DUMMYFUNCTION("SPLIT(B2518,""RM"")"),325000.0)</f>
        <v>325000</v>
      </c>
      <c r="D2518" s="7">
        <v>3.0</v>
      </c>
      <c r="E2518" s="7">
        <v>2.0</v>
      </c>
      <c r="F2518" s="7">
        <v>1.0</v>
      </c>
      <c r="G2518" s="7" t="s">
        <v>83</v>
      </c>
      <c r="H2518" s="7" t="s">
        <v>1635</v>
      </c>
      <c r="I2518" s="7" t="s">
        <v>27</v>
      </c>
    </row>
    <row r="2519">
      <c r="A2519" s="7" t="s">
        <v>371</v>
      </c>
      <c r="B2519" s="7" t="s">
        <v>172</v>
      </c>
      <c r="C2519" s="8">
        <f>IFERROR(__xludf.DUMMYFUNCTION("SPLIT(B2519,""RM"")"),580000.0)</f>
        <v>580000</v>
      </c>
      <c r="D2519" s="7">
        <v>4.0</v>
      </c>
      <c r="E2519" s="7">
        <v>2.0</v>
      </c>
      <c r="F2519" s="7">
        <v>1.0</v>
      </c>
      <c r="G2519" s="7" t="s">
        <v>50</v>
      </c>
      <c r="H2519" s="7" t="s">
        <v>461</v>
      </c>
      <c r="I2519" s="7" t="s">
        <v>27</v>
      </c>
    </row>
    <row r="2520">
      <c r="A2520" s="7" t="s">
        <v>371</v>
      </c>
      <c r="B2520" s="7" t="s">
        <v>286</v>
      </c>
      <c r="C2520" s="8">
        <f>IFERROR(__xludf.DUMMYFUNCTION("SPLIT(B2520,""RM"")"),668000.0)</f>
        <v>668000</v>
      </c>
      <c r="D2520" s="7" t="s">
        <v>57</v>
      </c>
      <c r="E2520" s="7">
        <v>3.0</v>
      </c>
      <c r="G2520" s="7" t="s">
        <v>54</v>
      </c>
      <c r="H2520" s="7" t="s">
        <v>1909</v>
      </c>
      <c r="I2520" s="7" t="s">
        <v>103</v>
      </c>
    </row>
    <row r="2521">
      <c r="A2521" s="7" t="s">
        <v>371</v>
      </c>
      <c r="B2521" s="7" t="s">
        <v>983</v>
      </c>
      <c r="C2521" s="8">
        <f>IFERROR(__xludf.DUMMYFUNCTION("SPLIT(B2521,""RM"")"),440000.0)</f>
        <v>440000</v>
      </c>
      <c r="D2521" s="7" t="s">
        <v>57</v>
      </c>
      <c r="E2521" s="7">
        <v>3.0</v>
      </c>
      <c r="F2521" s="7">
        <v>2.0</v>
      </c>
      <c r="G2521" s="7" t="s">
        <v>93</v>
      </c>
      <c r="H2521" s="7" t="s">
        <v>1521</v>
      </c>
    </row>
    <row r="2522">
      <c r="A2522" s="7" t="s">
        <v>371</v>
      </c>
      <c r="B2522" s="7" t="s">
        <v>969</v>
      </c>
      <c r="C2522" s="8">
        <f>IFERROR(__xludf.DUMMYFUNCTION("SPLIT(B2522,""RM"")"),430000.0)</f>
        <v>430000</v>
      </c>
      <c r="D2522" s="7">
        <v>3.0</v>
      </c>
      <c r="E2522" s="7">
        <v>2.0</v>
      </c>
      <c r="F2522" s="7">
        <v>2.0</v>
      </c>
      <c r="G2522" s="7" t="s">
        <v>83</v>
      </c>
      <c r="H2522" s="7" t="s">
        <v>604</v>
      </c>
      <c r="I2522" s="7" t="s">
        <v>27</v>
      </c>
    </row>
    <row r="2523">
      <c r="A2523" s="7" t="s">
        <v>32</v>
      </c>
      <c r="B2523" s="7" t="s">
        <v>639</v>
      </c>
      <c r="C2523" s="8">
        <f>IFERROR(__xludf.DUMMYFUNCTION("SPLIT(B2523,""RM"")"),360000.0)</f>
        <v>360000</v>
      </c>
      <c r="D2523" s="7">
        <v>3.0</v>
      </c>
      <c r="E2523" s="7">
        <v>3.0</v>
      </c>
      <c r="F2523" s="7">
        <v>2.0</v>
      </c>
      <c r="G2523" s="7" t="s">
        <v>83</v>
      </c>
      <c r="H2523" s="7" t="s">
        <v>1912</v>
      </c>
      <c r="I2523" s="7" t="s">
        <v>103</v>
      </c>
    </row>
    <row r="2524">
      <c r="A2524" s="7" t="s">
        <v>32</v>
      </c>
      <c r="B2524" s="7" t="s">
        <v>1676</v>
      </c>
      <c r="C2524" s="8">
        <f>IFERROR(__xludf.DUMMYFUNCTION("SPLIT(B2524,""RM"")"),445000.0)</f>
        <v>445000</v>
      </c>
      <c r="D2524" s="7">
        <v>3.0</v>
      </c>
      <c r="E2524" s="7">
        <v>2.0</v>
      </c>
      <c r="F2524" s="7">
        <v>2.0</v>
      </c>
      <c r="G2524" s="7" t="s">
        <v>83</v>
      </c>
      <c r="H2524" s="7" t="s">
        <v>504</v>
      </c>
      <c r="I2524" s="7" t="s">
        <v>103</v>
      </c>
    </row>
    <row r="2525">
      <c r="A2525" s="7" t="s">
        <v>371</v>
      </c>
      <c r="B2525" s="7" t="s">
        <v>983</v>
      </c>
      <c r="C2525" s="8">
        <f>IFERROR(__xludf.DUMMYFUNCTION("SPLIT(B2525,""RM"")"),440000.0)</f>
        <v>440000</v>
      </c>
      <c r="D2525" s="7" t="s">
        <v>57</v>
      </c>
      <c r="E2525" s="7">
        <v>3.0</v>
      </c>
      <c r="F2525" s="7">
        <v>2.0</v>
      </c>
      <c r="G2525" s="7" t="s">
        <v>93</v>
      </c>
      <c r="H2525" s="7" t="s">
        <v>1521</v>
      </c>
    </row>
    <row r="2526">
      <c r="A2526" s="7" t="s">
        <v>155</v>
      </c>
      <c r="B2526" s="7" t="s">
        <v>316</v>
      </c>
      <c r="C2526" s="8">
        <f>IFERROR(__xludf.DUMMYFUNCTION("SPLIT(B2526,""RM"")"),820000.0)</f>
        <v>820000</v>
      </c>
      <c r="D2526" s="7">
        <v>3.0</v>
      </c>
      <c r="E2526" s="7">
        <v>3.0</v>
      </c>
      <c r="G2526" s="7" t="s">
        <v>83</v>
      </c>
      <c r="H2526" s="7" t="s">
        <v>630</v>
      </c>
    </row>
    <row r="2527">
      <c r="A2527" s="7" t="s">
        <v>155</v>
      </c>
      <c r="B2527" s="7" t="s">
        <v>191</v>
      </c>
      <c r="C2527" s="8">
        <f>IFERROR(__xludf.DUMMYFUNCTION("SPLIT(B2527,""RM"")"),1000000.0)</f>
        <v>1000000</v>
      </c>
      <c r="D2527" s="7">
        <v>3.0</v>
      </c>
      <c r="E2527" s="7">
        <v>2.0</v>
      </c>
      <c r="G2527" s="7" t="s">
        <v>83</v>
      </c>
      <c r="H2527" s="7" t="s">
        <v>382</v>
      </c>
    </row>
    <row r="2528">
      <c r="A2528" s="7" t="s">
        <v>155</v>
      </c>
      <c r="B2528" s="7" t="s">
        <v>132</v>
      </c>
      <c r="C2528" s="8">
        <f>IFERROR(__xludf.DUMMYFUNCTION("SPLIT(B2528,""RM"")"),1080000.0)</f>
        <v>1080000</v>
      </c>
      <c r="D2528" s="7" t="s">
        <v>57</v>
      </c>
      <c r="E2528" s="7">
        <v>4.0</v>
      </c>
      <c r="F2528" s="7">
        <v>2.0</v>
      </c>
      <c r="G2528" s="7" t="s">
        <v>83</v>
      </c>
      <c r="H2528" s="7" t="s">
        <v>1246</v>
      </c>
      <c r="I2528" s="7" t="s">
        <v>27</v>
      </c>
    </row>
    <row r="2529">
      <c r="A2529" s="7" t="s">
        <v>155</v>
      </c>
      <c r="B2529" s="7" t="s">
        <v>641</v>
      </c>
      <c r="C2529" s="8">
        <f>IFERROR(__xludf.DUMMYFUNCTION("SPLIT(B2529,""RM"")"),830000.0)</f>
        <v>830000</v>
      </c>
      <c r="D2529" s="7" t="s">
        <v>57</v>
      </c>
      <c r="E2529" s="7">
        <v>3.0</v>
      </c>
      <c r="G2529" s="7" t="s">
        <v>83</v>
      </c>
      <c r="H2529" s="7" t="s">
        <v>345</v>
      </c>
      <c r="I2529" s="7" t="s">
        <v>22</v>
      </c>
    </row>
    <row r="2530">
      <c r="A2530" s="7" t="s">
        <v>143</v>
      </c>
      <c r="B2530" s="7" t="s">
        <v>629</v>
      </c>
      <c r="C2530" s="8">
        <f>IFERROR(__xludf.DUMMYFUNCTION("SPLIT(B2530,""RM"")"),770000.0)</f>
        <v>770000</v>
      </c>
      <c r="D2530" s="7">
        <v>1.0</v>
      </c>
      <c r="E2530" s="7">
        <v>1.0</v>
      </c>
      <c r="F2530" s="7">
        <v>1.0</v>
      </c>
      <c r="G2530" s="7" t="s">
        <v>20</v>
      </c>
      <c r="H2530" s="7" t="s">
        <v>1913</v>
      </c>
      <c r="I2530" s="7" t="s">
        <v>22</v>
      </c>
    </row>
    <row r="2531">
      <c r="A2531" s="7" t="s">
        <v>100</v>
      </c>
      <c r="B2531" s="7" t="s">
        <v>635</v>
      </c>
      <c r="C2531" s="8">
        <f>IFERROR(__xludf.DUMMYFUNCTION("SPLIT(B2531,""RM"")"),720000.0)</f>
        <v>720000</v>
      </c>
      <c r="D2531" s="7">
        <v>4.0</v>
      </c>
      <c r="E2531" s="7">
        <v>2.0</v>
      </c>
      <c r="F2531" s="7">
        <v>2.0</v>
      </c>
      <c r="G2531" s="7" t="s">
        <v>83</v>
      </c>
      <c r="H2531" s="7" t="s">
        <v>716</v>
      </c>
      <c r="I2531" s="7" t="s">
        <v>27</v>
      </c>
    </row>
    <row r="2532">
      <c r="A2532" s="7" t="s">
        <v>72</v>
      </c>
      <c r="B2532" s="7" t="s">
        <v>53</v>
      </c>
      <c r="C2532" s="8">
        <f>IFERROR(__xludf.DUMMYFUNCTION("SPLIT(B2532,""RM"")"),1680000.0)</f>
        <v>1680000</v>
      </c>
      <c r="D2532" s="7" t="s">
        <v>35</v>
      </c>
      <c r="E2532" s="7">
        <v>4.0</v>
      </c>
      <c r="F2532" s="7">
        <v>2.0</v>
      </c>
      <c r="G2532" s="7" t="s">
        <v>83</v>
      </c>
      <c r="H2532" s="7" t="s">
        <v>307</v>
      </c>
    </row>
    <row r="2533">
      <c r="A2533" s="7" t="s">
        <v>17</v>
      </c>
      <c r="B2533" s="7" t="s">
        <v>236</v>
      </c>
      <c r="C2533" s="8">
        <f>IFERROR(__xludf.DUMMYFUNCTION("SPLIT(B2533,""RM"")"),2000000.0)</f>
        <v>2000000</v>
      </c>
      <c r="D2533" s="7" t="s">
        <v>197</v>
      </c>
      <c r="G2533" s="7" t="s">
        <v>20</v>
      </c>
      <c r="H2533" s="7" t="s">
        <v>342</v>
      </c>
      <c r="I2533" s="7" t="s">
        <v>27</v>
      </c>
    </row>
    <row r="2534">
      <c r="A2534" s="7" t="s">
        <v>89</v>
      </c>
      <c r="B2534" s="7" t="s">
        <v>807</v>
      </c>
      <c r="C2534" s="8">
        <f>IFERROR(__xludf.DUMMYFUNCTION("SPLIT(B2534,""RM"")"),1430000.0)</f>
        <v>1430000</v>
      </c>
      <c r="D2534" s="7" t="s">
        <v>35</v>
      </c>
      <c r="E2534" s="7">
        <v>6.0</v>
      </c>
      <c r="G2534" s="7" t="s">
        <v>90</v>
      </c>
      <c r="H2534" s="7" t="s">
        <v>791</v>
      </c>
      <c r="I2534" s="7" t="s">
        <v>103</v>
      </c>
    </row>
    <row r="2535">
      <c r="A2535" s="7" t="s">
        <v>89</v>
      </c>
      <c r="B2535" s="7" t="s">
        <v>243</v>
      </c>
      <c r="C2535" s="8">
        <f>IFERROR(__xludf.DUMMYFUNCTION("SPLIT(B2535,""RM"")"),1350000.0)</f>
        <v>1350000</v>
      </c>
      <c r="D2535" s="7" t="s">
        <v>35</v>
      </c>
      <c r="E2535" s="7">
        <v>6.0</v>
      </c>
      <c r="G2535" s="7" t="s">
        <v>90</v>
      </c>
      <c r="H2535" s="7" t="s">
        <v>344</v>
      </c>
      <c r="I2535" s="7" t="s">
        <v>103</v>
      </c>
    </row>
    <row r="2536">
      <c r="A2536" s="7" t="s">
        <v>358</v>
      </c>
      <c r="B2536" s="7" t="s">
        <v>507</v>
      </c>
      <c r="C2536" s="8">
        <f>IFERROR(__xludf.DUMMYFUNCTION("SPLIT(B2536,""RM"")"),590000.0)</f>
        <v>590000</v>
      </c>
      <c r="D2536" s="7">
        <v>3.0</v>
      </c>
      <c r="E2536" s="7">
        <v>2.0</v>
      </c>
      <c r="G2536" s="7" t="s">
        <v>83</v>
      </c>
      <c r="H2536" s="7" t="s">
        <v>1914</v>
      </c>
      <c r="I2536" s="7" t="s">
        <v>27</v>
      </c>
    </row>
    <row r="2537">
      <c r="A2537" s="7" t="s">
        <v>1014</v>
      </c>
      <c r="B2537" s="7" t="s">
        <v>1915</v>
      </c>
      <c r="C2537" s="8">
        <f>IFERROR(__xludf.DUMMYFUNCTION("SPLIT(B2537,""RM"")"),598000.0)</f>
        <v>598000</v>
      </c>
      <c r="D2537" s="7">
        <v>3.0</v>
      </c>
      <c r="E2537" s="7">
        <v>2.0</v>
      </c>
      <c r="F2537" s="7">
        <v>2.0</v>
      </c>
      <c r="G2537" s="7" t="s">
        <v>494</v>
      </c>
      <c r="H2537" s="7" t="s">
        <v>1916</v>
      </c>
      <c r="I2537" s="7" t="s">
        <v>27</v>
      </c>
    </row>
    <row r="2538">
      <c r="A2538" s="7" t="s">
        <v>428</v>
      </c>
      <c r="B2538" s="7" t="s">
        <v>606</v>
      </c>
      <c r="C2538" s="8">
        <f>IFERROR(__xludf.DUMMYFUNCTION("SPLIT(B2538,""RM"")"),428000.0)</f>
        <v>428000</v>
      </c>
      <c r="D2538" s="7">
        <v>1.0</v>
      </c>
      <c r="E2538" s="7">
        <v>1.0</v>
      </c>
      <c r="G2538" s="7" t="s">
        <v>82</v>
      </c>
      <c r="H2538" s="7" t="s">
        <v>1917</v>
      </c>
      <c r="I2538" s="7" t="s">
        <v>22</v>
      </c>
    </row>
    <row r="2539">
      <c r="A2539" s="7" t="s">
        <v>48</v>
      </c>
      <c r="B2539" s="7" t="s">
        <v>543</v>
      </c>
      <c r="C2539" s="8">
        <f>IFERROR(__xludf.DUMMYFUNCTION("SPLIT(B2539,""RM"")"),425000.0)</f>
        <v>425000</v>
      </c>
      <c r="D2539" s="7">
        <v>3.0</v>
      </c>
      <c r="E2539" s="7">
        <v>2.0</v>
      </c>
      <c r="F2539" s="7">
        <v>1.0</v>
      </c>
      <c r="G2539" s="7" t="s">
        <v>30</v>
      </c>
      <c r="H2539" s="7" t="s">
        <v>1918</v>
      </c>
      <c r="I2539" s="7" t="s">
        <v>103</v>
      </c>
    </row>
    <row r="2540">
      <c r="A2540" s="7" t="s">
        <v>171</v>
      </c>
      <c r="B2540" s="7" t="s">
        <v>1919</v>
      </c>
      <c r="C2540" s="8">
        <f>IFERROR(__xludf.DUMMYFUNCTION("SPLIT(B2540,""RM"")"),566000.0)</f>
        <v>566000</v>
      </c>
      <c r="D2540" s="7">
        <v>3.0</v>
      </c>
      <c r="E2540" s="7">
        <v>2.0</v>
      </c>
      <c r="F2540" s="7">
        <v>2.0</v>
      </c>
      <c r="G2540" s="7" t="s">
        <v>82</v>
      </c>
      <c r="H2540" s="7" t="s">
        <v>930</v>
      </c>
      <c r="I2540" s="7" t="s">
        <v>27</v>
      </c>
    </row>
    <row r="2541">
      <c r="A2541" s="7" t="s">
        <v>17</v>
      </c>
      <c r="B2541" s="7" t="s">
        <v>1895</v>
      </c>
      <c r="C2541" s="8">
        <f>IFERROR(__xludf.DUMMYFUNCTION("SPLIT(B2541,""RM"")"),1828000.0)</f>
        <v>1828000</v>
      </c>
      <c r="D2541" s="7">
        <v>3.0</v>
      </c>
      <c r="E2541" s="7">
        <v>3.0</v>
      </c>
      <c r="F2541" s="7">
        <v>2.0</v>
      </c>
      <c r="G2541" s="7" t="s">
        <v>83</v>
      </c>
      <c r="H2541" s="7" t="s">
        <v>1381</v>
      </c>
      <c r="I2541" s="7" t="s">
        <v>22</v>
      </c>
    </row>
    <row r="2542">
      <c r="A2542" s="7" t="s">
        <v>17</v>
      </c>
      <c r="B2542" s="7" t="s">
        <v>243</v>
      </c>
      <c r="C2542" s="8">
        <f>IFERROR(__xludf.DUMMYFUNCTION("SPLIT(B2542,""RM"")"),1350000.0)</f>
        <v>1350000</v>
      </c>
      <c r="D2542" s="7">
        <v>3.0</v>
      </c>
      <c r="E2542" s="7">
        <v>3.0</v>
      </c>
      <c r="F2542" s="7">
        <v>2.0</v>
      </c>
      <c r="G2542" s="7" t="s">
        <v>83</v>
      </c>
      <c r="H2542" s="7" t="s">
        <v>380</v>
      </c>
      <c r="I2542" s="7" t="s">
        <v>22</v>
      </c>
    </row>
    <row r="2543">
      <c r="A2543" s="7" t="s">
        <v>17</v>
      </c>
      <c r="B2543" s="7" t="s">
        <v>1920</v>
      </c>
      <c r="C2543" s="8">
        <f>IFERROR(__xludf.DUMMYFUNCTION("SPLIT(B2543,""RM"")"),1743000.0)</f>
        <v>1743000</v>
      </c>
      <c r="D2543" s="7">
        <v>3.0</v>
      </c>
      <c r="E2543" s="7">
        <v>3.0</v>
      </c>
      <c r="F2543" s="7">
        <v>2.0</v>
      </c>
      <c r="G2543" s="7" t="s">
        <v>83</v>
      </c>
      <c r="H2543" s="7" t="s">
        <v>826</v>
      </c>
      <c r="I2543" s="7" t="s">
        <v>22</v>
      </c>
    </row>
    <row r="2544">
      <c r="A2544" s="7" t="s">
        <v>17</v>
      </c>
      <c r="B2544" s="7" t="s">
        <v>156</v>
      </c>
      <c r="C2544" s="8">
        <f>IFERROR(__xludf.DUMMYFUNCTION("SPLIT(B2544,""RM"")"),850000.0)</f>
        <v>850000</v>
      </c>
      <c r="D2544" s="7">
        <v>2.0</v>
      </c>
      <c r="E2544" s="7">
        <v>2.0</v>
      </c>
      <c r="G2544" s="7" t="s">
        <v>121</v>
      </c>
      <c r="H2544" s="7" t="s">
        <v>1921</v>
      </c>
      <c r="I2544" s="7" t="s">
        <v>22</v>
      </c>
    </row>
    <row r="2545">
      <c r="A2545" s="7" t="s">
        <v>164</v>
      </c>
      <c r="B2545" s="7" t="s">
        <v>309</v>
      </c>
      <c r="C2545" s="8">
        <f>IFERROR(__xludf.DUMMYFUNCTION("SPLIT(B2545,""RM"")"),2100000.0)</f>
        <v>2100000</v>
      </c>
      <c r="D2545" s="7">
        <v>2.0</v>
      </c>
      <c r="E2545" s="7">
        <v>2.0</v>
      </c>
      <c r="F2545" s="7">
        <v>1.0</v>
      </c>
      <c r="G2545" s="7" t="s">
        <v>20</v>
      </c>
      <c r="H2545" s="7" t="s">
        <v>1922</v>
      </c>
    </row>
    <row r="2546">
      <c r="A2546" s="7" t="s">
        <v>17</v>
      </c>
      <c r="B2546" s="7" t="s">
        <v>322</v>
      </c>
      <c r="C2546" s="8">
        <f>IFERROR(__xludf.DUMMYFUNCTION("SPLIT(B2546,""RM"")"),1900000.0)</f>
        <v>1900000</v>
      </c>
      <c r="D2546" s="7">
        <v>2.0</v>
      </c>
      <c r="E2546" s="7">
        <v>2.0</v>
      </c>
      <c r="G2546" s="7" t="s">
        <v>20</v>
      </c>
      <c r="H2546" s="7" t="s">
        <v>303</v>
      </c>
    </row>
    <row r="2547">
      <c r="A2547" s="7" t="s">
        <v>164</v>
      </c>
      <c r="B2547" s="7" t="s">
        <v>403</v>
      </c>
      <c r="C2547" s="8">
        <f>IFERROR(__xludf.DUMMYFUNCTION("SPLIT(B2547,""RM"")"),1600000.0)</f>
        <v>1600000</v>
      </c>
      <c r="D2547" s="7" t="s">
        <v>19</v>
      </c>
      <c r="E2547" s="7">
        <v>3.0</v>
      </c>
      <c r="F2547" s="7">
        <v>1.0</v>
      </c>
      <c r="G2547" s="7" t="s">
        <v>20</v>
      </c>
      <c r="H2547" s="7" t="s">
        <v>234</v>
      </c>
    </row>
    <row r="2548">
      <c r="A2548" s="7" t="s">
        <v>164</v>
      </c>
      <c r="B2548" s="7" t="s">
        <v>460</v>
      </c>
      <c r="C2548" s="8">
        <f>IFERROR(__xludf.DUMMYFUNCTION("SPLIT(B2548,""RM"")"),1580000.0)</f>
        <v>1580000</v>
      </c>
      <c r="D2548" s="7">
        <v>2.0</v>
      </c>
      <c r="E2548" s="7">
        <v>2.0</v>
      </c>
      <c r="F2548" s="7">
        <v>1.0</v>
      </c>
      <c r="G2548" s="7" t="s">
        <v>20</v>
      </c>
      <c r="H2548" s="7" t="s">
        <v>234</v>
      </c>
    </row>
    <row r="2549">
      <c r="A2549" s="7" t="s">
        <v>17</v>
      </c>
      <c r="B2549" s="7" t="s">
        <v>281</v>
      </c>
      <c r="C2549" s="8">
        <f>IFERROR(__xludf.DUMMYFUNCTION("SPLIT(B2549,""RM"")"),2500000.0)</f>
        <v>2500000</v>
      </c>
      <c r="D2549" s="7">
        <v>3.0</v>
      </c>
      <c r="E2549" s="7">
        <v>3.0</v>
      </c>
      <c r="G2549" s="7" t="s">
        <v>20</v>
      </c>
      <c r="H2549" s="7" t="s">
        <v>1923</v>
      </c>
    </row>
    <row r="2550">
      <c r="A2550" s="7" t="s">
        <v>164</v>
      </c>
      <c r="B2550" s="7" t="s">
        <v>116</v>
      </c>
      <c r="C2550" s="8">
        <f>IFERROR(__xludf.DUMMYFUNCTION("SPLIT(B2550,""RM"")"),1438000.0)</f>
        <v>1438000</v>
      </c>
      <c r="D2550" s="7" t="s">
        <v>197</v>
      </c>
      <c r="E2550" s="7">
        <v>2.0</v>
      </c>
      <c r="G2550" s="7" t="s">
        <v>20</v>
      </c>
      <c r="H2550" s="7" t="s">
        <v>237</v>
      </c>
    </row>
    <row r="2551">
      <c r="A2551" s="7" t="s">
        <v>17</v>
      </c>
      <c r="B2551" s="7" t="s">
        <v>1924</v>
      </c>
      <c r="C2551" s="8">
        <f>IFERROR(__xludf.DUMMYFUNCTION("SPLIT(B2551,""RM"")"),8000.0)</f>
        <v>8000</v>
      </c>
      <c r="D2551" s="7" t="s">
        <v>79</v>
      </c>
      <c r="E2551" s="7">
        <v>5.0</v>
      </c>
      <c r="G2551" s="7" t="s">
        <v>121</v>
      </c>
      <c r="H2551" s="7" t="s">
        <v>1925</v>
      </c>
      <c r="I2551" s="7" t="s">
        <v>22</v>
      </c>
    </row>
    <row r="2552">
      <c r="A2552" s="7" t="s">
        <v>33</v>
      </c>
      <c r="B2552" s="7" t="s">
        <v>1075</v>
      </c>
      <c r="C2552" s="8">
        <f>IFERROR(__xludf.DUMMYFUNCTION("SPLIT(B2552,""RM"")"),790000.0)</f>
        <v>790000</v>
      </c>
      <c r="D2552" s="7">
        <v>5.0</v>
      </c>
      <c r="E2552" s="7">
        <v>3.0</v>
      </c>
      <c r="F2552" s="7">
        <v>2.0</v>
      </c>
      <c r="G2552" s="7" t="s">
        <v>30</v>
      </c>
      <c r="H2552" s="7" t="s">
        <v>307</v>
      </c>
      <c r="I2552" s="7" t="s">
        <v>103</v>
      </c>
    </row>
    <row r="2553">
      <c r="A2553" s="7" t="s">
        <v>33</v>
      </c>
      <c r="B2553" s="7" t="s">
        <v>1075</v>
      </c>
      <c r="C2553" s="8">
        <f>IFERROR(__xludf.DUMMYFUNCTION("SPLIT(B2553,""RM"")"),790000.0)</f>
        <v>790000</v>
      </c>
      <c r="D2553" s="7">
        <v>5.0</v>
      </c>
      <c r="E2553" s="7">
        <v>3.0</v>
      </c>
      <c r="F2553" s="7">
        <v>2.0</v>
      </c>
      <c r="G2553" s="7" t="s">
        <v>30</v>
      </c>
      <c r="H2553" s="7" t="s">
        <v>307</v>
      </c>
      <c r="I2553" s="7" t="s">
        <v>103</v>
      </c>
    </row>
    <row r="2554">
      <c r="A2554" s="7" t="s">
        <v>17</v>
      </c>
      <c r="B2554" s="7" t="s">
        <v>158</v>
      </c>
      <c r="C2554" s="8">
        <f>IFERROR(__xludf.DUMMYFUNCTION("SPLIT(B2554,""RM"")"),1850000.0)</f>
        <v>1850000</v>
      </c>
      <c r="D2554" s="7">
        <v>3.0</v>
      </c>
      <c r="E2554" s="7">
        <v>3.0</v>
      </c>
      <c r="G2554" s="7" t="s">
        <v>83</v>
      </c>
      <c r="H2554" s="7" t="s">
        <v>285</v>
      </c>
      <c r="I2554" s="7" t="s">
        <v>27</v>
      </c>
    </row>
    <row r="2555">
      <c r="A2555" s="7" t="s">
        <v>17</v>
      </c>
      <c r="B2555" s="7" t="s">
        <v>1152</v>
      </c>
      <c r="C2555" s="8">
        <f>IFERROR(__xludf.DUMMYFUNCTION("SPLIT(B2555,""RM"")"),1390000.0)</f>
        <v>1390000</v>
      </c>
      <c r="D2555" s="7">
        <v>2.0</v>
      </c>
      <c r="E2555" s="7">
        <v>3.0</v>
      </c>
      <c r="G2555" s="7" t="s">
        <v>83</v>
      </c>
      <c r="H2555" s="7" t="s">
        <v>173</v>
      </c>
      <c r="I2555" s="7" t="s">
        <v>22</v>
      </c>
    </row>
    <row r="2556">
      <c r="A2556" s="7" t="s">
        <v>1158</v>
      </c>
      <c r="B2556" s="7" t="s">
        <v>507</v>
      </c>
      <c r="C2556" s="8">
        <f>IFERROR(__xludf.DUMMYFUNCTION("SPLIT(B2556,""RM"")"),590000.0)</f>
        <v>590000</v>
      </c>
      <c r="D2556" s="7" t="s">
        <v>325</v>
      </c>
      <c r="E2556" s="7">
        <v>1.0</v>
      </c>
      <c r="G2556" s="7" t="s">
        <v>20</v>
      </c>
      <c r="H2556" s="7" t="s">
        <v>1575</v>
      </c>
      <c r="I2556" s="7" t="s">
        <v>22</v>
      </c>
    </row>
    <row r="2557">
      <c r="A2557" s="7" t="s">
        <v>72</v>
      </c>
      <c r="B2557" s="7" t="s">
        <v>1926</v>
      </c>
      <c r="C2557" s="8">
        <f>IFERROR(__xludf.DUMMYFUNCTION("SPLIT(B2557,""RM"")"),3050000.0)</f>
        <v>3050000</v>
      </c>
      <c r="D2557" s="7" t="s">
        <v>35</v>
      </c>
      <c r="E2557" s="7">
        <v>5.0</v>
      </c>
      <c r="F2557" s="7">
        <v>3.0</v>
      </c>
      <c r="G2557" s="7" t="s">
        <v>83</v>
      </c>
      <c r="H2557" s="7" t="s">
        <v>1927</v>
      </c>
      <c r="I2557" s="7" t="s">
        <v>27</v>
      </c>
    </row>
    <row r="2558">
      <c r="A2558" s="7" t="s">
        <v>72</v>
      </c>
      <c r="B2558" s="7" t="s">
        <v>1047</v>
      </c>
      <c r="C2558" s="8">
        <f>IFERROR(__xludf.DUMMYFUNCTION("SPLIT(B2558,""RM"")"),2940000.0)</f>
        <v>2940000</v>
      </c>
      <c r="D2558" s="7" t="s">
        <v>35</v>
      </c>
      <c r="E2558" s="7">
        <v>5.0</v>
      </c>
      <c r="F2558" s="7">
        <v>3.0</v>
      </c>
      <c r="G2558" s="7" t="s">
        <v>83</v>
      </c>
      <c r="H2558" s="7" t="s">
        <v>994</v>
      </c>
      <c r="I2558" s="7" t="s">
        <v>27</v>
      </c>
    </row>
    <row r="2559">
      <c r="A2559" s="7" t="s">
        <v>32</v>
      </c>
      <c r="B2559" s="7" t="s">
        <v>983</v>
      </c>
      <c r="C2559" s="8">
        <f>IFERROR(__xludf.DUMMYFUNCTION("SPLIT(B2559,""RM"")"),440000.0)</f>
        <v>440000</v>
      </c>
      <c r="D2559" s="7">
        <v>3.0</v>
      </c>
      <c r="E2559" s="7">
        <v>2.0</v>
      </c>
      <c r="F2559" s="7">
        <v>2.0</v>
      </c>
      <c r="G2559" s="7" t="s">
        <v>494</v>
      </c>
      <c r="H2559" s="7" t="s">
        <v>1928</v>
      </c>
      <c r="I2559" s="7" t="s">
        <v>27</v>
      </c>
    </row>
    <row r="2560">
      <c r="A2560" s="7" t="s">
        <v>371</v>
      </c>
      <c r="B2560" s="7" t="s">
        <v>936</v>
      </c>
      <c r="C2560" s="8">
        <f>IFERROR(__xludf.DUMMYFUNCTION("SPLIT(B2560,""RM"")"),940000.0)</f>
        <v>940000</v>
      </c>
      <c r="D2560" s="7" t="s">
        <v>57</v>
      </c>
      <c r="E2560" s="7">
        <v>3.0</v>
      </c>
      <c r="F2560" s="7">
        <v>2.0</v>
      </c>
      <c r="G2560" s="7" t="s">
        <v>30</v>
      </c>
      <c r="H2560" s="7" t="s">
        <v>1929</v>
      </c>
      <c r="I2560" s="7" t="s">
        <v>27</v>
      </c>
    </row>
    <row r="2561">
      <c r="A2561" s="7" t="s">
        <v>371</v>
      </c>
      <c r="B2561" s="7" t="s">
        <v>34</v>
      </c>
      <c r="C2561" s="8">
        <f>IFERROR(__xludf.DUMMYFUNCTION("SPLIT(B2561,""RM"")"),900000.0)</f>
        <v>900000</v>
      </c>
      <c r="D2561" s="7" t="s">
        <v>57</v>
      </c>
      <c r="E2561" s="7">
        <v>3.0</v>
      </c>
      <c r="F2561" s="7">
        <v>2.0</v>
      </c>
      <c r="G2561" s="7" t="s">
        <v>30</v>
      </c>
      <c r="H2561" s="7" t="s">
        <v>1929</v>
      </c>
      <c r="I2561" s="7" t="s">
        <v>27</v>
      </c>
    </row>
    <row r="2562">
      <c r="A2562" s="7" t="s">
        <v>72</v>
      </c>
      <c r="B2562" s="7" t="s">
        <v>322</v>
      </c>
      <c r="C2562" s="8">
        <f>IFERROR(__xludf.DUMMYFUNCTION("SPLIT(B2562,""RM"")"),1900000.0)</f>
        <v>1900000</v>
      </c>
      <c r="D2562" s="7" t="s">
        <v>57</v>
      </c>
      <c r="E2562" s="7">
        <v>5.0</v>
      </c>
      <c r="G2562" s="7" t="s">
        <v>30</v>
      </c>
      <c r="H2562" s="7" t="s">
        <v>729</v>
      </c>
      <c r="I2562" s="7" t="s">
        <v>27</v>
      </c>
    </row>
    <row r="2563">
      <c r="A2563" s="7" t="s">
        <v>72</v>
      </c>
      <c r="B2563" s="7" t="s">
        <v>322</v>
      </c>
      <c r="C2563" s="8">
        <f>IFERROR(__xludf.DUMMYFUNCTION("SPLIT(B2563,""RM"")"),1900000.0)</f>
        <v>1900000</v>
      </c>
      <c r="D2563" s="7" t="s">
        <v>57</v>
      </c>
      <c r="E2563" s="7">
        <v>5.0</v>
      </c>
      <c r="F2563" s="7">
        <v>3.0</v>
      </c>
      <c r="G2563" s="7" t="s">
        <v>93</v>
      </c>
      <c r="H2563" s="7" t="s">
        <v>376</v>
      </c>
      <c r="I2563" s="7" t="s">
        <v>27</v>
      </c>
    </row>
    <row r="2564">
      <c r="A2564" s="7" t="s">
        <v>72</v>
      </c>
      <c r="B2564" s="7" t="s">
        <v>313</v>
      </c>
      <c r="C2564" s="8">
        <f>IFERROR(__xludf.DUMMYFUNCTION("SPLIT(B2564,""RM"")"),2900000.0)</f>
        <v>2900000</v>
      </c>
      <c r="D2564" s="7" t="s">
        <v>35</v>
      </c>
      <c r="E2564" s="7">
        <v>7.0</v>
      </c>
      <c r="G2564" s="7" t="s">
        <v>30</v>
      </c>
      <c r="H2564" s="7" t="s">
        <v>729</v>
      </c>
      <c r="I2564" s="7" t="s">
        <v>27</v>
      </c>
    </row>
    <row r="2565">
      <c r="A2565" s="7" t="s">
        <v>164</v>
      </c>
      <c r="B2565" s="7" t="s">
        <v>1930</v>
      </c>
      <c r="C2565" s="8">
        <f>IFERROR(__xludf.DUMMYFUNCTION("SPLIT(B2565,""RM"")"),1359800.0)</f>
        <v>1359800</v>
      </c>
      <c r="D2565" s="7">
        <v>3.0</v>
      </c>
      <c r="E2565" s="7">
        <v>3.0</v>
      </c>
      <c r="F2565" s="7">
        <v>3.0</v>
      </c>
      <c r="G2565" s="7" t="s">
        <v>20</v>
      </c>
      <c r="H2565" s="7" t="s">
        <v>1684</v>
      </c>
      <c r="I2565" s="7" t="s">
        <v>27</v>
      </c>
    </row>
    <row r="2566">
      <c r="A2566" s="7" t="s">
        <v>164</v>
      </c>
      <c r="B2566" s="7" t="s">
        <v>1931</v>
      </c>
      <c r="C2566" s="8">
        <f>IFERROR(__xludf.DUMMYFUNCTION("SPLIT(B2566,""RM"")"),855800.0)</f>
        <v>855800</v>
      </c>
      <c r="D2566" s="7">
        <v>1.0</v>
      </c>
      <c r="E2566" s="7">
        <v>1.0</v>
      </c>
      <c r="G2566" s="7" t="s">
        <v>20</v>
      </c>
      <c r="H2566" s="7" t="s">
        <v>242</v>
      </c>
      <c r="I2566" s="7" t="s">
        <v>27</v>
      </c>
    </row>
    <row r="2567">
      <c r="A2567" s="7" t="s">
        <v>164</v>
      </c>
      <c r="B2567" s="7" t="s">
        <v>1932</v>
      </c>
      <c r="C2567" s="8">
        <f>IFERROR(__xludf.DUMMYFUNCTION("SPLIT(B2567,""RM"")"),1128800.0)</f>
        <v>1128800</v>
      </c>
      <c r="D2567" s="7" t="s">
        <v>197</v>
      </c>
      <c r="E2567" s="7">
        <v>2.0</v>
      </c>
      <c r="F2567" s="7">
        <v>2.0</v>
      </c>
      <c r="G2567" s="7" t="s">
        <v>82</v>
      </c>
      <c r="H2567" s="7" t="s">
        <v>910</v>
      </c>
      <c r="I2567" s="7" t="s">
        <v>27</v>
      </c>
    </row>
    <row r="2568">
      <c r="A2568" s="7" t="s">
        <v>148</v>
      </c>
      <c r="B2568" s="7" t="s">
        <v>309</v>
      </c>
      <c r="C2568" s="8">
        <f>IFERROR(__xludf.DUMMYFUNCTION("SPLIT(B2568,""RM"")"),2100000.0)</f>
        <v>2100000</v>
      </c>
      <c r="D2568" s="7" t="s">
        <v>35</v>
      </c>
      <c r="E2568" s="7">
        <v>5.0</v>
      </c>
      <c r="G2568" s="7" t="s">
        <v>562</v>
      </c>
      <c r="H2568" s="7" t="s">
        <v>1031</v>
      </c>
      <c r="I2568" s="7" t="s">
        <v>22</v>
      </c>
    </row>
    <row r="2569">
      <c r="A2569" s="7" t="s">
        <v>171</v>
      </c>
      <c r="B2569" s="7" t="s">
        <v>1911</v>
      </c>
      <c r="C2569" s="8">
        <f>IFERROR(__xludf.DUMMYFUNCTION("SPLIT(B2569,""RM"")"),325000.0)</f>
        <v>325000</v>
      </c>
      <c r="D2569" s="7">
        <v>1.0</v>
      </c>
      <c r="E2569" s="7">
        <v>1.0</v>
      </c>
      <c r="F2569" s="7">
        <v>1.0</v>
      </c>
      <c r="G2569" s="7" t="s">
        <v>20</v>
      </c>
      <c r="H2569" s="7" t="s">
        <v>1933</v>
      </c>
    </row>
    <row r="2570">
      <c r="A2570" s="7" t="s">
        <v>89</v>
      </c>
      <c r="B2570" s="7" t="s">
        <v>563</v>
      </c>
      <c r="C2570" s="8">
        <f>IFERROR(__xludf.DUMMYFUNCTION("SPLIT(B2570,""RM"")"),600000.0)</f>
        <v>600000</v>
      </c>
      <c r="D2570" s="7" t="s">
        <v>19</v>
      </c>
      <c r="E2570" s="7">
        <v>2.0</v>
      </c>
      <c r="F2570" s="7">
        <v>2.0</v>
      </c>
      <c r="G2570" s="7" t="s">
        <v>20</v>
      </c>
      <c r="H2570" s="7" t="s">
        <v>764</v>
      </c>
      <c r="I2570" s="7" t="s">
        <v>22</v>
      </c>
    </row>
    <row r="2571">
      <c r="A2571" s="7" t="s">
        <v>89</v>
      </c>
      <c r="B2571" s="7" t="s">
        <v>1880</v>
      </c>
      <c r="C2571" s="8">
        <f>IFERROR(__xludf.DUMMYFUNCTION("SPLIT(B2571,""RM"")"),499000.0)</f>
        <v>499000</v>
      </c>
      <c r="D2571" s="7">
        <v>1.0</v>
      </c>
      <c r="E2571" s="7">
        <v>1.0</v>
      </c>
      <c r="F2571" s="7">
        <v>2.0</v>
      </c>
      <c r="G2571" s="7" t="s">
        <v>82</v>
      </c>
      <c r="H2571" s="7" t="s">
        <v>924</v>
      </c>
      <c r="I2571" s="7" t="s">
        <v>27</v>
      </c>
    </row>
    <row r="2572">
      <c r="A2572" s="7" t="s">
        <v>32</v>
      </c>
      <c r="B2572" s="7" t="s">
        <v>1915</v>
      </c>
      <c r="C2572" s="8">
        <f>IFERROR(__xludf.DUMMYFUNCTION("SPLIT(B2572,""RM"")"),598000.0)</f>
        <v>598000</v>
      </c>
      <c r="D2572" s="7">
        <v>4.0</v>
      </c>
      <c r="E2572" s="7">
        <v>3.0</v>
      </c>
      <c r="F2572" s="7">
        <v>2.0</v>
      </c>
      <c r="G2572" s="7" t="s">
        <v>54</v>
      </c>
      <c r="H2572" s="7" t="s">
        <v>1458</v>
      </c>
      <c r="I2572" s="7" t="s">
        <v>103</v>
      </c>
    </row>
    <row r="2573">
      <c r="A2573" s="7" t="s">
        <v>32</v>
      </c>
      <c r="B2573" s="7" t="s">
        <v>1823</v>
      </c>
      <c r="C2573" s="8">
        <f>IFERROR(__xludf.DUMMYFUNCTION("SPLIT(B2573,""RM"")"),508000.0)</f>
        <v>508000</v>
      </c>
      <c r="D2573" s="7">
        <v>3.0</v>
      </c>
      <c r="E2573" s="7">
        <v>2.0</v>
      </c>
      <c r="F2573" s="7">
        <v>1.0</v>
      </c>
      <c r="G2573" s="7" t="s">
        <v>121</v>
      </c>
      <c r="H2573" s="7" t="s">
        <v>1934</v>
      </c>
      <c r="I2573" s="7" t="s">
        <v>27</v>
      </c>
    </row>
    <row r="2574">
      <c r="A2574" s="7" t="s">
        <v>77</v>
      </c>
      <c r="B2574" s="7" t="s">
        <v>306</v>
      </c>
      <c r="C2574" s="8">
        <f>IFERROR(__xludf.DUMMYFUNCTION("SPLIT(B2574,""RM"")"),1990000.0)</f>
        <v>1990000</v>
      </c>
      <c r="D2574" s="7" t="s">
        <v>57</v>
      </c>
      <c r="E2574" s="7">
        <v>4.0</v>
      </c>
      <c r="F2574" s="7">
        <v>2.0</v>
      </c>
      <c r="G2574" s="7" t="s">
        <v>169</v>
      </c>
      <c r="H2574" s="7" t="s">
        <v>307</v>
      </c>
      <c r="I2574" s="7" t="s">
        <v>22</v>
      </c>
    </row>
    <row r="2575">
      <c r="A2575" s="7" t="s">
        <v>77</v>
      </c>
      <c r="B2575" s="7" t="s">
        <v>468</v>
      </c>
      <c r="C2575" s="8">
        <f>IFERROR(__xludf.DUMMYFUNCTION("SPLIT(B2575,""RM"")"),2750000.0)</f>
        <v>2750000</v>
      </c>
      <c r="D2575" s="7" t="s">
        <v>35</v>
      </c>
      <c r="E2575" s="7">
        <v>5.0</v>
      </c>
      <c r="F2575" s="7">
        <v>2.0</v>
      </c>
      <c r="G2575" s="7" t="s">
        <v>562</v>
      </c>
      <c r="H2575" s="7" t="s">
        <v>727</v>
      </c>
      <c r="I2575" s="7" t="s">
        <v>27</v>
      </c>
    </row>
    <row r="2576">
      <c r="A2576" s="7" t="s">
        <v>77</v>
      </c>
      <c r="B2576" s="7" t="s">
        <v>281</v>
      </c>
      <c r="C2576" s="8">
        <f>IFERROR(__xludf.DUMMYFUNCTION("SPLIT(B2576,""RM"")"),2500000.0)</f>
        <v>2500000</v>
      </c>
      <c r="D2576" s="7" t="s">
        <v>79</v>
      </c>
      <c r="E2576" s="7">
        <v>5.0</v>
      </c>
      <c r="F2576" s="7">
        <v>2.0</v>
      </c>
      <c r="G2576" s="7" t="s">
        <v>282</v>
      </c>
      <c r="H2576" s="7" t="s">
        <v>727</v>
      </c>
      <c r="I2576" s="7" t="s">
        <v>27</v>
      </c>
    </row>
    <row r="2577">
      <c r="A2577" s="7" t="s">
        <v>77</v>
      </c>
      <c r="B2577" s="7" t="s">
        <v>73</v>
      </c>
      <c r="C2577" s="8">
        <f>IFERROR(__xludf.DUMMYFUNCTION("SPLIT(B2577,""RM"")"),1780000.0)</f>
        <v>1780000</v>
      </c>
      <c r="D2577" s="7">
        <v>3.0</v>
      </c>
      <c r="E2577" s="7">
        <v>3.0</v>
      </c>
      <c r="F2577" s="7">
        <v>2.0</v>
      </c>
      <c r="G2577" s="7" t="s">
        <v>90</v>
      </c>
      <c r="H2577" s="7" t="s">
        <v>461</v>
      </c>
      <c r="I2577" s="7" t="s">
        <v>103</v>
      </c>
    </row>
    <row r="2578">
      <c r="A2578" s="7" t="s">
        <v>77</v>
      </c>
      <c r="B2578" s="7" t="s">
        <v>304</v>
      </c>
      <c r="C2578" s="8">
        <f>IFERROR(__xludf.DUMMYFUNCTION("SPLIT(B2578,""RM"")"),4950000.0)</f>
        <v>4950000</v>
      </c>
      <c r="D2578" s="7" t="s">
        <v>299</v>
      </c>
      <c r="E2578" s="7">
        <v>9.0</v>
      </c>
      <c r="F2578" s="7">
        <v>4.0</v>
      </c>
      <c r="G2578" s="7" t="s">
        <v>300</v>
      </c>
      <c r="H2578" s="7" t="s">
        <v>794</v>
      </c>
      <c r="I2578" s="7" t="s">
        <v>27</v>
      </c>
    </row>
    <row r="2579">
      <c r="A2579" s="7" t="s">
        <v>77</v>
      </c>
      <c r="B2579" s="7" t="s">
        <v>749</v>
      </c>
      <c r="C2579" s="8">
        <f>IFERROR(__xludf.DUMMYFUNCTION("SPLIT(B2579,""RM"")"),3580000.0)</f>
        <v>3580000</v>
      </c>
      <c r="D2579" s="7" t="s">
        <v>35</v>
      </c>
      <c r="E2579" s="7">
        <v>6.0</v>
      </c>
      <c r="F2579" s="7">
        <v>4.0</v>
      </c>
      <c r="G2579" s="7" t="s">
        <v>273</v>
      </c>
      <c r="H2579" s="7" t="s">
        <v>1935</v>
      </c>
      <c r="I2579" s="7" t="s">
        <v>27</v>
      </c>
    </row>
    <row r="2580">
      <c r="A2580" s="7" t="s">
        <v>37</v>
      </c>
      <c r="B2580" s="7" t="s">
        <v>599</v>
      </c>
      <c r="C2580" s="8">
        <f>IFERROR(__xludf.DUMMYFUNCTION("SPLIT(B2580,""RM"")"),950000.0)</f>
        <v>950000</v>
      </c>
      <c r="D2580" s="7">
        <v>3.0</v>
      </c>
      <c r="E2580" s="7">
        <v>2.0</v>
      </c>
      <c r="F2580" s="7">
        <v>1.0</v>
      </c>
      <c r="G2580" s="7" t="s">
        <v>93</v>
      </c>
      <c r="H2580" s="7" t="s">
        <v>471</v>
      </c>
      <c r="I2580" s="7" t="s">
        <v>22</v>
      </c>
    </row>
    <row r="2581">
      <c r="A2581" s="7" t="s">
        <v>28</v>
      </c>
      <c r="B2581" s="7" t="s">
        <v>156</v>
      </c>
      <c r="C2581" s="8">
        <f>IFERROR(__xludf.DUMMYFUNCTION("SPLIT(B2581,""RM"")"),850000.0)</f>
        <v>850000</v>
      </c>
      <c r="D2581" s="7" t="s">
        <v>57</v>
      </c>
      <c r="E2581" s="7">
        <v>4.0</v>
      </c>
      <c r="F2581" s="7">
        <v>3.0</v>
      </c>
      <c r="G2581" s="7" t="s">
        <v>30</v>
      </c>
      <c r="H2581" s="7" t="s">
        <v>743</v>
      </c>
      <c r="I2581" s="7" t="s">
        <v>22</v>
      </c>
    </row>
    <row r="2582">
      <c r="A2582" s="7" t="s">
        <v>428</v>
      </c>
      <c r="B2582" s="7" t="s">
        <v>346</v>
      </c>
      <c r="C2582" s="8">
        <f>IFERROR(__xludf.DUMMYFUNCTION("SPLIT(B2582,""RM"")"),638000.0)</f>
        <v>638000</v>
      </c>
      <c r="D2582" s="7">
        <v>2.0</v>
      </c>
      <c r="E2582" s="7">
        <v>2.0</v>
      </c>
      <c r="F2582" s="7">
        <v>2.0</v>
      </c>
      <c r="G2582" s="7" t="s">
        <v>121</v>
      </c>
      <c r="H2582" s="7" t="s">
        <v>734</v>
      </c>
      <c r="I2582" s="7" t="s">
        <v>22</v>
      </c>
    </row>
    <row r="2583">
      <c r="A2583" s="7" t="s">
        <v>428</v>
      </c>
      <c r="B2583" s="7" t="s">
        <v>712</v>
      </c>
      <c r="C2583" s="8">
        <f>IFERROR(__xludf.DUMMYFUNCTION("SPLIT(B2583,""RM"")"),1880000.0)</f>
        <v>1880000</v>
      </c>
      <c r="D2583" s="7">
        <v>3.0</v>
      </c>
      <c r="E2583" s="7">
        <v>3.0</v>
      </c>
      <c r="F2583" s="7">
        <v>3.0</v>
      </c>
      <c r="G2583" s="7" t="s">
        <v>82</v>
      </c>
      <c r="H2583" s="7" t="s">
        <v>330</v>
      </c>
      <c r="I2583" s="7" t="s">
        <v>22</v>
      </c>
    </row>
    <row r="2584">
      <c r="A2584" s="7" t="s">
        <v>177</v>
      </c>
      <c r="B2584" s="7" t="s">
        <v>1432</v>
      </c>
      <c r="C2584" s="8">
        <f>IFERROR(__xludf.DUMMYFUNCTION("SPLIT(B2584,""RM"")"),1320000.0)</f>
        <v>1320000</v>
      </c>
      <c r="D2584" s="7">
        <v>3.0</v>
      </c>
      <c r="E2584" s="7">
        <v>2.0</v>
      </c>
      <c r="F2584" s="7">
        <v>3.0</v>
      </c>
      <c r="G2584" s="7" t="s">
        <v>83</v>
      </c>
      <c r="H2584" s="7" t="s">
        <v>1936</v>
      </c>
      <c r="I2584" s="7" t="s">
        <v>22</v>
      </c>
    </row>
    <row r="2585">
      <c r="A2585" s="7" t="s">
        <v>72</v>
      </c>
      <c r="B2585" s="7" t="s">
        <v>151</v>
      </c>
      <c r="C2585" s="8">
        <f>IFERROR(__xludf.DUMMYFUNCTION("SPLIT(B2585,""RM"")"),4800000.0)</f>
        <v>4800000</v>
      </c>
      <c r="D2585" s="7" t="s">
        <v>60</v>
      </c>
      <c r="E2585" s="7">
        <v>5.0</v>
      </c>
      <c r="F2585" s="7">
        <v>4.0</v>
      </c>
      <c r="G2585" s="7" t="s">
        <v>43</v>
      </c>
      <c r="H2585" s="7" t="s">
        <v>860</v>
      </c>
    </row>
    <row r="2586">
      <c r="A2586" s="7" t="s">
        <v>177</v>
      </c>
      <c r="B2586" s="7" t="s">
        <v>45</v>
      </c>
      <c r="C2586" s="8">
        <f>IFERROR(__xludf.DUMMYFUNCTION("SPLIT(B2586,""RM"")"),1950000.0)</f>
        <v>1950000</v>
      </c>
      <c r="D2586" s="7">
        <v>4.0</v>
      </c>
      <c r="E2586" s="7">
        <v>3.0</v>
      </c>
      <c r="F2586" s="7">
        <v>2.0</v>
      </c>
      <c r="G2586" s="7" t="s">
        <v>169</v>
      </c>
      <c r="H2586" s="7" t="s">
        <v>719</v>
      </c>
      <c r="I2586" s="7" t="s">
        <v>27</v>
      </c>
    </row>
    <row r="2587">
      <c r="A2587" s="7" t="s">
        <v>177</v>
      </c>
      <c r="B2587" s="7" t="s">
        <v>1610</v>
      </c>
      <c r="C2587" s="8">
        <f>IFERROR(__xludf.DUMMYFUNCTION("SPLIT(B2587,""RM"")"),4180000.0)</f>
        <v>4180000</v>
      </c>
      <c r="D2587" s="7" t="s">
        <v>70</v>
      </c>
      <c r="E2587" s="7">
        <v>5.0</v>
      </c>
      <c r="F2587" s="7">
        <v>4.0</v>
      </c>
      <c r="G2587" s="7" t="s">
        <v>25</v>
      </c>
      <c r="H2587" s="7" t="s">
        <v>1937</v>
      </c>
      <c r="I2587" s="7" t="s">
        <v>27</v>
      </c>
    </row>
    <row r="2588">
      <c r="A2588" s="7" t="s">
        <v>177</v>
      </c>
      <c r="B2588" s="7" t="s">
        <v>1079</v>
      </c>
      <c r="C2588" s="8">
        <f>IFERROR(__xludf.DUMMYFUNCTION("SPLIT(B2588,""RM"")"),2350000.0)</f>
        <v>2350000</v>
      </c>
      <c r="D2588" s="7" t="s">
        <v>35</v>
      </c>
      <c r="E2588" s="7">
        <v>4.0</v>
      </c>
      <c r="F2588" s="7">
        <v>3.0</v>
      </c>
      <c r="G2588" s="7" t="s">
        <v>169</v>
      </c>
      <c r="H2588" s="7" t="s">
        <v>211</v>
      </c>
      <c r="I2588" s="7" t="s">
        <v>27</v>
      </c>
    </row>
    <row r="2589">
      <c r="A2589" s="7" t="s">
        <v>177</v>
      </c>
      <c r="B2589" s="7" t="s">
        <v>1032</v>
      </c>
      <c r="C2589" s="8">
        <f>IFERROR(__xludf.DUMMYFUNCTION("SPLIT(B2589,""RM"")"),3880000.0)</f>
        <v>3880000</v>
      </c>
      <c r="D2589" s="7" t="s">
        <v>35</v>
      </c>
      <c r="E2589" s="7">
        <v>4.0</v>
      </c>
      <c r="F2589" s="7">
        <v>3.0</v>
      </c>
      <c r="G2589" s="7" t="s">
        <v>61</v>
      </c>
      <c r="H2589" s="7" t="s">
        <v>62</v>
      </c>
      <c r="I2589" s="7" t="s">
        <v>103</v>
      </c>
    </row>
    <row r="2590">
      <c r="A2590" s="7" t="s">
        <v>28</v>
      </c>
      <c r="B2590" s="7" t="s">
        <v>56</v>
      </c>
      <c r="C2590" s="8">
        <f>IFERROR(__xludf.DUMMYFUNCTION("SPLIT(B2590,""RM"")"),1700000.0)</f>
        <v>1700000</v>
      </c>
      <c r="D2590" s="7">
        <v>7.0</v>
      </c>
      <c r="E2590" s="7">
        <v>7.0</v>
      </c>
      <c r="G2590" s="7" t="s">
        <v>300</v>
      </c>
      <c r="H2590" s="7" t="s">
        <v>1938</v>
      </c>
    </row>
    <row r="2591">
      <c r="A2591" s="7" t="s">
        <v>104</v>
      </c>
      <c r="B2591" s="7" t="s">
        <v>613</v>
      </c>
      <c r="C2591" s="8">
        <f>IFERROR(__xludf.DUMMYFUNCTION("SPLIT(B2591,""RM"")"),1890000.0)</f>
        <v>1890000</v>
      </c>
      <c r="D2591" s="7" t="s">
        <v>70</v>
      </c>
      <c r="E2591" s="7">
        <v>7.0</v>
      </c>
      <c r="F2591" s="7">
        <v>5.0</v>
      </c>
      <c r="G2591" s="7" t="s">
        <v>90</v>
      </c>
      <c r="H2591" s="7" t="s">
        <v>908</v>
      </c>
      <c r="I2591" s="7" t="s">
        <v>103</v>
      </c>
    </row>
    <row r="2592">
      <c r="A2592" s="7" t="s">
        <v>358</v>
      </c>
      <c r="B2592" s="7" t="s">
        <v>808</v>
      </c>
      <c r="C2592" s="8">
        <f>IFERROR(__xludf.DUMMYFUNCTION("SPLIT(B2592,""RM"")"),1147000.0)</f>
        <v>1147000</v>
      </c>
      <c r="D2592" s="7" t="s">
        <v>70</v>
      </c>
      <c r="E2592" s="7">
        <v>4.0</v>
      </c>
      <c r="F2592" s="7">
        <v>5.0</v>
      </c>
      <c r="G2592" s="7" t="s">
        <v>793</v>
      </c>
      <c r="H2592" s="7" t="s">
        <v>1939</v>
      </c>
      <c r="I2592" s="7" t="s">
        <v>103</v>
      </c>
    </row>
    <row r="2593">
      <c r="A2593" s="7" t="s">
        <v>32</v>
      </c>
      <c r="B2593" s="7" t="s">
        <v>657</v>
      </c>
      <c r="C2593" s="8">
        <f>IFERROR(__xludf.DUMMYFUNCTION("SPLIT(B2593,""RM"")"),980000.0)</f>
        <v>980000</v>
      </c>
      <c r="D2593" s="7">
        <v>4.0</v>
      </c>
      <c r="E2593" s="7">
        <v>3.0</v>
      </c>
      <c r="G2593" s="7" t="s">
        <v>184</v>
      </c>
      <c r="H2593" s="7" t="s">
        <v>1940</v>
      </c>
      <c r="I2593" s="7" t="s">
        <v>103</v>
      </c>
    </row>
    <row r="2594">
      <c r="A2594" s="7" t="s">
        <v>17</v>
      </c>
      <c r="B2594" s="7" t="s">
        <v>1941</v>
      </c>
      <c r="C2594" s="8">
        <f>IFERROR(__xludf.DUMMYFUNCTION("SPLIT(B2594,""RM"")"),1472920.0)</f>
        <v>1472920</v>
      </c>
      <c r="D2594" s="7">
        <v>2.0</v>
      </c>
      <c r="E2594" s="7">
        <v>2.0</v>
      </c>
      <c r="F2594" s="7">
        <v>1.0</v>
      </c>
      <c r="G2594" s="7" t="s">
        <v>30</v>
      </c>
      <c r="H2594" s="7" t="s">
        <v>380</v>
      </c>
      <c r="I2594" s="7" t="s">
        <v>27</v>
      </c>
    </row>
    <row r="2595">
      <c r="A2595" s="7" t="s">
        <v>17</v>
      </c>
      <c r="B2595" s="7" t="s">
        <v>1942</v>
      </c>
      <c r="C2595" s="8">
        <f>IFERROR(__xludf.DUMMYFUNCTION("SPLIT(B2595,""RM"")"),1994000.0)</f>
        <v>1994000</v>
      </c>
      <c r="D2595" s="7">
        <v>3.0</v>
      </c>
      <c r="E2595" s="7">
        <v>3.0</v>
      </c>
      <c r="F2595" s="7">
        <v>1.0</v>
      </c>
      <c r="G2595" s="7" t="s">
        <v>93</v>
      </c>
      <c r="H2595" s="7" t="s">
        <v>202</v>
      </c>
      <c r="I2595" s="7" t="s">
        <v>22</v>
      </c>
    </row>
    <row r="2596">
      <c r="A2596" s="7" t="s">
        <v>17</v>
      </c>
      <c r="B2596" s="7" t="s">
        <v>1943</v>
      </c>
      <c r="C2596" s="8">
        <f>IFERROR(__xludf.DUMMYFUNCTION("SPLIT(B2596,""RM"")"),1521000.0)</f>
        <v>1521000</v>
      </c>
      <c r="D2596" s="7">
        <v>2.0</v>
      </c>
      <c r="E2596" s="7">
        <v>2.0</v>
      </c>
      <c r="F2596" s="7">
        <v>1.0</v>
      </c>
      <c r="G2596" s="7" t="s">
        <v>93</v>
      </c>
      <c r="H2596" s="7" t="s">
        <v>380</v>
      </c>
      <c r="I2596" s="7" t="s">
        <v>22</v>
      </c>
    </row>
    <row r="2597">
      <c r="A2597" s="7" t="s">
        <v>17</v>
      </c>
      <c r="B2597" s="7" t="s">
        <v>34</v>
      </c>
      <c r="C2597" s="8">
        <f>IFERROR(__xludf.DUMMYFUNCTION("SPLIT(B2597,""RM"")"),900000.0)</f>
        <v>900000</v>
      </c>
      <c r="D2597" s="7" t="s">
        <v>19</v>
      </c>
      <c r="E2597" s="7">
        <v>2.0</v>
      </c>
      <c r="G2597" s="7" t="s">
        <v>82</v>
      </c>
      <c r="H2597" s="7" t="s">
        <v>1361</v>
      </c>
      <c r="I2597" s="7" t="s">
        <v>27</v>
      </c>
    </row>
    <row r="2598">
      <c r="A2598" s="7" t="s">
        <v>17</v>
      </c>
      <c r="B2598" s="7" t="s">
        <v>245</v>
      </c>
      <c r="C2598" s="8">
        <f>IFERROR(__xludf.DUMMYFUNCTION("SPLIT(B2598,""RM"")"),800000.0)</f>
        <v>800000</v>
      </c>
      <c r="D2598" s="7" t="s">
        <v>197</v>
      </c>
      <c r="E2598" s="7">
        <v>1.0</v>
      </c>
      <c r="G2598" s="7" t="s">
        <v>20</v>
      </c>
      <c r="H2598" s="7" t="s">
        <v>1944</v>
      </c>
      <c r="I2598" s="7" t="s">
        <v>22</v>
      </c>
    </row>
    <row r="2599">
      <c r="A2599" s="7" t="s">
        <v>17</v>
      </c>
      <c r="B2599" s="7" t="s">
        <v>284</v>
      </c>
      <c r="C2599" s="8">
        <f>IFERROR(__xludf.DUMMYFUNCTION("SPLIT(B2599,""RM"")"),1060000.0)</f>
        <v>1060000</v>
      </c>
      <c r="D2599" s="7" t="s">
        <v>19</v>
      </c>
      <c r="E2599" s="7">
        <v>2.0</v>
      </c>
      <c r="G2599" s="7" t="s">
        <v>82</v>
      </c>
      <c r="H2599" s="7" t="s">
        <v>1945</v>
      </c>
      <c r="I2599" s="7" t="s">
        <v>27</v>
      </c>
    </row>
    <row r="2600">
      <c r="A2600" s="7" t="s">
        <v>17</v>
      </c>
      <c r="B2600" s="7" t="s">
        <v>1946</v>
      </c>
      <c r="C2600" s="8">
        <f>IFERROR(__xludf.DUMMYFUNCTION("SPLIT(B2600,""RM"")"),1395800.0)</f>
        <v>1395800</v>
      </c>
      <c r="D2600" s="7">
        <v>2.0</v>
      </c>
      <c r="E2600" s="7">
        <v>2.0</v>
      </c>
      <c r="G2600" s="7" t="s">
        <v>121</v>
      </c>
      <c r="H2600" s="7" t="s">
        <v>1428</v>
      </c>
      <c r="I2600" s="7" t="s">
        <v>27</v>
      </c>
    </row>
    <row r="2601">
      <c r="A2601" s="7" t="s">
        <v>17</v>
      </c>
      <c r="B2601" s="7" t="s">
        <v>191</v>
      </c>
      <c r="C2601" s="8">
        <f>IFERROR(__xludf.DUMMYFUNCTION("SPLIT(B2601,""RM"")"),1000000.0)</f>
        <v>1000000</v>
      </c>
      <c r="D2601" s="7" t="s">
        <v>197</v>
      </c>
      <c r="E2601" s="7">
        <v>1.0</v>
      </c>
      <c r="G2601" s="7" t="s">
        <v>121</v>
      </c>
      <c r="H2601" s="7" t="s">
        <v>949</v>
      </c>
      <c r="I2601" s="7" t="s">
        <v>22</v>
      </c>
    </row>
    <row r="2602">
      <c r="A2602" s="7" t="s">
        <v>1158</v>
      </c>
      <c r="B2602" s="7" t="s">
        <v>201</v>
      </c>
      <c r="C2602" s="8">
        <f>IFERROR(__xludf.DUMMYFUNCTION("SPLIT(B2602,""RM"")"),620000.0)</f>
        <v>620000</v>
      </c>
      <c r="D2602" s="7">
        <v>3.0</v>
      </c>
      <c r="E2602" s="7">
        <v>2.0</v>
      </c>
      <c r="F2602" s="7">
        <v>1.0</v>
      </c>
      <c r="G2602" s="7" t="s">
        <v>20</v>
      </c>
      <c r="H2602" s="7" t="s">
        <v>135</v>
      </c>
      <c r="I2602" s="7" t="s">
        <v>22</v>
      </c>
    </row>
    <row r="2603">
      <c r="A2603" s="7" t="s">
        <v>1158</v>
      </c>
      <c r="B2603" s="7" t="s">
        <v>329</v>
      </c>
      <c r="C2603" s="8">
        <f>IFERROR(__xludf.DUMMYFUNCTION("SPLIT(B2603,""RM"")"),1200000.0)</f>
        <v>1200000</v>
      </c>
      <c r="D2603" s="7">
        <v>4.0</v>
      </c>
      <c r="E2603" s="7">
        <v>3.0</v>
      </c>
      <c r="F2603" s="7">
        <v>3.0</v>
      </c>
      <c r="G2603" s="7" t="s">
        <v>20</v>
      </c>
      <c r="H2603" s="7" t="s">
        <v>1947</v>
      </c>
      <c r="I2603" s="7" t="s">
        <v>22</v>
      </c>
    </row>
    <row r="2604">
      <c r="A2604" s="7" t="s">
        <v>164</v>
      </c>
      <c r="B2604" s="7" t="s">
        <v>501</v>
      </c>
      <c r="C2604" s="8">
        <f>IFERROR(__xludf.DUMMYFUNCTION("SPLIT(B2604,""RM"")"),1240000.0)</f>
        <v>1240000</v>
      </c>
      <c r="D2604" s="7">
        <v>2.0</v>
      </c>
      <c r="E2604" s="7">
        <v>1.0</v>
      </c>
      <c r="F2604" s="7">
        <v>1.0</v>
      </c>
      <c r="G2604" s="7" t="s">
        <v>20</v>
      </c>
      <c r="H2604" s="7" t="s">
        <v>237</v>
      </c>
      <c r="I2604" s="7" t="s">
        <v>22</v>
      </c>
    </row>
    <row r="2605">
      <c r="A2605" s="7" t="s">
        <v>164</v>
      </c>
      <c r="B2605" s="7" t="s">
        <v>239</v>
      </c>
      <c r="C2605" s="8">
        <f>IFERROR(__xludf.DUMMYFUNCTION("SPLIT(B2605,""RM"")"),1280000.0)</f>
        <v>1280000</v>
      </c>
      <c r="D2605" s="7">
        <v>2.0</v>
      </c>
      <c r="E2605" s="7">
        <v>1.0</v>
      </c>
      <c r="F2605" s="7">
        <v>1.0</v>
      </c>
      <c r="G2605" s="7" t="s">
        <v>20</v>
      </c>
      <c r="H2605" s="7" t="s">
        <v>237</v>
      </c>
      <c r="I2605" s="7" t="s">
        <v>27</v>
      </c>
    </row>
    <row r="2606">
      <c r="A2606" s="7" t="s">
        <v>1158</v>
      </c>
      <c r="B2606" s="7" t="s">
        <v>87</v>
      </c>
      <c r="C2606" s="8">
        <f>IFERROR(__xludf.DUMMYFUNCTION("SPLIT(B2606,""RM"")"),490000.0)</f>
        <v>490000</v>
      </c>
      <c r="D2606" s="7">
        <v>3.0</v>
      </c>
      <c r="E2606" s="7">
        <v>2.0</v>
      </c>
      <c r="G2606" s="7" t="s">
        <v>354</v>
      </c>
      <c r="H2606" s="7" t="s">
        <v>505</v>
      </c>
    </row>
    <row r="2607">
      <c r="A2607" s="7" t="s">
        <v>41</v>
      </c>
      <c r="B2607" s="7" t="s">
        <v>1825</v>
      </c>
      <c r="C2607" s="8">
        <f>IFERROR(__xludf.DUMMYFUNCTION("SPLIT(B2607,""RM"")"),3750000.0)</f>
        <v>3750000</v>
      </c>
      <c r="D2607" s="7">
        <v>4.0</v>
      </c>
      <c r="E2607" s="7">
        <v>3.0</v>
      </c>
      <c r="F2607" s="7">
        <v>10.0</v>
      </c>
      <c r="G2607" s="7" t="s">
        <v>67</v>
      </c>
      <c r="H2607" s="7" t="s">
        <v>1948</v>
      </c>
      <c r="I2607" s="7" t="s">
        <v>27</v>
      </c>
    </row>
    <row r="2608">
      <c r="A2608" s="7" t="s">
        <v>1158</v>
      </c>
      <c r="B2608" s="7" t="s">
        <v>1825</v>
      </c>
      <c r="C2608" s="8">
        <f>IFERROR(__xludf.DUMMYFUNCTION("SPLIT(B2608,""RM"")"),3750000.0)</f>
        <v>3750000</v>
      </c>
      <c r="D2608" s="7">
        <v>4.0</v>
      </c>
      <c r="E2608" s="7">
        <v>3.0</v>
      </c>
      <c r="F2608" s="7">
        <v>10.0</v>
      </c>
      <c r="G2608" s="7" t="s">
        <v>67</v>
      </c>
      <c r="H2608" s="7" t="s">
        <v>1948</v>
      </c>
      <c r="I2608" s="7" t="s">
        <v>27</v>
      </c>
    </row>
    <row r="2609">
      <c r="A2609" s="7" t="s">
        <v>28</v>
      </c>
      <c r="B2609" s="7" t="s">
        <v>1949</v>
      </c>
      <c r="C2609" s="8">
        <f>IFERROR(__xludf.DUMMYFUNCTION("SPLIT(B2609,""RM"")"),1125460.0)</f>
        <v>1125460</v>
      </c>
      <c r="D2609" s="7" t="s">
        <v>57</v>
      </c>
      <c r="E2609" s="7">
        <v>5.0</v>
      </c>
      <c r="F2609" s="7">
        <v>2.0</v>
      </c>
      <c r="G2609" s="7" t="s">
        <v>30</v>
      </c>
      <c r="H2609" s="7" t="s">
        <v>1950</v>
      </c>
      <c r="I2609" s="7" t="s">
        <v>27</v>
      </c>
    </row>
    <row r="2610">
      <c r="A2610" s="7" t="s">
        <v>262</v>
      </c>
      <c r="B2610" s="7" t="s">
        <v>1951</v>
      </c>
      <c r="C2610" s="8">
        <f>IFERROR(__xludf.DUMMYFUNCTION("SPLIT(B2610,""RM"")"),4780000.0)</f>
        <v>4780000</v>
      </c>
      <c r="G2610" s="7" t="s">
        <v>1204</v>
      </c>
      <c r="H2610" s="7" t="s">
        <v>1952</v>
      </c>
    </row>
    <row r="2611">
      <c r="A2611" s="7" t="s">
        <v>358</v>
      </c>
      <c r="B2611" s="7" t="s">
        <v>346</v>
      </c>
      <c r="C2611" s="8">
        <f>IFERROR(__xludf.DUMMYFUNCTION("SPLIT(B2611,""RM"")"),638000.0)</f>
        <v>638000</v>
      </c>
      <c r="D2611" s="7">
        <v>2.0</v>
      </c>
      <c r="E2611" s="7">
        <v>2.0</v>
      </c>
      <c r="F2611" s="7">
        <v>2.0</v>
      </c>
      <c r="G2611" s="7" t="s">
        <v>93</v>
      </c>
      <c r="H2611" s="7" t="s">
        <v>1686</v>
      </c>
      <c r="I2611" s="7" t="s">
        <v>27</v>
      </c>
    </row>
    <row r="2612">
      <c r="A2612" s="7" t="s">
        <v>28</v>
      </c>
      <c r="B2612" s="7" t="s">
        <v>1953</v>
      </c>
      <c r="C2612" s="8">
        <f>IFERROR(__xludf.DUMMYFUNCTION("SPLIT(B2612,""RM"")"),1035860.0)</f>
        <v>1035860</v>
      </c>
      <c r="D2612" s="7" t="s">
        <v>57</v>
      </c>
      <c r="E2612" s="7">
        <v>5.0</v>
      </c>
      <c r="F2612" s="7">
        <v>2.0</v>
      </c>
      <c r="G2612" s="7" t="s">
        <v>30</v>
      </c>
      <c r="H2612" s="7" t="s">
        <v>97</v>
      </c>
      <c r="I2612" s="7" t="s">
        <v>27</v>
      </c>
    </row>
    <row r="2613">
      <c r="A2613" s="7" t="s">
        <v>72</v>
      </c>
      <c r="B2613" s="7" t="s">
        <v>24</v>
      </c>
      <c r="C2613" s="8">
        <f>IFERROR(__xludf.DUMMYFUNCTION("SPLIT(B2613,""RM"")"),6800000.0)</f>
        <v>6800000</v>
      </c>
      <c r="G2613" s="7" t="s">
        <v>667</v>
      </c>
      <c r="H2613" s="7" t="s">
        <v>1954</v>
      </c>
    </row>
    <row r="2614">
      <c r="A2614" s="7" t="s">
        <v>17</v>
      </c>
      <c r="B2614" s="7" t="s">
        <v>281</v>
      </c>
      <c r="C2614" s="8">
        <f>IFERROR(__xludf.DUMMYFUNCTION("SPLIT(B2614,""RM"")"),2500000.0)</f>
        <v>2500000</v>
      </c>
      <c r="D2614" s="7" t="s">
        <v>57</v>
      </c>
      <c r="E2614" s="7">
        <v>5.0</v>
      </c>
      <c r="F2614" s="7">
        <v>3.0</v>
      </c>
      <c r="G2614" s="7" t="s">
        <v>83</v>
      </c>
      <c r="H2614" s="7" t="s">
        <v>1421</v>
      </c>
      <c r="I2614" s="7" t="s">
        <v>27</v>
      </c>
    </row>
    <row r="2615">
      <c r="A2615" s="7" t="s">
        <v>32</v>
      </c>
      <c r="B2615" s="7" t="s">
        <v>1098</v>
      </c>
      <c r="C2615" s="8">
        <f>IFERROR(__xludf.DUMMYFUNCTION("SPLIT(B2615,""RM"")"),810000.0)</f>
        <v>810000</v>
      </c>
      <c r="D2615" s="7" t="s">
        <v>57</v>
      </c>
      <c r="E2615" s="7">
        <v>3.0</v>
      </c>
      <c r="G2615" s="7" t="s">
        <v>83</v>
      </c>
      <c r="H2615" s="7" t="s">
        <v>726</v>
      </c>
      <c r="I2615" s="7" t="s">
        <v>27</v>
      </c>
    </row>
    <row r="2616">
      <c r="A2616" s="7" t="s">
        <v>32</v>
      </c>
      <c r="B2616" s="7" t="s">
        <v>311</v>
      </c>
      <c r="C2616" s="8">
        <f>IFERROR(__xludf.DUMMYFUNCTION("SPLIT(B2616,""RM"")"),1100000.0)</f>
        <v>1100000</v>
      </c>
      <c r="D2616" s="7">
        <v>2.0</v>
      </c>
      <c r="E2616" s="7">
        <v>2.0</v>
      </c>
      <c r="F2616" s="7">
        <v>1.0</v>
      </c>
      <c r="G2616" s="7" t="s">
        <v>20</v>
      </c>
      <c r="H2616" s="7" t="s">
        <v>323</v>
      </c>
      <c r="I2616" s="7" t="s">
        <v>22</v>
      </c>
    </row>
    <row r="2617">
      <c r="A2617" s="7" t="s">
        <v>33</v>
      </c>
      <c r="B2617" s="7" t="s">
        <v>268</v>
      </c>
      <c r="C2617" s="8">
        <f>IFERROR(__xludf.DUMMYFUNCTION("SPLIT(B2617,""RM"")"),500000.0)</f>
        <v>500000</v>
      </c>
      <c r="D2617" s="7">
        <v>4.0</v>
      </c>
      <c r="E2617" s="7">
        <v>4.0</v>
      </c>
      <c r="F2617" s="7">
        <v>1.0</v>
      </c>
      <c r="G2617" s="7" t="s">
        <v>83</v>
      </c>
      <c r="H2617" s="7" t="s">
        <v>1955</v>
      </c>
      <c r="I2617" s="7" t="s">
        <v>22</v>
      </c>
    </row>
    <row r="2618">
      <c r="A2618" s="7" t="s">
        <v>33</v>
      </c>
      <c r="B2618" s="7" t="s">
        <v>1892</v>
      </c>
      <c r="C2618" s="8">
        <f>IFERROR(__xludf.DUMMYFUNCTION("SPLIT(B2618,""RM"")"),515000.0)</f>
        <v>515000</v>
      </c>
      <c r="D2618" s="7">
        <v>3.0</v>
      </c>
      <c r="E2618" s="7">
        <v>2.0</v>
      </c>
      <c r="F2618" s="7">
        <v>1.0</v>
      </c>
      <c r="G2618" s="7" t="s">
        <v>83</v>
      </c>
      <c r="H2618" s="7" t="s">
        <v>1956</v>
      </c>
      <c r="I2618" s="7" t="s">
        <v>22</v>
      </c>
    </row>
    <row r="2619">
      <c r="A2619" s="7" t="s">
        <v>33</v>
      </c>
      <c r="B2619" s="7" t="s">
        <v>1166</v>
      </c>
      <c r="C2619" s="8">
        <f>IFERROR(__xludf.DUMMYFUNCTION("SPLIT(B2619,""RM"")"),760000.0)</f>
        <v>760000</v>
      </c>
      <c r="D2619" s="7" t="s">
        <v>57</v>
      </c>
      <c r="E2619" s="7">
        <v>3.0</v>
      </c>
      <c r="F2619" s="7">
        <v>2.0</v>
      </c>
      <c r="G2619" s="7" t="s">
        <v>83</v>
      </c>
      <c r="H2619" s="7" t="s">
        <v>1132</v>
      </c>
      <c r="I2619" s="7" t="s">
        <v>22</v>
      </c>
    </row>
    <row r="2620">
      <c r="A2620" s="7" t="s">
        <v>33</v>
      </c>
      <c r="B2620" s="7" t="s">
        <v>361</v>
      </c>
      <c r="C2620" s="8">
        <f>IFERROR(__xludf.DUMMYFUNCTION("SPLIT(B2620,""RM"")"),530000.0)</f>
        <v>530000</v>
      </c>
      <c r="D2620" s="7">
        <v>3.0</v>
      </c>
      <c r="E2620" s="7">
        <v>3.0</v>
      </c>
      <c r="F2620" s="7">
        <v>2.0</v>
      </c>
      <c r="G2620" s="7" t="s">
        <v>30</v>
      </c>
      <c r="H2620" s="7" t="s">
        <v>1156</v>
      </c>
    </row>
    <row r="2621">
      <c r="A2621" s="7" t="s">
        <v>72</v>
      </c>
      <c r="B2621" s="7" t="s">
        <v>1957</v>
      </c>
      <c r="C2621" s="8">
        <f>IFERROR(__xludf.DUMMYFUNCTION("SPLIT(B2621,""RM"")"),769000.0)</f>
        <v>769000</v>
      </c>
      <c r="D2621" s="7">
        <v>3.0</v>
      </c>
      <c r="E2621" s="7">
        <v>2.0</v>
      </c>
      <c r="F2621" s="7">
        <v>1.0</v>
      </c>
      <c r="G2621" s="7" t="s">
        <v>93</v>
      </c>
      <c r="H2621" s="7" t="s">
        <v>1381</v>
      </c>
      <c r="I2621" s="7" t="s">
        <v>27</v>
      </c>
    </row>
    <row r="2622">
      <c r="A2622" s="7" t="s">
        <v>37</v>
      </c>
      <c r="B2622" s="7" t="s">
        <v>605</v>
      </c>
      <c r="C2622" s="8">
        <f>IFERROR(__xludf.DUMMYFUNCTION("SPLIT(B2622,""RM"")"),1590000.0)</f>
        <v>1590000</v>
      </c>
      <c r="D2622" s="7">
        <v>4.0</v>
      </c>
      <c r="E2622" s="7">
        <v>3.0</v>
      </c>
      <c r="G2622" s="7" t="s">
        <v>54</v>
      </c>
      <c r="H2622" s="7" t="s">
        <v>1958</v>
      </c>
      <c r="I2622" s="7" t="s">
        <v>103</v>
      </c>
    </row>
    <row r="2623">
      <c r="A2623" s="7" t="s">
        <v>48</v>
      </c>
      <c r="B2623" s="7" t="s">
        <v>1265</v>
      </c>
      <c r="C2623" s="8">
        <f>IFERROR(__xludf.DUMMYFUNCTION("SPLIT(B2623,""RM"")"),338000.0)</f>
        <v>338000</v>
      </c>
      <c r="D2623" s="7">
        <v>2.0</v>
      </c>
      <c r="E2623" s="7">
        <v>1.0</v>
      </c>
      <c r="G2623" s="7" t="s">
        <v>54</v>
      </c>
      <c r="H2623" s="7" t="s">
        <v>1959</v>
      </c>
      <c r="I2623" s="7" t="s">
        <v>103</v>
      </c>
    </row>
    <row r="2624">
      <c r="A2624" s="7" t="s">
        <v>1960</v>
      </c>
      <c r="B2624" s="7" t="s">
        <v>953</v>
      </c>
      <c r="C2624" s="8">
        <f>IFERROR(__xludf.DUMMYFUNCTION("SPLIT(B2624,""RM"")"),730000.0)</f>
        <v>730000</v>
      </c>
      <c r="D2624" s="7">
        <v>3.0</v>
      </c>
      <c r="E2624" s="7">
        <v>2.0</v>
      </c>
      <c r="G2624" s="7" t="s">
        <v>1378</v>
      </c>
      <c r="H2624" s="7" t="s">
        <v>1961</v>
      </c>
      <c r="I2624" s="7" t="s">
        <v>27</v>
      </c>
    </row>
    <row r="2625">
      <c r="A2625" s="7" t="s">
        <v>188</v>
      </c>
      <c r="B2625" s="7" t="s">
        <v>967</v>
      </c>
      <c r="C2625" s="8">
        <f>IFERROR(__xludf.DUMMYFUNCTION("SPLIT(B2625,""RM"")"),680000.0)</f>
        <v>680000</v>
      </c>
      <c r="D2625" s="7">
        <v>1.0</v>
      </c>
      <c r="E2625" s="7">
        <v>1.0</v>
      </c>
      <c r="G2625" s="7" t="s">
        <v>385</v>
      </c>
      <c r="H2625" s="7" t="s">
        <v>1962</v>
      </c>
      <c r="I2625" s="7" t="s">
        <v>22</v>
      </c>
    </row>
    <row r="2626">
      <c r="A2626" s="7" t="s">
        <v>100</v>
      </c>
      <c r="B2626" s="7" t="s">
        <v>510</v>
      </c>
      <c r="C2626" s="8">
        <f>IFERROR(__xludf.DUMMYFUNCTION("SPLIT(B2626,""RM"")"),380000.0)</f>
        <v>380000</v>
      </c>
      <c r="D2626" s="7">
        <v>1.0</v>
      </c>
      <c r="E2626" s="7">
        <v>1.0</v>
      </c>
      <c r="F2626" s="7">
        <v>1.0</v>
      </c>
      <c r="G2626" s="7" t="s">
        <v>938</v>
      </c>
      <c r="H2626" s="7" t="s">
        <v>786</v>
      </c>
      <c r="I2626" s="7" t="s">
        <v>27</v>
      </c>
    </row>
    <row r="2627">
      <c r="A2627" s="7" t="s">
        <v>104</v>
      </c>
      <c r="B2627" s="7" t="s">
        <v>761</v>
      </c>
      <c r="C2627" s="8">
        <f>IFERROR(__xludf.DUMMYFUNCTION("SPLIT(B2627,""RM"")"),480000.0)</f>
        <v>480000</v>
      </c>
      <c r="D2627" s="7" t="s">
        <v>57</v>
      </c>
      <c r="E2627" s="7">
        <v>2.0</v>
      </c>
      <c r="G2627" s="7" t="s">
        <v>1185</v>
      </c>
      <c r="H2627" s="7" t="s">
        <v>471</v>
      </c>
    </row>
    <row r="2628">
      <c r="A2628" s="7" t="s">
        <v>188</v>
      </c>
      <c r="B2628" s="7" t="s">
        <v>407</v>
      </c>
      <c r="C2628" s="8">
        <f>IFERROR(__xludf.DUMMYFUNCTION("SPLIT(B2628,""RM"")"),880000.0)</f>
        <v>880000</v>
      </c>
      <c r="D2628" s="7">
        <v>2.0</v>
      </c>
      <c r="E2628" s="7">
        <v>1.0</v>
      </c>
      <c r="G2628" s="7" t="s">
        <v>121</v>
      </c>
      <c r="H2628" s="7" t="s">
        <v>1963</v>
      </c>
      <c r="I2628" s="7" t="s">
        <v>22</v>
      </c>
    </row>
    <row r="2629">
      <c r="A2629" s="7" t="s">
        <v>428</v>
      </c>
      <c r="B2629" s="7" t="s">
        <v>221</v>
      </c>
      <c r="C2629" s="8">
        <f>IFERROR(__xludf.DUMMYFUNCTION("SPLIT(B2629,""RM"")"),630000.0)</f>
        <v>630000</v>
      </c>
      <c r="D2629" s="7">
        <v>1.0</v>
      </c>
      <c r="E2629" s="7">
        <v>1.0</v>
      </c>
      <c r="F2629" s="7">
        <v>1.0</v>
      </c>
      <c r="G2629" s="7" t="s">
        <v>20</v>
      </c>
      <c r="H2629" s="7" t="s">
        <v>1964</v>
      </c>
      <c r="I2629" s="7" t="s">
        <v>22</v>
      </c>
    </row>
    <row r="2630">
      <c r="A2630" s="7" t="s">
        <v>32</v>
      </c>
      <c r="B2630" s="7" t="s">
        <v>1678</v>
      </c>
      <c r="C2630" s="8">
        <f>IFERROR(__xludf.DUMMYFUNCTION("SPLIT(B2630,""RM"")"),799000.0)</f>
        <v>799000</v>
      </c>
      <c r="D2630" s="7">
        <v>4.0</v>
      </c>
      <c r="E2630" s="7">
        <v>3.0</v>
      </c>
      <c r="F2630" s="7">
        <v>2.0</v>
      </c>
      <c r="G2630" s="7" t="s">
        <v>54</v>
      </c>
      <c r="H2630" s="7" t="s">
        <v>55</v>
      </c>
      <c r="I2630" s="7" t="s">
        <v>27</v>
      </c>
    </row>
    <row r="2631">
      <c r="A2631" s="7" t="s">
        <v>72</v>
      </c>
      <c r="B2631" s="7" t="s">
        <v>110</v>
      </c>
      <c r="C2631" s="8">
        <f>IFERROR(__xludf.DUMMYFUNCTION("SPLIT(B2631,""RM"")"),2400000.0)</f>
        <v>2400000</v>
      </c>
      <c r="D2631" s="7" t="s">
        <v>35</v>
      </c>
      <c r="E2631" s="7">
        <v>5.0</v>
      </c>
      <c r="F2631" s="7">
        <v>3.0</v>
      </c>
      <c r="G2631" s="7" t="s">
        <v>83</v>
      </c>
      <c r="H2631" s="7" t="s">
        <v>431</v>
      </c>
    </row>
    <row r="2632">
      <c r="A2632" s="7" t="s">
        <v>267</v>
      </c>
      <c r="B2632" s="7" t="s">
        <v>172</v>
      </c>
      <c r="C2632" s="8">
        <f>IFERROR(__xludf.DUMMYFUNCTION("SPLIT(B2632,""RM"")"),580000.0)</f>
        <v>580000</v>
      </c>
      <c r="D2632" s="7">
        <v>2.0</v>
      </c>
      <c r="E2632" s="7">
        <v>2.0</v>
      </c>
      <c r="F2632" s="7">
        <v>1.0</v>
      </c>
      <c r="G2632" s="7" t="s">
        <v>93</v>
      </c>
      <c r="H2632" s="7" t="s">
        <v>1965</v>
      </c>
      <c r="I2632" s="7" t="s">
        <v>22</v>
      </c>
    </row>
    <row r="2633">
      <c r="A2633" s="7" t="s">
        <v>32</v>
      </c>
      <c r="B2633" s="7" t="s">
        <v>1966</v>
      </c>
      <c r="C2633" s="8">
        <f>IFERROR(__xludf.DUMMYFUNCTION("SPLIT(B2633,""RM"")"),556000.0)</f>
        <v>556000</v>
      </c>
      <c r="D2633" s="7">
        <v>3.0</v>
      </c>
      <c r="E2633" s="7">
        <v>2.0</v>
      </c>
      <c r="F2633" s="7">
        <v>1.0</v>
      </c>
      <c r="G2633" s="7" t="s">
        <v>83</v>
      </c>
      <c r="H2633" s="7" t="s">
        <v>734</v>
      </c>
      <c r="I2633" s="7" t="s">
        <v>27</v>
      </c>
    </row>
    <row r="2634">
      <c r="A2634" s="7" t="s">
        <v>428</v>
      </c>
      <c r="B2634" s="7" t="s">
        <v>138</v>
      </c>
      <c r="C2634" s="8">
        <f>IFERROR(__xludf.DUMMYFUNCTION("SPLIT(B2634,""RM"")"),930000.0)</f>
        <v>930000</v>
      </c>
      <c r="D2634" s="7" t="s">
        <v>35</v>
      </c>
      <c r="E2634" s="7">
        <v>5.0</v>
      </c>
      <c r="F2634" s="7">
        <v>2.0</v>
      </c>
      <c r="G2634" s="7" t="s">
        <v>93</v>
      </c>
      <c r="H2634" s="7" t="s">
        <v>483</v>
      </c>
      <c r="I2634" s="7" t="s">
        <v>27</v>
      </c>
    </row>
    <row r="2635">
      <c r="A2635" s="7" t="s">
        <v>32</v>
      </c>
      <c r="B2635" s="7" t="s">
        <v>229</v>
      </c>
      <c r="C2635" s="8">
        <f>IFERROR(__xludf.DUMMYFUNCTION("SPLIT(B2635,""RM"")"),1050000.0)</f>
        <v>1050000</v>
      </c>
      <c r="D2635" s="7" t="s">
        <v>35</v>
      </c>
      <c r="E2635" s="7">
        <v>4.0</v>
      </c>
      <c r="F2635" s="7">
        <v>3.0</v>
      </c>
      <c r="G2635" s="7" t="s">
        <v>64</v>
      </c>
      <c r="H2635" s="7" t="s">
        <v>1967</v>
      </c>
      <c r="I2635" s="7" t="s">
        <v>27</v>
      </c>
    </row>
    <row r="2636">
      <c r="A2636" s="7" t="s">
        <v>32</v>
      </c>
      <c r="B2636" s="7" t="s">
        <v>1968</v>
      </c>
      <c r="C2636" s="8">
        <f>IFERROR(__xludf.DUMMYFUNCTION("SPLIT(B2636,""RM"")"),478000.0)</f>
        <v>478000</v>
      </c>
      <c r="D2636" s="7" t="s">
        <v>57</v>
      </c>
      <c r="E2636" s="7">
        <v>2.0</v>
      </c>
      <c r="F2636" s="7">
        <v>1.0</v>
      </c>
      <c r="G2636" s="7" t="s">
        <v>83</v>
      </c>
      <c r="H2636" s="7" t="s">
        <v>1677</v>
      </c>
    </row>
    <row r="2637">
      <c r="A2637" s="7" t="s">
        <v>32</v>
      </c>
      <c r="B2637" s="7" t="s">
        <v>1603</v>
      </c>
      <c r="C2637" s="8">
        <f>IFERROR(__xludf.DUMMYFUNCTION("SPLIT(B2637,""RM"")"),288000.0)</f>
        <v>288000</v>
      </c>
      <c r="D2637" s="7" t="s">
        <v>19</v>
      </c>
      <c r="E2637" s="7">
        <v>2.0</v>
      </c>
      <c r="F2637" s="7">
        <v>1.0</v>
      </c>
      <c r="G2637" s="7" t="s">
        <v>93</v>
      </c>
      <c r="H2637" s="7" t="s">
        <v>786</v>
      </c>
      <c r="I2637" s="7" t="s">
        <v>103</v>
      </c>
    </row>
    <row r="2638">
      <c r="A2638" s="7" t="s">
        <v>432</v>
      </c>
      <c r="B2638" s="7" t="s">
        <v>966</v>
      </c>
      <c r="C2638" s="8">
        <f>IFERROR(__xludf.DUMMYFUNCTION("SPLIT(B2638,""RM"")"),688000.0)</f>
        <v>688000</v>
      </c>
      <c r="D2638" s="7">
        <v>2.0</v>
      </c>
      <c r="E2638" s="7">
        <v>2.0</v>
      </c>
      <c r="G2638" s="7" t="s">
        <v>20</v>
      </c>
      <c r="H2638" s="7" t="s">
        <v>1969</v>
      </c>
      <c r="I2638" s="7" t="s">
        <v>22</v>
      </c>
    </row>
    <row r="2639">
      <c r="A2639" s="7" t="s">
        <v>171</v>
      </c>
      <c r="B2639" s="7" t="s">
        <v>761</v>
      </c>
      <c r="C2639" s="8">
        <f>IFERROR(__xludf.DUMMYFUNCTION("SPLIT(B2639,""RM"")"),480000.0)</f>
        <v>480000</v>
      </c>
      <c r="D2639" s="7">
        <v>3.0</v>
      </c>
      <c r="E2639" s="7">
        <v>2.0</v>
      </c>
      <c r="F2639" s="7">
        <v>2.0</v>
      </c>
      <c r="G2639" s="7" t="s">
        <v>83</v>
      </c>
      <c r="H2639" s="7" t="s">
        <v>747</v>
      </c>
      <c r="I2639" s="7" t="s">
        <v>103</v>
      </c>
    </row>
    <row r="2640">
      <c r="A2640" s="7" t="s">
        <v>104</v>
      </c>
      <c r="B2640" s="7" t="s">
        <v>18</v>
      </c>
      <c r="C2640" s="8">
        <f>IFERROR(__xludf.DUMMYFUNCTION("SPLIT(B2640,""RM"")"),1250000.0)</f>
        <v>1250000</v>
      </c>
      <c r="D2640" s="7" t="s">
        <v>35</v>
      </c>
      <c r="E2640" s="7">
        <v>4.0</v>
      </c>
      <c r="F2640" s="7">
        <v>4.0</v>
      </c>
      <c r="G2640" s="7" t="s">
        <v>90</v>
      </c>
      <c r="H2640" s="7" t="s">
        <v>719</v>
      </c>
      <c r="I2640" s="7" t="s">
        <v>27</v>
      </c>
    </row>
    <row r="2641">
      <c r="A2641" s="7" t="s">
        <v>104</v>
      </c>
      <c r="B2641" s="7" t="s">
        <v>132</v>
      </c>
      <c r="C2641" s="8">
        <f>IFERROR(__xludf.DUMMYFUNCTION("SPLIT(B2641,""RM"")"),1080000.0)</f>
        <v>1080000</v>
      </c>
      <c r="D2641" s="7">
        <v>5.0</v>
      </c>
      <c r="E2641" s="7">
        <v>4.0</v>
      </c>
      <c r="G2641" s="7" t="s">
        <v>54</v>
      </c>
      <c r="H2641" s="7" t="s">
        <v>719</v>
      </c>
      <c r="I2641" s="7" t="s">
        <v>27</v>
      </c>
    </row>
    <row r="2642">
      <c r="A2642" s="7" t="s">
        <v>100</v>
      </c>
      <c r="B2642" s="7" t="s">
        <v>314</v>
      </c>
      <c r="C2642" s="8">
        <f>IFERROR(__xludf.DUMMYFUNCTION("SPLIT(B2642,""RM"")"),670000.0)</f>
        <v>670000</v>
      </c>
      <c r="D2642" s="7">
        <v>2.0</v>
      </c>
      <c r="E2642" s="7">
        <v>2.0</v>
      </c>
      <c r="F2642" s="7">
        <v>2.0</v>
      </c>
      <c r="G2642" s="7" t="s">
        <v>83</v>
      </c>
      <c r="H2642" s="7" t="s">
        <v>1332</v>
      </c>
      <c r="I2642" s="7" t="s">
        <v>22</v>
      </c>
    </row>
    <row r="2643">
      <c r="A2643" s="7" t="s">
        <v>104</v>
      </c>
      <c r="B2643" s="7" t="s">
        <v>311</v>
      </c>
      <c r="C2643" s="8">
        <f>IFERROR(__xludf.DUMMYFUNCTION("SPLIT(B2643,""RM"")"),1100000.0)</f>
        <v>1100000</v>
      </c>
      <c r="D2643" s="7">
        <v>6.0</v>
      </c>
      <c r="E2643" s="7">
        <v>4.0</v>
      </c>
      <c r="G2643" s="7" t="s">
        <v>90</v>
      </c>
      <c r="H2643" s="7" t="s">
        <v>1119</v>
      </c>
      <c r="I2643" s="7" t="s">
        <v>27</v>
      </c>
    </row>
    <row r="2644">
      <c r="A2644" s="7" t="s">
        <v>104</v>
      </c>
      <c r="B2644" s="7" t="s">
        <v>229</v>
      </c>
      <c r="C2644" s="8">
        <f>IFERROR(__xludf.DUMMYFUNCTION("SPLIT(B2644,""RM"")"),1050000.0)</f>
        <v>1050000</v>
      </c>
      <c r="D2644" s="7" t="s">
        <v>35</v>
      </c>
      <c r="E2644" s="7">
        <v>2.0</v>
      </c>
      <c r="G2644" s="7" t="s">
        <v>1579</v>
      </c>
      <c r="H2644" s="7" t="s">
        <v>1580</v>
      </c>
      <c r="I2644" s="7" t="s">
        <v>27</v>
      </c>
    </row>
    <row r="2645">
      <c r="A2645" s="7" t="s">
        <v>1014</v>
      </c>
      <c r="B2645" s="7" t="s">
        <v>329</v>
      </c>
      <c r="C2645" s="8">
        <f>IFERROR(__xludf.DUMMYFUNCTION("SPLIT(B2645,""RM"")"),1200000.0)</f>
        <v>1200000</v>
      </c>
      <c r="D2645" s="7">
        <v>5.0</v>
      </c>
      <c r="E2645" s="7">
        <v>5.0</v>
      </c>
      <c r="G2645" s="7" t="s">
        <v>562</v>
      </c>
      <c r="H2645" s="7" t="s">
        <v>344</v>
      </c>
    </row>
    <row r="2646">
      <c r="A2646" s="7" t="s">
        <v>104</v>
      </c>
      <c r="B2646" s="7" t="s">
        <v>229</v>
      </c>
      <c r="C2646" s="8">
        <f>IFERROR(__xludf.DUMMYFUNCTION("SPLIT(B2646,""RM"")"),1050000.0)</f>
        <v>1050000</v>
      </c>
      <c r="D2646" s="7">
        <v>4.0</v>
      </c>
      <c r="E2646" s="7">
        <v>3.0</v>
      </c>
      <c r="G2646" s="7" t="s">
        <v>169</v>
      </c>
      <c r="H2646" s="7" t="s">
        <v>1121</v>
      </c>
      <c r="I2646" s="7" t="s">
        <v>27</v>
      </c>
    </row>
    <row r="2647">
      <c r="A2647" s="7" t="s">
        <v>72</v>
      </c>
      <c r="B2647" s="7" t="s">
        <v>327</v>
      </c>
      <c r="C2647" s="8">
        <f>IFERROR(__xludf.DUMMYFUNCTION("SPLIT(B2647,""RM"")"),1300000.0)</f>
        <v>1300000</v>
      </c>
      <c r="D2647" s="7" t="s">
        <v>35</v>
      </c>
      <c r="E2647" s="7">
        <v>5.0</v>
      </c>
      <c r="F2647" s="7">
        <v>3.0</v>
      </c>
      <c r="G2647" s="7" t="s">
        <v>83</v>
      </c>
      <c r="H2647" s="7" t="s">
        <v>1970</v>
      </c>
      <c r="I2647" s="7" t="s">
        <v>22</v>
      </c>
    </row>
    <row r="2648">
      <c r="A2648" s="7" t="s">
        <v>104</v>
      </c>
      <c r="B2648" s="7" t="s">
        <v>327</v>
      </c>
      <c r="C2648" s="8">
        <f>IFERROR(__xludf.DUMMYFUNCTION("SPLIT(B2648,""RM"")"),1300000.0)</f>
        <v>1300000</v>
      </c>
      <c r="D2648" s="7">
        <v>5.0</v>
      </c>
      <c r="E2648" s="7">
        <v>5.0</v>
      </c>
      <c r="F2648" s="7">
        <v>4.0</v>
      </c>
      <c r="G2648" s="7" t="s">
        <v>90</v>
      </c>
      <c r="H2648" s="7" t="s">
        <v>283</v>
      </c>
      <c r="I2648" s="7" t="s">
        <v>27</v>
      </c>
    </row>
    <row r="2649">
      <c r="A2649" s="7" t="s">
        <v>77</v>
      </c>
      <c r="B2649" s="7" t="s">
        <v>462</v>
      </c>
      <c r="C2649" s="8">
        <f>IFERROR(__xludf.DUMMYFUNCTION("SPLIT(B2649,""RM"")"),1620000.0)</f>
        <v>1620000</v>
      </c>
      <c r="D2649" s="7">
        <v>3.0</v>
      </c>
      <c r="E2649" s="7">
        <v>3.0</v>
      </c>
      <c r="F2649" s="7">
        <v>2.0</v>
      </c>
      <c r="G2649" s="7" t="s">
        <v>90</v>
      </c>
      <c r="H2649" s="7" t="s">
        <v>461</v>
      </c>
      <c r="I2649" s="7" t="s">
        <v>27</v>
      </c>
    </row>
    <row r="2650">
      <c r="A2650" s="7" t="s">
        <v>32</v>
      </c>
      <c r="B2650" s="7" t="s">
        <v>221</v>
      </c>
      <c r="C2650" s="8">
        <f>IFERROR(__xludf.DUMMYFUNCTION("SPLIT(B2650,""RM"")"),630000.0)</f>
        <v>630000</v>
      </c>
      <c r="D2650" s="7" t="s">
        <v>57</v>
      </c>
      <c r="E2650" s="7">
        <v>2.0</v>
      </c>
      <c r="G2650" s="7" t="s">
        <v>30</v>
      </c>
      <c r="H2650" s="7" t="s">
        <v>1971</v>
      </c>
      <c r="I2650" s="7" t="s">
        <v>27</v>
      </c>
    </row>
    <row r="2651">
      <c r="A2651" s="7" t="s">
        <v>23</v>
      </c>
      <c r="B2651" s="7" t="s">
        <v>1038</v>
      </c>
      <c r="C2651" s="8">
        <f>IFERROR(__xludf.DUMMYFUNCTION("SPLIT(B2651,""RM"")"),6200000.0)</f>
        <v>6200000</v>
      </c>
      <c r="D2651" s="7" t="s">
        <v>35</v>
      </c>
      <c r="E2651" s="7">
        <v>5.0</v>
      </c>
      <c r="G2651" s="7" t="s">
        <v>25</v>
      </c>
      <c r="H2651" s="7" t="s">
        <v>1972</v>
      </c>
      <c r="I2651" s="7" t="s">
        <v>27</v>
      </c>
    </row>
    <row r="2652">
      <c r="A2652" s="7" t="s">
        <v>267</v>
      </c>
      <c r="B2652" s="7" t="s">
        <v>172</v>
      </c>
      <c r="C2652" s="8">
        <f>IFERROR(__xludf.DUMMYFUNCTION("SPLIT(B2652,""RM"")"),580000.0)</f>
        <v>580000</v>
      </c>
      <c r="D2652" s="7">
        <v>2.0</v>
      </c>
      <c r="E2652" s="7">
        <v>2.0</v>
      </c>
      <c r="F2652" s="7">
        <v>1.0</v>
      </c>
      <c r="G2652" s="7" t="s">
        <v>83</v>
      </c>
      <c r="H2652" s="7" t="s">
        <v>1965</v>
      </c>
      <c r="I2652" s="7" t="s">
        <v>22</v>
      </c>
    </row>
    <row r="2653">
      <c r="A2653" s="7" t="s">
        <v>33</v>
      </c>
      <c r="B2653" s="7" t="s">
        <v>984</v>
      </c>
      <c r="C2653" s="8">
        <f>IFERROR(__xludf.DUMMYFUNCTION("SPLIT(B2653,""RM"")"),1120000.0)</f>
        <v>1120000</v>
      </c>
      <c r="D2653" s="7" t="s">
        <v>70</v>
      </c>
      <c r="E2653" s="7">
        <v>5.0</v>
      </c>
      <c r="F2653" s="7">
        <v>4.0</v>
      </c>
      <c r="G2653" s="7" t="s">
        <v>90</v>
      </c>
      <c r="H2653" s="7" t="s">
        <v>283</v>
      </c>
      <c r="I2653" s="7" t="s">
        <v>22</v>
      </c>
    </row>
    <row r="2654">
      <c r="A2654" s="7" t="s">
        <v>33</v>
      </c>
      <c r="B2654" s="7" t="s">
        <v>543</v>
      </c>
      <c r="C2654" s="8">
        <f>IFERROR(__xludf.DUMMYFUNCTION("SPLIT(B2654,""RM"")"),425000.0)</f>
        <v>425000</v>
      </c>
      <c r="D2654" s="7">
        <v>4.0</v>
      </c>
      <c r="E2654" s="7">
        <v>2.0</v>
      </c>
      <c r="F2654" s="7">
        <v>2.0</v>
      </c>
      <c r="G2654" s="7" t="s">
        <v>96</v>
      </c>
      <c r="H2654" s="7" t="s">
        <v>1444</v>
      </c>
      <c r="I2654" s="7" t="s">
        <v>22</v>
      </c>
    </row>
    <row r="2655">
      <c r="A2655" s="7" t="s">
        <v>32</v>
      </c>
      <c r="B2655" s="7" t="s">
        <v>1533</v>
      </c>
      <c r="C2655" s="8">
        <f>IFERROR(__xludf.DUMMYFUNCTION("SPLIT(B2655,""RM"")"),795000.0)</f>
        <v>795000</v>
      </c>
      <c r="D2655" s="7">
        <v>4.0</v>
      </c>
      <c r="E2655" s="7">
        <v>4.0</v>
      </c>
      <c r="F2655" s="7">
        <v>4.0</v>
      </c>
      <c r="G2655" s="7" t="s">
        <v>54</v>
      </c>
      <c r="H2655" s="7" t="s">
        <v>283</v>
      </c>
      <c r="I2655" s="7" t="s">
        <v>22</v>
      </c>
    </row>
    <row r="2656">
      <c r="A2656" s="7" t="s">
        <v>241</v>
      </c>
      <c r="B2656" s="7" t="s">
        <v>969</v>
      </c>
      <c r="C2656" s="8">
        <f>IFERROR(__xludf.DUMMYFUNCTION("SPLIT(B2656,""RM"")"),430000.0)</f>
        <v>430000</v>
      </c>
      <c r="D2656" s="7">
        <v>3.0</v>
      </c>
      <c r="E2656" s="7">
        <v>2.0</v>
      </c>
      <c r="F2656" s="7">
        <v>1.0</v>
      </c>
      <c r="G2656" s="7" t="s">
        <v>82</v>
      </c>
      <c r="H2656" s="7" t="s">
        <v>954</v>
      </c>
      <c r="I2656" s="7" t="s">
        <v>27</v>
      </c>
    </row>
    <row r="2657">
      <c r="A2657" s="7" t="s">
        <v>32</v>
      </c>
      <c r="B2657" s="7" t="s">
        <v>507</v>
      </c>
      <c r="C2657" s="8">
        <f>IFERROR(__xludf.DUMMYFUNCTION("SPLIT(B2657,""RM"")"),590000.0)</f>
        <v>590000</v>
      </c>
      <c r="D2657" s="7">
        <v>3.0</v>
      </c>
      <c r="E2657" s="7">
        <v>2.0</v>
      </c>
      <c r="F2657" s="7">
        <v>2.0</v>
      </c>
      <c r="G2657" s="7" t="s">
        <v>82</v>
      </c>
      <c r="H2657" s="7" t="s">
        <v>1973</v>
      </c>
      <c r="I2657" s="7" t="s">
        <v>22</v>
      </c>
    </row>
    <row r="2658">
      <c r="A2658" s="7" t="s">
        <v>89</v>
      </c>
      <c r="B2658" s="7" t="s">
        <v>162</v>
      </c>
      <c r="C2658" s="8">
        <f>IFERROR(__xludf.DUMMYFUNCTION("SPLIT(B2658,""RM"")"),999000.0)</f>
        <v>999000</v>
      </c>
      <c r="D2658" s="7" t="s">
        <v>35</v>
      </c>
      <c r="E2658" s="7">
        <v>4.0</v>
      </c>
      <c r="F2658" s="7">
        <v>2.0</v>
      </c>
      <c r="G2658" s="7" t="s">
        <v>90</v>
      </c>
      <c r="H2658" s="7" t="s">
        <v>91</v>
      </c>
      <c r="I2658" s="7" t="s">
        <v>27</v>
      </c>
    </row>
    <row r="2659">
      <c r="A2659" s="7" t="s">
        <v>515</v>
      </c>
      <c r="B2659" s="7" t="s">
        <v>403</v>
      </c>
      <c r="C2659" s="8">
        <f>IFERROR(__xludf.DUMMYFUNCTION("SPLIT(B2659,""RM"")"),1600000.0)</f>
        <v>1600000</v>
      </c>
      <c r="D2659" s="7">
        <v>5.0</v>
      </c>
      <c r="E2659" s="7">
        <v>5.0</v>
      </c>
      <c r="F2659" s="7">
        <v>3.0</v>
      </c>
      <c r="G2659" s="7" t="s">
        <v>64</v>
      </c>
      <c r="H2659" s="7" t="s">
        <v>1974</v>
      </c>
      <c r="I2659" s="7" t="s">
        <v>27</v>
      </c>
    </row>
    <row r="2660">
      <c r="A2660" s="7" t="s">
        <v>77</v>
      </c>
      <c r="B2660" s="7" t="s">
        <v>460</v>
      </c>
      <c r="C2660" s="8">
        <f>IFERROR(__xludf.DUMMYFUNCTION("SPLIT(B2660,""RM"")"),1580000.0)</f>
        <v>1580000</v>
      </c>
      <c r="D2660" s="7">
        <v>5.0</v>
      </c>
      <c r="E2660" s="7">
        <v>4.0</v>
      </c>
      <c r="F2660" s="7">
        <v>4.0</v>
      </c>
      <c r="G2660" s="7" t="s">
        <v>203</v>
      </c>
      <c r="H2660" s="7" t="s">
        <v>1100</v>
      </c>
      <c r="I2660" s="7" t="s">
        <v>27</v>
      </c>
    </row>
    <row r="2661">
      <c r="A2661" s="7" t="s">
        <v>100</v>
      </c>
      <c r="B2661" s="7" t="s">
        <v>1975</v>
      </c>
      <c r="C2661" s="8">
        <f>IFERROR(__xludf.DUMMYFUNCTION("SPLIT(B2661,""RM"")"),719000.0)</f>
        <v>719000</v>
      </c>
      <c r="D2661" s="7">
        <v>3.0</v>
      </c>
      <c r="E2661" s="7">
        <v>3.0</v>
      </c>
      <c r="F2661" s="7">
        <v>3.0</v>
      </c>
      <c r="G2661" s="7" t="s">
        <v>20</v>
      </c>
      <c r="H2661" s="7" t="s">
        <v>1976</v>
      </c>
      <c r="I2661" s="7" t="s">
        <v>103</v>
      </c>
    </row>
    <row r="2662">
      <c r="A2662" s="7" t="s">
        <v>72</v>
      </c>
      <c r="B2662" s="7" t="s">
        <v>351</v>
      </c>
      <c r="C2662" s="8">
        <f>IFERROR(__xludf.DUMMYFUNCTION("SPLIT(B2662,""RM"")"),3800000.0)</f>
        <v>3800000</v>
      </c>
      <c r="D2662" s="7">
        <v>5.0</v>
      </c>
      <c r="E2662" s="7">
        <v>4.0</v>
      </c>
      <c r="G2662" s="7" t="s">
        <v>64</v>
      </c>
      <c r="H2662" s="7" t="s">
        <v>1491</v>
      </c>
      <c r="I2662" s="7" t="s">
        <v>27</v>
      </c>
    </row>
    <row r="2663">
      <c r="A2663" s="7" t="s">
        <v>72</v>
      </c>
      <c r="B2663" s="7" t="s">
        <v>1180</v>
      </c>
      <c r="C2663" s="8">
        <f>IFERROR(__xludf.DUMMYFUNCTION("SPLIT(B2663,""RM"")"),4600000.0)</f>
        <v>4600000</v>
      </c>
      <c r="D2663" s="7" t="s">
        <v>70</v>
      </c>
      <c r="E2663" s="7">
        <v>5.0</v>
      </c>
      <c r="G2663" s="7" t="s">
        <v>43</v>
      </c>
      <c r="H2663" s="7" t="s">
        <v>860</v>
      </c>
      <c r="I2663" s="7" t="s">
        <v>27</v>
      </c>
    </row>
    <row r="2664">
      <c r="A2664" s="7" t="s">
        <v>72</v>
      </c>
      <c r="B2664" s="7" t="s">
        <v>1827</v>
      </c>
      <c r="C2664" s="8">
        <f>IFERROR(__xludf.DUMMYFUNCTION("SPLIT(B2664,""RM"")"),4400000.0)</f>
        <v>4400000</v>
      </c>
      <c r="D2664" s="7" t="s">
        <v>70</v>
      </c>
      <c r="E2664" s="7">
        <v>5.0</v>
      </c>
      <c r="G2664" s="7" t="s">
        <v>43</v>
      </c>
      <c r="H2664" s="7" t="s">
        <v>860</v>
      </c>
      <c r="I2664" s="7" t="s">
        <v>27</v>
      </c>
    </row>
    <row r="2665">
      <c r="A2665" s="7" t="s">
        <v>33</v>
      </c>
      <c r="B2665" s="7" t="s">
        <v>201</v>
      </c>
      <c r="C2665" s="8">
        <f>IFERROR(__xludf.DUMMYFUNCTION("SPLIT(B2665,""RM"")"),620000.0)</f>
        <v>620000</v>
      </c>
      <c r="D2665" s="7">
        <v>3.0</v>
      </c>
      <c r="E2665" s="7">
        <v>2.0</v>
      </c>
      <c r="F2665" s="7">
        <v>2.0</v>
      </c>
      <c r="G2665" s="7" t="s">
        <v>83</v>
      </c>
      <c r="H2665" s="7" t="s">
        <v>1977</v>
      </c>
      <c r="I2665" s="7" t="s">
        <v>27</v>
      </c>
    </row>
    <row r="2666">
      <c r="A2666" s="7" t="s">
        <v>155</v>
      </c>
      <c r="B2666" s="7" t="s">
        <v>1308</v>
      </c>
      <c r="C2666" s="8">
        <f>IFERROR(__xludf.DUMMYFUNCTION("SPLIT(B2666,""RM"")"),365000.0)</f>
        <v>365000</v>
      </c>
      <c r="D2666" s="7">
        <v>3.0</v>
      </c>
      <c r="E2666" s="7">
        <v>2.0</v>
      </c>
      <c r="G2666" s="7" t="s">
        <v>93</v>
      </c>
      <c r="H2666" s="7" t="s">
        <v>819</v>
      </c>
      <c r="I2666" s="7" t="s">
        <v>27</v>
      </c>
    </row>
    <row r="2667">
      <c r="A2667" s="7" t="s">
        <v>72</v>
      </c>
      <c r="B2667" s="7" t="s">
        <v>151</v>
      </c>
      <c r="C2667" s="8">
        <f>IFERROR(__xludf.DUMMYFUNCTION("SPLIT(B2667,""RM"")"),4800000.0)</f>
        <v>4800000</v>
      </c>
      <c r="D2667" s="7" t="s">
        <v>70</v>
      </c>
      <c r="E2667" s="7">
        <v>5.0</v>
      </c>
      <c r="G2667" s="7" t="s">
        <v>43</v>
      </c>
      <c r="H2667" s="7" t="s">
        <v>860</v>
      </c>
      <c r="I2667" s="7" t="s">
        <v>27</v>
      </c>
    </row>
    <row r="2668">
      <c r="A2668" s="7" t="s">
        <v>32</v>
      </c>
      <c r="B2668" s="7" t="s">
        <v>1978</v>
      </c>
      <c r="C2668" s="8">
        <f>IFERROR(__xludf.DUMMYFUNCTION("SPLIT(B2668,""RM"")"),475000.0)</f>
        <v>475000</v>
      </c>
      <c r="D2668" s="7">
        <v>3.0</v>
      </c>
      <c r="E2668" s="7">
        <v>2.0</v>
      </c>
      <c r="F2668" s="7">
        <v>2.0</v>
      </c>
      <c r="G2668" s="7" t="s">
        <v>83</v>
      </c>
      <c r="H2668" s="7" t="s">
        <v>157</v>
      </c>
      <c r="I2668" s="7" t="s">
        <v>103</v>
      </c>
    </row>
    <row r="2669">
      <c r="A2669" s="7" t="s">
        <v>1979</v>
      </c>
      <c r="B2669" s="7" t="s">
        <v>1980</v>
      </c>
      <c r="C2669" s="8">
        <f>IFERROR(__xludf.DUMMYFUNCTION("SPLIT(B2669,""RM"")"),658000.0)</f>
        <v>658000</v>
      </c>
      <c r="D2669" s="7">
        <v>4.0</v>
      </c>
      <c r="E2669" s="7">
        <v>3.0</v>
      </c>
      <c r="G2669" s="7" t="s">
        <v>54</v>
      </c>
      <c r="H2669" s="7" t="s">
        <v>750</v>
      </c>
      <c r="I2669" s="7" t="s">
        <v>27</v>
      </c>
    </row>
    <row r="2670">
      <c r="A2670" s="7" t="s">
        <v>32</v>
      </c>
      <c r="B2670" s="7" t="s">
        <v>1615</v>
      </c>
      <c r="C2670" s="8">
        <f>IFERROR(__xludf.DUMMYFUNCTION("SPLIT(B2670,""RM"")"),768888.0)</f>
        <v>768888</v>
      </c>
      <c r="D2670" s="7" t="s">
        <v>197</v>
      </c>
      <c r="E2670" s="7">
        <v>1.0</v>
      </c>
      <c r="F2670" s="7">
        <v>1.0</v>
      </c>
      <c r="G2670" s="7" t="s">
        <v>503</v>
      </c>
      <c r="H2670" s="7" t="s">
        <v>1616</v>
      </c>
      <c r="I2670" s="7" t="s">
        <v>27</v>
      </c>
    </row>
    <row r="2671">
      <c r="A2671" s="7" t="s">
        <v>104</v>
      </c>
      <c r="B2671" s="7" t="s">
        <v>172</v>
      </c>
      <c r="C2671" s="8">
        <f>IFERROR(__xludf.DUMMYFUNCTION("SPLIT(B2671,""RM"")"),580000.0)</f>
        <v>580000</v>
      </c>
      <c r="D2671" s="7">
        <v>3.0</v>
      </c>
      <c r="E2671" s="7">
        <v>2.0</v>
      </c>
      <c r="G2671" s="7" t="s">
        <v>343</v>
      </c>
      <c r="H2671" s="7" t="s">
        <v>1732</v>
      </c>
      <c r="I2671" s="7" t="s">
        <v>103</v>
      </c>
    </row>
    <row r="2672">
      <c r="A2672" s="7" t="s">
        <v>580</v>
      </c>
      <c r="B2672" s="7" t="s">
        <v>536</v>
      </c>
      <c r="C2672" s="8">
        <f>IFERROR(__xludf.DUMMYFUNCTION("SPLIT(B2672,""RM"")"),495000.0)</f>
        <v>495000</v>
      </c>
      <c r="D2672" s="7">
        <v>3.0</v>
      </c>
      <c r="E2672" s="7">
        <v>2.0</v>
      </c>
      <c r="F2672" s="7">
        <v>2.0</v>
      </c>
      <c r="G2672" s="7" t="s">
        <v>93</v>
      </c>
      <c r="H2672" s="7" t="s">
        <v>948</v>
      </c>
      <c r="I2672" s="7" t="s">
        <v>27</v>
      </c>
    </row>
    <row r="2673">
      <c r="A2673" s="7" t="s">
        <v>104</v>
      </c>
      <c r="B2673" s="7" t="s">
        <v>1981</v>
      </c>
      <c r="C2673" s="8">
        <f>IFERROR(__xludf.DUMMYFUNCTION("SPLIT(B2673,""RM"")"),310000.0)</f>
        <v>310000</v>
      </c>
      <c r="D2673" s="7">
        <v>3.0</v>
      </c>
      <c r="E2673" s="7">
        <v>2.0</v>
      </c>
      <c r="G2673" s="7" t="s">
        <v>50</v>
      </c>
      <c r="H2673" s="7" t="s">
        <v>1907</v>
      </c>
      <c r="I2673" s="7" t="s">
        <v>27</v>
      </c>
    </row>
    <row r="2674">
      <c r="A2674" s="7" t="s">
        <v>109</v>
      </c>
      <c r="B2674" s="7" t="s">
        <v>172</v>
      </c>
      <c r="C2674" s="8">
        <f>IFERROR(__xludf.DUMMYFUNCTION("SPLIT(B2674,""RM"")"),580000.0)</f>
        <v>580000</v>
      </c>
      <c r="D2674" s="7" t="s">
        <v>57</v>
      </c>
      <c r="E2674" s="7">
        <v>2.0</v>
      </c>
      <c r="F2674" s="7">
        <v>1.0</v>
      </c>
      <c r="G2674" s="7" t="s">
        <v>30</v>
      </c>
      <c r="H2674" s="7" t="s">
        <v>471</v>
      </c>
      <c r="I2674" s="7" t="s">
        <v>27</v>
      </c>
    </row>
    <row r="2675">
      <c r="A2675" s="7" t="s">
        <v>104</v>
      </c>
      <c r="B2675" s="7" t="s">
        <v>87</v>
      </c>
      <c r="C2675" s="8">
        <f>IFERROR(__xludf.DUMMYFUNCTION("SPLIT(B2675,""RM"")"),490000.0)</f>
        <v>490000</v>
      </c>
      <c r="D2675" s="7">
        <v>4.0</v>
      </c>
      <c r="E2675" s="7">
        <v>2.0</v>
      </c>
      <c r="G2675" s="7" t="s">
        <v>343</v>
      </c>
      <c r="H2675" s="7" t="s">
        <v>1119</v>
      </c>
      <c r="I2675" s="7" t="s">
        <v>27</v>
      </c>
    </row>
    <row r="2676">
      <c r="A2676" s="7" t="s">
        <v>23</v>
      </c>
      <c r="B2676" s="7" t="s">
        <v>149</v>
      </c>
      <c r="C2676" s="8">
        <f>IFERROR(__xludf.DUMMYFUNCTION("SPLIT(B2676,""RM"")"),4000000.0)</f>
        <v>4000000</v>
      </c>
      <c r="D2676" s="7" t="s">
        <v>35</v>
      </c>
      <c r="E2676" s="7">
        <v>6.0</v>
      </c>
      <c r="G2676" s="7" t="s">
        <v>61</v>
      </c>
      <c r="H2676" s="7" t="s">
        <v>1982</v>
      </c>
    </row>
    <row r="2677">
      <c r="A2677" s="7" t="s">
        <v>23</v>
      </c>
      <c r="B2677" s="7" t="s">
        <v>1797</v>
      </c>
      <c r="C2677" s="8">
        <f>IFERROR(__xludf.DUMMYFUNCTION("SPLIT(B2677,""RM"")"),7200000.0)</f>
        <v>7200000</v>
      </c>
      <c r="D2677" s="7" t="s">
        <v>39</v>
      </c>
      <c r="E2677" s="7">
        <v>5.0</v>
      </c>
      <c r="G2677" s="7" t="s">
        <v>67</v>
      </c>
      <c r="H2677" s="7" t="s">
        <v>769</v>
      </c>
      <c r="I2677" s="7" t="s">
        <v>27</v>
      </c>
    </row>
    <row r="2678">
      <c r="A2678" s="7" t="s">
        <v>23</v>
      </c>
      <c r="B2678" s="7" t="s">
        <v>1983</v>
      </c>
      <c r="C2678" s="8">
        <f>IFERROR(__xludf.DUMMYFUNCTION("SPLIT(B2678,""RM"")"),4380000.0)</f>
        <v>4380000</v>
      </c>
      <c r="D2678" s="7" t="s">
        <v>35</v>
      </c>
      <c r="E2678" s="7">
        <v>6.0</v>
      </c>
      <c r="F2678" s="7">
        <v>2.0</v>
      </c>
      <c r="G2678" s="7" t="s">
        <v>64</v>
      </c>
      <c r="H2678" s="7" t="s">
        <v>44</v>
      </c>
      <c r="I2678" s="7" t="s">
        <v>27</v>
      </c>
    </row>
    <row r="2679">
      <c r="A2679" s="7" t="s">
        <v>100</v>
      </c>
      <c r="B2679" s="7" t="s">
        <v>1334</v>
      </c>
      <c r="C2679" s="8">
        <f>IFERROR(__xludf.DUMMYFUNCTION("SPLIT(B2679,""RM"")"),808000.0)</f>
        <v>808000</v>
      </c>
      <c r="D2679" s="7">
        <v>3.0</v>
      </c>
      <c r="E2679" s="7">
        <v>2.0</v>
      </c>
      <c r="F2679" s="7">
        <v>2.0</v>
      </c>
      <c r="G2679" s="7" t="s">
        <v>93</v>
      </c>
      <c r="H2679" s="7" t="s">
        <v>1115</v>
      </c>
      <c r="I2679" s="7" t="s">
        <v>27</v>
      </c>
    </row>
    <row r="2680">
      <c r="A2680" s="7" t="s">
        <v>267</v>
      </c>
      <c r="B2680" s="7" t="s">
        <v>409</v>
      </c>
      <c r="C2680" s="8">
        <f>IFERROR(__xludf.DUMMYFUNCTION("SPLIT(B2680,""RM"")"),655000.0)</f>
        <v>655000</v>
      </c>
      <c r="D2680" s="7">
        <v>3.0</v>
      </c>
      <c r="E2680" s="7">
        <v>2.0</v>
      </c>
      <c r="F2680" s="7">
        <v>1.0</v>
      </c>
      <c r="G2680" s="7" t="s">
        <v>30</v>
      </c>
      <c r="H2680" s="7" t="s">
        <v>1481</v>
      </c>
      <c r="I2680" s="7" t="s">
        <v>22</v>
      </c>
    </row>
    <row r="2681">
      <c r="A2681" s="7" t="s">
        <v>32</v>
      </c>
      <c r="B2681" s="7" t="s">
        <v>1984</v>
      </c>
      <c r="C2681" s="8">
        <f>IFERROR(__xludf.DUMMYFUNCTION("SPLIT(B2681,""RM"")"),835000.0)</f>
        <v>835000</v>
      </c>
      <c r="D2681" s="7">
        <v>4.0</v>
      </c>
      <c r="E2681" s="7">
        <v>2.0</v>
      </c>
      <c r="F2681" s="7">
        <v>2.0</v>
      </c>
      <c r="G2681" s="7" t="s">
        <v>54</v>
      </c>
      <c r="H2681" s="7" t="s">
        <v>1121</v>
      </c>
      <c r="I2681" s="7" t="s">
        <v>103</v>
      </c>
    </row>
    <row r="2682">
      <c r="A2682" s="7" t="s">
        <v>32</v>
      </c>
      <c r="B2682" s="7" t="s">
        <v>1696</v>
      </c>
      <c r="C2682" s="8">
        <f>IFERROR(__xludf.DUMMYFUNCTION("SPLIT(B2682,""RM"")"),785000.0)</f>
        <v>785000</v>
      </c>
      <c r="D2682" s="7">
        <v>4.0</v>
      </c>
      <c r="E2682" s="7">
        <v>3.0</v>
      </c>
      <c r="F2682" s="7">
        <v>4.0</v>
      </c>
      <c r="G2682" s="7" t="s">
        <v>54</v>
      </c>
      <c r="H2682" s="7" t="s">
        <v>211</v>
      </c>
      <c r="I2682" s="7" t="s">
        <v>27</v>
      </c>
    </row>
    <row r="2683">
      <c r="A2683" s="7" t="s">
        <v>267</v>
      </c>
      <c r="B2683" s="7" t="s">
        <v>1823</v>
      </c>
      <c r="C2683" s="8">
        <f>IFERROR(__xludf.DUMMYFUNCTION("SPLIT(B2683,""RM"")"),508000.0)</f>
        <v>508000</v>
      </c>
      <c r="D2683" s="7">
        <v>2.0</v>
      </c>
      <c r="E2683" s="7">
        <v>2.0</v>
      </c>
      <c r="F2683" s="7">
        <v>1.0</v>
      </c>
      <c r="G2683" s="7" t="s">
        <v>82</v>
      </c>
      <c r="H2683" s="7" t="s">
        <v>269</v>
      </c>
      <c r="I2683" s="7" t="s">
        <v>27</v>
      </c>
    </row>
    <row r="2684">
      <c r="A2684" s="7" t="s">
        <v>77</v>
      </c>
      <c r="B2684" s="7" t="s">
        <v>245</v>
      </c>
      <c r="C2684" s="8">
        <f>IFERROR(__xludf.DUMMYFUNCTION("SPLIT(B2684,""RM"")"),800000.0)</f>
        <v>800000</v>
      </c>
      <c r="D2684" s="7">
        <v>1.0</v>
      </c>
      <c r="E2684" s="7">
        <v>2.0</v>
      </c>
      <c r="F2684" s="7">
        <v>1.0</v>
      </c>
      <c r="G2684" s="7" t="s">
        <v>93</v>
      </c>
      <c r="H2684" s="7" t="s">
        <v>323</v>
      </c>
      <c r="I2684" s="7" t="s">
        <v>22</v>
      </c>
    </row>
    <row r="2685">
      <c r="A2685" s="7" t="s">
        <v>267</v>
      </c>
      <c r="B2685" s="7" t="s">
        <v>125</v>
      </c>
      <c r="C2685" s="8">
        <f>IFERROR(__xludf.DUMMYFUNCTION("SPLIT(B2685,""RM"")"),2300000.0)</f>
        <v>2300000</v>
      </c>
      <c r="D2685" s="7">
        <v>5.0</v>
      </c>
      <c r="E2685" s="7">
        <v>5.0</v>
      </c>
      <c r="F2685" s="7">
        <v>3.0</v>
      </c>
      <c r="G2685" s="7" t="s">
        <v>184</v>
      </c>
      <c r="H2685" s="7" t="s">
        <v>1985</v>
      </c>
      <c r="I2685" s="7" t="s">
        <v>27</v>
      </c>
    </row>
    <row r="2686">
      <c r="A2686" s="7" t="s">
        <v>267</v>
      </c>
      <c r="B2686" s="7" t="s">
        <v>563</v>
      </c>
      <c r="C2686" s="8">
        <f>IFERROR(__xludf.DUMMYFUNCTION("SPLIT(B2686,""RM"")"),600000.0)</f>
        <v>600000</v>
      </c>
      <c r="D2686" s="7">
        <v>3.0</v>
      </c>
      <c r="E2686" s="7">
        <v>3.0</v>
      </c>
      <c r="F2686" s="7">
        <v>2.0</v>
      </c>
      <c r="G2686" s="7" t="s">
        <v>83</v>
      </c>
      <c r="H2686" s="7" t="s">
        <v>1986</v>
      </c>
      <c r="I2686" s="7" t="s">
        <v>22</v>
      </c>
    </row>
    <row r="2687">
      <c r="A2687" s="7" t="s">
        <v>32</v>
      </c>
      <c r="B2687" s="7" t="s">
        <v>1114</v>
      </c>
      <c r="C2687" s="8">
        <f>IFERROR(__xludf.DUMMYFUNCTION("SPLIT(B2687,""RM"")"),890000.0)</f>
        <v>890000</v>
      </c>
      <c r="D2687" s="7" t="s">
        <v>70</v>
      </c>
      <c r="E2687" s="7">
        <v>4.0</v>
      </c>
      <c r="G2687" s="7" t="s">
        <v>562</v>
      </c>
      <c r="H2687" s="7" t="s">
        <v>1798</v>
      </c>
      <c r="I2687" s="7" t="s">
        <v>27</v>
      </c>
    </row>
    <row r="2688">
      <c r="A2688" s="7" t="s">
        <v>32</v>
      </c>
      <c r="B2688" s="7" t="s">
        <v>1075</v>
      </c>
      <c r="C2688" s="8">
        <f>IFERROR(__xludf.DUMMYFUNCTION("SPLIT(B2688,""RM"")"),790000.0)</f>
        <v>790000</v>
      </c>
      <c r="D2688" s="7">
        <v>5.0</v>
      </c>
      <c r="E2688" s="7">
        <v>3.0</v>
      </c>
      <c r="G2688" s="7" t="s">
        <v>169</v>
      </c>
      <c r="H2688" s="7" t="s">
        <v>1987</v>
      </c>
      <c r="I2688" s="7" t="s">
        <v>27</v>
      </c>
    </row>
    <row r="2689">
      <c r="A2689" s="7" t="s">
        <v>28</v>
      </c>
      <c r="B2689" s="7" t="s">
        <v>191</v>
      </c>
      <c r="C2689" s="8">
        <f>IFERROR(__xludf.DUMMYFUNCTION("SPLIT(B2689,""RM"")"),1000000.0)</f>
        <v>1000000</v>
      </c>
      <c r="D2689" s="7">
        <v>2.0</v>
      </c>
      <c r="E2689" s="7">
        <v>2.0</v>
      </c>
      <c r="F2689" s="7">
        <v>1.0</v>
      </c>
      <c r="G2689" s="7" t="s">
        <v>20</v>
      </c>
      <c r="H2689" s="7" t="s">
        <v>1656</v>
      </c>
      <c r="I2689" s="7" t="s">
        <v>22</v>
      </c>
    </row>
    <row r="2690">
      <c r="A2690" s="7" t="s">
        <v>28</v>
      </c>
      <c r="B2690" s="7" t="s">
        <v>229</v>
      </c>
      <c r="C2690" s="8">
        <f>IFERROR(__xludf.DUMMYFUNCTION("SPLIT(B2690,""RM"")"),1050000.0)</f>
        <v>1050000</v>
      </c>
      <c r="D2690" s="7">
        <v>2.0</v>
      </c>
      <c r="E2690" s="7">
        <v>2.0</v>
      </c>
      <c r="G2690" s="7" t="s">
        <v>121</v>
      </c>
      <c r="H2690" s="7" t="s">
        <v>1656</v>
      </c>
      <c r="I2690" s="7" t="s">
        <v>22</v>
      </c>
    </row>
    <row r="2691">
      <c r="A2691" s="7" t="s">
        <v>32</v>
      </c>
      <c r="B2691" s="7" t="s">
        <v>890</v>
      </c>
      <c r="C2691" s="8">
        <f>IFERROR(__xludf.DUMMYFUNCTION("SPLIT(B2691,""RM"")"),450000.0)</f>
        <v>450000</v>
      </c>
      <c r="D2691" s="7">
        <v>3.0</v>
      </c>
      <c r="E2691" s="7">
        <v>2.0</v>
      </c>
      <c r="F2691" s="7">
        <v>2.0</v>
      </c>
      <c r="G2691" s="7" t="s">
        <v>54</v>
      </c>
      <c r="H2691" s="7" t="s">
        <v>1988</v>
      </c>
      <c r="I2691" s="7" t="s">
        <v>27</v>
      </c>
    </row>
    <row r="2692">
      <c r="A2692" s="7" t="s">
        <v>267</v>
      </c>
      <c r="B2692" s="7" t="s">
        <v>403</v>
      </c>
      <c r="C2692" s="8">
        <f>IFERROR(__xludf.DUMMYFUNCTION("SPLIT(B2692,""RM"")"),1600000.0)</f>
        <v>1600000</v>
      </c>
      <c r="D2692" s="7">
        <v>4.0</v>
      </c>
      <c r="E2692" s="7">
        <v>3.0</v>
      </c>
      <c r="F2692" s="7">
        <v>2.0</v>
      </c>
      <c r="G2692" s="7" t="s">
        <v>30</v>
      </c>
      <c r="H2692" s="7" t="s">
        <v>1077</v>
      </c>
      <c r="I2692" s="7" t="s">
        <v>27</v>
      </c>
    </row>
    <row r="2693">
      <c r="A2693" s="7" t="s">
        <v>104</v>
      </c>
      <c r="B2693" s="7" t="s">
        <v>1213</v>
      </c>
      <c r="C2693" s="8">
        <f>IFERROR(__xludf.DUMMYFUNCTION("SPLIT(B2693,""RM"")"),388000.0)</f>
        <v>388000</v>
      </c>
      <c r="D2693" s="7">
        <v>3.0</v>
      </c>
      <c r="E2693" s="7">
        <v>2.0</v>
      </c>
      <c r="F2693" s="7">
        <v>1.0</v>
      </c>
      <c r="G2693" s="7" t="s">
        <v>96</v>
      </c>
      <c r="H2693" s="7" t="s">
        <v>1020</v>
      </c>
      <c r="I2693" s="7" t="s">
        <v>27</v>
      </c>
    </row>
    <row r="2694">
      <c r="A2694" s="7" t="s">
        <v>267</v>
      </c>
      <c r="B2694" s="7" t="s">
        <v>236</v>
      </c>
      <c r="C2694" s="8">
        <f>IFERROR(__xludf.DUMMYFUNCTION("SPLIT(B2694,""RM"")"),2000000.0)</f>
        <v>2000000</v>
      </c>
      <c r="D2694" s="7">
        <v>4.0</v>
      </c>
      <c r="E2694" s="7">
        <v>4.0</v>
      </c>
      <c r="F2694" s="7">
        <v>3.0</v>
      </c>
      <c r="G2694" s="7" t="s">
        <v>46</v>
      </c>
      <c r="H2694" s="7" t="s">
        <v>1989</v>
      </c>
      <c r="I2694" s="7" t="s">
        <v>27</v>
      </c>
    </row>
    <row r="2695">
      <c r="A2695" s="7" t="s">
        <v>267</v>
      </c>
      <c r="B2695" s="7" t="s">
        <v>1351</v>
      </c>
      <c r="C2695" s="8">
        <f>IFERROR(__xludf.DUMMYFUNCTION("SPLIT(B2695,""RM"")"),1040000.0)</f>
        <v>1040000</v>
      </c>
      <c r="D2695" s="7" t="s">
        <v>57</v>
      </c>
      <c r="E2695" s="7">
        <v>3.0</v>
      </c>
      <c r="F2695" s="7">
        <v>3.0</v>
      </c>
      <c r="G2695" s="7" t="s">
        <v>30</v>
      </c>
      <c r="H2695" s="7" t="s">
        <v>1856</v>
      </c>
      <c r="I2695" s="7" t="s">
        <v>22</v>
      </c>
    </row>
    <row r="2696">
      <c r="A2696" s="7" t="s">
        <v>267</v>
      </c>
      <c r="B2696" s="7" t="s">
        <v>361</v>
      </c>
      <c r="C2696" s="8">
        <f>IFERROR(__xludf.DUMMYFUNCTION("SPLIT(B2696,""RM"")"),530000.0)</f>
        <v>530000</v>
      </c>
      <c r="D2696" s="7">
        <v>2.0</v>
      </c>
      <c r="E2696" s="7">
        <v>2.0</v>
      </c>
      <c r="F2696" s="7">
        <v>1.0</v>
      </c>
      <c r="G2696" s="7" t="s">
        <v>93</v>
      </c>
      <c r="H2696" s="7" t="s">
        <v>1990</v>
      </c>
      <c r="I2696" s="7" t="s">
        <v>22</v>
      </c>
    </row>
    <row r="2697">
      <c r="A2697" s="7" t="s">
        <v>41</v>
      </c>
      <c r="B2697" s="7" t="s">
        <v>603</v>
      </c>
      <c r="C2697" s="8">
        <f>IFERROR(__xludf.DUMMYFUNCTION("SPLIT(B2697,""RM"")"),628000.0)</f>
        <v>628000</v>
      </c>
      <c r="D2697" s="7">
        <v>2.0</v>
      </c>
      <c r="E2697" s="7">
        <v>2.0</v>
      </c>
      <c r="F2697" s="7">
        <v>2.0</v>
      </c>
      <c r="G2697" s="7" t="s">
        <v>83</v>
      </c>
      <c r="H2697" s="7" t="s">
        <v>764</v>
      </c>
      <c r="I2697" s="7" t="s">
        <v>22</v>
      </c>
    </row>
    <row r="2698">
      <c r="A2698" s="7" t="s">
        <v>37</v>
      </c>
      <c r="B2698" s="7" t="s">
        <v>138</v>
      </c>
      <c r="C2698" s="8">
        <f>IFERROR(__xludf.DUMMYFUNCTION("SPLIT(B2698,""RM"")"),930000.0)</f>
        <v>930000</v>
      </c>
      <c r="D2698" s="7">
        <v>3.0</v>
      </c>
      <c r="E2698" s="7">
        <v>2.0</v>
      </c>
      <c r="F2698" s="7">
        <v>1.0</v>
      </c>
      <c r="G2698" s="7" t="s">
        <v>30</v>
      </c>
      <c r="H2698" s="7" t="s">
        <v>1810</v>
      </c>
      <c r="I2698" s="7" t="s">
        <v>27</v>
      </c>
    </row>
    <row r="2699">
      <c r="A2699" s="7" t="s">
        <v>171</v>
      </c>
      <c r="B2699" s="7" t="s">
        <v>715</v>
      </c>
      <c r="C2699" s="8">
        <f>IFERROR(__xludf.DUMMYFUNCTION("SPLIT(B2699,""RM"")"),550000.0)</f>
        <v>550000</v>
      </c>
      <c r="D2699" s="7">
        <v>2.0</v>
      </c>
      <c r="E2699" s="7">
        <v>2.0</v>
      </c>
      <c r="F2699" s="7">
        <v>2.0</v>
      </c>
      <c r="G2699" s="7" t="s">
        <v>343</v>
      </c>
      <c r="H2699" s="7" t="s">
        <v>1119</v>
      </c>
      <c r="I2699" s="7" t="s">
        <v>22</v>
      </c>
    </row>
    <row r="2700">
      <c r="A2700" s="7" t="s">
        <v>32</v>
      </c>
      <c r="B2700" s="7" t="s">
        <v>1308</v>
      </c>
      <c r="C2700" s="8">
        <f>IFERROR(__xludf.DUMMYFUNCTION("SPLIT(B2700,""RM"")"),365000.0)</f>
        <v>365000</v>
      </c>
      <c r="D2700" s="7">
        <v>1.0</v>
      </c>
      <c r="E2700" s="7">
        <v>1.0</v>
      </c>
      <c r="G2700" s="7" t="s">
        <v>93</v>
      </c>
      <c r="H2700" s="7" t="s">
        <v>1350</v>
      </c>
      <c r="I2700" s="7" t="s">
        <v>22</v>
      </c>
    </row>
    <row r="2701">
      <c r="A2701" s="7" t="s">
        <v>104</v>
      </c>
      <c r="B2701" s="7" t="s">
        <v>1880</v>
      </c>
      <c r="C2701" s="8">
        <f>IFERROR(__xludf.DUMMYFUNCTION("SPLIT(B2701,""RM"")"),499000.0)</f>
        <v>499000</v>
      </c>
      <c r="D2701" s="7">
        <v>3.0</v>
      </c>
      <c r="E2701" s="7">
        <v>2.0</v>
      </c>
      <c r="F2701" s="7">
        <v>2.0</v>
      </c>
      <c r="G2701" s="7" t="s">
        <v>1185</v>
      </c>
      <c r="H2701" s="7" t="s">
        <v>1100</v>
      </c>
    </row>
    <row r="2702">
      <c r="A2702" s="7" t="s">
        <v>267</v>
      </c>
      <c r="B2702" s="7" t="s">
        <v>172</v>
      </c>
      <c r="C2702" s="8">
        <f>IFERROR(__xludf.DUMMYFUNCTION("SPLIT(B2702,""RM"")"),580000.0)</f>
        <v>580000</v>
      </c>
      <c r="D2702" s="7">
        <v>2.0</v>
      </c>
      <c r="E2702" s="7">
        <v>2.0</v>
      </c>
      <c r="F2702" s="7">
        <v>1.0</v>
      </c>
      <c r="G2702" s="7" t="s">
        <v>93</v>
      </c>
      <c r="H2702" s="7" t="s">
        <v>1532</v>
      </c>
      <c r="I2702" s="7" t="s">
        <v>27</v>
      </c>
    </row>
    <row r="2703">
      <c r="A2703" s="7" t="s">
        <v>23</v>
      </c>
      <c r="B2703" s="7" t="s">
        <v>523</v>
      </c>
      <c r="C2703" s="8">
        <f>IFERROR(__xludf.DUMMYFUNCTION("SPLIT(B2703,""RM"")"),6000000.0)</f>
        <v>6000000</v>
      </c>
      <c r="D2703" s="7" t="s">
        <v>70</v>
      </c>
      <c r="E2703" s="7">
        <v>6.0</v>
      </c>
      <c r="G2703" s="7" t="s">
        <v>64</v>
      </c>
      <c r="H2703" s="7" t="s">
        <v>1991</v>
      </c>
      <c r="I2703" s="7" t="s">
        <v>27</v>
      </c>
    </row>
    <row r="2704">
      <c r="A2704" s="7" t="s">
        <v>32</v>
      </c>
      <c r="B2704" s="7" t="s">
        <v>951</v>
      </c>
      <c r="C2704" s="8">
        <f>IFERROR(__xludf.DUMMYFUNCTION("SPLIT(B2704,""RM"")"),415000.0)</f>
        <v>415000</v>
      </c>
      <c r="D2704" s="7">
        <v>3.0</v>
      </c>
      <c r="E2704" s="7">
        <v>2.0</v>
      </c>
      <c r="F2704" s="7">
        <v>2.0</v>
      </c>
      <c r="G2704" s="7" t="s">
        <v>93</v>
      </c>
      <c r="H2704" s="7" t="s">
        <v>1864</v>
      </c>
      <c r="I2704" s="7" t="s">
        <v>27</v>
      </c>
    </row>
    <row r="2705">
      <c r="A2705" s="7" t="s">
        <v>32</v>
      </c>
      <c r="B2705" s="7" t="s">
        <v>1992</v>
      </c>
      <c r="C2705" s="8">
        <f>IFERROR(__xludf.DUMMYFUNCTION("SPLIT(B2705,""RM"")"),589000.0)</f>
        <v>589000</v>
      </c>
      <c r="D2705" s="7" t="s">
        <v>57</v>
      </c>
      <c r="E2705" s="7">
        <v>2.0</v>
      </c>
      <c r="F2705" s="7">
        <v>1.0</v>
      </c>
      <c r="G2705" s="7" t="s">
        <v>83</v>
      </c>
      <c r="H2705" s="7" t="s">
        <v>1993</v>
      </c>
    </row>
    <row r="2706">
      <c r="A2706" s="7" t="s">
        <v>32</v>
      </c>
      <c r="B2706" s="7" t="s">
        <v>1423</v>
      </c>
      <c r="C2706" s="8">
        <f>IFERROR(__xludf.DUMMYFUNCTION("SPLIT(B2706,""RM"")"),420000.0)</f>
        <v>420000</v>
      </c>
      <c r="D2706" s="7">
        <v>2.0</v>
      </c>
      <c r="E2706" s="7">
        <v>2.0</v>
      </c>
      <c r="F2706" s="7">
        <v>1.0</v>
      </c>
      <c r="G2706" s="7" t="s">
        <v>96</v>
      </c>
      <c r="H2706" s="7" t="s">
        <v>742</v>
      </c>
      <c r="I2706" s="7" t="s">
        <v>27</v>
      </c>
    </row>
    <row r="2707">
      <c r="A2707" s="7" t="s">
        <v>32</v>
      </c>
      <c r="B2707" s="7" t="s">
        <v>1994</v>
      </c>
      <c r="C2707" s="8">
        <f>IFERROR(__xludf.DUMMYFUNCTION("SPLIT(B2707,""RM"")"),335000.0)</f>
        <v>335000</v>
      </c>
      <c r="D2707" s="7">
        <v>3.0</v>
      </c>
      <c r="E2707" s="7">
        <v>2.0</v>
      </c>
      <c r="F2707" s="7">
        <v>1.0</v>
      </c>
      <c r="G2707" s="7" t="s">
        <v>93</v>
      </c>
      <c r="H2707" s="7" t="s">
        <v>948</v>
      </c>
      <c r="I2707" s="7" t="s">
        <v>27</v>
      </c>
    </row>
    <row r="2708" hidden="1">
      <c r="A2708" s="7" t="s">
        <v>177</v>
      </c>
      <c r="C2708" s="7" t="str">
        <f>IFERROR(__xludf.DUMMYFUNCTION("SPLIT(B2708,""RM"")"),"#VALUE!")</f>
        <v>#VALUE!</v>
      </c>
      <c r="D2708" s="7" t="s">
        <v>57</v>
      </c>
      <c r="E2708" s="7">
        <v>4.0</v>
      </c>
      <c r="F2708" s="7">
        <v>2.0</v>
      </c>
      <c r="G2708" s="7" t="s">
        <v>30</v>
      </c>
      <c r="H2708" s="7" t="s">
        <v>1995</v>
      </c>
      <c r="I2708" s="7" t="s">
        <v>27</v>
      </c>
    </row>
    <row r="2709">
      <c r="A2709" s="7" t="s">
        <v>37</v>
      </c>
      <c r="B2709" s="7" t="s">
        <v>56</v>
      </c>
      <c r="C2709" s="8">
        <f>IFERROR(__xludf.DUMMYFUNCTION("SPLIT(B2709,""RM"")"),1700000.0)</f>
        <v>1700000</v>
      </c>
      <c r="D2709" s="7">
        <v>4.0</v>
      </c>
      <c r="E2709" s="7">
        <v>3.0</v>
      </c>
      <c r="F2709" s="7">
        <v>2.0</v>
      </c>
      <c r="G2709" s="7" t="s">
        <v>30</v>
      </c>
      <c r="H2709" s="7" t="s">
        <v>1996</v>
      </c>
      <c r="I2709" s="7" t="s">
        <v>27</v>
      </c>
    </row>
    <row r="2710">
      <c r="A2710" s="7" t="s">
        <v>37</v>
      </c>
      <c r="B2710" s="7" t="s">
        <v>1997</v>
      </c>
      <c r="C2710" s="8">
        <f>IFERROR(__xludf.DUMMYFUNCTION("SPLIT(B2710,""RM"")"),2500.0)</f>
        <v>2500</v>
      </c>
      <c r="D2710" s="7">
        <v>3.0</v>
      </c>
      <c r="E2710" s="7">
        <v>2.0</v>
      </c>
      <c r="F2710" s="7">
        <v>1.0</v>
      </c>
      <c r="G2710" s="7" t="s">
        <v>30</v>
      </c>
      <c r="H2710" s="7" t="s">
        <v>1998</v>
      </c>
      <c r="I2710" s="7" t="s">
        <v>22</v>
      </c>
    </row>
    <row r="2711">
      <c r="A2711" s="7" t="s">
        <v>692</v>
      </c>
      <c r="B2711" s="7" t="s">
        <v>329</v>
      </c>
      <c r="C2711" s="8">
        <f>IFERROR(__xludf.DUMMYFUNCTION("SPLIT(B2711,""RM"")"),1200000.0)</f>
        <v>1200000</v>
      </c>
      <c r="D2711" s="7" t="s">
        <v>57</v>
      </c>
      <c r="E2711" s="7">
        <v>4.0</v>
      </c>
      <c r="G2711" s="7" t="s">
        <v>494</v>
      </c>
      <c r="H2711" s="7" t="s">
        <v>1999</v>
      </c>
      <c r="I2711" s="7" t="s">
        <v>27</v>
      </c>
    </row>
    <row r="2712">
      <c r="A2712" s="7" t="s">
        <v>267</v>
      </c>
      <c r="B2712" s="7" t="s">
        <v>702</v>
      </c>
      <c r="C2712" s="8">
        <f>IFERROR(__xludf.DUMMYFUNCTION("SPLIT(B2712,""RM"")"),410000.0)</f>
        <v>410000</v>
      </c>
      <c r="D2712" s="7" t="s">
        <v>197</v>
      </c>
      <c r="E2712" s="7">
        <v>1.0</v>
      </c>
      <c r="F2712" s="7">
        <v>1.0</v>
      </c>
      <c r="G2712" s="7" t="s">
        <v>93</v>
      </c>
      <c r="H2712" s="7" t="s">
        <v>1210</v>
      </c>
      <c r="I2712" s="7" t="s">
        <v>27</v>
      </c>
    </row>
    <row r="2713">
      <c r="A2713" s="7" t="s">
        <v>89</v>
      </c>
      <c r="B2713" s="7" t="s">
        <v>281</v>
      </c>
      <c r="C2713" s="8">
        <f>IFERROR(__xludf.DUMMYFUNCTION("SPLIT(B2713,""RM"")"),2500000.0)</f>
        <v>2500000</v>
      </c>
      <c r="D2713" s="7" t="s">
        <v>35</v>
      </c>
      <c r="E2713" s="7">
        <v>5.0</v>
      </c>
      <c r="F2713" s="7">
        <v>5.0</v>
      </c>
      <c r="G2713" s="7" t="s">
        <v>43</v>
      </c>
      <c r="H2713" s="7" t="s">
        <v>912</v>
      </c>
      <c r="I2713" s="7" t="s">
        <v>27</v>
      </c>
    </row>
    <row r="2714">
      <c r="A2714" s="7" t="s">
        <v>148</v>
      </c>
      <c r="B2714" s="7" t="s">
        <v>168</v>
      </c>
      <c r="C2714" s="8">
        <f>IFERROR(__xludf.DUMMYFUNCTION("SPLIT(B2714,""RM"")"),750000.0)</f>
        <v>750000</v>
      </c>
      <c r="D2714" s="7">
        <v>4.0</v>
      </c>
      <c r="E2714" s="7">
        <v>3.0</v>
      </c>
      <c r="F2714" s="7">
        <v>3.0</v>
      </c>
      <c r="G2714" s="7" t="s">
        <v>54</v>
      </c>
      <c r="H2714" s="7" t="s">
        <v>211</v>
      </c>
      <c r="I2714" s="7" t="s">
        <v>27</v>
      </c>
    </row>
    <row r="2715">
      <c r="A2715" s="7" t="s">
        <v>23</v>
      </c>
      <c r="B2715" s="7" t="s">
        <v>2000</v>
      </c>
      <c r="C2715" s="8">
        <f>IFERROR(__xludf.DUMMYFUNCTION("SPLIT(B2715,""RM"")"),1640000.0)</f>
        <v>1640000</v>
      </c>
      <c r="D2715" s="7" t="s">
        <v>197</v>
      </c>
      <c r="E2715" s="7">
        <v>2.0</v>
      </c>
      <c r="G2715" s="7" t="s">
        <v>82</v>
      </c>
      <c r="H2715" s="7" t="s">
        <v>373</v>
      </c>
      <c r="I2715" s="7" t="s">
        <v>27</v>
      </c>
    </row>
    <row r="2716">
      <c r="A2716" s="7" t="s">
        <v>72</v>
      </c>
      <c r="B2716" s="7" t="s">
        <v>322</v>
      </c>
      <c r="C2716" s="8">
        <f>IFERROR(__xludf.DUMMYFUNCTION("SPLIT(B2716,""RM"")"),1900000.0)</f>
        <v>1900000</v>
      </c>
      <c r="D2716" s="7" t="s">
        <v>57</v>
      </c>
      <c r="E2716" s="7">
        <v>4.0</v>
      </c>
      <c r="F2716" s="7">
        <v>2.0</v>
      </c>
      <c r="G2716" s="7" t="s">
        <v>30</v>
      </c>
      <c r="H2716" s="7" t="s">
        <v>708</v>
      </c>
      <c r="I2716" s="7" t="s">
        <v>22</v>
      </c>
    </row>
    <row r="2717">
      <c r="A2717" s="7" t="s">
        <v>72</v>
      </c>
      <c r="B2717" s="7" t="s">
        <v>56</v>
      </c>
      <c r="C2717" s="8">
        <f>IFERROR(__xludf.DUMMYFUNCTION("SPLIT(B2717,""RM"")"),1700000.0)</f>
        <v>1700000</v>
      </c>
      <c r="D2717" s="7" t="s">
        <v>57</v>
      </c>
      <c r="E2717" s="7">
        <v>4.0</v>
      </c>
      <c r="F2717" s="7">
        <v>2.0</v>
      </c>
      <c r="G2717" s="7" t="s">
        <v>30</v>
      </c>
      <c r="H2717" s="7" t="s">
        <v>404</v>
      </c>
      <c r="I2717" s="7" t="s">
        <v>27</v>
      </c>
    </row>
    <row r="2718">
      <c r="A2718" s="7" t="s">
        <v>72</v>
      </c>
      <c r="B2718" s="7" t="s">
        <v>81</v>
      </c>
      <c r="C2718" s="8">
        <f>IFERROR(__xludf.DUMMYFUNCTION("SPLIT(B2718,""RM"")"),1550000.0)</f>
        <v>1550000</v>
      </c>
      <c r="D2718" s="7" t="s">
        <v>57</v>
      </c>
      <c r="E2718" s="7">
        <v>4.0</v>
      </c>
      <c r="F2718" s="7">
        <v>2.0</v>
      </c>
      <c r="G2718" s="7" t="s">
        <v>30</v>
      </c>
      <c r="H2718" s="7" t="s">
        <v>334</v>
      </c>
      <c r="I2718" s="7" t="s">
        <v>27</v>
      </c>
    </row>
    <row r="2719">
      <c r="A2719" s="7" t="s">
        <v>72</v>
      </c>
      <c r="B2719" s="7" t="s">
        <v>447</v>
      </c>
      <c r="C2719" s="8">
        <f>IFERROR(__xludf.DUMMYFUNCTION("SPLIT(B2719,""RM"")"),3700000.0)</f>
        <v>3700000</v>
      </c>
      <c r="D2719" s="7" t="s">
        <v>70</v>
      </c>
      <c r="E2719" s="7">
        <v>6.0</v>
      </c>
      <c r="G2719" s="7" t="s">
        <v>83</v>
      </c>
      <c r="H2719" s="7" t="s">
        <v>2001</v>
      </c>
      <c r="I2719" s="7" t="s">
        <v>27</v>
      </c>
    </row>
    <row r="2720">
      <c r="A2720" s="7" t="s">
        <v>104</v>
      </c>
      <c r="B2720" s="7" t="s">
        <v>967</v>
      </c>
      <c r="C2720" s="8">
        <f>IFERROR(__xludf.DUMMYFUNCTION("SPLIT(B2720,""RM"")"),680000.0)</f>
        <v>680000</v>
      </c>
      <c r="D2720" s="7">
        <v>4.0</v>
      </c>
      <c r="E2720" s="7">
        <v>4.0</v>
      </c>
      <c r="G2720" s="7" t="s">
        <v>2002</v>
      </c>
      <c r="H2720" s="7" t="s">
        <v>283</v>
      </c>
      <c r="I2720" s="7" t="s">
        <v>103</v>
      </c>
    </row>
    <row r="2721">
      <c r="A2721" s="7" t="s">
        <v>109</v>
      </c>
      <c r="B2721" s="7" t="s">
        <v>975</v>
      </c>
      <c r="C2721" s="8">
        <f>IFERROR(__xludf.DUMMYFUNCTION("SPLIT(B2721,""RM"")"),400000.0)</f>
        <v>400000</v>
      </c>
      <c r="D2721" s="7">
        <v>3.0</v>
      </c>
      <c r="E2721" s="7">
        <v>2.0</v>
      </c>
      <c r="G2721" s="7" t="s">
        <v>83</v>
      </c>
      <c r="H2721" s="7" t="s">
        <v>157</v>
      </c>
      <c r="I2721" s="7" t="s">
        <v>27</v>
      </c>
    </row>
    <row r="2722">
      <c r="A2722" s="7" t="s">
        <v>23</v>
      </c>
      <c r="B2722" s="7" t="s">
        <v>1140</v>
      </c>
      <c r="C2722" s="8">
        <f>IFERROR(__xludf.DUMMYFUNCTION("SPLIT(B2722,""RM"")"),330000.0)</f>
        <v>330000</v>
      </c>
      <c r="D2722" s="7" t="s">
        <v>325</v>
      </c>
      <c r="E2722" s="7">
        <v>1.0</v>
      </c>
      <c r="G2722" s="7" t="s">
        <v>82</v>
      </c>
      <c r="H2722" s="7" t="s">
        <v>88</v>
      </c>
      <c r="I2722" s="7" t="s">
        <v>22</v>
      </c>
    </row>
    <row r="2723">
      <c r="A2723" s="7" t="s">
        <v>37</v>
      </c>
      <c r="B2723" s="7" t="s">
        <v>118</v>
      </c>
      <c r="C2723" s="8">
        <f>IFERROR(__xludf.DUMMYFUNCTION("SPLIT(B2723,""RM"")"),1720000.0)</f>
        <v>1720000</v>
      </c>
      <c r="D2723" s="7" t="s">
        <v>35</v>
      </c>
      <c r="E2723" s="7">
        <v>3.0</v>
      </c>
      <c r="F2723" s="7">
        <v>2.0</v>
      </c>
      <c r="G2723" s="7" t="s">
        <v>54</v>
      </c>
      <c r="H2723" s="7" t="s">
        <v>58</v>
      </c>
      <c r="I2723" s="7" t="s">
        <v>27</v>
      </c>
    </row>
    <row r="2724">
      <c r="A2724" s="7" t="s">
        <v>37</v>
      </c>
      <c r="B2724" s="7" t="s">
        <v>277</v>
      </c>
      <c r="C2724" s="8">
        <f>IFERROR(__xludf.DUMMYFUNCTION("SPLIT(B2724,""RM"")"),2200000.0)</f>
        <v>2200000</v>
      </c>
      <c r="D2724" s="7">
        <v>2.0</v>
      </c>
      <c r="E2724" s="7">
        <v>3.0</v>
      </c>
      <c r="F2724" s="7">
        <v>2.0</v>
      </c>
      <c r="G2724" s="7" t="s">
        <v>169</v>
      </c>
      <c r="H2724" s="7" t="s">
        <v>2003</v>
      </c>
      <c r="I2724" s="7" t="s">
        <v>27</v>
      </c>
    </row>
    <row r="2725">
      <c r="A2725" s="7" t="s">
        <v>23</v>
      </c>
      <c r="B2725" s="7" t="s">
        <v>2004</v>
      </c>
      <c r="C2725" s="8">
        <f>IFERROR(__xludf.DUMMYFUNCTION("SPLIT(B2725,""RM"")"),7172300.0)</f>
        <v>7172300</v>
      </c>
      <c r="G2725" s="7" t="s">
        <v>667</v>
      </c>
      <c r="H2725" s="7" t="s">
        <v>2005</v>
      </c>
    </row>
    <row r="2726">
      <c r="A2726" s="7" t="s">
        <v>17</v>
      </c>
      <c r="B2726" s="7" t="s">
        <v>18</v>
      </c>
      <c r="C2726" s="8">
        <f>IFERROR(__xludf.DUMMYFUNCTION("SPLIT(B2726,""RM"")"),1250000.0)</f>
        <v>1250000</v>
      </c>
      <c r="D2726" s="7" t="s">
        <v>57</v>
      </c>
      <c r="E2726" s="7">
        <v>4.0</v>
      </c>
      <c r="G2726" s="7" t="s">
        <v>385</v>
      </c>
      <c r="H2726" s="7" t="s">
        <v>490</v>
      </c>
      <c r="I2726" s="7" t="s">
        <v>27</v>
      </c>
    </row>
    <row r="2727">
      <c r="A2727" s="7" t="s">
        <v>17</v>
      </c>
      <c r="B2727" s="7" t="s">
        <v>191</v>
      </c>
      <c r="C2727" s="8">
        <f>IFERROR(__xludf.DUMMYFUNCTION("SPLIT(B2727,""RM"")"),1000000.0)</f>
        <v>1000000</v>
      </c>
      <c r="D2727" s="7" t="s">
        <v>288</v>
      </c>
      <c r="E2727" s="7">
        <v>3.0</v>
      </c>
      <c r="G2727" s="7" t="s">
        <v>121</v>
      </c>
      <c r="H2727" s="7" t="s">
        <v>1505</v>
      </c>
      <c r="I2727" s="7" t="s">
        <v>27</v>
      </c>
    </row>
    <row r="2728">
      <c r="A2728" s="7" t="s">
        <v>17</v>
      </c>
      <c r="B2728" s="7" t="s">
        <v>34</v>
      </c>
      <c r="C2728" s="8">
        <f>IFERROR(__xludf.DUMMYFUNCTION("SPLIT(B2728,""RM"")"),900000.0)</f>
        <v>900000</v>
      </c>
      <c r="D2728" s="7" t="s">
        <v>19</v>
      </c>
      <c r="E2728" s="7">
        <v>3.0</v>
      </c>
      <c r="G2728" s="7" t="s">
        <v>121</v>
      </c>
      <c r="H2728" s="7" t="s">
        <v>519</v>
      </c>
      <c r="I2728" s="7" t="s">
        <v>27</v>
      </c>
    </row>
    <row r="2729">
      <c r="A2729" s="7" t="s">
        <v>17</v>
      </c>
      <c r="B2729" s="7" t="s">
        <v>214</v>
      </c>
      <c r="C2729" s="8">
        <f>IFERROR(__xludf.DUMMYFUNCTION("SPLIT(B2729,""RM"")"),1180000.0)</f>
        <v>1180000</v>
      </c>
      <c r="D2729" s="7" t="s">
        <v>57</v>
      </c>
      <c r="E2729" s="7">
        <v>4.0</v>
      </c>
      <c r="G2729" s="7" t="s">
        <v>385</v>
      </c>
      <c r="H2729" s="7" t="s">
        <v>490</v>
      </c>
      <c r="I2729" s="7" t="s">
        <v>22</v>
      </c>
    </row>
    <row r="2730">
      <c r="A2730" s="7" t="s">
        <v>17</v>
      </c>
      <c r="B2730" s="7" t="s">
        <v>284</v>
      </c>
      <c r="C2730" s="8">
        <f>IFERROR(__xludf.DUMMYFUNCTION("SPLIT(B2730,""RM"")"),1060000.0)</f>
        <v>1060000</v>
      </c>
      <c r="D2730" s="7" t="s">
        <v>288</v>
      </c>
      <c r="E2730" s="7">
        <v>3.0</v>
      </c>
      <c r="G2730" s="7" t="s">
        <v>385</v>
      </c>
      <c r="H2730" s="7" t="s">
        <v>2006</v>
      </c>
      <c r="I2730" s="7" t="s">
        <v>22</v>
      </c>
    </row>
    <row r="2731">
      <c r="A2731" s="7" t="s">
        <v>1979</v>
      </c>
      <c r="B2731" s="7" t="s">
        <v>2007</v>
      </c>
      <c r="C2731" s="8">
        <f>IFERROR(__xludf.DUMMYFUNCTION("SPLIT(B2731,""RM"")"),656000.0)</f>
        <v>656000</v>
      </c>
      <c r="D2731" s="7">
        <v>4.0</v>
      </c>
      <c r="E2731" s="7">
        <v>3.0</v>
      </c>
      <c r="G2731" s="7" t="s">
        <v>54</v>
      </c>
      <c r="H2731" s="7" t="s">
        <v>2008</v>
      </c>
      <c r="I2731" s="7" t="s">
        <v>27</v>
      </c>
    </row>
    <row r="2732">
      <c r="A2732" s="7" t="s">
        <v>32</v>
      </c>
      <c r="B2732" s="7" t="s">
        <v>243</v>
      </c>
      <c r="C2732" s="8">
        <f>IFERROR(__xludf.DUMMYFUNCTION("SPLIT(B2732,""RM"")"),1350000.0)</f>
        <v>1350000</v>
      </c>
      <c r="D2732" s="7">
        <v>3.0</v>
      </c>
      <c r="E2732" s="7">
        <v>2.0</v>
      </c>
      <c r="F2732" s="7">
        <v>1.0</v>
      </c>
      <c r="G2732" s="7" t="s">
        <v>82</v>
      </c>
      <c r="H2732" s="7" t="s">
        <v>2009</v>
      </c>
      <c r="I2732" s="7" t="s">
        <v>27</v>
      </c>
    </row>
    <row r="2733">
      <c r="A2733" s="7" t="s">
        <v>32</v>
      </c>
      <c r="B2733" s="7" t="s">
        <v>1225</v>
      </c>
      <c r="C2733" s="8">
        <f>IFERROR(__xludf.DUMMYFUNCTION("SPLIT(B2733,""RM"")"),1290000.0)</f>
        <v>1290000</v>
      </c>
      <c r="D2733" s="7">
        <v>3.0</v>
      </c>
      <c r="E2733" s="7">
        <v>2.0</v>
      </c>
      <c r="G2733" s="7" t="s">
        <v>82</v>
      </c>
      <c r="H2733" s="7" t="s">
        <v>2010</v>
      </c>
      <c r="I2733" s="7" t="s">
        <v>27</v>
      </c>
    </row>
    <row r="2734">
      <c r="A2734" s="7" t="s">
        <v>32</v>
      </c>
      <c r="B2734" s="7" t="s">
        <v>311</v>
      </c>
      <c r="C2734" s="8">
        <f>IFERROR(__xludf.DUMMYFUNCTION("SPLIT(B2734,""RM"")"),1100000.0)</f>
        <v>1100000</v>
      </c>
      <c r="D2734" s="7">
        <v>2.0</v>
      </c>
      <c r="E2734" s="7">
        <v>2.0</v>
      </c>
      <c r="F2734" s="7">
        <v>1.0</v>
      </c>
      <c r="G2734" s="7" t="s">
        <v>20</v>
      </c>
      <c r="H2734" s="7" t="s">
        <v>1694</v>
      </c>
      <c r="I2734" s="7" t="s">
        <v>27</v>
      </c>
    </row>
    <row r="2735">
      <c r="A2735" s="7" t="s">
        <v>32</v>
      </c>
      <c r="B2735" s="7" t="s">
        <v>349</v>
      </c>
      <c r="C2735" s="8">
        <f>IFERROR(__xludf.DUMMYFUNCTION("SPLIT(B2735,""RM"")"),1400000.0)</f>
        <v>1400000</v>
      </c>
      <c r="D2735" s="7">
        <v>2.0</v>
      </c>
      <c r="E2735" s="7">
        <v>2.0</v>
      </c>
      <c r="F2735" s="7">
        <v>3.0</v>
      </c>
      <c r="G2735" s="7" t="s">
        <v>20</v>
      </c>
      <c r="H2735" s="7" t="s">
        <v>2011</v>
      </c>
      <c r="I2735" s="7" t="s">
        <v>27</v>
      </c>
    </row>
    <row r="2736">
      <c r="A2736" s="7" t="s">
        <v>32</v>
      </c>
      <c r="B2736" s="7" t="s">
        <v>239</v>
      </c>
      <c r="C2736" s="8">
        <f>IFERROR(__xludf.DUMMYFUNCTION("SPLIT(B2736,""RM"")"),1280000.0)</f>
        <v>1280000</v>
      </c>
      <c r="D2736" s="7">
        <v>3.0</v>
      </c>
      <c r="E2736" s="7">
        <v>2.0</v>
      </c>
      <c r="G2736" s="7" t="s">
        <v>82</v>
      </c>
      <c r="H2736" s="7" t="s">
        <v>2010</v>
      </c>
      <c r="I2736" s="7" t="s">
        <v>27</v>
      </c>
    </row>
    <row r="2737">
      <c r="A2737" s="7" t="s">
        <v>32</v>
      </c>
      <c r="B2737" s="7" t="s">
        <v>525</v>
      </c>
      <c r="C2737" s="8">
        <f>IFERROR(__xludf.DUMMYFUNCTION("SPLIT(B2737,""RM"")"),1090000.0)</f>
        <v>1090000</v>
      </c>
      <c r="D2737" s="7">
        <v>2.0</v>
      </c>
      <c r="E2737" s="7">
        <v>2.0</v>
      </c>
      <c r="F2737" s="7">
        <v>1.0</v>
      </c>
      <c r="G2737" s="7" t="s">
        <v>20</v>
      </c>
      <c r="H2737" s="7" t="s">
        <v>392</v>
      </c>
      <c r="I2737" s="7" t="s">
        <v>103</v>
      </c>
    </row>
    <row r="2738">
      <c r="A2738" s="7" t="s">
        <v>32</v>
      </c>
      <c r="B2738" s="7" t="s">
        <v>349</v>
      </c>
      <c r="C2738" s="8">
        <f>IFERROR(__xludf.DUMMYFUNCTION("SPLIT(B2738,""RM"")"),1400000.0)</f>
        <v>1400000</v>
      </c>
      <c r="D2738" s="7">
        <v>3.0</v>
      </c>
      <c r="E2738" s="7">
        <v>2.0</v>
      </c>
      <c r="F2738" s="7">
        <v>1.0</v>
      </c>
      <c r="G2738" s="7" t="s">
        <v>82</v>
      </c>
      <c r="H2738" s="7" t="s">
        <v>237</v>
      </c>
      <c r="I2738" s="7" t="s">
        <v>22</v>
      </c>
    </row>
    <row r="2739">
      <c r="A2739" s="7" t="s">
        <v>33</v>
      </c>
      <c r="B2739" s="7" t="s">
        <v>372</v>
      </c>
      <c r="C2739" s="8">
        <f>IFERROR(__xludf.DUMMYFUNCTION("SPLIT(B2739,""RM"")"),700000.0)</f>
        <v>700000</v>
      </c>
      <c r="D2739" s="7">
        <v>3.0</v>
      </c>
      <c r="E2739" s="7">
        <v>2.0</v>
      </c>
      <c r="F2739" s="7">
        <v>2.0</v>
      </c>
      <c r="G2739" s="7" t="s">
        <v>93</v>
      </c>
      <c r="H2739" s="7" t="s">
        <v>734</v>
      </c>
      <c r="I2739" s="7" t="s">
        <v>27</v>
      </c>
    </row>
    <row r="2740">
      <c r="A2740" s="7" t="s">
        <v>32</v>
      </c>
      <c r="B2740" s="7" t="s">
        <v>311</v>
      </c>
      <c r="C2740" s="8">
        <f>IFERROR(__xludf.DUMMYFUNCTION("SPLIT(B2740,""RM"")"),1100000.0)</f>
        <v>1100000</v>
      </c>
      <c r="D2740" s="7">
        <v>2.0</v>
      </c>
      <c r="E2740" s="7">
        <v>2.0</v>
      </c>
      <c r="F2740" s="7">
        <v>1.0</v>
      </c>
      <c r="G2740" s="7" t="s">
        <v>20</v>
      </c>
      <c r="H2740" s="7" t="s">
        <v>2012</v>
      </c>
      <c r="I2740" s="7" t="s">
        <v>27</v>
      </c>
    </row>
    <row r="2741">
      <c r="A2741" s="7" t="s">
        <v>32</v>
      </c>
      <c r="B2741" s="7" t="s">
        <v>34</v>
      </c>
      <c r="C2741" s="8">
        <f>IFERROR(__xludf.DUMMYFUNCTION("SPLIT(B2741,""RM"")"),900000.0)</f>
        <v>900000</v>
      </c>
      <c r="D2741" s="7" t="s">
        <v>79</v>
      </c>
      <c r="E2741" s="7">
        <v>2.0</v>
      </c>
      <c r="F2741" s="7">
        <v>1.0</v>
      </c>
      <c r="G2741" s="7" t="s">
        <v>20</v>
      </c>
      <c r="H2741" s="7" t="s">
        <v>2013</v>
      </c>
      <c r="I2741" s="7" t="s">
        <v>22</v>
      </c>
    </row>
    <row r="2742">
      <c r="A2742" s="7" t="s">
        <v>32</v>
      </c>
      <c r="B2742" s="7" t="s">
        <v>329</v>
      </c>
      <c r="C2742" s="8">
        <f>IFERROR(__xludf.DUMMYFUNCTION("SPLIT(B2742,""RM"")"),1200000.0)</f>
        <v>1200000</v>
      </c>
      <c r="D2742" s="7">
        <v>2.0</v>
      </c>
      <c r="E2742" s="7">
        <v>2.0</v>
      </c>
      <c r="F2742" s="7">
        <v>1.0</v>
      </c>
      <c r="G2742" s="7" t="s">
        <v>82</v>
      </c>
      <c r="H2742" s="7" t="s">
        <v>1449</v>
      </c>
      <c r="I2742" s="7" t="s">
        <v>22</v>
      </c>
    </row>
    <row r="2743">
      <c r="A2743" s="7" t="s">
        <v>32</v>
      </c>
      <c r="B2743" s="7" t="s">
        <v>327</v>
      </c>
      <c r="C2743" s="8">
        <f>IFERROR(__xludf.DUMMYFUNCTION("SPLIT(B2743,""RM"")"),1300000.0)</f>
        <v>1300000</v>
      </c>
      <c r="D2743" s="7">
        <v>3.0</v>
      </c>
      <c r="E2743" s="7">
        <v>2.0</v>
      </c>
      <c r="F2743" s="7">
        <v>2.0</v>
      </c>
      <c r="G2743" s="7" t="s">
        <v>20</v>
      </c>
      <c r="H2743" s="7" t="s">
        <v>237</v>
      </c>
      <c r="I2743" s="7" t="s">
        <v>103</v>
      </c>
    </row>
    <row r="2744">
      <c r="A2744" s="7" t="s">
        <v>32</v>
      </c>
      <c r="B2744" s="7" t="s">
        <v>956</v>
      </c>
      <c r="C2744" s="8">
        <f>IFERROR(__xludf.DUMMYFUNCTION("SPLIT(B2744,""RM"")"),860000.0)</f>
        <v>860000</v>
      </c>
      <c r="D2744" s="7">
        <v>2.0</v>
      </c>
      <c r="E2744" s="7">
        <v>2.0</v>
      </c>
      <c r="G2744" s="7" t="s">
        <v>82</v>
      </c>
      <c r="H2744" s="7" t="s">
        <v>2013</v>
      </c>
      <c r="I2744" s="7" t="s">
        <v>27</v>
      </c>
    </row>
    <row r="2745">
      <c r="A2745" s="7" t="s">
        <v>32</v>
      </c>
      <c r="B2745" s="7" t="s">
        <v>956</v>
      </c>
      <c r="C2745" s="8">
        <f>IFERROR(__xludf.DUMMYFUNCTION("SPLIT(B2745,""RM"")"),860000.0)</f>
        <v>860000</v>
      </c>
      <c r="D2745" s="7">
        <v>2.0</v>
      </c>
      <c r="E2745" s="7">
        <v>2.0</v>
      </c>
      <c r="F2745" s="7">
        <v>1.0</v>
      </c>
      <c r="G2745" s="7" t="s">
        <v>20</v>
      </c>
      <c r="H2745" s="7" t="s">
        <v>323</v>
      </c>
      <c r="I2745" s="7" t="s">
        <v>27</v>
      </c>
    </row>
    <row r="2746">
      <c r="A2746" s="7" t="s">
        <v>32</v>
      </c>
      <c r="B2746" s="7" t="s">
        <v>311</v>
      </c>
      <c r="C2746" s="8">
        <f>IFERROR(__xludf.DUMMYFUNCTION("SPLIT(B2746,""RM"")"),1100000.0)</f>
        <v>1100000</v>
      </c>
      <c r="D2746" s="7">
        <v>2.0</v>
      </c>
      <c r="E2746" s="7">
        <v>2.0</v>
      </c>
      <c r="F2746" s="7">
        <v>1.0</v>
      </c>
      <c r="G2746" s="7" t="s">
        <v>354</v>
      </c>
      <c r="H2746" s="7" t="s">
        <v>2013</v>
      </c>
      <c r="I2746" s="7" t="s">
        <v>22</v>
      </c>
    </row>
    <row r="2747">
      <c r="A2747" s="7" t="s">
        <v>32</v>
      </c>
      <c r="B2747" s="7" t="s">
        <v>956</v>
      </c>
      <c r="C2747" s="8">
        <f>IFERROR(__xludf.DUMMYFUNCTION("SPLIT(B2747,""RM"")"),860000.0)</f>
        <v>860000</v>
      </c>
      <c r="D2747" s="7">
        <v>2.0</v>
      </c>
      <c r="E2747" s="7">
        <v>2.0</v>
      </c>
      <c r="G2747" s="7" t="s">
        <v>82</v>
      </c>
      <c r="H2747" s="7" t="s">
        <v>2014</v>
      </c>
      <c r="I2747" s="7" t="s">
        <v>27</v>
      </c>
    </row>
    <row r="2748">
      <c r="A2748" s="7" t="s">
        <v>428</v>
      </c>
      <c r="B2748" s="7" t="s">
        <v>2015</v>
      </c>
      <c r="C2748" s="8">
        <f>IFERROR(__xludf.DUMMYFUNCTION("SPLIT(B2748,""RM"")"),4990000.0)</f>
        <v>4990000</v>
      </c>
      <c r="D2748" s="7">
        <v>8.0</v>
      </c>
      <c r="E2748" s="7">
        <v>7.0</v>
      </c>
      <c r="F2748" s="7">
        <v>6.0</v>
      </c>
      <c r="G2748" s="7" t="s">
        <v>25</v>
      </c>
      <c r="H2748" s="7" t="s">
        <v>593</v>
      </c>
      <c r="I2748" s="7" t="s">
        <v>27</v>
      </c>
    </row>
    <row r="2749">
      <c r="A2749" s="7" t="s">
        <v>33</v>
      </c>
      <c r="B2749" s="7" t="s">
        <v>2016</v>
      </c>
      <c r="C2749" s="8">
        <f>IFERROR(__xludf.DUMMYFUNCTION("SPLIT(B2749,""RM"")"),435000.0)</f>
        <v>435000</v>
      </c>
      <c r="D2749" s="7" t="s">
        <v>57</v>
      </c>
      <c r="E2749" s="7">
        <v>2.0</v>
      </c>
      <c r="F2749" s="7">
        <v>1.0</v>
      </c>
      <c r="G2749" s="7" t="s">
        <v>93</v>
      </c>
      <c r="H2749" s="7" t="s">
        <v>157</v>
      </c>
    </row>
    <row r="2750">
      <c r="A2750" s="7" t="s">
        <v>148</v>
      </c>
      <c r="B2750" s="7" t="s">
        <v>281</v>
      </c>
      <c r="C2750" s="8">
        <f>IFERROR(__xludf.DUMMYFUNCTION("SPLIT(B2750,""RM"")"),2500000.0)</f>
        <v>2500000</v>
      </c>
      <c r="D2750" s="7">
        <v>6.0</v>
      </c>
      <c r="E2750" s="7">
        <v>7.0</v>
      </c>
      <c r="G2750" s="7" t="s">
        <v>25</v>
      </c>
      <c r="H2750" s="7" t="s">
        <v>219</v>
      </c>
    </row>
    <row r="2751">
      <c r="A2751" s="7" t="s">
        <v>100</v>
      </c>
      <c r="B2751" s="7" t="s">
        <v>854</v>
      </c>
      <c r="C2751" s="8">
        <f>IFERROR(__xludf.DUMMYFUNCTION("SPLIT(B2751,""RM"")"),690000.0)</f>
        <v>690000</v>
      </c>
      <c r="D2751" s="7">
        <v>3.0</v>
      </c>
      <c r="E2751" s="7">
        <v>2.0</v>
      </c>
      <c r="F2751" s="7">
        <v>1.0</v>
      </c>
      <c r="G2751" s="7" t="s">
        <v>121</v>
      </c>
      <c r="H2751" s="7" t="s">
        <v>2013</v>
      </c>
      <c r="I2751" s="7" t="s">
        <v>27</v>
      </c>
    </row>
    <row r="2752">
      <c r="A2752" s="7" t="s">
        <v>89</v>
      </c>
      <c r="B2752" s="7" t="s">
        <v>967</v>
      </c>
      <c r="C2752" s="8">
        <f>IFERROR(__xludf.DUMMYFUNCTION("SPLIT(B2752,""RM"")"),680000.0)</f>
        <v>680000</v>
      </c>
      <c r="D2752" s="7" t="s">
        <v>19</v>
      </c>
      <c r="E2752" s="7">
        <v>2.0</v>
      </c>
      <c r="F2752" s="7">
        <v>2.0</v>
      </c>
      <c r="G2752" s="7" t="s">
        <v>20</v>
      </c>
      <c r="H2752" s="7" t="s">
        <v>764</v>
      </c>
      <c r="I2752" s="7" t="s">
        <v>22</v>
      </c>
    </row>
    <row r="2753">
      <c r="A2753" s="7" t="s">
        <v>177</v>
      </c>
      <c r="B2753" s="7" t="s">
        <v>447</v>
      </c>
      <c r="C2753" s="8">
        <f>IFERROR(__xludf.DUMMYFUNCTION("SPLIT(B2753,""RM"")"),3700000.0)</f>
        <v>3700000</v>
      </c>
      <c r="D2753" s="7" t="s">
        <v>35</v>
      </c>
      <c r="E2753" s="7">
        <v>4.0</v>
      </c>
      <c r="G2753" s="7" t="s">
        <v>67</v>
      </c>
      <c r="H2753" s="7" t="s">
        <v>1217</v>
      </c>
      <c r="I2753" s="7" t="s">
        <v>27</v>
      </c>
    </row>
    <row r="2754">
      <c r="A2754" s="7" t="s">
        <v>177</v>
      </c>
      <c r="B2754" s="7" t="s">
        <v>893</v>
      </c>
      <c r="C2754" s="8">
        <f>IFERROR(__xludf.DUMMYFUNCTION("SPLIT(B2754,""RM"")"),7000000.0)</f>
        <v>7000000</v>
      </c>
      <c r="D2754" s="7" t="s">
        <v>218</v>
      </c>
      <c r="E2754" s="7">
        <v>7.0</v>
      </c>
      <c r="G2754" s="7" t="s">
        <v>25</v>
      </c>
      <c r="H2754" s="7" t="s">
        <v>2017</v>
      </c>
      <c r="I2754" s="7" t="s">
        <v>27</v>
      </c>
    </row>
    <row r="2755">
      <c r="A2755" s="7" t="s">
        <v>37</v>
      </c>
      <c r="B2755" s="7" t="s">
        <v>107</v>
      </c>
      <c r="C2755" s="8">
        <f>IFERROR(__xludf.DUMMYFUNCTION("SPLIT(B2755,""RM"")"),460000.0)</f>
        <v>460000</v>
      </c>
      <c r="D2755" s="7">
        <v>3.0</v>
      </c>
      <c r="E2755" s="7">
        <v>2.0</v>
      </c>
      <c r="F2755" s="7">
        <v>1.0</v>
      </c>
      <c r="G2755" s="7" t="s">
        <v>83</v>
      </c>
      <c r="H2755" s="7" t="s">
        <v>135</v>
      </c>
      <c r="I2755" s="7" t="s">
        <v>27</v>
      </c>
    </row>
    <row r="2756">
      <c r="A2756" s="7" t="s">
        <v>37</v>
      </c>
      <c r="B2756" s="7" t="s">
        <v>311</v>
      </c>
      <c r="C2756" s="8">
        <f>IFERROR(__xludf.DUMMYFUNCTION("SPLIT(B2756,""RM"")"),1100000.0)</f>
        <v>1100000</v>
      </c>
      <c r="D2756" s="7" t="s">
        <v>57</v>
      </c>
      <c r="E2756" s="7">
        <v>3.0</v>
      </c>
      <c r="F2756" s="7">
        <v>2.0</v>
      </c>
      <c r="G2756" s="7" t="s">
        <v>83</v>
      </c>
      <c r="H2756" s="7" t="s">
        <v>2018</v>
      </c>
      <c r="I2756" s="7" t="s">
        <v>27</v>
      </c>
    </row>
    <row r="2757">
      <c r="A2757" s="7" t="s">
        <v>188</v>
      </c>
      <c r="B2757" s="7" t="s">
        <v>2019</v>
      </c>
      <c r="C2757" s="8">
        <f>IFERROR(__xludf.DUMMYFUNCTION("SPLIT(B2757,""RM"")"),1033000.0)</f>
        <v>1033000</v>
      </c>
      <c r="D2757" s="7">
        <v>2.0</v>
      </c>
      <c r="E2757" s="7">
        <v>2.0</v>
      </c>
      <c r="F2757" s="7">
        <v>1.0</v>
      </c>
      <c r="G2757" s="7" t="s">
        <v>20</v>
      </c>
      <c r="H2757" s="7" t="s">
        <v>1395</v>
      </c>
      <c r="I2757" s="7" t="s">
        <v>22</v>
      </c>
    </row>
    <row r="2758">
      <c r="A2758" s="7" t="s">
        <v>188</v>
      </c>
      <c r="B2758" s="7" t="s">
        <v>191</v>
      </c>
      <c r="C2758" s="8">
        <f>IFERROR(__xludf.DUMMYFUNCTION("SPLIT(B2758,""RM"")"),1000000.0)</f>
        <v>1000000</v>
      </c>
      <c r="D2758" s="7">
        <v>2.0</v>
      </c>
      <c r="E2758" s="7">
        <v>2.0</v>
      </c>
      <c r="F2758" s="7">
        <v>1.0</v>
      </c>
      <c r="G2758" s="7" t="s">
        <v>20</v>
      </c>
      <c r="H2758" s="7" t="s">
        <v>776</v>
      </c>
      <c r="I2758" s="7" t="s">
        <v>22</v>
      </c>
    </row>
    <row r="2759">
      <c r="A2759" s="7" t="s">
        <v>148</v>
      </c>
      <c r="B2759" s="7" t="s">
        <v>110</v>
      </c>
      <c r="C2759" s="8">
        <f>IFERROR(__xludf.DUMMYFUNCTION("SPLIT(B2759,""RM"")"),2400000.0)</f>
        <v>2400000</v>
      </c>
      <c r="D2759" s="7" t="s">
        <v>35</v>
      </c>
      <c r="E2759" s="7">
        <v>4.0</v>
      </c>
      <c r="F2759" s="7">
        <v>4.0</v>
      </c>
      <c r="G2759" s="7" t="s">
        <v>61</v>
      </c>
      <c r="H2759" s="7" t="s">
        <v>1202</v>
      </c>
    </row>
    <row r="2760">
      <c r="A2760" s="7" t="s">
        <v>709</v>
      </c>
      <c r="B2760" s="7" t="s">
        <v>316</v>
      </c>
      <c r="C2760" s="8">
        <f>IFERROR(__xludf.DUMMYFUNCTION("SPLIT(B2760,""RM"")"),820000.0)</f>
        <v>820000</v>
      </c>
      <c r="D2760" s="7">
        <v>1.0</v>
      </c>
      <c r="E2760" s="7">
        <v>2.0</v>
      </c>
      <c r="F2760" s="7">
        <v>1.0</v>
      </c>
      <c r="G2760" s="7" t="s">
        <v>82</v>
      </c>
      <c r="H2760" s="7" t="s">
        <v>1004</v>
      </c>
      <c r="I2760" s="7" t="s">
        <v>22</v>
      </c>
    </row>
    <row r="2761">
      <c r="A2761" s="7" t="s">
        <v>89</v>
      </c>
      <c r="B2761" s="7" t="s">
        <v>191</v>
      </c>
      <c r="C2761" s="8">
        <f>IFERROR(__xludf.DUMMYFUNCTION("SPLIT(B2761,""RM"")"),1000000.0)</f>
        <v>1000000</v>
      </c>
      <c r="D2761" s="7">
        <v>5.0</v>
      </c>
      <c r="E2761" s="7">
        <v>4.0</v>
      </c>
      <c r="F2761" s="7">
        <v>2.0</v>
      </c>
      <c r="G2761" s="7" t="s">
        <v>90</v>
      </c>
      <c r="H2761" s="7" t="s">
        <v>674</v>
      </c>
      <c r="I2761" s="7" t="s">
        <v>27</v>
      </c>
    </row>
    <row r="2762">
      <c r="A2762" s="7" t="s">
        <v>580</v>
      </c>
      <c r="B2762" s="7" t="s">
        <v>403</v>
      </c>
      <c r="C2762" s="8">
        <f>IFERROR(__xludf.DUMMYFUNCTION("SPLIT(B2762,""RM"")"),1600000.0)</f>
        <v>1600000</v>
      </c>
      <c r="D2762" s="7" t="s">
        <v>35</v>
      </c>
      <c r="E2762" s="7">
        <v>5.0</v>
      </c>
      <c r="G2762" s="7" t="s">
        <v>203</v>
      </c>
      <c r="H2762" s="7" t="s">
        <v>283</v>
      </c>
      <c r="I2762" s="7" t="s">
        <v>27</v>
      </c>
    </row>
    <row r="2763">
      <c r="A2763" s="7" t="s">
        <v>32</v>
      </c>
      <c r="B2763" s="7" t="s">
        <v>1390</v>
      </c>
      <c r="C2763" s="8">
        <f>IFERROR(__xludf.DUMMYFUNCTION("SPLIT(B2763,""RM"")"),615000.0)</f>
        <v>615000</v>
      </c>
      <c r="D2763" s="7">
        <v>4.0</v>
      </c>
      <c r="E2763" s="7">
        <v>3.0</v>
      </c>
      <c r="G2763" s="7" t="s">
        <v>169</v>
      </c>
      <c r="H2763" s="7" t="s">
        <v>2020</v>
      </c>
      <c r="I2763" s="7" t="s">
        <v>27</v>
      </c>
    </row>
    <row r="2764">
      <c r="A2764" s="7" t="s">
        <v>432</v>
      </c>
      <c r="B2764" s="7" t="s">
        <v>1736</v>
      </c>
      <c r="C2764" s="8">
        <f>IFERROR(__xludf.DUMMYFUNCTION("SPLIT(B2764,""RM"")"),1.6E7)</f>
        <v>16000000</v>
      </c>
      <c r="D2764" s="7" t="s">
        <v>35</v>
      </c>
      <c r="E2764" s="7">
        <v>6.0</v>
      </c>
      <c r="F2764" s="7">
        <v>15.0</v>
      </c>
      <c r="G2764" s="7" t="s">
        <v>67</v>
      </c>
      <c r="H2764" s="7" t="s">
        <v>1737</v>
      </c>
      <c r="I2764" s="7" t="s">
        <v>27</v>
      </c>
    </row>
    <row r="2765">
      <c r="A2765" s="7" t="s">
        <v>177</v>
      </c>
      <c r="B2765" s="7" t="s">
        <v>744</v>
      </c>
      <c r="C2765" s="8">
        <f>IFERROR(__xludf.DUMMYFUNCTION("SPLIT(B2765,""RM"")"),8300000.0)</f>
        <v>8300000</v>
      </c>
      <c r="D2765" s="7">
        <v>6.0</v>
      </c>
      <c r="E2765" s="7">
        <v>7.0</v>
      </c>
      <c r="F2765" s="7">
        <v>1.0</v>
      </c>
      <c r="G2765" s="7" t="s">
        <v>25</v>
      </c>
      <c r="H2765" s="7" t="s">
        <v>2021</v>
      </c>
      <c r="I2765" s="7" t="s">
        <v>27</v>
      </c>
    </row>
    <row r="2766">
      <c r="A2766" s="7" t="s">
        <v>2022</v>
      </c>
      <c r="B2766" s="7" t="s">
        <v>34</v>
      </c>
      <c r="C2766" s="8">
        <f>IFERROR(__xludf.DUMMYFUNCTION("SPLIT(B2766,""RM"")"),900000.0)</f>
        <v>900000</v>
      </c>
      <c r="D2766" s="7">
        <v>6.0</v>
      </c>
      <c r="E2766" s="7">
        <v>6.0</v>
      </c>
      <c r="G2766" s="7" t="s">
        <v>562</v>
      </c>
      <c r="H2766" s="7" t="s">
        <v>1084</v>
      </c>
      <c r="I2766" s="7" t="s">
        <v>22</v>
      </c>
    </row>
    <row r="2767">
      <c r="A2767" s="7" t="s">
        <v>177</v>
      </c>
      <c r="B2767" s="7" t="s">
        <v>2023</v>
      </c>
      <c r="C2767" s="8">
        <f>IFERROR(__xludf.DUMMYFUNCTION("SPLIT(B2767,""RM"")"),9800000.0)</f>
        <v>9800000</v>
      </c>
      <c r="D2767" s="7" t="s">
        <v>2024</v>
      </c>
      <c r="E2767" s="7">
        <v>20.0</v>
      </c>
      <c r="F2767" s="7">
        <v>6.0</v>
      </c>
      <c r="G2767" s="7" t="s">
        <v>61</v>
      </c>
      <c r="H2767" s="7" t="s">
        <v>2025</v>
      </c>
      <c r="I2767" s="7" t="s">
        <v>22</v>
      </c>
    </row>
    <row r="2768">
      <c r="A2768" s="7" t="s">
        <v>100</v>
      </c>
      <c r="B2768" s="7" t="s">
        <v>639</v>
      </c>
      <c r="C2768" s="8">
        <f>IFERROR(__xludf.DUMMYFUNCTION("SPLIT(B2768,""RM"")"),360000.0)</f>
        <v>360000</v>
      </c>
      <c r="D2768" s="7">
        <v>3.0</v>
      </c>
      <c r="E2768" s="7">
        <v>2.0</v>
      </c>
      <c r="F2768" s="7">
        <v>1.0</v>
      </c>
      <c r="G2768" s="7" t="s">
        <v>82</v>
      </c>
      <c r="H2768" s="7" t="s">
        <v>491</v>
      </c>
      <c r="I2768" s="7" t="s">
        <v>27</v>
      </c>
    </row>
    <row r="2769">
      <c r="A2769" s="7" t="s">
        <v>188</v>
      </c>
      <c r="B2769" s="7" t="s">
        <v>403</v>
      </c>
      <c r="C2769" s="8">
        <f>IFERROR(__xludf.DUMMYFUNCTION("SPLIT(B2769,""RM"")"),1600000.0)</f>
        <v>1600000</v>
      </c>
      <c r="D2769" s="7">
        <v>3.0</v>
      </c>
      <c r="E2769" s="7">
        <v>3.0</v>
      </c>
      <c r="F2769" s="7">
        <v>2.0</v>
      </c>
      <c r="G2769" s="7" t="s">
        <v>30</v>
      </c>
      <c r="H2769" s="7" t="s">
        <v>2026</v>
      </c>
      <c r="I2769" s="7" t="s">
        <v>27</v>
      </c>
    </row>
    <row r="2770">
      <c r="A2770" s="7" t="s">
        <v>188</v>
      </c>
      <c r="B2770" s="7" t="s">
        <v>144</v>
      </c>
      <c r="C2770" s="8">
        <f>IFERROR(__xludf.DUMMYFUNCTION("SPLIT(B2770,""RM"")"),1800000.0)</f>
        <v>1800000</v>
      </c>
      <c r="D2770" s="7" t="s">
        <v>57</v>
      </c>
      <c r="E2770" s="7">
        <v>3.0</v>
      </c>
      <c r="F2770" s="7">
        <v>2.0</v>
      </c>
      <c r="G2770" s="7" t="s">
        <v>30</v>
      </c>
      <c r="H2770" s="7" t="s">
        <v>743</v>
      </c>
      <c r="I2770" s="7" t="s">
        <v>22</v>
      </c>
    </row>
    <row r="2771">
      <c r="A2771" s="7" t="s">
        <v>17</v>
      </c>
      <c r="B2771" s="7" t="s">
        <v>42</v>
      </c>
      <c r="C2771" s="8">
        <f>IFERROR(__xludf.DUMMYFUNCTION("SPLIT(B2771,""RM"")"),2600000.0)</f>
        <v>2600000</v>
      </c>
      <c r="D2771" s="7">
        <v>2.0</v>
      </c>
      <c r="E2771" s="7">
        <v>2.0</v>
      </c>
      <c r="F2771" s="7">
        <v>2.0</v>
      </c>
      <c r="G2771" s="7" t="s">
        <v>20</v>
      </c>
      <c r="H2771" s="7" t="s">
        <v>389</v>
      </c>
      <c r="I2771" s="7" t="s">
        <v>27</v>
      </c>
    </row>
    <row r="2772">
      <c r="A2772" s="7" t="s">
        <v>143</v>
      </c>
      <c r="B2772" s="7" t="s">
        <v>243</v>
      </c>
      <c r="C2772" s="8">
        <f>IFERROR(__xludf.DUMMYFUNCTION("SPLIT(B2772,""RM"")"),1350000.0)</f>
        <v>1350000</v>
      </c>
      <c r="D2772" s="7">
        <v>3.0</v>
      </c>
      <c r="E2772" s="7">
        <v>3.0</v>
      </c>
      <c r="F2772" s="7">
        <v>2.0</v>
      </c>
      <c r="G2772" s="7" t="s">
        <v>121</v>
      </c>
      <c r="H2772" s="7" t="s">
        <v>762</v>
      </c>
      <c r="I2772" s="7" t="s">
        <v>22</v>
      </c>
    </row>
    <row r="2773">
      <c r="A2773" s="7" t="s">
        <v>143</v>
      </c>
      <c r="B2773" s="7" t="s">
        <v>229</v>
      </c>
      <c r="C2773" s="8">
        <f>IFERROR(__xludf.DUMMYFUNCTION("SPLIT(B2773,""RM"")"),1050000.0)</f>
        <v>1050000</v>
      </c>
      <c r="D2773" s="7">
        <v>3.0</v>
      </c>
      <c r="E2773" s="7">
        <v>3.0</v>
      </c>
      <c r="F2773" s="7">
        <v>1.0</v>
      </c>
      <c r="G2773" s="7" t="s">
        <v>82</v>
      </c>
      <c r="H2773" s="7" t="s">
        <v>2027</v>
      </c>
      <c r="I2773" s="7" t="s">
        <v>22</v>
      </c>
    </row>
    <row r="2774">
      <c r="A2774" s="7" t="s">
        <v>506</v>
      </c>
      <c r="B2774" s="7" t="s">
        <v>193</v>
      </c>
      <c r="C2774" s="8">
        <f>IFERROR(__xludf.DUMMYFUNCTION("SPLIT(B2774,""RM"")"),1650000.0)</f>
        <v>1650000</v>
      </c>
      <c r="D2774" s="7">
        <v>4.0</v>
      </c>
      <c r="E2774" s="7">
        <v>3.0</v>
      </c>
      <c r="F2774" s="7">
        <v>2.0</v>
      </c>
      <c r="G2774" s="7" t="s">
        <v>169</v>
      </c>
      <c r="H2774" s="7" t="s">
        <v>1024</v>
      </c>
      <c r="I2774" s="7" t="s">
        <v>27</v>
      </c>
    </row>
    <row r="2775">
      <c r="A2775" s="7" t="s">
        <v>109</v>
      </c>
      <c r="B2775" s="7" t="s">
        <v>975</v>
      </c>
      <c r="C2775" s="8">
        <f>IFERROR(__xludf.DUMMYFUNCTION("SPLIT(B2775,""RM"")"),400000.0)</f>
        <v>400000</v>
      </c>
      <c r="D2775" s="7">
        <v>3.0</v>
      </c>
      <c r="E2775" s="7">
        <v>2.0</v>
      </c>
      <c r="F2775" s="7">
        <v>1.0</v>
      </c>
      <c r="G2775" s="7" t="s">
        <v>30</v>
      </c>
      <c r="H2775" s="7" t="s">
        <v>2028</v>
      </c>
      <c r="I2775" s="7" t="s">
        <v>27</v>
      </c>
    </row>
    <row r="2776">
      <c r="A2776" s="7" t="s">
        <v>37</v>
      </c>
      <c r="B2776" s="7" t="s">
        <v>316</v>
      </c>
      <c r="C2776" s="8">
        <f>IFERROR(__xludf.DUMMYFUNCTION("SPLIT(B2776,""RM"")"),820000.0)</f>
        <v>820000</v>
      </c>
      <c r="D2776" s="7">
        <v>2.0</v>
      </c>
      <c r="E2776" s="7">
        <v>2.0</v>
      </c>
      <c r="F2776" s="7">
        <v>1.0</v>
      </c>
      <c r="G2776" s="7" t="s">
        <v>82</v>
      </c>
      <c r="H2776" s="7" t="s">
        <v>2029</v>
      </c>
      <c r="I2776" s="7" t="s">
        <v>22</v>
      </c>
    </row>
    <row r="2777">
      <c r="A2777" s="7" t="s">
        <v>32</v>
      </c>
      <c r="B2777" s="7" t="s">
        <v>967</v>
      </c>
      <c r="C2777" s="8">
        <f>IFERROR(__xludf.DUMMYFUNCTION("SPLIT(B2777,""RM"")"),680000.0)</f>
        <v>680000</v>
      </c>
      <c r="D2777" s="7">
        <v>2.0</v>
      </c>
      <c r="E2777" s="7">
        <v>2.0</v>
      </c>
      <c r="F2777" s="7">
        <v>1.0</v>
      </c>
      <c r="G2777" s="7" t="s">
        <v>82</v>
      </c>
      <c r="H2777" s="7" t="s">
        <v>2030</v>
      </c>
      <c r="I2777" s="7" t="s">
        <v>27</v>
      </c>
    </row>
    <row r="2778">
      <c r="A2778" s="7" t="s">
        <v>104</v>
      </c>
      <c r="B2778" s="7" t="s">
        <v>1213</v>
      </c>
      <c r="C2778" s="8">
        <f>IFERROR(__xludf.DUMMYFUNCTION("SPLIT(B2778,""RM"")"),388000.0)</f>
        <v>388000</v>
      </c>
      <c r="D2778" s="7">
        <v>3.0</v>
      </c>
      <c r="E2778" s="7">
        <v>2.0</v>
      </c>
      <c r="F2778" s="7">
        <v>2.0</v>
      </c>
      <c r="G2778" s="7" t="s">
        <v>30</v>
      </c>
      <c r="H2778" s="7" t="s">
        <v>2031</v>
      </c>
      <c r="I2778" s="7" t="s">
        <v>103</v>
      </c>
    </row>
    <row r="2779">
      <c r="A2779" s="7" t="s">
        <v>28</v>
      </c>
      <c r="B2779" s="7" t="s">
        <v>81</v>
      </c>
      <c r="C2779" s="8">
        <f>IFERROR(__xludf.DUMMYFUNCTION("SPLIT(B2779,""RM"")"),1550000.0)</f>
        <v>1550000</v>
      </c>
      <c r="D2779" s="7" t="s">
        <v>35</v>
      </c>
      <c r="E2779" s="7">
        <v>5.0</v>
      </c>
      <c r="F2779" s="7">
        <v>3.0</v>
      </c>
      <c r="G2779" s="7" t="s">
        <v>83</v>
      </c>
      <c r="H2779" s="7" t="s">
        <v>1293</v>
      </c>
      <c r="I2779" s="7" t="s">
        <v>27</v>
      </c>
    </row>
    <row r="2780">
      <c r="A2780" s="7" t="s">
        <v>28</v>
      </c>
      <c r="B2780" s="7" t="s">
        <v>399</v>
      </c>
      <c r="C2780" s="8">
        <f>IFERROR(__xludf.DUMMYFUNCTION("SPLIT(B2780,""RM"")"),1750000.0)</f>
        <v>1750000</v>
      </c>
      <c r="D2780" s="7" t="s">
        <v>79</v>
      </c>
      <c r="E2780" s="7">
        <v>5.0</v>
      </c>
      <c r="F2780" s="7">
        <v>3.0</v>
      </c>
      <c r="G2780" s="7" t="s">
        <v>30</v>
      </c>
      <c r="H2780" s="7" t="s">
        <v>1291</v>
      </c>
      <c r="I2780" s="7" t="s">
        <v>22</v>
      </c>
    </row>
    <row r="2781">
      <c r="A2781" s="7" t="s">
        <v>28</v>
      </c>
      <c r="B2781" s="7" t="s">
        <v>489</v>
      </c>
      <c r="C2781" s="8">
        <f>IFERROR(__xludf.DUMMYFUNCTION("SPLIT(B2781,""RM"")"),1230000.0)</f>
        <v>1230000</v>
      </c>
      <c r="D2781" s="7" t="s">
        <v>35</v>
      </c>
      <c r="E2781" s="7">
        <v>4.0</v>
      </c>
      <c r="F2781" s="7">
        <v>3.0</v>
      </c>
      <c r="G2781" s="7" t="s">
        <v>83</v>
      </c>
      <c r="H2781" s="7" t="s">
        <v>1295</v>
      </c>
      <c r="I2781" s="7" t="s">
        <v>27</v>
      </c>
    </row>
    <row r="2782">
      <c r="A2782" s="7" t="s">
        <v>72</v>
      </c>
      <c r="B2782" s="7" t="s">
        <v>712</v>
      </c>
      <c r="C2782" s="8">
        <f>IFERROR(__xludf.DUMMYFUNCTION("SPLIT(B2782,""RM"")"),1880000.0)</f>
        <v>1880000</v>
      </c>
      <c r="D2782" s="7" t="s">
        <v>35</v>
      </c>
      <c r="E2782" s="7">
        <v>5.0</v>
      </c>
      <c r="F2782" s="7">
        <v>4.0</v>
      </c>
      <c r="G2782" s="7" t="s">
        <v>30</v>
      </c>
      <c r="H2782" s="7" t="s">
        <v>1142</v>
      </c>
      <c r="I2782" s="7" t="s">
        <v>27</v>
      </c>
    </row>
    <row r="2783">
      <c r="A2783" s="7" t="s">
        <v>72</v>
      </c>
      <c r="B2783" s="7" t="s">
        <v>56</v>
      </c>
      <c r="C2783" s="8">
        <f>IFERROR(__xludf.DUMMYFUNCTION("SPLIT(B2783,""RM"")"),1700000.0)</f>
        <v>1700000</v>
      </c>
      <c r="D2783" s="7" t="s">
        <v>35</v>
      </c>
      <c r="E2783" s="7">
        <v>5.0</v>
      </c>
      <c r="F2783" s="7">
        <v>3.0</v>
      </c>
      <c r="G2783" s="7" t="s">
        <v>30</v>
      </c>
      <c r="H2783" s="7" t="s">
        <v>1143</v>
      </c>
      <c r="I2783" s="7" t="s">
        <v>22</v>
      </c>
    </row>
    <row r="2784">
      <c r="A2784" s="7" t="s">
        <v>72</v>
      </c>
      <c r="B2784" s="7" t="s">
        <v>1349</v>
      </c>
      <c r="C2784" s="8">
        <f>IFERROR(__xludf.DUMMYFUNCTION("SPLIT(B2784,""RM"")"),1220000.0)</f>
        <v>1220000</v>
      </c>
      <c r="D2784" s="7" t="s">
        <v>57</v>
      </c>
      <c r="E2784" s="7">
        <v>4.0</v>
      </c>
      <c r="F2784" s="7">
        <v>2.0</v>
      </c>
      <c r="G2784" s="7" t="s">
        <v>30</v>
      </c>
      <c r="H2784" s="7" t="s">
        <v>1034</v>
      </c>
      <c r="I2784" s="7" t="s">
        <v>22</v>
      </c>
    </row>
    <row r="2785">
      <c r="A2785" s="7" t="s">
        <v>432</v>
      </c>
      <c r="B2785" s="7" t="s">
        <v>1259</v>
      </c>
      <c r="C2785" s="8">
        <f>IFERROR(__xludf.DUMMYFUNCTION("SPLIT(B2785,""RM"")"),3180000.0)</f>
        <v>3180000</v>
      </c>
      <c r="D2785" s="7" t="s">
        <v>35</v>
      </c>
      <c r="E2785" s="7">
        <v>5.0</v>
      </c>
      <c r="F2785" s="7">
        <v>3.0</v>
      </c>
      <c r="G2785" s="7" t="s">
        <v>83</v>
      </c>
      <c r="H2785" s="7" t="s">
        <v>1626</v>
      </c>
      <c r="I2785" s="7" t="s">
        <v>27</v>
      </c>
    </row>
    <row r="2786">
      <c r="A2786" s="7" t="s">
        <v>432</v>
      </c>
      <c r="B2786" s="7" t="s">
        <v>174</v>
      </c>
      <c r="C2786" s="8">
        <f>IFERROR(__xludf.DUMMYFUNCTION("SPLIT(B2786,""RM"")"),3000000.0)</f>
        <v>3000000</v>
      </c>
      <c r="D2786" s="7">
        <v>5.0</v>
      </c>
      <c r="E2786" s="7">
        <v>6.0</v>
      </c>
      <c r="F2786" s="7">
        <v>3.0</v>
      </c>
      <c r="G2786" s="7" t="s">
        <v>83</v>
      </c>
      <c r="H2786" s="7" t="s">
        <v>1628</v>
      </c>
      <c r="I2786" s="7" t="s">
        <v>22</v>
      </c>
    </row>
    <row r="2787">
      <c r="A2787" s="7" t="s">
        <v>72</v>
      </c>
      <c r="B2787" s="7" t="s">
        <v>175</v>
      </c>
      <c r="C2787" s="8">
        <f>IFERROR(__xludf.DUMMYFUNCTION("SPLIT(B2787,""RM"")"),2180000.0)</f>
        <v>2180000</v>
      </c>
      <c r="D2787" s="7" t="s">
        <v>35</v>
      </c>
      <c r="E2787" s="7">
        <v>6.0</v>
      </c>
      <c r="F2787" s="7">
        <v>2.0</v>
      </c>
      <c r="G2787" s="7" t="s">
        <v>30</v>
      </c>
      <c r="H2787" s="7" t="s">
        <v>989</v>
      </c>
      <c r="I2787" s="7" t="s">
        <v>27</v>
      </c>
    </row>
    <row r="2788">
      <c r="A2788" s="7" t="s">
        <v>89</v>
      </c>
      <c r="B2788" s="7" t="s">
        <v>279</v>
      </c>
      <c r="C2788" s="8">
        <f>IFERROR(__xludf.DUMMYFUNCTION("SPLIT(B2788,""RM"")"),1380000.0)</f>
        <v>1380000</v>
      </c>
      <c r="D2788" s="7">
        <v>5.0</v>
      </c>
      <c r="E2788" s="7">
        <v>6.0</v>
      </c>
      <c r="G2788" s="7" t="s">
        <v>90</v>
      </c>
      <c r="H2788" s="7" t="s">
        <v>344</v>
      </c>
      <c r="I2788" s="7" t="s">
        <v>27</v>
      </c>
    </row>
    <row r="2789">
      <c r="A2789" s="7" t="s">
        <v>432</v>
      </c>
      <c r="B2789" s="7" t="s">
        <v>1032</v>
      </c>
      <c r="C2789" s="8">
        <f>IFERROR(__xludf.DUMMYFUNCTION("SPLIT(B2789,""RM"")"),3880000.0)</f>
        <v>3880000</v>
      </c>
      <c r="D2789" s="7" t="s">
        <v>35</v>
      </c>
      <c r="E2789" s="7">
        <v>6.0</v>
      </c>
      <c r="F2789" s="7">
        <v>3.0</v>
      </c>
      <c r="G2789" s="7" t="s">
        <v>83</v>
      </c>
      <c r="H2789" s="7" t="s">
        <v>1626</v>
      </c>
      <c r="I2789" s="7" t="s">
        <v>22</v>
      </c>
    </row>
    <row r="2790">
      <c r="A2790" s="7" t="s">
        <v>89</v>
      </c>
      <c r="B2790" s="7" t="s">
        <v>134</v>
      </c>
      <c r="C2790" s="8">
        <f>IFERROR(__xludf.DUMMYFUNCTION("SPLIT(B2790,""RM"")"),1150000.0)</f>
        <v>1150000</v>
      </c>
      <c r="D2790" s="7">
        <v>5.0</v>
      </c>
      <c r="E2790" s="7">
        <v>4.0</v>
      </c>
      <c r="G2790" s="7" t="s">
        <v>90</v>
      </c>
      <c r="H2790" s="7" t="s">
        <v>2032</v>
      </c>
      <c r="I2790" s="7" t="s">
        <v>103</v>
      </c>
    </row>
    <row r="2791">
      <c r="A2791" s="7" t="s">
        <v>89</v>
      </c>
      <c r="B2791" s="7" t="s">
        <v>132</v>
      </c>
      <c r="C2791" s="8">
        <f>IFERROR(__xludf.DUMMYFUNCTION("SPLIT(B2791,""RM"")"),1080000.0)</f>
        <v>1080000</v>
      </c>
      <c r="D2791" s="7" t="s">
        <v>35</v>
      </c>
      <c r="E2791" s="7">
        <v>4.0</v>
      </c>
      <c r="G2791" s="7" t="s">
        <v>90</v>
      </c>
      <c r="H2791" s="7" t="s">
        <v>91</v>
      </c>
      <c r="I2791" s="7" t="s">
        <v>22</v>
      </c>
    </row>
    <row r="2792">
      <c r="A2792" s="7" t="s">
        <v>28</v>
      </c>
      <c r="B2792" s="7" t="s">
        <v>759</v>
      </c>
      <c r="C2792" s="8">
        <f>IFERROR(__xludf.DUMMYFUNCTION("SPLIT(B2792,""RM"")"),520000.0)</f>
        <v>520000</v>
      </c>
      <c r="D2792" s="7">
        <v>3.0</v>
      </c>
      <c r="E2792" s="7">
        <v>2.0</v>
      </c>
      <c r="G2792" s="7" t="s">
        <v>83</v>
      </c>
      <c r="H2792" s="7" t="s">
        <v>734</v>
      </c>
      <c r="I2792" s="7" t="s">
        <v>27</v>
      </c>
    </row>
    <row r="2793">
      <c r="A2793" s="7" t="s">
        <v>28</v>
      </c>
      <c r="B2793" s="7" t="s">
        <v>1968</v>
      </c>
      <c r="C2793" s="8">
        <f>IFERROR(__xludf.DUMMYFUNCTION("SPLIT(B2793,""RM"")"),478000.0)</f>
        <v>478000</v>
      </c>
      <c r="D2793" s="7">
        <v>3.0</v>
      </c>
      <c r="E2793" s="7">
        <v>2.0</v>
      </c>
      <c r="G2793" s="7" t="s">
        <v>93</v>
      </c>
      <c r="H2793" s="7" t="s">
        <v>734</v>
      </c>
      <c r="I2793" s="7" t="s">
        <v>27</v>
      </c>
    </row>
    <row r="2794">
      <c r="A2794" s="7" t="s">
        <v>692</v>
      </c>
      <c r="B2794" s="7" t="s">
        <v>144</v>
      </c>
      <c r="C2794" s="8">
        <f>IFERROR(__xludf.DUMMYFUNCTION("SPLIT(B2794,""RM"")"),1800000.0)</f>
        <v>1800000</v>
      </c>
      <c r="D2794" s="7" t="s">
        <v>35</v>
      </c>
      <c r="E2794" s="7">
        <v>5.0</v>
      </c>
      <c r="F2794" s="7">
        <v>2.0</v>
      </c>
      <c r="G2794" s="7" t="s">
        <v>681</v>
      </c>
      <c r="H2794" s="7" t="s">
        <v>283</v>
      </c>
      <c r="I2794" s="7" t="s">
        <v>22</v>
      </c>
    </row>
    <row r="2795">
      <c r="A2795" s="7" t="s">
        <v>692</v>
      </c>
      <c r="B2795" s="7" t="s">
        <v>144</v>
      </c>
      <c r="C2795" s="8">
        <f>IFERROR(__xludf.DUMMYFUNCTION("SPLIT(B2795,""RM"")"),1800000.0)</f>
        <v>1800000</v>
      </c>
      <c r="D2795" s="7" t="s">
        <v>35</v>
      </c>
      <c r="E2795" s="7">
        <v>5.0</v>
      </c>
      <c r="G2795" s="7" t="s">
        <v>169</v>
      </c>
      <c r="H2795" s="7" t="s">
        <v>283</v>
      </c>
      <c r="I2795" s="7" t="s">
        <v>22</v>
      </c>
    </row>
    <row r="2796">
      <c r="A2796" s="7" t="s">
        <v>692</v>
      </c>
      <c r="B2796" s="7" t="s">
        <v>144</v>
      </c>
      <c r="C2796" s="8">
        <f>IFERROR(__xludf.DUMMYFUNCTION("SPLIT(B2796,""RM"")"),1800000.0)</f>
        <v>1800000</v>
      </c>
      <c r="D2796" s="7" t="s">
        <v>35</v>
      </c>
      <c r="E2796" s="7">
        <v>4.0</v>
      </c>
      <c r="G2796" s="7" t="s">
        <v>681</v>
      </c>
      <c r="H2796" s="7" t="s">
        <v>283</v>
      </c>
      <c r="I2796" s="7" t="s">
        <v>22</v>
      </c>
    </row>
    <row r="2797">
      <c r="A2797" s="7" t="s">
        <v>89</v>
      </c>
      <c r="B2797" s="7" t="s">
        <v>2033</v>
      </c>
      <c r="C2797" s="8">
        <f>IFERROR(__xludf.DUMMYFUNCTION("SPLIT(B2797,""RM"")"),527000.0)</f>
        <v>527000</v>
      </c>
      <c r="D2797" s="7" t="s">
        <v>57</v>
      </c>
      <c r="E2797" s="7">
        <v>2.0</v>
      </c>
      <c r="F2797" s="7">
        <v>1.0</v>
      </c>
      <c r="G2797" s="7" t="s">
        <v>30</v>
      </c>
      <c r="H2797" s="7" t="s">
        <v>2034</v>
      </c>
    </row>
    <row r="2798">
      <c r="A2798" s="7" t="s">
        <v>1014</v>
      </c>
      <c r="B2798" s="7" t="s">
        <v>761</v>
      </c>
      <c r="C2798" s="8">
        <f>IFERROR(__xludf.DUMMYFUNCTION("SPLIT(B2798,""RM"")"),480000.0)</f>
        <v>480000</v>
      </c>
      <c r="D2798" s="7">
        <v>3.0</v>
      </c>
      <c r="E2798" s="7">
        <v>2.0</v>
      </c>
      <c r="F2798" s="7">
        <v>1.0</v>
      </c>
      <c r="G2798" s="7" t="s">
        <v>93</v>
      </c>
      <c r="H2798" s="7" t="s">
        <v>2035</v>
      </c>
      <c r="I2798" s="7" t="s">
        <v>27</v>
      </c>
    </row>
    <row r="2799">
      <c r="A2799" s="7" t="s">
        <v>72</v>
      </c>
      <c r="B2799" s="7" t="s">
        <v>1349</v>
      </c>
      <c r="C2799" s="8">
        <f>IFERROR(__xludf.DUMMYFUNCTION("SPLIT(B2799,""RM"")"),1220000.0)</f>
        <v>1220000</v>
      </c>
      <c r="D2799" s="7" t="s">
        <v>57</v>
      </c>
      <c r="E2799" s="7">
        <v>5.0</v>
      </c>
      <c r="G2799" s="7" t="s">
        <v>83</v>
      </c>
      <c r="H2799" s="7" t="s">
        <v>1175</v>
      </c>
      <c r="I2799" s="7" t="s">
        <v>22</v>
      </c>
    </row>
    <row r="2800">
      <c r="A2800" s="7" t="s">
        <v>358</v>
      </c>
      <c r="B2800" s="7" t="s">
        <v>18</v>
      </c>
      <c r="C2800" s="8">
        <f>IFERROR(__xludf.DUMMYFUNCTION("SPLIT(B2800,""RM"")"),1250000.0)</f>
        <v>1250000</v>
      </c>
      <c r="D2800" s="7" t="s">
        <v>57</v>
      </c>
      <c r="E2800" s="7">
        <v>3.0</v>
      </c>
      <c r="F2800" s="7">
        <v>2.0</v>
      </c>
      <c r="G2800" s="7" t="s">
        <v>30</v>
      </c>
      <c r="H2800" s="7" t="s">
        <v>2036</v>
      </c>
      <c r="I2800" s="7" t="s">
        <v>27</v>
      </c>
    </row>
    <row r="2801">
      <c r="A2801" s="7" t="s">
        <v>109</v>
      </c>
      <c r="B2801" s="7" t="s">
        <v>890</v>
      </c>
      <c r="C2801" s="8">
        <f>IFERROR(__xludf.DUMMYFUNCTION("SPLIT(B2801,""RM"")"),450000.0)</f>
        <v>450000</v>
      </c>
      <c r="D2801" s="7">
        <v>3.0</v>
      </c>
      <c r="E2801" s="7">
        <v>2.0</v>
      </c>
      <c r="F2801" s="7">
        <v>1.0</v>
      </c>
      <c r="G2801" s="7" t="s">
        <v>93</v>
      </c>
      <c r="H2801" s="7" t="s">
        <v>157</v>
      </c>
      <c r="I2801" s="7" t="s">
        <v>22</v>
      </c>
    </row>
    <row r="2802">
      <c r="A2802" s="7" t="s">
        <v>104</v>
      </c>
      <c r="B2802" s="7" t="s">
        <v>353</v>
      </c>
      <c r="C2802" s="8">
        <f>IFERROR(__xludf.DUMMYFUNCTION("SPLIT(B2802,""RM"")"),350000.0)</f>
        <v>350000</v>
      </c>
      <c r="D2802" s="7">
        <v>2.0</v>
      </c>
      <c r="E2802" s="7">
        <v>2.0</v>
      </c>
      <c r="F2802" s="7">
        <v>2.0</v>
      </c>
      <c r="G2802" s="7" t="s">
        <v>54</v>
      </c>
      <c r="H2802" s="7" t="s">
        <v>2037</v>
      </c>
      <c r="I2802" s="7" t="s">
        <v>27</v>
      </c>
    </row>
    <row r="2803">
      <c r="A2803" s="7" t="s">
        <v>17</v>
      </c>
      <c r="B2803" s="7" t="s">
        <v>18</v>
      </c>
      <c r="C2803" s="8">
        <f>IFERROR(__xludf.DUMMYFUNCTION("SPLIT(B2803,""RM"")"),1250000.0)</f>
        <v>1250000</v>
      </c>
      <c r="D2803" s="7">
        <v>1.0</v>
      </c>
      <c r="E2803" s="7">
        <v>1.0</v>
      </c>
      <c r="F2803" s="7">
        <v>1.0</v>
      </c>
      <c r="G2803" s="7" t="s">
        <v>82</v>
      </c>
      <c r="H2803" s="7" t="s">
        <v>328</v>
      </c>
      <c r="I2803" s="7" t="s">
        <v>22</v>
      </c>
    </row>
    <row r="2804">
      <c r="A2804" s="7" t="s">
        <v>48</v>
      </c>
      <c r="B2804" s="7" t="s">
        <v>134</v>
      </c>
      <c r="C2804" s="8">
        <f>IFERROR(__xludf.DUMMYFUNCTION("SPLIT(B2804,""RM"")"),1150000.0)</f>
        <v>1150000</v>
      </c>
      <c r="D2804" s="7">
        <v>4.0</v>
      </c>
      <c r="E2804" s="7">
        <v>3.0</v>
      </c>
      <c r="G2804" s="7" t="s">
        <v>54</v>
      </c>
      <c r="H2804" s="7" t="s">
        <v>911</v>
      </c>
      <c r="I2804" s="7" t="s">
        <v>22</v>
      </c>
    </row>
    <row r="2805">
      <c r="A2805" s="7" t="s">
        <v>72</v>
      </c>
      <c r="B2805" s="7" t="s">
        <v>2038</v>
      </c>
      <c r="C2805" s="8">
        <f>IFERROR(__xludf.DUMMYFUNCTION("SPLIT(B2805,""RM"")"),1510000.0)</f>
        <v>1510000</v>
      </c>
      <c r="D2805" s="7" t="s">
        <v>57</v>
      </c>
      <c r="E2805" s="7">
        <v>4.0</v>
      </c>
      <c r="G2805" s="7" t="s">
        <v>93</v>
      </c>
      <c r="H2805" s="7" t="s">
        <v>555</v>
      </c>
      <c r="I2805" s="7" t="s">
        <v>22</v>
      </c>
    </row>
    <row r="2806">
      <c r="A2806" s="7" t="s">
        <v>72</v>
      </c>
      <c r="B2806" s="7" t="s">
        <v>620</v>
      </c>
      <c r="C2806" s="8">
        <f>IFERROR(__xludf.DUMMYFUNCTION("SPLIT(B2806,""RM"")"),840000.0)</f>
        <v>840000</v>
      </c>
      <c r="D2806" s="7" t="s">
        <v>57</v>
      </c>
      <c r="E2806" s="7">
        <v>3.0</v>
      </c>
      <c r="F2806" s="7">
        <v>1.0</v>
      </c>
      <c r="G2806" s="7" t="s">
        <v>20</v>
      </c>
      <c r="H2806" s="7" t="s">
        <v>2039</v>
      </c>
    </row>
    <row r="2807">
      <c r="A2807" s="7" t="s">
        <v>72</v>
      </c>
      <c r="B2807" s="7" t="s">
        <v>489</v>
      </c>
      <c r="C2807" s="8">
        <f>IFERROR(__xludf.DUMMYFUNCTION("SPLIT(B2807,""RM"")"),1230000.0)</f>
        <v>1230000</v>
      </c>
      <c r="D2807" s="7" t="s">
        <v>57</v>
      </c>
      <c r="E2807" s="7">
        <v>3.0</v>
      </c>
      <c r="F2807" s="7">
        <v>2.0</v>
      </c>
      <c r="G2807" s="7" t="s">
        <v>83</v>
      </c>
      <c r="H2807" s="7" t="s">
        <v>99</v>
      </c>
    </row>
    <row r="2808">
      <c r="A2808" s="7" t="s">
        <v>72</v>
      </c>
      <c r="B2808" s="7" t="s">
        <v>110</v>
      </c>
      <c r="C2808" s="8">
        <f>IFERROR(__xludf.DUMMYFUNCTION("SPLIT(B2808,""RM"")"),2400000.0)</f>
        <v>2400000</v>
      </c>
      <c r="D2808" s="7" t="s">
        <v>35</v>
      </c>
      <c r="E2808" s="7">
        <v>6.0</v>
      </c>
      <c r="F2808" s="7">
        <v>3.0</v>
      </c>
      <c r="G2808" s="7" t="s">
        <v>30</v>
      </c>
      <c r="H2808" s="7" t="s">
        <v>431</v>
      </c>
      <c r="I2808" s="7" t="s">
        <v>27</v>
      </c>
    </row>
    <row r="2809">
      <c r="A2809" s="7" t="s">
        <v>72</v>
      </c>
      <c r="B2809" s="7" t="s">
        <v>712</v>
      </c>
      <c r="C2809" s="8">
        <f>IFERROR(__xludf.DUMMYFUNCTION("SPLIT(B2809,""RM"")"),1880000.0)</f>
        <v>1880000</v>
      </c>
      <c r="D2809" s="7" t="s">
        <v>57</v>
      </c>
      <c r="E2809" s="7">
        <v>5.0</v>
      </c>
      <c r="F2809" s="7">
        <v>3.0</v>
      </c>
      <c r="G2809" s="7" t="s">
        <v>83</v>
      </c>
      <c r="H2809" s="7" t="s">
        <v>561</v>
      </c>
    </row>
    <row r="2810">
      <c r="A2810" s="7" t="s">
        <v>72</v>
      </c>
      <c r="B2810" s="7" t="s">
        <v>455</v>
      </c>
      <c r="C2810" s="8">
        <f>IFERROR(__xludf.DUMMYFUNCTION("SPLIT(B2810,""RM"")"),2230000.0)</f>
        <v>2230000</v>
      </c>
      <c r="D2810" s="7" t="s">
        <v>35</v>
      </c>
      <c r="E2810" s="7">
        <v>5.0</v>
      </c>
      <c r="F2810" s="7">
        <v>3.0</v>
      </c>
      <c r="G2810" s="7" t="s">
        <v>83</v>
      </c>
      <c r="H2810" s="7" t="s">
        <v>2040</v>
      </c>
    </row>
    <row r="2811">
      <c r="A2811" s="7" t="s">
        <v>428</v>
      </c>
      <c r="B2811" s="7" t="s">
        <v>201</v>
      </c>
      <c r="C2811" s="8">
        <f>IFERROR(__xludf.DUMMYFUNCTION("SPLIT(B2811,""RM"")"),620000.0)</f>
        <v>620000</v>
      </c>
      <c r="D2811" s="7">
        <v>2.0</v>
      </c>
      <c r="E2811" s="7">
        <v>2.0</v>
      </c>
      <c r="F2811" s="7">
        <v>1.0</v>
      </c>
      <c r="G2811" s="7" t="s">
        <v>82</v>
      </c>
      <c r="H2811" s="7" t="s">
        <v>1244</v>
      </c>
      <c r="I2811" s="7" t="s">
        <v>27</v>
      </c>
    </row>
    <row r="2812">
      <c r="A2812" s="7" t="s">
        <v>72</v>
      </c>
      <c r="B2812" s="7" t="s">
        <v>2041</v>
      </c>
      <c r="C2812" s="8">
        <f>IFERROR(__xludf.DUMMYFUNCTION("SPLIT(B2812,""RM"")"),1875000.0)</f>
        <v>1875000</v>
      </c>
      <c r="D2812" s="7" t="s">
        <v>57</v>
      </c>
      <c r="E2812" s="7">
        <v>5.0</v>
      </c>
      <c r="F2812" s="7">
        <v>3.0</v>
      </c>
      <c r="G2812" s="7" t="s">
        <v>83</v>
      </c>
      <c r="H2812" s="7" t="s">
        <v>561</v>
      </c>
    </row>
    <row r="2813">
      <c r="A2813" s="7" t="s">
        <v>1241</v>
      </c>
      <c r="B2813" s="7" t="s">
        <v>139</v>
      </c>
      <c r="C2813" s="8">
        <f>IFERROR(__xludf.DUMMYFUNCTION("SPLIT(B2813,""RM"")"),780000.0)</f>
        <v>780000</v>
      </c>
      <c r="D2813" s="7">
        <v>2.0</v>
      </c>
      <c r="E2813" s="7">
        <v>2.0</v>
      </c>
      <c r="F2813" s="7">
        <v>2.0</v>
      </c>
      <c r="G2813" s="7" t="s">
        <v>20</v>
      </c>
      <c r="H2813" s="7" t="s">
        <v>237</v>
      </c>
      <c r="I2813" s="7" t="s">
        <v>22</v>
      </c>
    </row>
    <row r="2814">
      <c r="A2814" s="7" t="s">
        <v>1241</v>
      </c>
      <c r="B2814" s="7" t="s">
        <v>132</v>
      </c>
      <c r="C2814" s="8">
        <f>IFERROR(__xludf.DUMMYFUNCTION("SPLIT(B2814,""RM"")"),1080000.0)</f>
        <v>1080000</v>
      </c>
      <c r="D2814" s="7">
        <v>2.0</v>
      </c>
      <c r="E2814" s="7">
        <v>2.0</v>
      </c>
      <c r="F2814" s="7">
        <v>2.0</v>
      </c>
      <c r="G2814" s="7" t="s">
        <v>20</v>
      </c>
      <c r="H2814" s="7" t="s">
        <v>471</v>
      </c>
    </row>
    <row r="2815">
      <c r="A2815" s="7" t="s">
        <v>428</v>
      </c>
      <c r="B2815" s="7" t="s">
        <v>206</v>
      </c>
      <c r="C2815" s="8">
        <f>IFERROR(__xludf.DUMMYFUNCTION("SPLIT(B2815,""RM"")"),920000.0)</f>
        <v>920000</v>
      </c>
      <c r="D2815" s="7">
        <v>3.0</v>
      </c>
      <c r="E2815" s="7">
        <v>3.0</v>
      </c>
      <c r="F2815" s="7">
        <v>2.0</v>
      </c>
      <c r="G2815" s="7" t="s">
        <v>20</v>
      </c>
    </row>
    <row r="2816">
      <c r="A2816" s="7" t="s">
        <v>428</v>
      </c>
      <c r="B2816" s="7" t="s">
        <v>635</v>
      </c>
      <c r="C2816" s="8">
        <f>IFERROR(__xludf.DUMMYFUNCTION("SPLIT(B2816,""RM"")"),720000.0)</f>
        <v>720000</v>
      </c>
      <c r="D2816" s="7">
        <v>3.0</v>
      </c>
      <c r="E2816" s="7">
        <v>2.0</v>
      </c>
      <c r="F2816" s="7">
        <v>2.0</v>
      </c>
      <c r="G2816" s="7" t="s">
        <v>82</v>
      </c>
      <c r="H2816" s="7" t="s">
        <v>491</v>
      </c>
      <c r="I2816" s="7" t="s">
        <v>27</v>
      </c>
    </row>
    <row r="2817">
      <c r="A2817" s="7" t="s">
        <v>72</v>
      </c>
      <c r="B2817" s="7" t="s">
        <v>458</v>
      </c>
      <c r="C2817" s="8">
        <f>IFERROR(__xludf.DUMMYFUNCTION("SPLIT(B2817,""RM"")"),2930000.0)</f>
        <v>2930000</v>
      </c>
      <c r="D2817" s="7" t="s">
        <v>39</v>
      </c>
      <c r="E2817" s="7">
        <v>6.0</v>
      </c>
      <c r="F2817" s="7">
        <v>3.0</v>
      </c>
      <c r="G2817" s="7" t="s">
        <v>83</v>
      </c>
      <c r="H2817" s="7" t="s">
        <v>622</v>
      </c>
    </row>
    <row r="2818">
      <c r="A2818" s="7" t="s">
        <v>72</v>
      </c>
      <c r="B2818" s="7" t="s">
        <v>45</v>
      </c>
      <c r="C2818" s="8">
        <f>IFERROR(__xludf.DUMMYFUNCTION("SPLIT(B2818,""RM"")"),1950000.0)</f>
        <v>1950000</v>
      </c>
      <c r="D2818" s="7" t="s">
        <v>79</v>
      </c>
      <c r="E2818" s="7">
        <v>5.0</v>
      </c>
      <c r="F2818" s="7">
        <v>3.0</v>
      </c>
      <c r="G2818" s="7" t="s">
        <v>83</v>
      </c>
      <c r="H2818" s="7" t="s">
        <v>376</v>
      </c>
    </row>
    <row r="2819">
      <c r="A2819" s="7" t="s">
        <v>33</v>
      </c>
      <c r="B2819" s="7" t="s">
        <v>69</v>
      </c>
      <c r="C2819" s="8">
        <f>IFERROR(__xludf.DUMMYFUNCTION("SPLIT(B2819,""RM"")"),4500000.0)</f>
        <v>4500000</v>
      </c>
      <c r="D2819" s="7">
        <v>6.0</v>
      </c>
      <c r="E2819" s="7">
        <v>5.0</v>
      </c>
      <c r="F2819" s="7">
        <v>4.0</v>
      </c>
      <c r="G2819" s="7" t="s">
        <v>61</v>
      </c>
      <c r="H2819" s="7" t="s">
        <v>219</v>
      </c>
      <c r="I2819" s="7" t="s">
        <v>22</v>
      </c>
    </row>
    <row r="2820">
      <c r="A2820" s="7" t="s">
        <v>72</v>
      </c>
      <c r="B2820" s="7" t="s">
        <v>2042</v>
      </c>
      <c r="C2820" s="8">
        <f>IFERROR(__xludf.DUMMYFUNCTION("SPLIT(B2820,""RM"")"),2934400.0)</f>
        <v>2934400</v>
      </c>
      <c r="D2820" s="7" t="s">
        <v>35</v>
      </c>
      <c r="E2820" s="7">
        <v>5.0</v>
      </c>
      <c r="F2820" s="7">
        <v>3.0</v>
      </c>
      <c r="G2820" s="7" t="s">
        <v>83</v>
      </c>
      <c r="H2820" s="7" t="s">
        <v>994</v>
      </c>
    </row>
    <row r="2821">
      <c r="A2821" s="7" t="s">
        <v>72</v>
      </c>
      <c r="B2821" s="7" t="s">
        <v>2043</v>
      </c>
      <c r="C2821" s="8">
        <f>IFERROR(__xludf.DUMMYFUNCTION("SPLIT(B2821,""RM"")"),2653600.0)</f>
        <v>2653600</v>
      </c>
      <c r="D2821" s="7" t="s">
        <v>35</v>
      </c>
      <c r="E2821" s="7">
        <v>5.0</v>
      </c>
      <c r="F2821" s="7">
        <v>3.0</v>
      </c>
      <c r="G2821" s="7" t="s">
        <v>83</v>
      </c>
      <c r="H2821" s="7" t="s">
        <v>1230</v>
      </c>
      <c r="I2821" s="7" t="s">
        <v>27</v>
      </c>
    </row>
    <row r="2822">
      <c r="A2822" s="7" t="s">
        <v>72</v>
      </c>
      <c r="B2822" s="7" t="s">
        <v>2044</v>
      </c>
      <c r="C2822" s="8">
        <f>IFERROR(__xludf.DUMMYFUNCTION("SPLIT(B2822,""RM"")"),2928000.0)</f>
        <v>2928000</v>
      </c>
      <c r="D2822" s="7" t="s">
        <v>35</v>
      </c>
      <c r="E2822" s="7">
        <v>5.0</v>
      </c>
      <c r="F2822" s="7">
        <v>3.0</v>
      </c>
      <c r="G2822" s="7" t="s">
        <v>83</v>
      </c>
      <c r="H2822" s="7" t="s">
        <v>994</v>
      </c>
    </row>
    <row r="2823">
      <c r="A2823" s="7" t="s">
        <v>72</v>
      </c>
      <c r="B2823" s="7" t="s">
        <v>56</v>
      </c>
      <c r="C2823" s="8">
        <f>IFERROR(__xludf.DUMMYFUNCTION("SPLIT(B2823,""RM"")"),1700000.0)</f>
        <v>1700000</v>
      </c>
      <c r="D2823" s="7" t="s">
        <v>57</v>
      </c>
      <c r="E2823" s="7">
        <v>4.0</v>
      </c>
      <c r="F2823" s="7">
        <v>2.0</v>
      </c>
      <c r="G2823" s="7" t="s">
        <v>83</v>
      </c>
      <c r="H2823" s="7" t="s">
        <v>2045</v>
      </c>
    </row>
    <row r="2824">
      <c r="A2824" s="7" t="s">
        <v>72</v>
      </c>
      <c r="B2824" s="7" t="s">
        <v>2046</v>
      </c>
      <c r="C2824" s="8">
        <f>IFERROR(__xludf.DUMMYFUNCTION("SPLIT(B2824,""RM"")"),2945910.0)</f>
        <v>2945910</v>
      </c>
      <c r="D2824" s="7" t="s">
        <v>39</v>
      </c>
      <c r="E2824" s="7">
        <v>5.0</v>
      </c>
      <c r="F2824" s="7">
        <v>3.0</v>
      </c>
      <c r="G2824" s="7" t="s">
        <v>83</v>
      </c>
      <c r="H2824" s="7" t="s">
        <v>989</v>
      </c>
      <c r="I2824" s="7" t="s">
        <v>27</v>
      </c>
    </row>
    <row r="2825">
      <c r="A2825" s="7" t="s">
        <v>188</v>
      </c>
      <c r="B2825" s="7" t="s">
        <v>172</v>
      </c>
      <c r="C2825" s="8">
        <f>IFERROR(__xludf.DUMMYFUNCTION("SPLIT(B2825,""RM"")"),580000.0)</f>
        <v>580000</v>
      </c>
      <c r="D2825" s="7">
        <v>2.0</v>
      </c>
      <c r="E2825" s="7">
        <v>2.0</v>
      </c>
      <c r="F2825" s="7">
        <v>2.0</v>
      </c>
      <c r="G2825" s="7" t="s">
        <v>20</v>
      </c>
      <c r="H2825" s="7" t="s">
        <v>2047</v>
      </c>
      <c r="I2825" s="7" t="s">
        <v>22</v>
      </c>
    </row>
    <row r="2826">
      <c r="A2826" s="7" t="s">
        <v>100</v>
      </c>
      <c r="B2826" s="7" t="s">
        <v>619</v>
      </c>
      <c r="C2826" s="8">
        <f>IFERROR(__xludf.DUMMYFUNCTION("SPLIT(B2826,""RM"")"),640000.0)</f>
        <v>640000</v>
      </c>
      <c r="D2826" s="7" t="s">
        <v>57</v>
      </c>
      <c r="E2826" s="7">
        <v>2.0</v>
      </c>
      <c r="F2826" s="7">
        <v>2.0</v>
      </c>
      <c r="G2826" s="7" t="s">
        <v>93</v>
      </c>
      <c r="H2826" s="7" t="s">
        <v>954</v>
      </c>
      <c r="I2826" s="7" t="s">
        <v>27</v>
      </c>
    </row>
    <row r="2827">
      <c r="A2827" s="7" t="s">
        <v>100</v>
      </c>
      <c r="B2827" s="7" t="s">
        <v>635</v>
      </c>
      <c r="C2827" s="8">
        <f>IFERROR(__xludf.DUMMYFUNCTION("SPLIT(B2827,""RM"")"),720000.0)</f>
        <v>720000</v>
      </c>
      <c r="D2827" s="7">
        <v>4.0</v>
      </c>
      <c r="E2827" s="7">
        <v>2.0</v>
      </c>
      <c r="F2827" s="7">
        <v>2.0</v>
      </c>
      <c r="G2827" s="7" t="s">
        <v>83</v>
      </c>
      <c r="H2827" s="7" t="s">
        <v>919</v>
      </c>
      <c r="I2827" s="7" t="s">
        <v>22</v>
      </c>
    </row>
    <row r="2828">
      <c r="A2828" s="7" t="s">
        <v>428</v>
      </c>
      <c r="B2828" s="7" t="s">
        <v>316</v>
      </c>
      <c r="C2828" s="8">
        <f>IFERROR(__xludf.DUMMYFUNCTION("SPLIT(B2828,""RM"")"),820000.0)</f>
        <v>820000</v>
      </c>
      <c r="D2828" s="7">
        <v>4.0</v>
      </c>
      <c r="E2828" s="7">
        <v>3.0</v>
      </c>
      <c r="F2828" s="7">
        <v>4.0</v>
      </c>
      <c r="G2828" s="7" t="s">
        <v>184</v>
      </c>
      <c r="H2828" s="7" t="s">
        <v>1491</v>
      </c>
      <c r="I2828" s="7" t="s">
        <v>27</v>
      </c>
    </row>
    <row r="2829">
      <c r="A2829" s="7" t="s">
        <v>171</v>
      </c>
      <c r="B2829" s="7" t="s">
        <v>268</v>
      </c>
      <c r="C2829" s="8">
        <f>IFERROR(__xludf.DUMMYFUNCTION("SPLIT(B2829,""RM"")"),500000.0)</f>
        <v>500000</v>
      </c>
      <c r="D2829" s="7">
        <v>4.0</v>
      </c>
      <c r="E2829" s="7">
        <v>2.0</v>
      </c>
      <c r="F2829" s="7">
        <v>1.0</v>
      </c>
      <c r="G2829" s="7" t="s">
        <v>93</v>
      </c>
      <c r="H2829" s="7" t="s">
        <v>192</v>
      </c>
      <c r="I2829" s="7" t="s">
        <v>27</v>
      </c>
    </row>
    <row r="2830">
      <c r="A2830" s="7" t="s">
        <v>89</v>
      </c>
      <c r="B2830" s="7" t="s">
        <v>2048</v>
      </c>
      <c r="C2830" s="8">
        <f>IFERROR(__xludf.DUMMYFUNCTION("SPLIT(B2830,""RM"")"),379000.0)</f>
        <v>379000</v>
      </c>
      <c r="D2830" s="7">
        <v>2.0</v>
      </c>
      <c r="E2830" s="7">
        <v>2.0</v>
      </c>
      <c r="F2830" s="7">
        <v>1.0</v>
      </c>
      <c r="G2830" s="7" t="s">
        <v>20</v>
      </c>
      <c r="H2830" s="7" t="s">
        <v>1273</v>
      </c>
      <c r="I2830" s="7" t="s">
        <v>22</v>
      </c>
    </row>
    <row r="2831">
      <c r="A2831" s="7" t="s">
        <v>709</v>
      </c>
      <c r="B2831" s="7" t="s">
        <v>409</v>
      </c>
      <c r="C2831" s="8">
        <f>IFERROR(__xludf.DUMMYFUNCTION("SPLIT(B2831,""RM"")"),655000.0)</f>
        <v>655000</v>
      </c>
      <c r="D2831" s="7">
        <v>3.0</v>
      </c>
      <c r="E2831" s="7">
        <v>2.0</v>
      </c>
      <c r="F2831" s="7">
        <v>1.0</v>
      </c>
      <c r="G2831" s="7" t="s">
        <v>30</v>
      </c>
      <c r="H2831" s="7" t="s">
        <v>471</v>
      </c>
      <c r="I2831" s="7" t="s">
        <v>22</v>
      </c>
    </row>
    <row r="2832">
      <c r="A2832" s="7" t="s">
        <v>709</v>
      </c>
      <c r="B2832" s="7" t="s">
        <v>975</v>
      </c>
      <c r="C2832" s="8">
        <f>IFERROR(__xludf.DUMMYFUNCTION("SPLIT(B2832,""RM"")"),400000.0)</f>
        <v>400000</v>
      </c>
      <c r="D2832" s="7">
        <v>3.0</v>
      </c>
      <c r="E2832" s="7">
        <v>2.0</v>
      </c>
      <c r="F2832" s="7">
        <v>1.0</v>
      </c>
      <c r="G2832" s="7" t="s">
        <v>30</v>
      </c>
      <c r="H2832" s="7" t="s">
        <v>392</v>
      </c>
      <c r="I2832" s="7" t="s">
        <v>27</v>
      </c>
    </row>
    <row r="2833">
      <c r="A2833" s="7" t="s">
        <v>709</v>
      </c>
      <c r="B2833" s="7" t="s">
        <v>890</v>
      </c>
      <c r="C2833" s="8">
        <f>IFERROR(__xludf.DUMMYFUNCTION("SPLIT(B2833,""RM"")"),450000.0)</f>
        <v>450000</v>
      </c>
      <c r="D2833" s="7">
        <v>3.0</v>
      </c>
      <c r="E2833" s="7">
        <v>2.0</v>
      </c>
      <c r="F2833" s="7">
        <v>1.0</v>
      </c>
      <c r="G2833" s="7" t="s">
        <v>30</v>
      </c>
      <c r="H2833" s="7" t="s">
        <v>734</v>
      </c>
      <c r="I2833" s="7" t="s">
        <v>22</v>
      </c>
    </row>
    <row r="2834">
      <c r="A2834" s="7" t="s">
        <v>32</v>
      </c>
      <c r="B2834" s="7" t="s">
        <v>975</v>
      </c>
      <c r="C2834" s="8">
        <f>IFERROR(__xludf.DUMMYFUNCTION("SPLIT(B2834,""RM"")"),400000.0)</f>
        <v>400000</v>
      </c>
      <c r="D2834" s="7">
        <v>2.0</v>
      </c>
      <c r="E2834" s="7">
        <v>2.0</v>
      </c>
      <c r="F2834" s="7">
        <v>2.0</v>
      </c>
      <c r="G2834" s="7" t="s">
        <v>83</v>
      </c>
      <c r="H2834" s="7" t="s">
        <v>246</v>
      </c>
      <c r="I2834" s="7" t="s">
        <v>103</v>
      </c>
    </row>
    <row r="2835">
      <c r="A2835" s="7" t="s">
        <v>155</v>
      </c>
      <c r="B2835" s="7" t="s">
        <v>599</v>
      </c>
      <c r="C2835" s="8">
        <f>IFERROR(__xludf.DUMMYFUNCTION("SPLIT(B2835,""RM"")"),950000.0)</f>
        <v>950000</v>
      </c>
      <c r="D2835" s="7" t="s">
        <v>57</v>
      </c>
      <c r="E2835" s="7">
        <v>3.0</v>
      </c>
      <c r="F2835" s="7">
        <v>2.0</v>
      </c>
      <c r="G2835" s="7" t="s">
        <v>83</v>
      </c>
      <c r="H2835" s="7" t="s">
        <v>2049</v>
      </c>
      <c r="I2835" s="7" t="s">
        <v>22</v>
      </c>
    </row>
    <row r="2836">
      <c r="A2836" s="7" t="s">
        <v>155</v>
      </c>
      <c r="B2836" s="7" t="s">
        <v>279</v>
      </c>
      <c r="C2836" s="8">
        <f>IFERROR(__xludf.DUMMYFUNCTION("SPLIT(B2836,""RM"")"),1380000.0)</f>
        <v>1380000</v>
      </c>
      <c r="D2836" s="7" t="s">
        <v>57</v>
      </c>
      <c r="E2836" s="7">
        <v>3.0</v>
      </c>
      <c r="F2836" s="7">
        <v>2.0</v>
      </c>
      <c r="G2836" s="7" t="s">
        <v>93</v>
      </c>
      <c r="H2836" s="7" t="s">
        <v>1252</v>
      </c>
      <c r="I2836" s="7" t="s">
        <v>27</v>
      </c>
    </row>
    <row r="2837">
      <c r="A2837" s="7" t="s">
        <v>177</v>
      </c>
      <c r="B2837" s="7" t="s">
        <v>2050</v>
      </c>
      <c r="C2837" s="8">
        <f>IFERROR(__xludf.DUMMYFUNCTION("SPLIT(B2837,""RM"")"),4980000.0)</f>
        <v>4980000</v>
      </c>
      <c r="D2837" s="7" t="s">
        <v>60</v>
      </c>
      <c r="E2837" s="7">
        <v>6.0</v>
      </c>
      <c r="F2837" s="7">
        <v>4.0</v>
      </c>
      <c r="G2837" s="7" t="s">
        <v>61</v>
      </c>
      <c r="H2837" s="7" t="s">
        <v>26</v>
      </c>
    </row>
    <row r="2838">
      <c r="A2838" s="7" t="s">
        <v>33</v>
      </c>
      <c r="B2838" s="7" t="s">
        <v>677</v>
      </c>
      <c r="C2838" s="8">
        <f>IFERROR(__xludf.DUMMYFUNCTION("SPLIT(B2838,""RM"")"),535000.0)</f>
        <v>535000</v>
      </c>
      <c r="D2838" s="7">
        <v>3.0</v>
      </c>
      <c r="E2838" s="7">
        <v>3.0</v>
      </c>
      <c r="F2838" s="7">
        <v>2.0</v>
      </c>
      <c r="G2838" s="7" t="s">
        <v>30</v>
      </c>
      <c r="H2838" s="7" t="s">
        <v>1156</v>
      </c>
      <c r="I2838" s="7" t="s">
        <v>103</v>
      </c>
    </row>
    <row r="2839">
      <c r="A2839" s="7" t="s">
        <v>515</v>
      </c>
      <c r="B2839" s="7" t="s">
        <v>507</v>
      </c>
      <c r="C2839" s="8">
        <f>IFERROR(__xludf.DUMMYFUNCTION("SPLIT(B2839,""RM"")"),590000.0)</f>
        <v>590000</v>
      </c>
      <c r="D2839" s="7">
        <v>4.0</v>
      </c>
      <c r="E2839" s="7">
        <v>3.0</v>
      </c>
      <c r="F2839" s="7">
        <v>2.0</v>
      </c>
      <c r="G2839" s="7" t="s">
        <v>494</v>
      </c>
      <c r="H2839" s="7" t="s">
        <v>2051</v>
      </c>
      <c r="I2839" s="7" t="s">
        <v>27</v>
      </c>
    </row>
    <row r="2840">
      <c r="A2840" s="7" t="s">
        <v>77</v>
      </c>
      <c r="B2840" s="7" t="s">
        <v>2052</v>
      </c>
      <c r="C2840" s="8">
        <f>IFERROR(__xludf.DUMMYFUNCTION("SPLIT(B2840,""RM"")"),3230000.0)</f>
        <v>3230000</v>
      </c>
      <c r="D2840" s="7" t="s">
        <v>35</v>
      </c>
      <c r="E2840" s="7">
        <v>6.0</v>
      </c>
      <c r="F2840" s="7">
        <v>4.0</v>
      </c>
      <c r="G2840" s="7" t="s">
        <v>90</v>
      </c>
      <c r="H2840" s="7" t="s">
        <v>498</v>
      </c>
      <c r="I2840" s="7" t="s">
        <v>27</v>
      </c>
    </row>
    <row r="2841">
      <c r="A2841" s="7" t="s">
        <v>86</v>
      </c>
      <c r="B2841" s="7" t="s">
        <v>426</v>
      </c>
      <c r="C2841" s="8">
        <f>IFERROR(__xludf.DUMMYFUNCTION("SPLIT(B2841,""RM"")"),1530000.0)</f>
        <v>1530000</v>
      </c>
      <c r="D2841" s="7" t="s">
        <v>57</v>
      </c>
      <c r="E2841" s="7">
        <v>3.0</v>
      </c>
      <c r="F2841" s="7">
        <v>2.0</v>
      </c>
      <c r="G2841" s="7" t="s">
        <v>30</v>
      </c>
      <c r="H2841" s="7" t="s">
        <v>2053</v>
      </c>
      <c r="I2841" s="7" t="s">
        <v>22</v>
      </c>
    </row>
    <row r="2842">
      <c r="A2842" s="7" t="s">
        <v>28</v>
      </c>
      <c r="B2842" s="7" t="s">
        <v>599</v>
      </c>
      <c r="C2842" s="8">
        <f>IFERROR(__xludf.DUMMYFUNCTION("SPLIT(B2842,""RM"")"),950000.0)</f>
        <v>950000</v>
      </c>
      <c r="D2842" s="7" t="s">
        <v>57</v>
      </c>
      <c r="E2842" s="7">
        <v>4.0</v>
      </c>
      <c r="F2842" s="7">
        <v>2.0</v>
      </c>
      <c r="G2842" s="7" t="s">
        <v>30</v>
      </c>
      <c r="H2842" s="7" t="s">
        <v>2054</v>
      </c>
      <c r="I2842" s="7" t="s">
        <v>27</v>
      </c>
    </row>
    <row r="2843">
      <c r="A2843" s="7" t="s">
        <v>17</v>
      </c>
      <c r="B2843" s="7" t="s">
        <v>2055</v>
      </c>
      <c r="C2843" s="8">
        <f>IFERROR(__xludf.DUMMYFUNCTION("SPLIT(B2843,""RM"")"),1085000.0)</f>
        <v>1085000</v>
      </c>
      <c r="D2843" s="7">
        <v>2.0</v>
      </c>
      <c r="E2843" s="7">
        <v>2.0</v>
      </c>
      <c r="F2843" s="7">
        <v>1.0</v>
      </c>
      <c r="G2843" s="7" t="s">
        <v>30</v>
      </c>
      <c r="H2843" s="7" t="s">
        <v>1666</v>
      </c>
      <c r="I2843" s="7" t="s">
        <v>22</v>
      </c>
    </row>
    <row r="2844">
      <c r="A2844" s="7" t="s">
        <v>17</v>
      </c>
      <c r="B2844" s="7" t="s">
        <v>403</v>
      </c>
      <c r="C2844" s="8">
        <f>IFERROR(__xludf.DUMMYFUNCTION("SPLIT(B2844,""RM"")"),1600000.0)</f>
        <v>1600000</v>
      </c>
      <c r="D2844" s="7" t="s">
        <v>79</v>
      </c>
      <c r="E2844" s="7">
        <v>5.0</v>
      </c>
      <c r="F2844" s="7">
        <v>2.0</v>
      </c>
      <c r="G2844" s="7" t="s">
        <v>30</v>
      </c>
      <c r="H2844" s="7" t="s">
        <v>2056</v>
      </c>
      <c r="I2844" s="7" t="s">
        <v>22</v>
      </c>
    </row>
    <row r="2845">
      <c r="A2845" s="7" t="s">
        <v>17</v>
      </c>
      <c r="B2845" s="7" t="s">
        <v>78</v>
      </c>
      <c r="C2845" s="8">
        <f>IFERROR(__xludf.DUMMYFUNCTION("SPLIT(B2845,""RM"")"),1500000.0)</f>
        <v>1500000</v>
      </c>
      <c r="D2845" s="7" t="s">
        <v>57</v>
      </c>
      <c r="E2845" s="7">
        <v>5.0</v>
      </c>
      <c r="F2845" s="7">
        <v>2.0</v>
      </c>
      <c r="G2845" s="7" t="s">
        <v>30</v>
      </c>
      <c r="H2845" s="7" t="s">
        <v>2057</v>
      </c>
      <c r="I2845" s="7" t="s">
        <v>22</v>
      </c>
    </row>
    <row r="2846">
      <c r="A2846" s="7" t="s">
        <v>17</v>
      </c>
      <c r="B2846" s="7" t="s">
        <v>56</v>
      </c>
      <c r="C2846" s="8">
        <f>IFERROR(__xludf.DUMMYFUNCTION("SPLIT(B2846,""RM"")"),1700000.0)</f>
        <v>1700000</v>
      </c>
      <c r="D2846" s="7" t="s">
        <v>35</v>
      </c>
      <c r="E2846" s="7">
        <v>5.0</v>
      </c>
      <c r="F2846" s="7">
        <v>2.0</v>
      </c>
      <c r="G2846" s="7" t="s">
        <v>30</v>
      </c>
      <c r="H2846" s="7" t="s">
        <v>2058</v>
      </c>
      <c r="I2846" s="7" t="s">
        <v>22</v>
      </c>
    </row>
    <row r="2847">
      <c r="A2847" s="7" t="s">
        <v>188</v>
      </c>
      <c r="B2847" s="7" t="s">
        <v>191</v>
      </c>
      <c r="C2847" s="8">
        <f>IFERROR(__xludf.DUMMYFUNCTION("SPLIT(B2847,""RM"")"),1000000.0)</f>
        <v>1000000</v>
      </c>
      <c r="D2847" s="7">
        <v>2.0</v>
      </c>
      <c r="E2847" s="7">
        <v>2.0</v>
      </c>
      <c r="G2847" s="7" t="s">
        <v>121</v>
      </c>
      <c r="H2847" s="7" t="s">
        <v>1439</v>
      </c>
      <c r="I2847" s="7" t="s">
        <v>22</v>
      </c>
    </row>
    <row r="2848">
      <c r="A2848" s="7" t="s">
        <v>17</v>
      </c>
      <c r="B2848" s="7" t="s">
        <v>281</v>
      </c>
      <c r="C2848" s="8">
        <f>IFERROR(__xludf.DUMMYFUNCTION("SPLIT(B2848,""RM"")"),2500000.0)</f>
        <v>2500000</v>
      </c>
      <c r="D2848" s="7">
        <v>5.0</v>
      </c>
      <c r="E2848" s="7">
        <v>6.0</v>
      </c>
      <c r="F2848" s="7">
        <v>3.0</v>
      </c>
      <c r="G2848" s="7" t="s">
        <v>121</v>
      </c>
      <c r="H2848" s="7" t="s">
        <v>2059</v>
      </c>
      <c r="I2848" s="7" t="s">
        <v>27</v>
      </c>
    </row>
    <row r="2849">
      <c r="A2849" s="7" t="s">
        <v>65</v>
      </c>
      <c r="B2849" s="7" t="s">
        <v>277</v>
      </c>
      <c r="C2849" s="8">
        <f>IFERROR(__xludf.DUMMYFUNCTION("SPLIT(B2849,""RM"")"),2200000.0)</f>
        <v>2200000</v>
      </c>
      <c r="D2849" s="7" t="s">
        <v>57</v>
      </c>
      <c r="E2849" s="7">
        <v>5.0</v>
      </c>
      <c r="F2849" s="7">
        <v>3.0</v>
      </c>
      <c r="G2849" s="7" t="s">
        <v>30</v>
      </c>
      <c r="H2849" s="7" t="s">
        <v>2060</v>
      </c>
      <c r="I2849" s="7" t="s">
        <v>27</v>
      </c>
    </row>
    <row r="2850">
      <c r="A2850" s="7" t="s">
        <v>86</v>
      </c>
      <c r="B2850" s="7" t="s">
        <v>657</v>
      </c>
      <c r="C2850" s="8">
        <f>IFERROR(__xludf.DUMMYFUNCTION("SPLIT(B2850,""RM"")"),980000.0)</f>
        <v>980000</v>
      </c>
      <c r="D2850" s="7" t="s">
        <v>19</v>
      </c>
      <c r="E2850" s="7">
        <v>2.0</v>
      </c>
      <c r="F2850" s="7">
        <v>2.0</v>
      </c>
      <c r="G2850" s="7" t="s">
        <v>93</v>
      </c>
      <c r="H2850" s="7" t="s">
        <v>884</v>
      </c>
      <c r="I2850" s="7" t="s">
        <v>27</v>
      </c>
    </row>
    <row r="2851">
      <c r="A2851" s="7" t="s">
        <v>23</v>
      </c>
      <c r="B2851" s="7" t="s">
        <v>1551</v>
      </c>
      <c r="C2851" s="8">
        <f>IFERROR(__xludf.DUMMYFUNCTION("SPLIT(B2851,""RM"")"),399000.0)</f>
        <v>399000</v>
      </c>
      <c r="D2851" s="7" t="s">
        <v>325</v>
      </c>
      <c r="E2851" s="7">
        <v>1.0</v>
      </c>
      <c r="F2851" s="7">
        <v>1.0</v>
      </c>
      <c r="G2851" s="7" t="s">
        <v>1821</v>
      </c>
      <c r="H2851" s="7" t="s">
        <v>88</v>
      </c>
      <c r="I2851" s="7" t="s">
        <v>22</v>
      </c>
    </row>
    <row r="2852">
      <c r="A2852" s="7" t="s">
        <v>33</v>
      </c>
      <c r="B2852" s="7" t="s">
        <v>158</v>
      </c>
      <c r="C2852" s="8">
        <f>IFERROR(__xludf.DUMMYFUNCTION("SPLIT(B2852,""RM"")"),1850000.0)</f>
        <v>1850000</v>
      </c>
      <c r="D2852" s="7">
        <v>7.0</v>
      </c>
      <c r="E2852" s="7">
        <v>4.0</v>
      </c>
      <c r="G2852" s="7" t="s">
        <v>562</v>
      </c>
      <c r="H2852" s="7" t="s">
        <v>2061</v>
      </c>
      <c r="I2852" s="7" t="s">
        <v>22</v>
      </c>
    </row>
    <row r="2853">
      <c r="A2853" s="7" t="s">
        <v>32</v>
      </c>
      <c r="B2853" s="7" t="s">
        <v>49</v>
      </c>
      <c r="C2853" s="8">
        <f>IFERROR(__xludf.DUMMYFUNCTION("SPLIT(B2853,""RM"")"),385000.0)</f>
        <v>385000</v>
      </c>
      <c r="D2853" s="7">
        <v>3.0</v>
      </c>
      <c r="E2853" s="7">
        <v>2.0</v>
      </c>
      <c r="F2853" s="7">
        <v>1.0</v>
      </c>
      <c r="G2853" s="7" t="s">
        <v>93</v>
      </c>
      <c r="H2853" s="7" t="s">
        <v>948</v>
      </c>
      <c r="I2853" s="7" t="s">
        <v>22</v>
      </c>
    </row>
    <row r="2854">
      <c r="A2854" s="7" t="s">
        <v>171</v>
      </c>
      <c r="B2854" s="7" t="s">
        <v>1426</v>
      </c>
      <c r="C2854" s="8">
        <f>IFERROR(__xludf.DUMMYFUNCTION("SPLIT(B2854,""RM"")"),298000.0)</f>
        <v>298000</v>
      </c>
      <c r="D2854" s="7">
        <v>3.0</v>
      </c>
      <c r="E2854" s="7">
        <v>2.0</v>
      </c>
      <c r="F2854" s="7">
        <v>1.0</v>
      </c>
      <c r="G2854" s="7" t="s">
        <v>30</v>
      </c>
      <c r="H2854" s="7" t="s">
        <v>1449</v>
      </c>
      <c r="I2854" s="7" t="s">
        <v>27</v>
      </c>
    </row>
    <row r="2855">
      <c r="A2855" s="7" t="s">
        <v>155</v>
      </c>
      <c r="B2855" s="7" t="s">
        <v>520</v>
      </c>
      <c r="C2855" s="8">
        <f>IFERROR(__xludf.DUMMYFUNCTION("SPLIT(B2855,""RM"")"),320000.0)</f>
        <v>320000</v>
      </c>
      <c r="D2855" s="7">
        <v>3.0</v>
      </c>
      <c r="E2855" s="7">
        <v>2.0</v>
      </c>
      <c r="F2855" s="7">
        <v>1.0</v>
      </c>
      <c r="G2855" s="7" t="s">
        <v>83</v>
      </c>
      <c r="H2855" s="7" t="s">
        <v>2062</v>
      </c>
      <c r="I2855" s="7" t="s">
        <v>27</v>
      </c>
    </row>
    <row r="2856">
      <c r="A2856" s="7" t="s">
        <v>33</v>
      </c>
      <c r="B2856" s="7" t="s">
        <v>918</v>
      </c>
      <c r="C2856" s="8">
        <f>IFERROR(__xludf.DUMMYFUNCTION("SPLIT(B2856,""RM"")"),738000.0)</f>
        <v>738000</v>
      </c>
      <c r="D2856" s="7" t="s">
        <v>57</v>
      </c>
      <c r="E2856" s="7">
        <v>3.0</v>
      </c>
      <c r="F2856" s="7">
        <v>2.0</v>
      </c>
      <c r="G2856" s="7" t="s">
        <v>83</v>
      </c>
      <c r="H2856" s="7" t="s">
        <v>1274</v>
      </c>
      <c r="I2856" s="7" t="s">
        <v>22</v>
      </c>
    </row>
    <row r="2857">
      <c r="A2857" s="7" t="s">
        <v>148</v>
      </c>
      <c r="B2857" s="7" t="s">
        <v>1328</v>
      </c>
      <c r="C2857" s="8">
        <f>IFERROR(__xludf.DUMMYFUNCTION("SPLIT(B2857,""RM"")"),650000.0)</f>
        <v>650000</v>
      </c>
      <c r="D2857" s="7">
        <v>4.0</v>
      </c>
      <c r="E2857" s="7">
        <v>3.0</v>
      </c>
      <c r="G2857" s="7" t="s">
        <v>169</v>
      </c>
      <c r="H2857" s="7" t="s">
        <v>2063</v>
      </c>
      <c r="I2857" s="7" t="s">
        <v>27</v>
      </c>
    </row>
    <row r="2858">
      <c r="A2858" s="7" t="s">
        <v>180</v>
      </c>
      <c r="B2858" s="7" t="s">
        <v>1678</v>
      </c>
      <c r="C2858" s="8">
        <f>IFERROR(__xludf.DUMMYFUNCTION("SPLIT(B2858,""RM"")"),799000.0)</f>
        <v>799000</v>
      </c>
      <c r="D2858" s="7" t="s">
        <v>57</v>
      </c>
      <c r="E2858" s="7">
        <v>3.0</v>
      </c>
      <c r="F2858" s="7">
        <v>2.0</v>
      </c>
      <c r="G2858" s="7" t="s">
        <v>83</v>
      </c>
      <c r="H2858" s="7" t="s">
        <v>2064</v>
      </c>
      <c r="I2858" s="7" t="s">
        <v>22</v>
      </c>
    </row>
    <row r="2859">
      <c r="A2859" s="7" t="s">
        <v>100</v>
      </c>
      <c r="B2859" s="7" t="s">
        <v>172</v>
      </c>
      <c r="C2859" s="8">
        <f>IFERROR(__xludf.DUMMYFUNCTION("SPLIT(B2859,""RM"")"),580000.0)</f>
        <v>580000</v>
      </c>
      <c r="D2859" s="7" t="s">
        <v>57</v>
      </c>
      <c r="E2859" s="7">
        <v>4.0</v>
      </c>
      <c r="F2859" s="7">
        <v>1.0</v>
      </c>
      <c r="G2859" s="7" t="s">
        <v>93</v>
      </c>
      <c r="H2859" s="7" t="s">
        <v>2065</v>
      </c>
      <c r="I2859" s="7" t="s">
        <v>27</v>
      </c>
    </row>
    <row r="2860">
      <c r="A2860" s="7" t="s">
        <v>65</v>
      </c>
      <c r="B2860" s="7" t="s">
        <v>144</v>
      </c>
      <c r="C2860" s="8">
        <f>IFERROR(__xludf.DUMMYFUNCTION("SPLIT(B2860,""RM"")"),1800000.0)</f>
        <v>1800000</v>
      </c>
      <c r="D2860" s="7" t="s">
        <v>79</v>
      </c>
      <c r="E2860" s="7">
        <v>5.0</v>
      </c>
      <c r="F2860" s="7">
        <v>4.0</v>
      </c>
      <c r="G2860" s="7" t="s">
        <v>83</v>
      </c>
      <c r="H2860" s="7" t="s">
        <v>400</v>
      </c>
      <c r="I2860" s="7" t="s">
        <v>27</v>
      </c>
    </row>
    <row r="2861">
      <c r="A2861" s="7" t="s">
        <v>17</v>
      </c>
      <c r="B2861" s="7" t="s">
        <v>349</v>
      </c>
      <c r="C2861" s="8">
        <f>IFERROR(__xludf.DUMMYFUNCTION("SPLIT(B2861,""RM"")"),1400000.0)</f>
        <v>1400000</v>
      </c>
      <c r="D2861" s="7">
        <v>2.0</v>
      </c>
      <c r="E2861" s="7">
        <v>2.0</v>
      </c>
      <c r="F2861" s="7">
        <v>1.0</v>
      </c>
      <c r="G2861" s="7" t="s">
        <v>20</v>
      </c>
      <c r="H2861" s="7" t="s">
        <v>1243</v>
      </c>
      <c r="I2861" s="7" t="s">
        <v>22</v>
      </c>
    </row>
    <row r="2862">
      <c r="A2862" s="7" t="s">
        <v>17</v>
      </c>
      <c r="B2862" s="7" t="s">
        <v>132</v>
      </c>
      <c r="C2862" s="8">
        <f>IFERROR(__xludf.DUMMYFUNCTION("SPLIT(B2862,""RM"")"),1080000.0)</f>
        <v>1080000</v>
      </c>
      <c r="D2862" s="7">
        <v>1.0</v>
      </c>
      <c r="E2862" s="7">
        <v>1.0</v>
      </c>
      <c r="F2862" s="7">
        <v>1.0</v>
      </c>
      <c r="G2862" s="7" t="s">
        <v>20</v>
      </c>
      <c r="H2862" s="7" t="s">
        <v>756</v>
      </c>
    </row>
    <row r="2863">
      <c r="A2863" s="7" t="s">
        <v>17</v>
      </c>
      <c r="B2863" s="7" t="s">
        <v>349</v>
      </c>
      <c r="C2863" s="8">
        <f>IFERROR(__xludf.DUMMYFUNCTION("SPLIT(B2863,""RM"")"),1400000.0)</f>
        <v>1400000</v>
      </c>
      <c r="D2863" s="7">
        <v>1.0</v>
      </c>
      <c r="E2863" s="7">
        <v>1.0</v>
      </c>
      <c r="G2863" s="7" t="s">
        <v>121</v>
      </c>
      <c r="H2863" s="7" t="s">
        <v>328</v>
      </c>
      <c r="I2863" s="7" t="s">
        <v>22</v>
      </c>
    </row>
    <row r="2864">
      <c r="A2864" s="7" t="s">
        <v>32</v>
      </c>
      <c r="B2864" s="7" t="s">
        <v>599</v>
      </c>
      <c r="C2864" s="8">
        <f>IFERROR(__xludf.DUMMYFUNCTION("SPLIT(B2864,""RM"")"),950000.0)</f>
        <v>950000</v>
      </c>
      <c r="D2864" s="7">
        <v>5.0</v>
      </c>
      <c r="E2864" s="7">
        <v>3.0</v>
      </c>
      <c r="F2864" s="7">
        <v>2.0</v>
      </c>
      <c r="G2864" s="7" t="s">
        <v>169</v>
      </c>
      <c r="H2864" s="7" t="s">
        <v>2066</v>
      </c>
      <c r="I2864" s="7" t="s">
        <v>27</v>
      </c>
    </row>
    <row r="2865">
      <c r="A2865" s="7" t="s">
        <v>17</v>
      </c>
      <c r="B2865" s="7" t="s">
        <v>53</v>
      </c>
      <c r="C2865" s="8">
        <f>IFERROR(__xludf.DUMMYFUNCTION("SPLIT(B2865,""RM"")"),1680000.0)</f>
        <v>1680000</v>
      </c>
      <c r="D2865" s="7">
        <v>2.0</v>
      </c>
      <c r="E2865" s="7">
        <v>2.0</v>
      </c>
      <c r="G2865" s="7" t="s">
        <v>20</v>
      </c>
      <c r="H2865" s="7" t="s">
        <v>1687</v>
      </c>
      <c r="I2865" s="7" t="s">
        <v>22</v>
      </c>
    </row>
    <row r="2866">
      <c r="A2866" s="7" t="s">
        <v>17</v>
      </c>
      <c r="B2866" s="7" t="s">
        <v>53</v>
      </c>
      <c r="C2866" s="8">
        <f>IFERROR(__xludf.DUMMYFUNCTION("SPLIT(B2866,""RM"")"),1680000.0)</f>
        <v>1680000</v>
      </c>
      <c r="D2866" s="7">
        <v>2.0</v>
      </c>
      <c r="E2866" s="7">
        <v>2.0</v>
      </c>
      <c r="G2866" s="7" t="s">
        <v>20</v>
      </c>
      <c r="H2866" s="7" t="s">
        <v>1687</v>
      </c>
      <c r="I2866" s="7" t="s">
        <v>22</v>
      </c>
    </row>
    <row r="2867">
      <c r="A2867" s="7" t="s">
        <v>72</v>
      </c>
      <c r="B2867" s="7" t="s">
        <v>647</v>
      </c>
      <c r="C2867" s="8">
        <f>IFERROR(__xludf.DUMMYFUNCTION("SPLIT(B2867,""RM"")"),1760000.0)</f>
        <v>1760000</v>
      </c>
      <c r="D2867" s="7" t="s">
        <v>57</v>
      </c>
      <c r="E2867" s="7">
        <v>4.0</v>
      </c>
      <c r="G2867" s="7" t="s">
        <v>83</v>
      </c>
      <c r="H2867" s="7" t="s">
        <v>334</v>
      </c>
      <c r="I2867" s="7" t="s">
        <v>27</v>
      </c>
    </row>
    <row r="2868">
      <c r="A2868" s="7" t="s">
        <v>72</v>
      </c>
      <c r="B2868" s="7" t="s">
        <v>2067</v>
      </c>
      <c r="C2868" s="8">
        <f>IFERROR(__xludf.DUMMYFUNCTION("SPLIT(B2868,""RM"")"),2196000.0)</f>
        <v>2196000</v>
      </c>
      <c r="D2868" s="7" t="s">
        <v>57</v>
      </c>
      <c r="E2868" s="7">
        <v>3.0</v>
      </c>
      <c r="G2868" s="7" t="s">
        <v>83</v>
      </c>
      <c r="H2868" s="7" t="s">
        <v>74</v>
      </c>
      <c r="I2868" s="7" t="s">
        <v>27</v>
      </c>
    </row>
    <row r="2869">
      <c r="A2869" s="7" t="s">
        <v>72</v>
      </c>
      <c r="B2869" s="7" t="s">
        <v>125</v>
      </c>
      <c r="C2869" s="8">
        <f>IFERROR(__xludf.DUMMYFUNCTION("SPLIT(B2869,""RM"")"),2300000.0)</f>
        <v>2300000</v>
      </c>
      <c r="D2869" s="7" t="s">
        <v>35</v>
      </c>
      <c r="E2869" s="7">
        <v>4.0</v>
      </c>
      <c r="F2869" s="7">
        <v>4.0</v>
      </c>
      <c r="G2869" s="7" t="s">
        <v>83</v>
      </c>
      <c r="H2869" s="7" t="s">
        <v>176</v>
      </c>
      <c r="I2869" s="7" t="s">
        <v>22</v>
      </c>
    </row>
    <row r="2870">
      <c r="A2870" s="7" t="s">
        <v>72</v>
      </c>
      <c r="B2870" s="7" t="s">
        <v>411</v>
      </c>
      <c r="C2870" s="8">
        <f>IFERROR(__xludf.DUMMYFUNCTION("SPLIT(B2870,""RM"")"),2150000.0)</f>
        <v>2150000</v>
      </c>
      <c r="D2870" s="7" t="s">
        <v>57</v>
      </c>
      <c r="E2870" s="7">
        <v>4.0</v>
      </c>
      <c r="F2870" s="7">
        <v>4.0</v>
      </c>
      <c r="G2870" s="7" t="s">
        <v>83</v>
      </c>
      <c r="H2870" s="7" t="s">
        <v>561</v>
      </c>
      <c r="I2870" s="7" t="s">
        <v>22</v>
      </c>
    </row>
    <row r="2871">
      <c r="A2871" s="7" t="s">
        <v>608</v>
      </c>
      <c r="B2871" s="7" t="s">
        <v>649</v>
      </c>
      <c r="C2871" s="8">
        <f>IFERROR(__xludf.DUMMYFUNCTION("SPLIT(B2871,""RM"")"),1020000.0)</f>
        <v>1020000</v>
      </c>
      <c r="D2871" s="7" t="s">
        <v>197</v>
      </c>
      <c r="E2871" s="7">
        <v>1.0</v>
      </c>
      <c r="F2871" s="7">
        <v>1.0</v>
      </c>
      <c r="G2871" s="7" t="s">
        <v>93</v>
      </c>
      <c r="H2871" s="7" t="s">
        <v>198</v>
      </c>
      <c r="I2871" s="7" t="s">
        <v>27</v>
      </c>
    </row>
    <row r="2872">
      <c r="A2872" s="7" t="s">
        <v>608</v>
      </c>
      <c r="B2872" s="7" t="s">
        <v>329</v>
      </c>
      <c r="C2872" s="8">
        <f>IFERROR(__xludf.DUMMYFUNCTION("SPLIT(B2872,""RM"")"),1200000.0)</f>
        <v>1200000</v>
      </c>
      <c r="D2872" s="7">
        <v>2.0</v>
      </c>
      <c r="E2872" s="7">
        <v>2.0</v>
      </c>
      <c r="G2872" s="7" t="s">
        <v>93</v>
      </c>
      <c r="H2872" s="7" t="s">
        <v>1188</v>
      </c>
      <c r="I2872" s="7" t="s">
        <v>27</v>
      </c>
    </row>
    <row r="2873">
      <c r="A2873" s="7" t="s">
        <v>32</v>
      </c>
      <c r="B2873" s="7" t="s">
        <v>1258</v>
      </c>
      <c r="C2873" s="8">
        <f>IFERROR(__xludf.DUMMYFUNCTION("SPLIT(B2873,""RM"")"),465000.0)</f>
        <v>465000</v>
      </c>
      <c r="D2873" s="7" t="s">
        <v>57</v>
      </c>
      <c r="E2873" s="7">
        <v>2.0</v>
      </c>
      <c r="F2873" s="7">
        <v>2.0</v>
      </c>
      <c r="G2873" s="7" t="s">
        <v>83</v>
      </c>
      <c r="H2873" s="7" t="s">
        <v>1677</v>
      </c>
    </row>
    <row r="2874">
      <c r="A2874" s="7" t="s">
        <v>241</v>
      </c>
      <c r="B2874" s="7" t="s">
        <v>245</v>
      </c>
      <c r="C2874" s="8">
        <f>IFERROR(__xludf.DUMMYFUNCTION("SPLIT(B2874,""RM"")"),800000.0)</f>
        <v>800000</v>
      </c>
      <c r="D2874" s="7">
        <v>3.0</v>
      </c>
      <c r="E2874" s="7">
        <v>4.0</v>
      </c>
      <c r="F2874" s="7">
        <v>2.0</v>
      </c>
      <c r="G2874" s="7" t="s">
        <v>30</v>
      </c>
      <c r="H2874" s="7" t="s">
        <v>473</v>
      </c>
      <c r="I2874" s="7" t="s">
        <v>27</v>
      </c>
    </row>
    <row r="2875">
      <c r="A2875" s="7" t="s">
        <v>241</v>
      </c>
      <c r="B2875" s="7" t="s">
        <v>381</v>
      </c>
      <c r="C2875" s="8">
        <f>IFERROR(__xludf.DUMMYFUNCTION("SPLIT(B2875,""RM"")"),960000.0)</f>
        <v>960000</v>
      </c>
      <c r="D2875" s="7" t="s">
        <v>57</v>
      </c>
      <c r="E2875" s="7">
        <v>4.0</v>
      </c>
      <c r="F2875" s="7">
        <v>2.0</v>
      </c>
      <c r="G2875" s="7" t="s">
        <v>30</v>
      </c>
      <c r="H2875" s="7" t="s">
        <v>2068</v>
      </c>
      <c r="I2875" s="7" t="s">
        <v>22</v>
      </c>
    </row>
    <row r="2876">
      <c r="A2876" s="7" t="s">
        <v>171</v>
      </c>
      <c r="B2876" s="7" t="s">
        <v>107</v>
      </c>
      <c r="C2876" s="8">
        <f>IFERROR(__xludf.DUMMYFUNCTION("SPLIT(B2876,""RM"")"),460000.0)</f>
        <v>460000</v>
      </c>
      <c r="D2876" s="7">
        <v>3.0</v>
      </c>
      <c r="E2876" s="7">
        <v>2.0</v>
      </c>
      <c r="F2876" s="7">
        <v>1.0</v>
      </c>
      <c r="G2876" s="7" t="s">
        <v>96</v>
      </c>
      <c r="H2876" s="7" t="s">
        <v>952</v>
      </c>
      <c r="I2876" s="7" t="s">
        <v>27</v>
      </c>
    </row>
    <row r="2877">
      <c r="A2877" s="7" t="s">
        <v>65</v>
      </c>
      <c r="B2877" s="7" t="s">
        <v>881</v>
      </c>
      <c r="C2877" s="8">
        <f>IFERROR(__xludf.DUMMYFUNCTION("SPLIT(B2877,""RM"")"),5400000.0)</f>
        <v>5400000</v>
      </c>
      <c r="D2877" s="7" t="s">
        <v>39</v>
      </c>
      <c r="E2877" s="7">
        <v>5.0</v>
      </c>
      <c r="F2877" s="7">
        <v>6.0</v>
      </c>
      <c r="G2877" s="7" t="s">
        <v>25</v>
      </c>
      <c r="H2877" s="7" t="s">
        <v>2069</v>
      </c>
    </row>
    <row r="2878">
      <c r="A2878" s="7" t="s">
        <v>17</v>
      </c>
      <c r="B2878" s="7" t="s">
        <v>277</v>
      </c>
      <c r="C2878" s="8">
        <f>IFERROR(__xludf.DUMMYFUNCTION("SPLIT(B2878,""RM"")"),2200000.0)</f>
        <v>2200000</v>
      </c>
      <c r="D2878" s="7" t="s">
        <v>35</v>
      </c>
      <c r="E2878" s="7">
        <v>5.0</v>
      </c>
      <c r="G2878" s="7" t="s">
        <v>83</v>
      </c>
      <c r="H2878" s="7" t="s">
        <v>295</v>
      </c>
    </row>
    <row r="2879">
      <c r="A2879" s="7" t="s">
        <v>41</v>
      </c>
      <c r="B2879" s="7" t="s">
        <v>2070</v>
      </c>
      <c r="C2879" s="8">
        <f>IFERROR(__xludf.DUMMYFUNCTION("SPLIT(B2879,""RM"")"),5490000.0)</f>
        <v>5490000</v>
      </c>
      <c r="D2879" s="7" t="s">
        <v>60</v>
      </c>
      <c r="E2879" s="7">
        <v>5.0</v>
      </c>
      <c r="G2879" s="7" t="s">
        <v>25</v>
      </c>
      <c r="H2879" s="7" t="s">
        <v>2071</v>
      </c>
      <c r="I2879" s="7" t="s">
        <v>27</v>
      </c>
    </row>
    <row r="2880">
      <c r="A2880" s="7" t="s">
        <v>104</v>
      </c>
      <c r="B2880" s="7" t="s">
        <v>1543</v>
      </c>
      <c r="C2880" s="8">
        <f>IFERROR(__xludf.DUMMYFUNCTION("SPLIT(B2880,""RM"")"),918000.0)</f>
        <v>918000</v>
      </c>
      <c r="D2880" s="7">
        <v>4.0</v>
      </c>
      <c r="E2880" s="7">
        <v>3.0</v>
      </c>
      <c r="F2880" s="7">
        <v>2.0</v>
      </c>
      <c r="G2880" s="7" t="s">
        <v>54</v>
      </c>
      <c r="H2880" s="7" t="s">
        <v>1119</v>
      </c>
      <c r="I2880" s="7" t="s">
        <v>27</v>
      </c>
    </row>
    <row r="2881">
      <c r="A2881" s="7" t="s">
        <v>72</v>
      </c>
      <c r="B2881" s="7" t="s">
        <v>311</v>
      </c>
      <c r="C2881" s="8">
        <f>IFERROR(__xludf.DUMMYFUNCTION("SPLIT(B2881,""RM"")"),1100000.0)</f>
        <v>1100000</v>
      </c>
      <c r="D2881" s="7" t="s">
        <v>57</v>
      </c>
      <c r="E2881" s="7">
        <v>4.0</v>
      </c>
      <c r="F2881" s="7">
        <v>2.0</v>
      </c>
      <c r="G2881" s="7" t="s">
        <v>83</v>
      </c>
      <c r="H2881" s="7" t="s">
        <v>2072</v>
      </c>
    </row>
    <row r="2882">
      <c r="A2882" s="7" t="s">
        <v>171</v>
      </c>
      <c r="B2882" s="7" t="s">
        <v>1111</v>
      </c>
      <c r="C2882" s="8">
        <f>IFERROR(__xludf.DUMMYFUNCTION("SPLIT(B2882,""RM"")"),390000.0)</f>
        <v>390000</v>
      </c>
      <c r="D2882" s="7">
        <v>3.0</v>
      </c>
      <c r="E2882" s="7">
        <v>2.0</v>
      </c>
      <c r="G2882" s="7" t="s">
        <v>203</v>
      </c>
      <c r="H2882" s="7" t="s">
        <v>2073</v>
      </c>
    </row>
    <row r="2883">
      <c r="A2883" s="7" t="s">
        <v>72</v>
      </c>
      <c r="B2883" s="7" t="s">
        <v>658</v>
      </c>
      <c r="C2883" s="8">
        <f>IFERROR(__xludf.DUMMYFUNCTION("SPLIT(B2883,""RM"")"),2650000.0)</f>
        <v>2650000</v>
      </c>
      <c r="D2883" s="7" t="s">
        <v>35</v>
      </c>
      <c r="E2883" s="7">
        <v>5.0</v>
      </c>
      <c r="F2883" s="7">
        <v>3.0</v>
      </c>
      <c r="G2883" s="7" t="s">
        <v>30</v>
      </c>
      <c r="H2883" s="7" t="s">
        <v>1284</v>
      </c>
      <c r="I2883" s="7" t="s">
        <v>27</v>
      </c>
    </row>
    <row r="2884">
      <c r="A2884" s="7" t="s">
        <v>72</v>
      </c>
      <c r="B2884" s="7" t="s">
        <v>243</v>
      </c>
      <c r="C2884" s="8">
        <f>IFERROR(__xludf.DUMMYFUNCTION("SPLIT(B2884,""RM"")"),1350000.0)</f>
        <v>1350000</v>
      </c>
      <c r="D2884" s="7">
        <v>3.0</v>
      </c>
      <c r="E2884" s="7">
        <v>2.0</v>
      </c>
      <c r="F2884" s="7">
        <v>2.0</v>
      </c>
      <c r="G2884" s="7" t="s">
        <v>83</v>
      </c>
      <c r="H2884" s="7" t="s">
        <v>135</v>
      </c>
      <c r="I2884" s="7" t="s">
        <v>27</v>
      </c>
    </row>
    <row r="2885">
      <c r="A2885" s="7" t="s">
        <v>89</v>
      </c>
      <c r="B2885" s="7" t="s">
        <v>759</v>
      </c>
      <c r="C2885" s="8">
        <f>IFERROR(__xludf.DUMMYFUNCTION("SPLIT(B2885,""RM"")"),520000.0)</f>
        <v>520000</v>
      </c>
      <c r="D2885" s="7">
        <v>3.0</v>
      </c>
      <c r="E2885" s="7">
        <v>2.0</v>
      </c>
      <c r="F2885" s="7">
        <v>1.0</v>
      </c>
      <c r="G2885" s="7" t="s">
        <v>30</v>
      </c>
      <c r="H2885" s="7" t="s">
        <v>1532</v>
      </c>
      <c r="I2885" s="7" t="s">
        <v>27</v>
      </c>
    </row>
    <row r="2886">
      <c r="A2886" s="7" t="s">
        <v>17</v>
      </c>
      <c r="B2886" s="7" t="s">
        <v>268</v>
      </c>
      <c r="C2886" s="8">
        <f>IFERROR(__xludf.DUMMYFUNCTION("SPLIT(B2886,""RM"")"),500000.0)</f>
        <v>500000</v>
      </c>
      <c r="D2886" s="7" t="s">
        <v>325</v>
      </c>
      <c r="E2886" s="7">
        <v>1.0</v>
      </c>
      <c r="G2886" s="7" t="s">
        <v>1821</v>
      </c>
      <c r="H2886" s="7" t="s">
        <v>980</v>
      </c>
      <c r="I2886" s="7" t="s">
        <v>22</v>
      </c>
    </row>
    <row r="2887">
      <c r="A2887" s="7" t="s">
        <v>33</v>
      </c>
      <c r="B2887" s="7" t="s">
        <v>132</v>
      </c>
      <c r="C2887" s="8">
        <f>IFERROR(__xludf.DUMMYFUNCTION("SPLIT(B2887,""RM"")"),1080000.0)</f>
        <v>1080000</v>
      </c>
      <c r="D2887" s="7">
        <v>3.0</v>
      </c>
      <c r="E2887" s="7">
        <v>3.0</v>
      </c>
      <c r="F2887" s="7">
        <v>2.0</v>
      </c>
      <c r="G2887" s="7" t="s">
        <v>145</v>
      </c>
      <c r="H2887" s="7" t="s">
        <v>2074</v>
      </c>
      <c r="I2887" s="7" t="s">
        <v>27</v>
      </c>
    </row>
    <row r="2888">
      <c r="A2888" s="7" t="s">
        <v>188</v>
      </c>
      <c r="B2888" s="7" t="s">
        <v>29</v>
      </c>
      <c r="C2888" s="8">
        <f>IFERROR(__xludf.DUMMYFUNCTION("SPLIT(B2888,""RM"")"),1030000.0)</f>
        <v>1030000</v>
      </c>
      <c r="D2888" s="7">
        <v>3.0</v>
      </c>
      <c r="E2888" s="7">
        <v>3.0</v>
      </c>
      <c r="F2888" s="7">
        <v>1.0</v>
      </c>
      <c r="G2888" s="7" t="s">
        <v>82</v>
      </c>
      <c r="H2888" s="7" t="s">
        <v>2075</v>
      </c>
      <c r="I2888" s="7" t="s">
        <v>22</v>
      </c>
    </row>
    <row r="2889">
      <c r="A2889" s="7" t="s">
        <v>23</v>
      </c>
      <c r="B2889" s="7" t="s">
        <v>270</v>
      </c>
      <c r="C2889" s="8">
        <f>IFERROR(__xludf.DUMMYFUNCTION("SPLIT(B2889,""RM"")"),1.38E7)</f>
        <v>13800000</v>
      </c>
      <c r="D2889" s="7" t="s">
        <v>70</v>
      </c>
      <c r="E2889" s="7">
        <v>7.0</v>
      </c>
      <c r="G2889" s="7" t="s">
        <v>25</v>
      </c>
      <c r="H2889" s="7" t="s">
        <v>1621</v>
      </c>
      <c r="I2889" s="7" t="s">
        <v>27</v>
      </c>
    </row>
    <row r="2890">
      <c r="A2890" s="7" t="s">
        <v>48</v>
      </c>
      <c r="B2890" s="7" t="s">
        <v>691</v>
      </c>
      <c r="C2890" s="8">
        <f>IFERROR(__xludf.DUMMYFUNCTION("SPLIT(B2890,""RM"")"),370000.0)</f>
        <v>370000</v>
      </c>
      <c r="D2890" s="7">
        <v>2.0</v>
      </c>
      <c r="E2890" s="7">
        <v>2.0</v>
      </c>
      <c r="F2890" s="7">
        <v>1.0</v>
      </c>
      <c r="G2890" s="7" t="s">
        <v>169</v>
      </c>
      <c r="H2890" s="7" t="s">
        <v>2076</v>
      </c>
      <c r="I2890" s="7" t="s">
        <v>27</v>
      </c>
    </row>
    <row r="2891">
      <c r="A2891" s="7" t="s">
        <v>709</v>
      </c>
      <c r="B2891" s="7" t="s">
        <v>1721</v>
      </c>
      <c r="C2891" s="8">
        <f>IFERROR(__xludf.DUMMYFUNCTION("SPLIT(B2891,""RM"")"),4100000.0)</f>
        <v>4100000</v>
      </c>
      <c r="D2891" s="7">
        <v>5.0</v>
      </c>
      <c r="E2891" s="7">
        <v>5.0</v>
      </c>
      <c r="G2891" s="7" t="s">
        <v>25</v>
      </c>
      <c r="H2891" s="7" t="s">
        <v>2077</v>
      </c>
    </row>
    <row r="2892">
      <c r="A2892" s="7" t="s">
        <v>72</v>
      </c>
      <c r="B2892" s="7" t="s">
        <v>1452</v>
      </c>
      <c r="C2892" s="8">
        <f>IFERROR(__xludf.DUMMYFUNCTION("SPLIT(B2892,""RM"")"),4030000.0)</f>
        <v>4030000</v>
      </c>
      <c r="G2892" s="7" t="s">
        <v>1204</v>
      </c>
      <c r="H2892" s="7" t="s">
        <v>2078</v>
      </c>
    </row>
    <row r="2893">
      <c r="A2893" s="7" t="s">
        <v>72</v>
      </c>
      <c r="B2893" s="7" t="s">
        <v>174</v>
      </c>
      <c r="C2893" s="8">
        <f>IFERROR(__xludf.DUMMYFUNCTION("SPLIT(B2893,""RM"")"),3000000.0)</f>
        <v>3000000</v>
      </c>
      <c r="D2893" s="7" t="s">
        <v>35</v>
      </c>
      <c r="E2893" s="7">
        <v>5.0</v>
      </c>
      <c r="F2893" s="7">
        <v>3.0</v>
      </c>
      <c r="G2893" s="7" t="s">
        <v>30</v>
      </c>
      <c r="H2893" s="7" t="s">
        <v>1927</v>
      </c>
      <c r="I2893" s="7" t="s">
        <v>27</v>
      </c>
    </row>
    <row r="2894">
      <c r="A2894" s="7" t="s">
        <v>143</v>
      </c>
      <c r="B2894" s="7" t="s">
        <v>346</v>
      </c>
      <c r="C2894" s="8">
        <f>IFERROR(__xludf.DUMMYFUNCTION("SPLIT(B2894,""RM"")"),638000.0)</f>
        <v>638000</v>
      </c>
      <c r="D2894" s="7" t="s">
        <v>57</v>
      </c>
      <c r="E2894" s="7">
        <v>3.0</v>
      </c>
      <c r="F2894" s="7">
        <v>1.0</v>
      </c>
      <c r="G2894" s="7" t="s">
        <v>1410</v>
      </c>
      <c r="H2894" s="7" t="s">
        <v>2079</v>
      </c>
      <c r="I2894" s="7" t="s">
        <v>27</v>
      </c>
    </row>
    <row r="2895">
      <c r="A2895" s="7" t="s">
        <v>48</v>
      </c>
      <c r="B2895" s="7" t="s">
        <v>603</v>
      </c>
      <c r="C2895" s="8">
        <f>IFERROR(__xludf.DUMMYFUNCTION("SPLIT(B2895,""RM"")"),628000.0)</f>
        <v>628000</v>
      </c>
      <c r="D2895" s="7">
        <v>4.0</v>
      </c>
      <c r="E2895" s="7">
        <v>3.0</v>
      </c>
      <c r="F2895" s="7">
        <v>2.0</v>
      </c>
      <c r="G2895" s="7" t="s">
        <v>54</v>
      </c>
      <c r="H2895" s="7" t="s">
        <v>1839</v>
      </c>
    </row>
    <row r="2896">
      <c r="A2896" s="7" t="s">
        <v>48</v>
      </c>
      <c r="B2896" s="7" t="s">
        <v>1423</v>
      </c>
      <c r="C2896" s="8">
        <f>IFERROR(__xludf.DUMMYFUNCTION("SPLIT(B2896,""RM"")"),420000.0)</f>
        <v>420000</v>
      </c>
      <c r="D2896" s="7">
        <v>3.0</v>
      </c>
      <c r="E2896" s="7">
        <v>2.0</v>
      </c>
      <c r="F2896" s="7">
        <v>2.0</v>
      </c>
      <c r="G2896" s="7" t="s">
        <v>169</v>
      </c>
      <c r="H2896" s="7" t="s">
        <v>2080</v>
      </c>
      <c r="I2896" s="7" t="s">
        <v>27</v>
      </c>
    </row>
    <row r="2897">
      <c r="A2897" s="7" t="s">
        <v>48</v>
      </c>
      <c r="B2897" s="7" t="s">
        <v>92</v>
      </c>
      <c r="C2897" s="8">
        <f>IFERROR(__xludf.DUMMYFUNCTION("SPLIT(B2897,""RM"")"),610000.0)</f>
        <v>610000</v>
      </c>
      <c r="D2897" s="7">
        <v>3.0</v>
      </c>
      <c r="E2897" s="7">
        <v>2.0</v>
      </c>
      <c r="F2897" s="7">
        <v>3.0</v>
      </c>
      <c r="G2897" s="7" t="s">
        <v>343</v>
      </c>
      <c r="H2897" s="7" t="s">
        <v>211</v>
      </c>
    </row>
    <row r="2898">
      <c r="A2898" s="7" t="s">
        <v>48</v>
      </c>
      <c r="B2898" s="7" t="s">
        <v>702</v>
      </c>
      <c r="C2898" s="8">
        <f>IFERROR(__xludf.DUMMYFUNCTION("SPLIT(B2898,""RM"")"),410000.0)</f>
        <v>410000</v>
      </c>
      <c r="D2898" s="7">
        <v>3.0</v>
      </c>
      <c r="E2898" s="7">
        <v>2.0</v>
      </c>
      <c r="F2898" s="7">
        <v>2.0</v>
      </c>
      <c r="G2898" s="7" t="s">
        <v>169</v>
      </c>
      <c r="H2898" s="7" t="s">
        <v>2081</v>
      </c>
      <c r="I2898" s="7" t="s">
        <v>27</v>
      </c>
    </row>
    <row r="2899">
      <c r="A2899" s="7" t="s">
        <v>48</v>
      </c>
      <c r="B2899" s="7" t="s">
        <v>1678</v>
      </c>
      <c r="C2899" s="8">
        <f>IFERROR(__xludf.DUMMYFUNCTION("SPLIT(B2899,""RM"")"),799000.0)</f>
        <v>799000</v>
      </c>
      <c r="D2899" s="7" t="s">
        <v>35</v>
      </c>
      <c r="E2899" s="7">
        <v>3.0</v>
      </c>
      <c r="F2899" s="7">
        <v>4.0</v>
      </c>
      <c r="G2899" s="7" t="s">
        <v>54</v>
      </c>
      <c r="H2899" s="7" t="s">
        <v>211</v>
      </c>
      <c r="I2899" s="7" t="s">
        <v>27</v>
      </c>
    </row>
    <row r="2900">
      <c r="A2900" s="7" t="s">
        <v>104</v>
      </c>
      <c r="B2900" s="7" t="s">
        <v>2082</v>
      </c>
      <c r="C2900" s="8">
        <f>IFERROR(__xludf.DUMMYFUNCTION("SPLIT(B2900,""RM"")"),557000.0)</f>
        <v>557000</v>
      </c>
      <c r="D2900" s="7">
        <v>3.0</v>
      </c>
      <c r="E2900" s="7">
        <v>2.0</v>
      </c>
      <c r="F2900" s="7">
        <v>2.0</v>
      </c>
      <c r="G2900" s="7" t="s">
        <v>121</v>
      </c>
      <c r="H2900" s="7" t="s">
        <v>1012</v>
      </c>
      <c r="I2900" s="7" t="s">
        <v>27</v>
      </c>
    </row>
    <row r="2901">
      <c r="A2901" s="7" t="s">
        <v>371</v>
      </c>
      <c r="B2901" s="7" t="s">
        <v>902</v>
      </c>
      <c r="C2901" s="8">
        <f>IFERROR(__xludf.DUMMYFUNCTION("SPLIT(B2901,""RM"")"),710000.0)</f>
        <v>710000</v>
      </c>
      <c r="D2901" s="7" t="s">
        <v>57</v>
      </c>
      <c r="E2901" s="7">
        <v>3.0</v>
      </c>
      <c r="F2901" s="7">
        <v>2.0</v>
      </c>
      <c r="G2901" s="7" t="s">
        <v>30</v>
      </c>
      <c r="H2901" s="7" t="s">
        <v>1587</v>
      </c>
      <c r="I2901" s="7" t="s">
        <v>22</v>
      </c>
    </row>
    <row r="2902">
      <c r="A2902" s="7" t="s">
        <v>100</v>
      </c>
      <c r="B2902" s="7" t="s">
        <v>361</v>
      </c>
      <c r="C2902" s="8">
        <f>IFERROR(__xludf.DUMMYFUNCTION("SPLIT(B2902,""RM"")"),530000.0)</f>
        <v>530000</v>
      </c>
      <c r="D2902" s="7" t="s">
        <v>57</v>
      </c>
      <c r="E2902" s="7">
        <v>3.0</v>
      </c>
      <c r="F2902" s="7">
        <v>2.0</v>
      </c>
      <c r="G2902" s="7" t="s">
        <v>30</v>
      </c>
      <c r="H2902" s="7" t="s">
        <v>982</v>
      </c>
      <c r="I2902" s="7" t="s">
        <v>27</v>
      </c>
    </row>
    <row r="2903">
      <c r="A2903" s="7" t="s">
        <v>77</v>
      </c>
      <c r="B2903" s="7" t="s">
        <v>2083</v>
      </c>
      <c r="C2903" s="8">
        <f>IFERROR(__xludf.DUMMYFUNCTION("SPLIT(B2903,""RM"")"),2090000.0)</f>
        <v>2090000</v>
      </c>
      <c r="D2903" s="7" t="s">
        <v>57</v>
      </c>
      <c r="E2903" s="7">
        <v>4.0</v>
      </c>
      <c r="F2903" s="7">
        <v>2.0</v>
      </c>
      <c r="G2903" s="7" t="s">
        <v>169</v>
      </c>
      <c r="H2903" s="7" t="s">
        <v>307</v>
      </c>
      <c r="I2903" s="7" t="s">
        <v>27</v>
      </c>
    </row>
    <row r="2904">
      <c r="A2904" s="7" t="s">
        <v>262</v>
      </c>
      <c r="B2904" s="7" t="s">
        <v>616</v>
      </c>
      <c r="C2904" s="8">
        <f>IFERROR(__xludf.DUMMYFUNCTION("SPLIT(B2904,""RM"")"),7500000.0)</f>
        <v>7500000</v>
      </c>
      <c r="D2904" s="7">
        <v>9.0</v>
      </c>
      <c r="E2904" s="7">
        <v>8.0</v>
      </c>
      <c r="F2904" s="7">
        <v>6.0</v>
      </c>
      <c r="G2904" s="7" t="s">
        <v>67</v>
      </c>
      <c r="H2904" s="7" t="s">
        <v>2084</v>
      </c>
    </row>
    <row r="2905">
      <c r="A2905" s="7" t="s">
        <v>100</v>
      </c>
      <c r="B2905" s="7" t="s">
        <v>552</v>
      </c>
      <c r="C2905" s="8">
        <f>IFERROR(__xludf.DUMMYFUNCTION("SPLIT(B2905,""RM"")"),618000.0)</f>
        <v>618000</v>
      </c>
      <c r="D2905" s="7">
        <v>2.0</v>
      </c>
      <c r="E2905" s="7">
        <v>2.0</v>
      </c>
      <c r="F2905" s="7">
        <v>1.0</v>
      </c>
      <c r="G2905" s="7" t="s">
        <v>20</v>
      </c>
      <c r="H2905" s="7" t="s">
        <v>2085</v>
      </c>
      <c r="I2905" s="7" t="s">
        <v>22</v>
      </c>
    </row>
    <row r="2906">
      <c r="A2906" s="7" t="s">
        <v>89</v>
      </c>
      <c r="B2906" s="7" t="s">
        <v>229</v>
      </c>
      <c r="C2906" s="8">
        <f>IFERROR(__xludf.DUMMYFUNCTION("SPLIT(B2906,""RM"")"),1050000.0)</f>
        <v>1050000</v>
      </c>
      <c r="D2906" s="7" t="s">
        <v>35</v>
      </c>
      <c r="E2906" s="7">
        <v>4.0</v>
      </c>
      <c r="G2906" s="7" t="s">
        <v>90</v>
      </c>
      <c r="H2906" s="7" t="s">
        <v>91</v>
      </c>
      <c r="I2906" s="7" t="s">
        <v>27</v>
      </c>
    </row>
    <row r="2907">
      <c r="A2907" s="7" t="s">
        <v>155</v>
      </c>
      <c r="B2907" s="7" t="s">
        <v>2086</v>
      </c>
      <c r="C2907" s="8">
        <f>IFERROR(__xludf.DUMMYFUNCTION("SPLIT(B2907,""RM"")"),748000.0)</f>
        <v>748000</v>
      </c>
      <c r="D2907" s="7">
        <v>2.0</v>
      </c>
      <c r="E2907" s="7">
        <v>2.0</v>
      </c>
      <c r="F2907" s="7">
        <v>1.0</v>
      </c>
      <c r="G2907" s="7" t="s">
        <v>83</v>
      </c>
      <c r="H2907" s="7" t="s">
        <v>140</v>
      </c>
      <c r="I2907" s="7" t="s">
        <v>103</v>
      </c>
    </row>
    <row r="2908">
      <c r="A2908" s="7" t="s">
        <v>155</v>
      </c>
      <c r="B2908" s="7" t="s">
        <v>156</v>
      </c>
      <c r="C2908" s="8">
        <f>IFERROR(__xludf.DUMMYFUNCTION("SPLIT(B2908,""RM"")"),850000.0)</f>
        <v>850000</v>
      </c>
      <c r="D2908" s="7">
        <v>3.0</v>
      </c>
      <c r="E2908" s="7">
        <v>2.0</v>
      </c>
      <c r="F2908" s="7">
        <v>1.0</v>
      </c>
      <c r="G2908" s="7" t="s">
        <v>30</v>
      </c>
      <c r="H2908" s="7" t="s">
        <v>345</v>
      </c>
      <c r="I2908" s="7" t="s">
        <v>27</v>
      </c>
    </row>
    <row r="2909">
      <c r="A2909" s="7" t="s">
        <v>33</v>
      </c>
      <c r="B2909" s="7" t="s">
        <v>536</v>
      </c>
      <c r="C2909" s="8">
        <f>IFERROR(__xludf.DUMMYFUNCTION("SPLIT(B2909,""RM"")"),495000.0)</f>
        <v>495000</v>
      </c>
      <c r="D2909" s="7" t="s">
        <v>197</v>
      </c>
      <c r="E2909" s="7">
        <v>1.0</v>
      </c>
      <c r="F2909" s="7">
        <v>1.0</v>
      </c>
      <c r="G2909" s="7" t="s">
        <v>20</v>
      </c>
      <c r="H2909" s="7" t="s">
        <v>978</v>
      </c>
      <c r="I2909" s="7" t="s">
        <v>27</v>
      </c>
    </row>
    <row r="2910">
      <c r="A2910" s="7" t="s">
        <v>104</v>
      </c>
      <c r="B2910" s="7" t="s">
        <v>635</v>
      </c>
      <c r="C2910" s="8">
        <f>IFERROR(__xludf.DUMMYFUNCTION("SPLIT(B2910,""RM"")"),720000.0)</f>
        <v>720000</v>
      </c>
      <c r="D2910" s="7">
        <v>4.0</v>
      </c>
      <c r="E2910" s="7">
        <v>2.0</v>
      </c>
      <c r="F2910" s="7">
        <v>2.0</v>
      </c>
      <c r="G2910" s="7" t="s">
        <v>83</v>
      </c>
      <c r="H2910" s="7" t="s">
        <v>1025</v>
      </c>
      <c r="I2910" s="7" t="s">
        <v>27</v>
      </c>
    </row>
    <row r="2911">
      <c r="A2911" s="7" t="s">
        <v>72</v>
      </c>
      <c r="B2911" s="7" t="s">
        <v>132</v>
      </c>
      <c r="C2911" s="8">
        <f>IFERROR(__xludf.DUMMYFUNCTION("SPLIT(B2911,""RM"")"),1080000.0)</f>
        <v>1080000</v>
      </c>
      <c r="D2911" s="7">
        <v>3.0</v>
      </c>
      <c r="E2911" s="7">
        <v>3.0</v>
      </c>
      <c r="F2911" s="7">
        <v>2.0</v>
      </c>
      <c r="G2911" s="7" t="s">
        <v>121</v>
      </c>
      <c r="H2911" s="7" t="s">
        <v>2087</v>
      </c>
      <c r="I2911" s="7" t="s">
        <v>22</v>
      </c>
    </row>
    <row r="2912">
      <c r="A2912" s="7" t="s">
        <v>72</v>
      </c>
      <c r="B2912" s="7" t="s">
        <v>322</v>
      </c>
      <c r="C2912" s="8">
        <f>IFERROR(__xludf.DUMMYFUNCTION("SPLIT(B2912,""RM"")"),1900000.0)</f>
        <v>1900000</v>
      </c>
      <c r="D2912" s="7" t="s">
        <v>57</v>
      </c>
      <c r="E2912" s="7">
        <v>5.0</v>
      </c>
      <c r="F2912" s="7">
        <v>3.0</v>
      </c>
      <c r="G2912" s="7" t="s">
        <v>30</v>
      </c>
      <c r="H2912" s="7" t="s">
        <v>561</v>
      </c>
      <c r="I2912" s="7" t="s">
        <v>22</v>
      </c>
    </row>
    <row r="2913">
      <c r="A2913" s="7" t="s">
        <v>72</v>
      </c>
      <c r="B2913" s="7" t="s">
        <v>322</v>
      </c>
      <c r="C2913" s="8">
        <f>IFERROR(__xludf.DUMMYFUNCTION("SPLIT(B2913,""RM"")"),1900000.0)</f>
        <v>1900000</v>
      </c>
      <c r="D2913" s="7" t="s">
        <v>57</v>
      </c>
      <c r="E2913" s="7">
        <v>5.0</v>
      </c>
      <c r="F2913" s="7">
        <v>3.0</v>
      </c>
      <c r="G2913" s="7" t="s">
        <v>30</v>
      </c>
      <c r="H2913" s="7" t="s">
        <v>561</v>
      </c>
      <c r="I2913" s="7" t="s">
        <v>22</v>
      </c>
    </row>
    <row r="2914">
      <c r="A2914" s="7" t="s">
        <v>72</v>
      </c>
      <c r="B2914" s="7" t="s">
        <v>45</v>
      </c>
      <c r="C2914" s="8">
        <f>IFERROR(__xludf.DUMMYFUNCTION("SPLIT(B2914,""RM"")"),1950000.0)</f>
        <v>1950000</v>
      </c>
      <c r="D2914" s="7" t="s">
        <v>57</v>
      </c>
      <c r="E2914" s="7">
        <v>5.0</v>
      </c>
      <c r="F2914" s="7">
        <v>3.0</v>
      </c>
      <c r="G2914" s="7" t="s">
        <v>30</v>
      </c>
      <c r="H2914" s="7" t="s">
        <v>412</v>
      </c>
      <c r="I2914" s="7" t="s">
        <v>22</v>
      </c>
    </row>
    <row r="2915">
      <c r="A2915" s="7" t="s">
        <v>17</v>
      </c>
      <c r="B2915" s="7" t="s">
        <v>956</v>
      </c>
      <c r="C2915" s="8">
        <f>IFERROR(__xludf.DUMMYFUNCTION("SPLIT(B2915,""RM"")"),860000.0)</f>
        <v>860000</v>
      </c>
      <c r="D2915" s="7">
        <v>1.0</v>
      </c>
      <c r="E2915" s="7">
        <v>1.0</v>
      </c>
      <c r="F2915" s="7">
        <v>1.0</v>
      </c>
      <c r="G2915" s="7" t="s">
        <v>20</v>
      </c>
      <c r="H2915" s="7" t="s">
        <v>642</v>
      </c>
      <c r="I2915" s="7" t="s">
        <v>22</v>
      </c>
    </row>
    <row r="2916">
      <c r="A2916" s="7" t="s">
        <v>17</v>
      </c>
      <c r="B2916" s="7" t="s">
        <v>327</v>
      </c>
      <c r="C2916" s="8">
        <f>IFERROR(__xludf.DUMMYFUNCTION("SPLIT(B2916,""RM"")"),1300000.0)</f>
        <v>1300000</v>
      </c>
      <c r="D2916" s="7">
        <v>2.0</v>
      </c>
      <c r="E2916" s="7">
        <v>2.0</v>
      </c>
      <c r="F2916" s="7">
        <v>1.0</v>
      </c>
      <c r="G2916" s="7" t="s">
        <v>20</v>
      </c>
      <c r="H2916" s="7" t="s">
        <v>1273</v>
      </c>
      <c r="I2916" s="7" t="s">
        <v>22</v>
      </c>
    </row>
    <row r="2917">
      <c r="A2917" s="7" t="s">
        <v>17</v>
      </c>
      <c r="B2917" s="7" t="s">
        <v>2088</v>
      </c>
      <c r="C2917" s="8">
        <f>IFERROR(__xludf.DUMMYFUNCTION("SPLIT(B2917,""RM"")"),2160000.0)</f>
        <v>2160000</v>
      </c>
      <c r="D2917" s="7" t="s">
        <v>57</v>
      </c>
      <c r="E2917" s="7">
        <v>4.0</v>
      </c>
      <c r="G2917" s="7" t="s">
        <v>82</v>
      </c>
      <c r="H2917" s="7" t="s">
        <v>1132</v>
      </c>
      <c r="I2917" s="7" t="s">
        <v>22</v>
      </c>
    </row>
    <row r="2918">
      <c r="A2918" s="7" t="s">
        <v>33</v>
      </c>
      <c r="B2918" s="7" t="s">
        <v>1376</v>
      </c>
      <c r="C2918" s="8">
        <f>IFERROR(__xludf.DUMMYFUNCTION("SPLIT(B2918,""RM"")"),1960000.0)</f>
        <v>1960000</v>
      </c>
      <c r="D2918" s="7" t="s">
        <v>60</v>
      </c>
      <c r="E2918" s="7">
        <v>7.0</v>
      </c>
      <c r="F2918" s="7">
        <v>2.0</v>
      </c>
      <c r="G2918" s="7" t="s">
        <v>203</v>
      </c>
      <c r="H2918" s="7" t="s">
        <v>2089</v>
      </c>
      <c r="I2918" s="7" t="s">
        <v>22</v>
      </c>
    </row>
    <row r="2919">
      <c r="A2919" s="7" t="s">
        <v>33</v>
      </c>
      <c r="B2919" s="7" t="s">
        <v>356</v>
      </c>
      <c r="C2919" s="8">
        <f>IFERROR(__xludf.DUMMYFUNCTION("SPLIT(B2919,""RM"")"),1790000.0)</f>
        <v>1790000</v>
      </c>
      <c r="D2919" s="7">
        <v>5.0</v>
      </c>
      <c r="E2919" s="7">
        <v>4.0</v>
      </c>
      <c r="F2919" s="7">
        <v>2.0</v>
      </c>
      <c r="G2919" s="7" t="s">
        <v>203</v>
      </c>
      <c r="H2919" s="7" t="s">
        <v>2090</v>
      </c>
      <c r="I2919" s="7" t="s">
        <v>22</v>
      </c>
    </row>
    <row r="2920">
      <c r="A2920" s="7" t="s">
        <v>33</v>
      </c>
      <c r="B2920" s="7" t="s">
        <v>462</v>
      </c>
      <c r="C2920" s="8">
        <f>IFERROR(__xludf.DUMMYFUNCTION("SPLIT(B2920,""RM"")"),1620000.0)</f>
        <v>1620000</v>
      </c>
      <c r="D2920" s="7">
        <v>5.0</v>
      </c>
      <c r="E2920" s="7">
        <v>4.0</v>
      </c>
      <c r="G2920" s="7" t="s">
        <v>203</v>
      </c>
      <c r="H2920" s="7" t="s">
        <v>2091</v>
      </c>
      <c r="I2920" s="7" t="s">
        <v>27</v>
      </c>
    </row>
    <row r="2921">
      <c r="A2921" s="7" t="s">
        <v>33</v>
      </c>
      <c r="B2921" s="7" t="s">
        <v>1926</v>
      </c>
      <c r="C2921" s="8">
        <f>IFERROR(__xludf.DUMMYFUNCTION("SPLIT(B2921,""RM"")"),3050000.0)</f>
        <v>3050000</v>
      </c>
      <c r="D2921" s="7" t="s">
        <v>60</v>
      </c>
      <c r="E2921" s="7">
        <v>6.0</v>
      </c>
      <c r="F2921" s="7">
        <v>2.0</v>
      </c>
      <c r="G2921" s="7" t="s">
        <v>487</v>
      </c>
      <c r="H2921" s="7" t="s">
        <v>2092</v>
      </c>
      <c r="I2921" s="7" t="s">
        <v>103</v>
      </c>
    </row>
    <row r="2922">
      <c r="A2922" s="7" t="s">
        <v>72</v>
      </c>
      <c r="B2922" s="7" t="s">
        <v>2093</v>
      </c>
      <c r="C2922" s="8">
        <f>IFERROR(__xludf.DUMMYFUNCTION("SPLIT(B2922,""RM"")"),1502400.0)</f>
        <v>1502400</v>
      </c>
      <c r="D2922" s="7" t="s">
        <v>57</v>
      </c>
      <c r="E2922" s="7">
        <v>4.0</v>
      </c>
      <c r="F2922" s="7">
        <v>2.0</v>
      </c>
      <c r="G2922" s="7" t="s">
        <v>83</v>
      </c>
      <c r="H2922" s="7" t="s">
        <v>404</v>
      </c>
      <c r="I2922" s="7" t="s">
        <v>27</v>
      </c>
    </row>
    <row r="2923">
      <c r="A2923" s="7" t="s">
        <v>33</v>
      </c>
      <c r="B2923" s="7" t="s">
        <v>526</v>
      </c>
      <c r="C2923" s="8">
        <f>IFERROR(__xludf.DUMMYFUNCTION("SPLIT(B2923,""RM"")"),1330000.0)</f>
        <v>1330000</v>
      </c>
      <c r="D2923" s="7">
        <v>6.0</v>
      </c>
      <c r="E2923" s="7">
        <v>5.0</v>
      </c>
      <c r="F2923" s="7">
        <v>2.0</v>
      </c>
      <c r="G2923" s="7" t="s">
        <v>282</v>
      </c>
      <c r="H2923" s="7" t="s">
        <v>283</v>
      </c>
      <c r="I2923" s="7" t="s">
        <v>27</v>
      </c>
    </row>
    <row r="2924">
      <c r="A2924" s="7" t="s">
        <v>164</v>
      </c>
      <c r="B2924" s="7" t="s">
        <v>144</v>
      </c>
      <c r="C2924" s="8">
        <f>IFERROR(__xludf.DUMMYFUNCTION("SPLIT(B2924,""RM"")"),1800000.0)</f>
        <v>1800000</v>
      </c>
      <c r="D2924" s="7">
        <v>2.0</v>
      </c>
      <c r="E2924" s="7">
        <v>2.0</v>
      </c>
      <c r="F2924" s="7">
        <v>1.0</v>
      </c>
      <c r="G2924" s="7" t="s">
        <v>20</v>
      </c>
      <c r="H2924" s="7" t="s">
        <v>303</v>
      </c>
      <c r="I2924" s="7" t="s">
        <v>27</v>
      </c>
    </row>
    <row r="2925">
      <c r="A2925" s="7" t="s">
        <v>72</v>
      </c>
      <c r="B2925" s="7" t="s">
        <v>403</v>
      </c>
      <c r="C2925" s="8">
        <f>IFERROR(__xludf.DUMMYFUNCTION("SPLIT(B2925,""RM"")"),1600000.0)</f>
        <v>1600000</v>
      </c>
      <c r="D2925" s="7" t="s">
        <v>57</v>
      </c>
      <c r="E2925" s="7">
        <v>4.0</v>
      </c>
      <c r="F2925" s="7">
        <v>2.0</v>
      </c>
      <c r="G2925" s="7" t="s">
        <v>83</v>
      </c>
      <c r="H2925" s="7" t="s">
        <v>1690</v>
      </c>
      <c r="I2925" s="7" t="s">
        <v>27</v>
      </c>
    </row>
    <row r="2926">
      <c r="A2926" s="7" t="s">
        <v>72</v>
      </c>
      <c r="B2926" s="7" t="s">
        <v>2094</v>
      </c>
      <c r="C2926" s="8">
        <f>IFERROR(__xludf.DUMMYFUNCTION("SPLIT(B2926,""RM"")"),4179628.0)</f>
        <v>4179628</v>
      </c>
      <c r="D2926" s="7">
        <v>4.0</v>
      </c>
      <c r="E2926" s="7">
        <v>5.0</v>
      </c>
      <c r="G2926" s="7" t="s">
        <v>83</v>
      </c>
      <c r="H2926" s="7" t="s">
        <v>2095</v>
      </c>
      <c r="I2926" s="7" t="s">
        <v>27</v>
      </c>
    </row>
    <row r="2927">
      <c r="A2927" s="7" t="s">
        <v>72</v>
      </c>
      <c r="B2927" s="7" t="s">
        <v>2096</v>
      </c>
      <c r="C2927" s="8">
        <f>IFERROR(__xludf.DUMMYFUNCTION("SPLIT(B2927,""RM"")"),2160329.0)</f>
        <v>2160329</v>
      </c>
      <c r="D2927" s="7">
        <v>4.0</v>
      </c>
      <c r="E2927" s="7">
        <v>5.0</v>
      </c>
      <c r="F2927" s="7">
        <v>3.0</v>
      </c>
      <c r="G2927" s="7" t="s">
        <v>83</v>
      </c>
      <c r="H2927" s="7" t="s">
        <v>2097</v>
      </c>
      <c r="I2927" s="7" t="s">
        <v>27</v>
      </c>
    </row>
    <row r="2928">
      <c r="A2928" s="7" t="s">
        <v>72</v>
      </c>
      <c r="B2928" s="7" t="s">
        <v>2098</v>
      </c>
      <c r="C2928" s="8">
        <f>IFERROR(__xludf.DUMMYFUNCTION("SPLIT(B2928,""RM"")"),1823366.0)</f>
        <v>1823366</v>
      </c>
      <c r="D2928" s="7">
        <v>4.0</v>
      </c>
      <c r="E2928" s="7">
        <v>5.0</v>
      </c>
      <c r="F2928" s="7">
        <v>3.0</v>
      </c>
      <c r="G2928" s="7" t="s">
        <v>83</v>
      </c>
      <c r="H2928" s="7" t="s">
        <v>84</v>
      </c>
      <c r="I2928" s="7" t="s">
        <v>27</v>
      </c>
    </row>
    <row r="2929">
      <c r="A2929" s="7" t="s">
        <v>72</v>
      </c>
      <c r="B2929" s="7" t="s">
        <v>2099</v>
      </c>
      <c r="C2929" s="8">
        <f>IFERROR(__xludf.DUMMYFUNCTION("SPLIT(B2929,""RM"")"),1305750.0)</f>
        <v>1305750</v>
      </c>
      <c r="D2929" s="7">
        <v>3.0</v>
      </c>
      <c r="E2929" s="7">
        <v>3.0</v>
      </c>
      <c r="F2929" s="7">
        <v>2.0</v>
      </c>
      <c r="G2929" s="7" t="s">
        <v>83</v>
      </c>
      <c r="H2929" s="7" t="s">
        <v>1042</v>
      </c>
      <c r="I2929" s="7" t="s">
        <v>27</v>
      </c>
    </row>
    <row r="2930">
      <c r="A2930" s="7" t="s">
        <v>28</v>
      </c>
      <c r="B2930" s="7" t="s">
        <v>18</v>
      </c>
      <c r="C2930" s="8">
        <f>IFERROR(__xludf.DUMMYFUNCTION("SPLIT(B2930,""RM"")"),1250000.0)</f>
        <v>1250000</v>
      </c>
      <c r="D2930" s="7" t="s">
        <v>57</v>
      </c>
      <c r="E2930" s="7">
        <v>5.0</v>
      </c>
      <c r="F2930" s="7">
        <v>2.0</v>
      </c>
      <c r="G2930" s="7" t="s">
        <v>93</v>
      </c>
      <c r="H2930" s="7" t="s">
        <v>2100</v>
      </c>
      <c r="I2930" s="7" t="s">
        <v>27</v>
      </c>
    </row>
    <row r="2931">
      <c r="A2931" s="7" t="s">
        <v>104</v>
      </c>
      <c r="B2931" s="7" t="s">
        <v>1187</v>
      </c>
      <c r="C2931" s="8">
        <f>IFERROR(__xludf.DUMMYFUNCTION("SPLIT(B2931,""RM"")"),678000.0)</f>
        <v>678000</v>
      </c>
      <c r="D2931" s="7" t="s">
        <v>19</v>
      </c>
      <c r="E2931" s="7">
        <v>2.0</v>
      </c>
      <c r="F2931" s="7">
        <v>4.0</v>
      </c>
      <c r="G2931" s="7" t="s">
        <v>343</v>
      </c>
      <c r="H2931" s="7" t="s">
        <v>211</v>
      </c>
      <c r="I2931" s="7" t="s">
        <v>103</v>
      </c>
    </row>
    <row r="2932">
      <c r="A2932" s="7" t="s">
        <v>148</v>
      </c>
      <c r="B2932" s="7" t="s">
        <v>1079</v>
      </c>
      <c r="C2932" s="8">
        <f>IFERROR(__xludf.DUMMYFUNCTION("SPLIT(B2932,""RM"")"),2350000.0)</f>
        <v>2350000</v>
      </c>
      <c r="D2932" s="7" t="s">
        <v>35</v>
      </c>
      <c r="E2932" s="7">
        <v>5.0</v>
      </c>
      <c r="F2932" s="7">
        <v>4.0</v>
      </c>
      <c r="G2932" s="7" t="s">
        <v>90</v>
      </c>
      <c r="H2932" s="7" t="s">
        <v>2101</v>
      </c>
      <c r="I2932" s="7" t="s">
        <v>27</v>
      </c>
    </row>
    <row r="2933">
      <c r="A2933" s="7" t="s">
        <v>23</v>
      </c>
      <c r="B2933" s="7" t="s">
        <v>2102</v>
      </c>
      <c r="C2933" s="8">
        <f>IFERROR(__xludf.DUMMYFUNCTION("SPLIT(B2933,""RM"")"),1.3E7)</f>
        <v>13000000</v>
      </c>
      <c r="D2933" s="7" t="s">
        <v>60</v>
      </c>
      <c r="E2933" s="7">
        <v>6.0</v>
      </c>
      <c r="F2933" s="7">
        <v>6.0</v>
      </c>
      <c r="G2933" s="7" t="s">
        <v>25</v>
      </c>
      <c r="H2933" s="7" t="s">
        <v>2103</v>
      </c>
      <c r="I2933" s="7" t="s">
        <v>27</v>
      </c>
    </row>
    <row r="2934">
      <c r="A2934" s="7" t="s">
        <v>28</v>
      </c>
      <c r="B2934" s="7" t="s">
        <v>2104</v>
      </c>
      <c r="C2934" s="8">
        <f>IFERROR(__xludf.DUMMYFUNCTION("SPLIT(B2934,""RM"")"),1298000.0)</f>
        <v>1298000</v>
      </c>
      <c r="D2934" s="7">
        <v>5.0</v>
      </c>
      <c r="E2934" s="7">
        <v>4.0</v>
      </c>
      <c r="F2934" s="7">
        <v>2.0</v>
      </c>
      <c r="G2934" s="7" t="s">
        <v>83</v>
      </c>
      <c r="H2934" s="7" t="s">
        <v>412</v>
      </c>
      <c r="I2934" s="7" t="s">
        <v>27</v>
      </c>
    </row>
    <row r="2935">
      <c r="A2935" s="7" t="s">
        <v>32</v>
      </c>
      <c r="B2935" s="7" t="s">
        <v>643</v>
      </c>
      <c r="C2935" s="8">
        <f>IFERROR(__xludf.DUMMYFUNCTION("SPLIT(B2935,""RM"")"),868000.0)</f>
        <v>868000</v>
      </c>
      <c r="D2935" s="7">
        <v>5.0</v>
      </c>
      <c r="E2935" s="7">
        <v>4.0</v>
      </c>
      <c r="G2935" s="7" t="s">
        <v>54</v>
      </c>
      <c r="H2935" s="7" t="s">
        <v>558</v>
      </c>
      <c r="I2935" s="7" t="s">
        <v>27</v>
      </c>
    </row>
    <row r="2936">
      <c r="A2936" s="7" t="s">
        <v>89</v>
      </c>
      <c r="B2936" s="7" t="s">
        <v>759</v>
      </c>
      <c r="C2936" s="8">
        <f>IFERROR(__xludf.DUMMYFUNCTION("SPLIT(B2936,""RM"")"),520000.0)</f>
        <v>520000</v>
      </c>
      <c r="D2936" s="7">
        <v>3.0</v>
      </c>
      <c r="E2936" s="7">
        <v>2.0</v>
      </c>
      <c r="F2936" s="7">
        <v>2.0</v>
      </c>
      <c r="G2936" s="7" t="s">
        <v>83</v>
      </c>
      <c r="H2936" s="7" t="s">
        <v>954</v>
      </c>
      <c r="I2936" s="7" t="s">
        <v>27</v>
      </c>
    </row>
    <row r="2937">
      <c r="A2937" s="7" t="s">
        <v>2022</v>
      </c>
      <c r="B2937" s="7" t="s">
        <v>168</v>
      </c>
      <c r="C2937" s="8">
        <f>IFERROR(__xludf.DUMMYFUNCTION("SPLIT(B2937,""RM"")"),750000.0)</f>
        <v>750000</v>
      </c>
      <c r="D2937" s="7">
        <v>3.0</v>
      </c>
      <c r="E2937" s="7">
        <v>3.0</v>
      </c>
      <c r="G2937" s="7" t="s">
        <v>169</v>
      </c>
      <c r="H2937" s="7" t="s">
        <v>1119</v>
      </c>
    </row>
    <row r="2938">
      <c r="A2938" s="7" t="s">
        <v>104</v>
      </c>
      <c r="B2938" s="7" t="s">
        <v>1272</v>
      </c>
      <c r="C2938" s="8">
        <f>IFERROR(__xludf.DUMMYFUNCTION("SPLIT(B2938,""RM"")"),1288000.0)</f>
        <v>1288000</v>
      </c>
      <c r="D2938" s="7">
        <v>5.0</v>
      </c>
      <c r="E2938" s="7">
        <v>4.0</v>
      </c>
      <c r="F2938" s="7">
        <v>4.0</v>
      </c>
      <c r="G2938" s="7" t="s">
        <v>184</v>
      </c>
      <c r="H2938" s="7" t="s">
        <v>2105</v>
      </c>
      <c r="I2938" s="7" t="s">
        <v>27</v>
      </c>
    </row>
    <row r="2939">
      <c r="A2939" s="7" t="s">
        <v>109</v>
      </c>
      <c r="B2939" s="7" t="s">
        <v>214</v>
      </c>
      <c r="C2939" s="8">
        <f>IFERROR(__xludf.DUMMYFUNCTION("SPLIT(B2939,""RM"")"),1180000.0)</f>
        <v>1180000</v>
      </c>
      <c r="D2939" s="7">
        <v>5.0</v>
      </c>
      <c r="E2939" s="7">
        <v>5.0</v>
      </c>
      <c r="F2939" s="7">
        <v>4.0</v>
      </c>
      <c r="G2939" s="7" t="s">
        <v>90</v>
      </c>
      <c r="H2939" s="7" t="s">
        <v>344</v>
      </c>
      <c r="I2939" s="7" t="s">
        <v>27</v>
      </c>
    </row>
    <row r="2940">
      <c r="A2940" s="7" t="s">
        <v>104</v>
      </c>
      <c r="B2940" s="7" t="s">
        <v>18</v>
      </c>
      <c r="C2940" s="8">
        <f>IFERROR(__xludf.DUMMYFUNCTION("SPLIT(B2940,""RM"")"),1250000.0)</f>
        <v>1250000</v>
      </c>
      <c r="D2940" s="7" t="s">
        <v>35</v>
      </c>
      <c r="E2940" s="7">
        <v>4.0</v>
      </c>
      <c r="F2940" s="7">
        <v>4.0</v>
      </c>
      <c r="G2940" s="7" t="s">
        <v>90</v>
      </c>
      <c r="H2940" s="7" t="s">
        <v>719</v>
      </c>
      <c r="I2940" s="7" t="s">
        <v>27</v>
      </c>
    </row>
    <row r="2941">
      <c r="A2941" s="7" t="s">
        <v>100</v>
      </c>
      <c r="B2941" s="7" t="s">
        <v>2106</v>
      </c>
      <c r="C2941" s="8">
        <f>IFERROR(__xludf.DUMMYFUNCTION("SPLIT(B2941,""RM"")"),538000.0)</f>
        <v>538000</v>
      </c>
      <c r="D2941" s="7">
        <v>1.0</v>
      </c>
      <c r="E2941" s="7">
        <v>2.0</v>
      </c>
      <c r="F2941" s="7">
        <v>2.0</v>
      </c>
      <c r="G2941" s="7" t="s">
        <v>121</v>
      </c>
      <c r="H2941" s="7" t="s">
        <v>930</v>
      </c>
      <c r="I2941" s="7" t="s">
        <v>22</v>
      </c>
    </row>
    <row r="2942">
      <c r="A2942" s="7" t="s">
        <v>428</v>
      </c>
      <c r="B2942" s="7" t="s">
        <v>277</v>
      </c>
      <c r="C2942" s="8">
        <f>IFERROR(__xludf.DUMMYFUNCTION("SPLIT(B2942,""RM"")"),2200000.0)</f>
        <v>2200000</v>
      </c>
      <c r="D2942" s="7" t="s">
        <v>35</v>
      </c>
      <c r="E2942" s="7">
        <v>4.0</v>
      </c>
      <c r="G2942" s="7" t="s">
        <v>43</v>
      </c>
      <c r="H2942" s="7" t="s">
        <v>631</v>
      </c>
    </row>
    <row r="2943">
      <c r="A2943" s="7" t="s">
        <v>86</v>
      </c>
      <c r="B2943" s="7" t="s">
        <v>134</v>
      </c>
      <c r="C2943" s="8">
        <f>IFERROR(__xludf.DUMMYFUNCTION("SPLIT(B2943,""RM"")"),1150000.0)</f>
        <v>1150000</v>
      </c>
      <c r="D2943" s="7">
        <v>3.0</v>
      </c>
      <c r="E2943" s="7">
        <v>2.0</v>
      </c>
      <c r="F2943" s="7">
        <v>2.0</v>
      </c>
      <c r="G2943" s="7" t="s">
        <v>93</v>
      </c>
      <c r="H2943" s="7" t="s">
        <v>303</v>
      </c>
      <c r="I2943" s="7" t="s">
        <v>22</v>
      </c>
    </row>
    <row r="2944">
      <c r="A2944" s="7" t="s">
        <v>100</v>
      </c>
      <c r="B2944" s="7" t="s">
        <v>507</v>
      </c>
      <c r="C2944" s="8">
        <f>IFERROR(__xludf.DUMMYFUNCTION("SPLIT(B2944,""RM"")"),590000.0)</f>
        <v>590000</v>
      </c>
      <c r="D2944" s="7">
        <v>4.0</v>
      </c>
      <c r="E2944" s="7">
        <v>3.0</v>
      </c>
      <c r="F2944" s="7">
        <v>1.0</v>
      </c>
      <c r="G2944" s="7" t="s">
        <v>83</v>
      </c>
      <c r="I2944" s="7" t="s">
        <v>27</v>
      </c>
    </row>
    <row r="2945">
      <c r="A2945" s="7" t="s">
        <v>33</v>
      </c>
      <c r="B2945" s="7" t="s">
        <v>361</v>
      </c>
      <c r="C2945" s="8">
        <f>IFERROR(__xludf.DUMMYFUNCTION("SPLIT(B2945,""RM"")"),530000.0)</f>
        <v>530000</v>
      </c>
      <c r="D2945" s="7">
        <v>3.0</v>
      </c>
      <c r="E2945" s="7">
        <v>3.0</v>
      </c>
      <c r="F2945" s="7">
        <v>2.0</v>
      </c>
      <c r="G2945" s="7" t="s">
        <v>30</v>
      </c>
      <c r="H2945" s="7" t="s">
        <v>1156</v>
      </c>
      <c r="I2945" s="7" t="s">
        <v>27</v>
      </c>
    </row>
    <row r="2946">
      <c r="A2946" s="7" t="s">
        <v>692</v>
      </c>
      <c r="B2946" s="7" t="s">
        <v>239</v>
      </c>
      <c r="C2946" s="8">
        <f>IFERROR(__xludf.DUMMYFUNCTION("SPLIT(B2946,""RM"")"),1280000.0)</f>
        <v>1280000</v>
      </c>
      <c r="D2946" s="7" t="s">
        <v>57</v>
      </c>
      <c r="E2946" s="7">
        <v>4.0</v>
      </c>
      <c r="F2946" s="7">
        <v>2.0</v>
      </c>
      <c r="G2946" s="7" t="s">
        <v>494</v>
      </c>
      <c r="H2946" s="7" t="s">
        <v>1000</v>
      </c>
      <c r="I2946" s="7" t="s">
        <v>103</v>
      </c>
    </row>
    <row r="2947">
      <c r="A2947" s="7" t="s">
        <v>692</v>
      </c>
      <c r="B2947" s="7" t="s">
        <v>247</v>
      </c>
      <c r="C2947" s="8">
        <f>IFERROR(__xludf.DUMMYFUNCTION("SPLIT(B2947,""RM"")"),1980000.0)</f>
        <v>1980000</v>
      </c>
      <c r="D2947" s="7">
        <v>4.0</v>
      </c>
      <c r="E2947" s="7">
        <v>4.0</v>
      </c>
      <c r="F2947" s="7">
        <v>2.0</v>
      </c>
      <c r="G2947" s="7" t="s">
        <v>804</v>
      </c>
      <c r="H2947" s="7" t="s">
        <v>1129</v>
      </c>
      <c r="I2947" s="7" t="s">
        <v>27</v>
      </c>
    </row>
    <row r="2948">
      <c r="A2948" s="7" t="s">
        <v>171</v>
      </c>
      <c r="B2948" s="7" t="s">
        <v>105</v>
      </c>
      <c r="C2948" s="8">
        <f>IFERROR(__xludf.DUMMYFUNCTION("SPLIT(B2948,""RM"")"),560000.0)</f>
        <v>560000</v>
      </c>
      <c r="D2948" s="7">
        <v>3.0</v>
      </c>
      <c r="E2948" s="7">
        <v>2.0</v>
      </c>
      <c r="F2948" s="7">
        <v>2.0</v>
      </c>
      <c r="G2948" s="7" t="s">
        <v>82</v>
      </c>
      <c r="I2948" s="7" t="s">
        <v>22</v>
      </c>
    </row>
    <row r="2949">
      <c r="A2949" s="7" t="s">
        <v>104</v>
      </c>
      <c r="B2949" s="7" t="s">
        <v>316</v>
      </c>
      <c r="C2949" s="8">
        <f>IFERROR(__xludf.DUMMYFUNCTION("SPLIT(B2949,""RM"")"),820000.0)</f>
        <v>820000</v>
      </c>
      <c r="D2949" s="7">
        <v>4.0</v>
      </c>
      <c r="E2949" s="7">
        <v>3.0</v>
      </c>
      <c r="G2949" s="7" t="s">
        <v>717</v>
      </c>
      <c r="H2949" s="7" t="s">
        <v>211</v>
      </c>
      <c r="I2949" s="7" t="s">
        <v>27</v>
      </c>
    </row>
    <row r="2950">
      <c r="A2950" s="7" t="s">
        <v>33</v>
      </c>
      <c r="B2950" s="7" t="s">
        <v>1517</v>
      </c>
      <c r="C2950" s="8">
        <f>IFERROR(__xludf.DUMMYFUNCTION("SPLIT(B2950,""RM"")"),910000.0)</f>
        <v>910000</v>
      </c>
      <c r="D2950" s="7">
        <v>3.0</v>
      </c>
      <c r="E2950" s="7">
        <v>2.0</v>
      </c>
      <c r="F2950" s="7">
        <v>2.0</v>
      </c>
      <c r="G2950" s="7" t="s">
        <v>20</v>
      </c>
      <c r="H2950" s="7" t="s">
        <v>1112</v>
      </c>
    </row>
    <row r="2951">
      <c r="A2951" s="7" t="s">
        <v>32</v>
      </c>
      <c r="B2951" s="7" t="s">
        <v>286</v>
      </c>
      <c r="C2951" s="8">
        <f>IFERROR(__xludf.DUMMYFUNCTION("SPLIT(B2951,""RM"")"),668000.0)</f>
        <v>668000</v>
      </c>
      <c r="D2951" s="7">
        <v>5.0</v>
      </c>
      <c r="E2951" s="7">
        <v>3.0</v>
      </c>
      <c r="F2951" s="7">
        <v>6.0</v>
      </c>
      <c r="G2951" s="7" t="s">
        <v>282</v>
      </c>
      <c r="H2951" s="7" t="s">
        <v>2107</v>
      </c>
      <c r="I2951" s="7" t="s">
        <v>103</v>
      </c>
    </row>
    <row r="2952">
      <c r="A2952" s="7" t="s">
        <v>77</v>
      </c>
      <c r="B2952" s="7" t="s">
        <v>1679</v>
      </c>
      <c r="C2952" s="8">
        <f>IFERROR(__xludf.DUMMYFUNCTION("SPLIT(B2952,""RM"")"),828000.0)</f>
        <v>828000</v>
      </c>
      <c r="D2952" s="7" t="s">
        <v>197</v>
      </c>
      <c r="E2952" s="7">
        <v>1.0</v>
      </c>
      <c r="F2952" s="7">
        <v>1.0</v>
      </c>
      <c r="G2952" s="7" t="s">
        <v>93</v>
      </c>
      <c r="H2952" s="7" t="s">
        <v>2108</v>
      </c>
      <c r="I2952" s="7" t="s">
        <v>22</v>
      </c>
    </row>
    <row r="2953">
      <c r="A2953" s="7" t="s">
        <v>100</v>
      </c>
      <c r="B2953" s="7" t="s">
        <v>1704</v>
      </c>
      <c r="C2953" s="8">
        <f>IFERROR(__xludf.DUMMYFUNCTION("SPLIT(B2953,""RM"")"),665000.0)</f>
        <v>665000</v>
      </c>
      <c r="D2953" s="7">
        <v>3.0</v>
      </c>
      <c r="E2953" s="7">
        <v>2.0</v>
      </c>
      <c r="F2953" s="7">
        <v>2.0</v>
      </c>
      <c r="G2953" s="7" t="s">
        <v>343</v>
      </c>
      <c r="H2953" s="7" t="s">
        <v>283</v>
      </c>
      <c r="I2953" s="7" t="s">
        <v>27</v>
      </c>
    </row>
    <row r="2954">
      <c r="A2954" s="7" t="s">
        <v>371</v>
      </c>
      <c r="B2954" s="7" t="s">
        <v>890</v>
      </c>
      <c r="C2954" s="8">
        <f>IFERROR(__xludf.DUMMYFUNCTION("SPLIT(B2954,""RM"")"),450000.0)</f>
        <v>450000</v>
      </c>
      <c r="D2954" s="7">
        <v>2.0</v>
      </c>
      <c r="E2954" s="7">
        <v>2.0</v>
      </c>
      <c r="F2954" s="7">
        <v>2.0</v>
      </c>
      <c r="G2954" s="7" t="s">
        <v>385</v>
      </c>
      <c r="H2954" s="7" t="s">
        <v>1478</v>
      </c>
      <c r="I2954" s="7" t="s">
        <v>27</v>
      </c>
    </row>
    <row r="2955">
      <c r="A2955" s="7" t="s">
        <v>371</v>
      </c>
      <c r="B2955" s="7" t="s">
        <v>969</v>
      </c>
      <c r="C2955" s="8">
        <f>IFERROR(__xludf.DUMMYFUNCTION("SPLIT(B2955,""RM"")"),430000.0)</f>
        <v>430000</v>
      </c>
      <c r="F2955" s="7">
        <v>2.0</v>
      </c>
      <c r="G2955" s="7" t="s">
        <v>121</v>
      </c>
      <c r="H2955" s="7" t="s">
        <v>140</v>
      </c>
      <c r="I2955" s="7" t="s">
        <v>27</v>
      </c>
    </row>
    <row r="2956">
      <c r="A2956" s="7" t="s">
        <v>23</v>
      </c>
      <c r="B2956" s="7" t="s">
        <v>134</v>
      </c>
      <c r="C2956" s="8">
        <f>IFERROR(__xludf.DUMMYFUNCTION("SPLIT(B2956,""RM"")"),1150000.0)</f>
        <v>1150000</v>
      </c>
      <c r="D2956" s="7" t="s">
        <v>57</v>
      </c>
      <c r="E2956" s="7">
        <v>5.0</v>
      </c>
      <c r="G2956" s="7" t="s">
        <v>121</v>
      </c>
      <c r="H2956" s="7" t="s">
        <v>2109</v>
      </c>
      <c r="I2956" s="7" t="s">
        <v>27</v>
      </c>
    </row>
    <row r="2957">
      <c r="A2957" s="7" t="s">
        <v>23</v>
      </c>
      <c r="B2957" s="7" t="s">
        <v>149</v>
      </c>
      <c r="C2957" s="8">
        <f>IFERROR(__xludf.DUMMYFUNCTION("SPLIT(B2957,""RM"")"),4000000.0)</f>
        <v>4000000</v>
      </c>
      <c r="D2957" s="7" t="s">
        <v>35</v>
      </c>
      <c r="E2957" s="7">
        <v>4.0</v>
      </c>
      <c r="G2957" s="7" t="s">
        <v>43</v>
      </c>
      <c r="H2957" s="7" t="s">
        <v>256</v>
      </c>
      <c r="I2957" s="7" t="s">
        <v>27</v>
      </c>
    </row>
    <row r="2958">
      <c r="A2958" s="7" t="s">
        <v>17</v>
      </c>
      <c r="B2958" s="7" t="s">
        <v>130</v>
      </c>
      <c r="C2958" s="8">
        <f>IFERROR(__xludf.DUMMYFUNCTION("SPLIT(B2958,""RM"")"),2700000.0)</f>
        <v>2700000</v>
      </c>
      <c r="D2958" s="7" t="s">
        <v>19</v>
      </c>
      <c r="E2958" s="7">
        <v>2.0</v>
      </c>
      <c r="F2958" s="7">
        <v>2.0</v>
      </c>
      <c r="G2958" s="7" t="s">
        <v>121</v>
      </c>
      <c r="H2958" s="7" t="s">
        <v>2110</v>
      </c>
      <c r="I2958" s="7" t="s">
        <v>22</v>
      </c>
    </row>
    <row r="2959">
      <c r="A2959" s="7" t="s">
        <v>17</v>
      </c>
      <c r="B2959" s="7" t="s">
        <v>296</v>
      </c>
      <c r="C2959" s="8">
        <f>IFERROR(__xludf.DUMMYFUNCTION("SPLIT(B2959,""RM"")"),2580000.0)</f>
        <v>2580000</v>
      </c>
      <c r="D2959" s="7" t="s">
        <v>19</v>
      </c>
      <c r="E2959" s="7">
        <v>2.0</v>
      </c>
      <c r="G2959" s="7" t="s">
        <v>121</v>
      </c>
      <c r="H2959" s="7" t="s">
        <v>2110</v>
      </c>
      <c r="I2959" s="7" t="s">
        <v>27</v>
      </c>
    </row>
    <row r="2960">
      <c r="A2960" s="7" t="s">
        <v>109</v>
      </c>
      <c r="B2960" s="7" t="s">
        <v>702</v>
      </c>
      <c r="C2960" s="8">
        <f>IFERROR(__xludf.DUMMYFUNCTION("SPLIT(B2960,""RM"")"),410000.0)</f>
        <v>410000</v>
      </c>
      <c r="D2960" s="7">
        <v>3.0</v>
      </c>
      <c r="E2960" s="7">
        <v>2.0</v>
      </c>
      <c r="F2960" s="7">
        <v>1.0</v>
      </c>
      <c r="G2960" s="7" t="s">
        <v>30</v>
      </c>
      <c r="H2960" s="7" t="s">
        <v>157</v>
      </c>
      <c r="I2960" s="7" t="s">
        <v>27</v>
      </c>
    </row>
    <row r="2961">
      <c r="A2961" s="7" t="s">
        <v>109</v>
      </c>
      <c r="B2961" s="7" t="s">
        <v>715</v>
      </c>
      <c r="C2961" s="8">
        <f>IFERROR(__xludf.DUMMYFUNCTION("SPLIT(B2961,""RM"")"),550000.0)</f>
        <v>550000</v>
      </c>
      <c r="D2961" s="7" t="s">
        <v>57</v>
      </c>
      <c r="E2961" s="7">
        <v>2.0</v>
      </c>
      <c r="F2961" s="7">
        <v>2.0</v>
      </c>
      <c r="G2961" s="7" t="s">
        <v>30</v>
      </c>
      <c r="H2961" s="7" t="s">
        <v>135</v>
      </c>
      <c r="I2961" s="7" t="s">
        <v>27</v>
      </c>
    </row>
    <row r="2962">
      <c r="A2962" s="7" t="s">
        <v>33</v>
      </c>
      <c r="B2962" s="7" t="s">
        <v>2111</v>
      </c>
      <c r="C2962" s="8">
        <f>IFERROR(__xludf.DUMMYFUNCTION("SPLIT(B2962,""RM"")"),553000.0)</f>
        <v>553000</v>
      </c>
      <c r="D2962" s="7">
        <v>3.0</v>
      </c>
      <c r="E2962" s="7">
        <v>2.0</v>
      </c>
      <c r="F2962" s="7">
        <v>2.0</v>
      </c>
      <c r="G2962" s="7" t="s">
        <v>83</v>
      </c>
      <c r="H2962" s="7" t="s">
        <v>734</v>
      </c>
    </row>
    <row r="2963">
      <c r="A2963" s="7" t="s">
        <v>428</v>
      </c>
      <c r="B2963" s="7" t="s">
        <v>1978</v>
      </c>
      <c r="C2963" s="8">
        <f>IFERROR(__xludf.DUMMYFUNCTION("SPLIT(B2963,""RM"")"),475000.0)</f>
        <v>475000</v>
      </c>
      <c r="D2963" s="7">
        <v>1.0</v>
      </c>
      <c r="E2963" s="7">
        <v>1.0</v>
      </c>
      <c r="G2963" s="7" t="s">
        <v>82</v>
      </c>
      <c r="H2963" s="7" t="s">
        <v>1127</v>
      </c>
      <c r="I2963" s="7" t="s">
        <v>22</v>
      </c>
    </row>
    <row r="2964">
      <c r="A2964" s="7" t="s">
        <v>104</v>
      </c>
      <c r="B2964" s="7" t="s">
        <v>172</v>
      </c>
      <c r="C2964" s="8">
        <f>IFERROR(__xludf.DUMMYFUNCTION("SPLIT(B2964,""RM"")"),580000.0)</f>
        <v>580000</v>
      </c>
      <c r="D2964" s="7">
        <v>3.0</v>
      </c>
      <c r="E2964" s="7">
        <v>2.0</v>
      </c>
      <c r="F2964" s="7">
        <v>3.0</v>
      </c>
      <c r="G2964" s="7" t="s">
        <v>343</v>
      </c>
      <c r="H2964" s="7" t="s">
        <v>2112</v>
      </c>
      <c r="I2964" s="7" t="s">
        <v>22</v>
      </c>
    </row>
    <row r="2965">
      <c r="A2965" s="7" t="s">
        <v>104</v>
      </c>
      <c r="B2965" s="7" t="s">
        <v>172</v>
      </c>
      <c r="C2965" s="8">
        <f>IFERROR(__xludf.DUMMYFUNCTION("SPLIT(B2965,""RM"")"),580000.0)</f>
        <v>580000</v>
      </c>
      <c r="D2965" s="7">
        <v>4.0</v>
      </c>
      <c r="E2965" s="7">
        <v>2.0</v>
      </c>
      <c r="F2965" s="7">
        <v>2.0</v>
      </c>
      <c r="G2965" s="7" t="s">
        <v>82</v>
      </c>
      <c r="H2965" s="7" t="s">
        <v>2113</v>
      </c>
      <c r="I2965" s="7" t="s">
        <v>27</v>
      </c>
    </row>
    <row r="2966">
      <c r="A2966" s="7" t="s">
        <v>164</v>
      </c>
      <c r="B2966" s="7" t="s">
        <v>144</v>
      </c>
      <c r="C2966" s="8">
        <f>IFERROR(__xludf.DUMMYFUNCTION("SPLIT(B2966,""RM"")"),1800000.0)</f>
        <v>1800000</v>
      </c>
      <c r="D2966" s="7" t="s">
        <v>19</v>
      </c>
      <c r="E2966" s="7">
        <v>2.0</v>
      </c>
      <c r="F2966" s="7">
        <v>1.0</v>
      </c>
      <c r="G2966" s="7" t="s">
        <v>20</v>
      </c>
      <c r="H2966" s="7" t="s">
        <v>234</v>
      </c>
      <c r="I2966" s="7" t="s">
        <v>22</v>
      </c>
    </row>
    <row r="2967">
      <c r="A2967" s="7" t="s">
        <v>164</v>
      </c>
      <c r="B2967" s="7" t="s">
        <v>125</v>
      </c>
      <c r="C2967" s="8">
        <f>IFERROR(__xludf.DUMMYFUNCTION("SPLIT(B2967,""RM"")"),2300000.0)</f>
        <v>2300000</v>
      </c>
      <c r="D2967" s="7">
        <v>3.0</v>
      </c>
      <c r="E2967" s="7">
        <v>3.0</v>
      </c>
      <c r="G2967" s="7" t="s">
        <v>20</v>
      </c>
      <c r="H2967" s="7" t="s">
        <v>1299</v>
      </c>
      <c r="I2967" s="7" t="s">
        <v>27</v>
      </c>
    </row>
    <row r="2968">
      <c r="A2968" s="7" t="s">
        <v>164</v>
      </c>
      <c r="B2968" s="7" t="s">
        <v>78</v>
      </c>
      <c r="C2968" s="8">
        <f>IFERROR(__xludf.DUMMYFUNCTION("SPLIT(B2968,""RM"")"),1500000.0)</f>
        <v>1500000</v>
      </c>
      <c r="D2968" s="7">
        <v>2.0</v>
      </c>
      <c r="E2968" s="7">
        <v>2.0</v>
      </c>
      <c r="F2968" s="7">
        <v>1.0</v>
      </c>
      <c r="G2968" s="7" t="s">
        <v>82</v>
      </c>
      <c r="H2968" s="7" t="s">
        <v>959</v>
      </c>
      <c r="I2968" s="7" t="s">
        <v>22</v>
      </c>
    </row>
    <row r="2969">
      <c r="A2969" s="7" t="s">
        <v>32</v>
      </c>
      <c r="B2969" s="7" t="s">
        <v>2114</v>
      </c>
      <c r="C2969" s="8">
        <f>IFERROR(__xludf.DUMMYFUNCTION("SPLIT(B2969,""RM"")"),3699000.0)</f>
        <v>3699000</v>
      </c>
      <c r="D2969" s="7">
        <v>7.0</v>
      </c>
      <c r="E2969" s="7">
        <v>7.0</v>
      </c>
      <c r="G2969" s="7" t="s">
        <v>25</v>
      </c>
      <c r="H2969" s="7" t="s">
        <v>2115</v>
      </c>
      <c r="I2969" s="7" t="s">
        <v>27</v>
      </c>
    </row>
    <row r="2970">
      <c r="A2970" s="7" t="s">
        <v>164</v>
      </c>
      <c r="B2970" s="7" t="s">
        <v>1374</v>
      </c>
      <c r="C2970" s="8">
        <f>IFERROR(__xludf.DUMMYFUNCTION("SPLIT(B2970,""RM"")"),1360000.0)</f>
        <v>1360000</v>
      </c>
      <c r="D2970" s="7" t="s">
        <v>197</v>
      </c>
      <c r="E2970" s="7">
        <v>2.0</v>
      </c>
      <c r="G2970" s="7" t="s">
        <v>82</v>
      </c>
      <c r="H2970" s="7" t="s">
        <v>237</v>
      </c>
      <c r="I2970" s="7" t="s">
        <v>27</v>
      </c>
    </row>
    <row r="2971">
      <c r="A2971" s="7" t="s">
        <v>164</v>
      </c>
      <c r="B2971" s="7" t="s">
        <v>306</v>
      </c>
      <c r="C2971" s="8">
        <f>IFERROR(__xludf.DUMMYFUNCTION("SPLIT(B2971,""RM"")"),1990000.0)</f>
        <v>1990000</v>
      </c>
      <c r="D2971" s="7" t="s">
        <v>19</v>
      </c>
      <c r="E2971" s="7">
        <v>4.0</v>
      </c>
      <c r="F2971" s="7">
        <v>1.0</v>
      </c>
      <c r="G2971" s="7" t="s">
        <v>20</v>
      </c>
      <c r="H2971" s="7" t="s">
        <v>303</v>
      </c>
      <c r="I2971" s="7" t="s">
        <v>22</v>
      </c>
    </row>
    <row r="2972">
      <c r="A2972" s="7" t="s">
        <v>164</v>
      </c>
      <c r="B2972" s="7" t="s">
        <v>940</v>
      </c>
      <c r="C2972" s="8">
        <f>IFERROR(__xludf.DUMMYFUNCTION("SPLIT(B2972,""RM"")"),4300000.0)</f>
        <v>4300000</v>
      </c>
      <c r="D2972" s="7" t="s">
        <v>35</v>
      </c>
      <c r="E2972" s="7">
        <v>6.0</v>
      </c>
      <c r="F2972" s="7">
        <v>4.0</v>
      </c>
      <c r="G2972" s="7" t="s">
        <v>312</v>
      </c>
      <c r="H2972" s="7" t="s">
        <v>568</v>
      </c>
      <c r="I2972" s="7" t="s">
        <v>27</v>
      </c>
    </row>
    <row r="2973">
      <c r="A2973" s="7" t="s">
        <v>155</v>
      </c>
      <c r="B2973" s="7" t="s">
        <v>955</v>
      </c>
      <c r="C2973" s="8">
        <f>IFERROR(__xludf.DUMMYFUNCTION("SPLIT(B2973,""RM"")"),498000.0)</f>
        <v>498000</v>
      </c>
      <c r="D2973" s="7">
        <v>3.0</v>
      </c>
      <c r="E2973" s="7">
        <v>2.0</v>
      </c>
      <c r="F2973" s="7">
        <v>1.0</v>
      </c>
      <c r="G2973" s="7" t="s">
        <v>121</v>
      </c>
      <c r="H2973" s="7" t="s">
        <v>2116</v>
      </c>
      <c r="I2973" s="7" t="s">
        <v>27</v>
      </c>
    </row>
    <row r="2974">
      <c r="A2974" s="7" t="s">
        <v>164</v>
      </c>
      <c r="B2974" s="7" t="s">
        <v>327</v>
      </c>
      <c r="C2974" s="8">
        <f>IFERROR(__xludf.DUMMYFUNCTION("SPLIT(B2974,""RM"")"),1300000.0)</f>
        <v>1300000</v>
      </c>
      <c r="D2974" s="7" t="s">
        <v>19</v>
      </c>
      <c r="E2974" s="7">
        <v>3.0</v>
      </c>
      <c r="F2974" s="7">
        <v>2.0</v>
      </c>
      <c r="G2974" s="7" t="s">
        <v>83</v>
      </c>
      <c r="H2974" s="7" t="s">
        <v>1518</v>
      </c>
      <c r="I2974" s="7" t="s">
        <v>27</v>
      </c>
    </row>
    <row r="2975">
      <c r="A2975" s="7" t="s">
        <v>72</v>
      </c>
      <c r="B2975" s="7" t="s">
        <v>322</v>
      </c>
      <c r="C2975" s="8">
        <f>IFERROR(__xludf.DUMMYFUNCTION("SPLIT(B2975,""RM"")"),1900000.0)</f>
        <v>1900000</v>
      </c>
      <c r="D2975" s="7" t="s">
        <v>79</v>
      </c>
      <c r="E2975" s="7">
        <v>4.0</v>
      </c>
      <c r="G2975" s="7" t="s">
        <v>93</v>
      </c>
      <c r="H2975" s="7" t="s">
        <v>74</v>
      </c>
      <c r="I2975" s="7" t="s">
        <v>27</v>
      </c>
    </row>
    <row r="2976">
      <c r="A2976" s="7" t="s">
        <v>72</v>
      </c>
      <c r="B2976" s="7" t="s">
        <v>707</v>
      </c>
      <c r="C2976" s="8">
        <f>IFERROR(__xludf.DUMMYFUNCTION("SPLIT(B2976,""RM"")"),1860000.0)</f>
        <v>1860000</v>
      </c>
      <c r="D2976" s="7" t="s">
        <v>57</v>
      </c>
      <c r="E2976" s="7">
        <v>4.0</v>
      </c>
      <c r="F2976" s="7">
        <v>2.0</v>
      </c>
      <c r="G2976" s="7" t="s">
        <v>83</v>
      </c>
      <c r="H2976" s="7" t="s">
        <v>708</v>
      </c>
      <c r="I2976" s="7" t="s">
        <v>27</v>
      </c>
    </row>
    <row r="2977">
      <c r="A2977" s="7" t="s">
        <v>72</v>
      </c>
      <c r="B2977" s="7" t="s">
        <v>118</v>
      </c>
      <c r="C2977" s="8">
        <f>IFERROR(__xludf.DUMMYFUNCTION("SPLIT(B2977,""RM"")"),1720000.0)</f>
        <v>1720000</v>
      </c>
      <c r="D2977" s="7" t="s">
        <v>57</v>
      </c>
      <c r="E2977" s="7">
        <v>4.0</v>
      </c>
      <c r="F2977" s="7">
        <v>2.0</v>
      </c>
      <c r="G2977" s="7" t="s">
        <v>93</v>
      </c>
      <c r="H2977" s="7" t="s">
        <v>119</v>
      </c>
      <c r="I2977" s="7" t="s">
        <v>27</v>
      </c>
    </row>
    <row r="2978">
      <c r="A2978" s="7" t="s">
        <v>23</v>
      </c>
      <c r="B2978" s="7" t="s">
        <v>943</v>
      </c>
      <c r="C2978" s="8">
        <f>IFERROR(__xludf.DUMMYFUNCTION("SPLIT(B2978,""RM"")"),4680000.0)</f>
        <v>4680000</v>
      </c>
      <c r="D2978" s="7" t="s">
        <v>70</v>
      </c>
      <c r="E2978" s="7">
        <v>5.0</v>
      </c>
      <c r="G2978" s="7" t="s">
        <v>43</v>
      </c>
      <c r="H2978" s="7" t="s">
        <v>478</v>
      </c>
      <c r="I2978" s="7" t="s">
        <v>27</v>
      </c>
    </row>
    <row r="2979">
      <c r="A2979" s="7" t="s">
        <v>23</v>
      </c>
      <c r="B2979" s="7" t="s">
        <v>534</v>
      </c>
      <c r="C2979" s="8">
        <f>IFERROR(__xludf.DUMMYFUNCTION("SPLIT(B2979,""RM"")"),3200000.0)</f>
        <v>3200000</v>
      </c>
      <c r="D2979" s="7" t="s">
        <v>70</v>
      </c>
      <c r="E2979" s="7">
        <v>6.0</v>
      </c>
      <c r="F2979" s="7">
        <v>2.0</v>
      </c>
      <c r="G2979" s="7" t="s">
        <v>681</v>
      </c>
      <c r="H2979" s="7" t="s">
        <v>2117</v>
      </c>
      <c r="I2979" s="7" t="s">
        <v>27</v>
      </c>
    </row>
    <row r="2980">
      <c r="A2980" s="7" t="s">
        <v>23</v>
      </c>
      <c r="B2980" s="7" t="s">
        <v>403</v>
      </c>
      <c r="C2980" s="8">
        <f>IFERROR(__xludf.DUMMYFUNCTION("SPLIT(B2980,""RM"")"),1600000.0)</f>
        <v>1600000</v>
      </c>
      <c r="D2980" s="7">
        <v>5.0</v>
      </c>
      <c r="E2980" s="7">
        <v>3.0</v>
      </c>
      <c r="F2980" s="7">
        <v>3.0</v>
      </c>
      <c r="G2980" s="7" t="s">
        <v>169</v>
      </c>
      <c r="H2980" s="7" t="s">
        <v>2118</v>
      </c>
    </row>
    <row r="2981">
      <c r="A2981" s="7" t="s">
        <v>177</v>
      </c>
      <c r="B2981" s="7" t="s">
        <v>193</v>
      </c>
      <c r="C2981" s="8">
        <f>IFERROR(__xludf.DUMMYFUNCTION("SPLIT(B2981,""RM"")"),1650000.0)</f>
        <v>1650000</v>
      </c>
      <c r="D2981" s="7">
        <v>4.0</v>
      </c>
      <c r="E2981" s="7">
        <v>3.0</v>
      </c>
      <c r="G2981" s="7" t="s">
        <v>54</v>
      </c>
      <c r="H2981" s="7" t="s">
        <v>280</v>
      </c>
      <c r="I2981" s="7" t="s">
        <v>27</v>
      </c>
    </row>
    <row r="2982">
      <c r="A2982" s="7" t="s">
        <v>177</v>
      </c>
      <c r="B2982" s="7" t="s">
        <v>842</v>
      </c>
      <c r="C2982" s="8">
        <f>IFERROR(__xludf.DUMMYFUNCTION("SPLIT(B2982,""RM"")"),5800000.0)</f>
        <v>5800000</v>
      </c>
      <c r="D2982" s="7" t="s">
        <v>39</v>
      </c>
      <c r="E2982" s="7">
        <v>5.0</v>
      </c>
      <c r="G2982" s="7" t="s">
        <v>25</v>
      </c>
      <c r="H2982" s="7" t="s">
        <v>2119</v>
      </c>
      <c r="I2982" s="7" t="s">
        <v>27</v>
      </c>
    </row>
    <row r="2983">
      <c r="A2983" s="7" t="s">
        <v>23</v>
      </c>
      <c r="B2983" s="7" t="s">
        <v>123</v>
      </c>
      <c r="C2983" s="8">
        <f>IFERROR(__xludf.DUMMYFUNCTION("SPLIT(B2983,""RM"")"),4280000.0)</f>
        <v>4280000</v>
      </c>
      <c r="D2983" s="7">
        <v>5.0</v>
      </c>
      <c r="E2983" s="7">
        <v>6.0</v>
      </c>
      <c r="G2983" s="7" t="s">
        <v>67</v>
      </c>
      <c r="H2983" s="7" t="s">
        <v>843</v>
      </c>
      <c r="I2983" s="7" t="s">
        <v>27</v>
      </c>
    </row>
    <row r="2984">
      <c r="A2984" s="7" t="s">
        <v>23</v>
      </c>
      <c r="B2984" s="7" t="s">
        <v>1721</v>
      </c>
      <c r="C2984" s="8">
        <f>IFERROR(__xludf.DUMMYFUNCTION("SPLIT(B2984,""RM"")"),4100000.0)</f>
        <v>4100000</v>
      </c>
      <c r="D2984" s="7" t="s">
        <v>60</v>
      </c>
      <c r="E2984" s="7">
        <v>5.0</v>
      </c>
      <c r="F2984" s="7">
        <v>5.0</v>
      </c>
      <c r="G2984" s="7" t="s">
        <v>67</v>
      </c>
      <c r="H2984" s="7" t="s">
        <v>2120</v>
      </c>
      <c r="I2984" s="7" t="s">
        <v>27</v>
      </c>
    </row>
    <row r="2985">
      <c r="A2985" s="7" t="s">
        <v>143</v>
      </c>
      <c r="B2985" s="7" t="s">
        <v>2121</v>
      </c>
      <c r="C2985" s="8">
        <f>IFERROR(__xludf.DUMMYFUNCTION("SPLIT(B2985,""RM"")"),4.7916E7)</f>
        <v>47916000</v>
      </c>
      <c r="G2985" s="7" t="s">
        <v>667</v>
      </c>
      <c r="H2985" s="7" t="s">
        <v>2122</v>
      </c>
    </row>
    <row r="2986">
      <c r="A2986" s="7" t="s">
        <v>86</v>
      </c>
      <c r="B2986" s="7" t="s">
        <v>2123</v>
      </c>
      <c r="C2986" s="8">
        <f>IFERROR(__xludf.DUMMYFUNCTION("SPLIT(B2986,""RM"")"),4.9E7)</f>
        <v>49000000</v>
      </c>
      <c r="G2986" s="7" t="s">
        <v>667</v>
      </c>
      <c r="H2986" s="7" t="s">
        <v>2124</v>
      </c>
      <c r="I2986" s="7" t="s">
        <v>103</v>
      </c>
    </row>
    <row r="2987">
      <c r="A2987" s="7" t="s">
        <v>262</v>
      </c>
      <c r="B2987" s="7" t="s">
        <v>943</v>
      </c>
      <c r="C2987" s="8">
        <f>IFERROR(__xludf.DUMMYFUNCTION("SPLIT(B2987,""RM"")"),4680000.0)</f>
        <v>4680000</v>
      </c>
      <c r="G2987" s="7" t="s">
        <v>667</v>
      </c>
      <c r="H2987" s="7" t="s">
        <v>2125</v>
      </c>
      <c r="I2987" s="7" t="s">
        <v>251</v>
      </c>
    </row>
    <row r="2988">
      <c r="A2988" s="7" t="s">
        <v>23</v>
      </c>
      <c r="B2988" s="7" t="s">
        <v>2126</v>
      </c>
      <c r="C2988" s="8">
        <f>IFERROR(__xludf.DUMMYFUNCTION("SPLIT(B2988,""RM"")"),6335000.0)</f>
        <v>6335000</v>
      </c>
      <c r="G2988" s="7" t="s">
        <v>1453</v>
      </c>
      <c r="H2988" s="7" t="s">
        <v>2127</v>
      </c>
      <c r="I2988" s="7" t="s">
        <v>251</v>
      </c>
    </row>
    <row r="2989">
      <c r="A2989" s="7" t="s">
        <v>1960</v>
      </c>
      <c r="B2989" s="7" t="s">
        <v>2128</v>
      </c>
      <c r="C2989" s="8">
        <f>IFERROR(__xludf.DUMMYFUNCTION("SPLIT(B2989,""RM"")"),2.468E7)</f>
        <v>24680000</v>
      </c>
      <c r="G2989" s="7" t="s">
        <v>667</v>
      </c>
      <c r="H2989" s="7" t="s">
        <v>2129</v>
      </c>
    </row>
    <row r="2990">
      <c r="A2990" s="7" t="s">
        <v>155</v>
      </c>
      <c r="B2990" s="7" t="s">
        <v>2130</v>
      </c>
      <c r="C2990" s="8">
        <f>IFERROR(__xludf.DUMMYFUNCTION("SPLIT(B2990,""RM"")"),3.267E7)</f>
        <v>32670000</v>
      </c>
      <c r="G2990" s="7" t="s">
        <v>667</v>
      </c>
      <c r="H2990" s="7" t="s">
        <v>2131</v>
      </c>
    </row>
    <row r="2991">
      <c r="A2991" s="7" t="s">
        <v>77</v>
      </c>
      <c r="B2991" s="7" t="s">
        <v>2132</v>
      </c>
      <c r="C2991" s="8">
        <f>IFERROR(__xludf.DUMMYFUNCTION("SPLIT(B2991,""RM"")"),1.183E7)</f>
        <v>11830000</v>
      </c>
      <c r="G2991" s="7" t="s">
        <v>1453</v>
      </c>
      <c r="H2991" s="7" t="s">
        <v>2133</v>
      </c>
    </row>
    <row r="2992">
      <c r="A2992" s="7" t="s">
        <v>77</v>
      </c>
      <c r="B2992" s="7" t="s">
        <v>390</v>
      </c>
      <c r="C2992" s="8">
        <f>IFERROR(__xludf.DUMMYFUNCTION("SPLIT(B2992,""RM"")"),6300000.0)</f>
        <v>6300000</v>
      </c>
      <c r="G2992" s="7" t="s">
        <v>1453</v>
      </c>
      <c r="H2992" s="7" t="s">
        <v>1063</v>
      </c>
    </row>
    <row r="2993">
      <c r="A2993" s="7" t="s">
        <v>77</v>
      </c>
      <c r="B2993" s="7" t="s">
        <v>2134</v>
      </c>
      <c r="C2993" s="8">
        <f>IFERROR(__xludf.DUMMYFUNCTION("SPLIT(B2993,""RM"")"),4850000.0)</f>
        <v>4850000</v>
      </c>
      <c r="G2993" s="7" t="s">
        <v>1453</v>
      </c>
      <c r="H2993" s="7" t="s">
        <v>531</v>
      </c>
      <c r="I2993" s="7" t="s">
        <v>251</v>
      </c>
    </row>
    <row r="2994">
      <c r="A2994" s="7" t="s">
        <v>709</v>
      </c>
      <c r="B2994" s="7" t="s">
        <v>314</v>
      </c>
      <c r="C2994" s="8">
        <f>IFERROR(__xludf.DUMMYFUNCTION("SPLIT(B2994,""RM"")"),670000.0)</f>
        <v>670000</v>
      </c>
      <c r="D2994" s="7">
        <v>1.0</v>
      </c>
      <c r="E2994" s="7">
        <v>2.0</v>
      </c>
      <c r="F2994" s="7">
        <v>1.0</v>
      </c>
      <c r="G2994" s="7" t="s">
        <v>20</v>
      </c>
      <c r="H2994" s="7" t="s">
        <v>1352</v>
      </c>
      <c r="I2994" s="7" t="s">
        <v>27</v>
      </c>
    </row>
    <row r="2995">
      <c r="A2995" s="7" t="s">
        <v>262</v>
      </c>
      <c r="B2995" s="7" t="s">
        <v>2135</v>
      </c>
      <c r="C2995" s="8">
        <f>IFERROR(__xludf.DUMMYFUNCTION("SPLIT(B2995,""RM"")"),1.054E7)</f>
        <v>10540000</v>
      </c>
      <c r="G2995" s="7" t="s">
        <v>667</v>
      </c>
      <c r="H2995" s="7" t="s">
        <v>2136</v>
      </c>
      <c r="I2995" s="7" t="s">
        <v>251</v>
      </c>
    </row>
    <row r="2996">
      <c r="A2996" s="7" t="s">
        <v>164</v>
      </c>
      <c r="B2996" s="7" t="s">
        <v>309</v>
      </c>
      <c r="C2996" s="8">
        <f>IFERROR(__xludf.DUMMYFUNCTION("SPLIT(B2996,""RM"")"),2100000.0)</f>
        <v>2100000</v>
      </c>
      <c r="D2996" s="7" t="s">
        <v>325</v>
      </c>
      <c r="E2996" s="7">
        <v>2.0</v>
      </c>
      <c r="F2996" s="7">
        <v>1.0</v>
      </c>
      <c r="G2996" s="7" t="s">
        <v>1821</v>
      </c>
      <c r="H2996" s="7" t="s">
        <v>246</v>
      </c>
      <c r="I2996" s="7" t="s">
        <v>27</v>
      </c>
    </row>
    <row r="2997">
      <c r="A2997" s="7" t="s">
        <v>164</v>
      </c>
      <c r="B2997" s="7" t="s">
        <v>2137</v>
      </c>
      <c r="C2997" s="8">
        <f>IFERROR(__xludf.DUMMYFUNCTION("SPLIT(B2997,""RM"")"),5214000.0)</f>
        <v>5214000</v>
      </c>
      <c r="D2997" s="7" t="s">
        <v>19</v>
      </c>
      <c r="E2997" s="7">
        <v>4.0</v>
      </c>
      <c r="F2997" s="7">
        <v>1.0</v>
      </c>
      <c r="G2997" s="7" t="s">
        <v>121</v>
      </c>
      <c r="H2997" s="7" t="s">
        <v>700</v>
      </c>
      <c r="I2997" s="7" t="s">
        <v>27</v>
      </c>
    </row>
    <row r="2998">
      <c r="A2998" s="7" t="s">
        <v>177</v>
      </c>
      <c r="B2998" s="7" t="s">
        <v>66</v>
      </c>
      <c r="C2998" s="8">
        <f>IFERROR(__xludf.DUMMYFUNCTION("SPLIT(B2998,""RM"")"),9000000.0)</f>
        <v>9000000</v>
      </c>
      <c r="D2998" s="7" t="s">
        <v>39</v>
      </c>
      <c r="E2998" s="7">
        <v>6.0</v>
      </c>
      <c r="F2998" s="7">
        <v>3.0</v>
      </c>
      <c r="G2998" s="7" t="s">
        <v>83</v>
      </c>
      <c r="H2998" s="7" t="s">
        <v>550</v>
      </c>
      <c r="I2998" s="7" t="s">
        <v>103</v>
      </c>
    </row>
    <row r="2999">
      <c r="A2999" s="7" t="s">
        <v>177</v>
      </c>
      <c r="B2999" s="7" t="s">
        <v>616</v>
      </c>
      <c r="C2999" s="8">
        <f>IFERROR(__xludf.DUMMYFUNCTION("SPLIT(B2999,""RM"")"),7500000.0)</f>
        <v>7500000</v>
      </c>
      <c r="D2999" s="7" t="s">
        <v>35</v>
      </c>
      <c r="E2999" s="7">
        <v>6.0</v>
      </c>
      <c r="F2999" s="7">
        <v>3.0</v>
      </c>
      <c r="G2999" s="7" t="s">
        <v>83</v>
      </c>
      <c r="H2999" s="7" t="s">
        <v>572</v>
      </c>
      <c r="I2999" s="7" t="s">
        <v>103</v>
      </c>
    </row>
    <row r="3000">
      <c r="A3000" s="7" t="s">
        <v>177</v>
      </c>
      <c r="B3000" s="7" t="s">
        <v>858</v>
      </c>
      <c r="C3000" s="8">
        <f>IFERROR(__xludf.DUMMYFUNCTION("SPLIT(B3000,""RM"")"),1.05E7)</f>
        <v>10500000</v>
      </c>
      <c r="D3000" s="7" t="s">
        <v>70</v>
      </c>
      <c r="E3000" s="7">
        <v>7.0</v>
      </c>
      <c r="F3000" s="7">
        <v>6.0</v>
      </c>
      <c r="G3000" s="7" t="s">
        <v>83</v>
      </c>
      <c r="H3000" s="7" t="s">
        <v>546</v>
      </c>
      <c r="I3000" s="7" t="s">
        <v>27</v>
      </c>
    </row>
    <row r="3001">
      <c r="A3001" s="7" t="s">
        <v>177</v>
      </c>
      <c r="B3001" s="7" t="s">
        <v>66</v>
      </c>
      <c r="C3001" s="8">
        <f>IFERROR(__xludf.DUMMYFUNCTION("SPLIT(B3001,""RM"")"),9000000.0)</f>
        <v>9000000</v>
      </c>
      <c r="D3001" s="7" t="s">
        <v>70</v>
      </c>
      <c r="E3001" s="7">
        <v>6.0</v>
      </c>
      <c r="F3001" s="7">
        <v>6.0</v>
      </c>
      <c r="G3001" s="7" t="s">
        <v>25</v>
      </c>
      <c r="H3001" s="7" t="s">
        <v>2138</v>
      </c>
      <c r="I3001" s="7" t="s">
        <v>27</v>
      </c>
    </row>
    <row r="3002">
      <c r="A3002" s="7" t="s">
        <v>72</v>
      </c>
      <c r="B3002" s="7" t="s">
        <v>940</v>
      </c>
      <c r="C3002" s="8">
        <f>IFERROR(__xludf.DUMMYFUNCTION("SPLIT(B3002,""RM"")"),4300000.0)</f>
        <v>4300000</v>
      </c>
      <c r="D3002" s="7" t="s">
        <v>60</v>
      </c>
      <c r="E3002" s="7">
        <v>6.0</v>
      </c>
      <c r="F3002" s="7">
        <v>4.0</v>
      </c>
      <c r="G3002" s="7" t="s">
        <v>43</v>
      </c>
      <c r="H3002" s="7" t="s">
        <v>1202</v>
      </c>
      <c r="I3002" s="7" t="s">
        <v>22</v>
      </c>
    </row>
    <row r="3003">
      <c r="A3003" s="7" t="s">
        <v>72</v>
      </c>
      <c r="B3003" s="7" t="s">
        <v>757</v>
      </c>
      <c r="C3003" s="8">
        <f>IFERROR(__xludf.DUMMYFUNCTION("SPLIT(B3003,""RM"")"),4250000.0)</f>
        <v>4250000</v>
      </c>
      <c r="D3003" s="7" t="s">
        <v>60</v>
      </c>
      <c r="E3003" s="7">
        <v>6.0</v>
      </c>
      <c r="F3003" s="7">
        <v>4.0</v>
      </c>
      <c r="G3003" s="7" t="s">
        <v>64</v>
      </c>
      <c r="H3003" s="7" t="s">
        <v>2139</v>
      </c>
      <c r="I3003" s="7" t="s">
        <v>27</v>
      </c>
    </row>
    <row r="3004">
      <c r="A3004" s="7" t="s">
        <v>432</v>
      </c>
      <c r="B3004" s="7" t="s">
        <v>475</v>
      </c>
      <c r="C3004" s="8">
        <f>IFERROR(__xludf.DUMMYFUNCTION("SPLIT(B3004,""RM"")"),2800000.0)</f>
        <v>2800000</v>
      </c>
      <c r="D3004" s="7" t="s">
        <v>70</v>
      </c>
      <c r="E3004" s="7">
        <v>5.0</v>
      </c>
      <c r="F3004" s="7">
        <v>4.0</v>
      </c>
      <c r="G3004" s="7" t="s">
        <v>43</v>
      </c>
      <c r="H3004" s="7" t="s">
        <v>1154</v>
      </c>
      <c r="I3004" s="7" t="s">
        <v>27</v>
      </c>
    </row>
    <row r="3005">
      <c r="A3005" s="7" t="s">
        <v>432</v>
      </c>
      <c r="B3005" s="7" t="s">
        <v>534</v>
      </c>
      <c r="C3005" s="8">
        <f>IFERROR(__xludf.DUMMYFUNCTION("SPLIT(B3005,""RM"")"),3200000.0)</f>
        <v>3200000</v>
      </c>
      <c r="D3005" s="7" t="s">
        <v>35</v>
      </c>
      <c r="E3005" s="7">
        <v>6.0</v>
      </c>
      <c r="F3005" s="7">
        <v>4.0</v>
      </c>
      <c r="G3005" s="7" t="s">
        <v>43</v>
      </c>
      <c r="H3005" s="7" t="s">
        <v>2140</v>
      </c>
      <c r="I3005" s="7" t="s">
        <v>27</v>
      </c>
    </row>
    <row r="3006">
      <c r="A3006" s="7" t="s">
        <v>432</v>
      </c>
      <c r="B3006" s="7" t="s">
        <v>1736</v>
      </c>
      <c r="C3006" s="8">
        <f>IFERROR(__xludf.DUMMYFUNCTION("SPLIT(B3006,""RM"")"),1.6E7)</f>
        <v>16000000</v>
      </c>
      <c r="D3006" s="7" t="s">
        <v>218</v>
      </c>
      <c r="E3006" s="7">
        <v>7.0</v>
      </c>
      <c r="F3006" s="7">
        <v>28.0</v>
      </c>
      <c r="G3006" s="7" t="s">
        <v>25</v>
      </c>
      <c r="H3006" s="7" t="s">
        <v>1737</v>
      </c>
      <c r="I3006" s="7" t="s">
        <v>27</v>
      </c>
    </row>
    <row r="3007">
      <c r="A3007" s="7" t="s">
        <v>432</v>
      </c>
      <c r="B3007" s="7" t="s">
        <v>120</v>
      </c>
      <c r="C3007" s="8">
        <f>IFERROR(__xludf.DUMMYFUNCTION("SPLIT(B3007,""RM"")"),3600000.0)</f>
        <v>3600000</v>
      </c>
      <c r="D3007" s="7" t="s">
        <v>70</v>
      </c>
      <c r="E3007" s="7">
        <v>5.0</v>
      </c>
      <c r="G3007" s="7" t="s">
        <v>1036</v>
      </c>
      <c r="H3007" s="7" t="s">
        <v>1935</v>
      </c>
      <c r="I3007" s="7" t="s">
        <v>27</v>
      </c>
    </row>
    <row r="3008">
      <c r="A3008" s="7" t="s">
        <v>432</v>
      </c>
      <c r="B3008" s="7" t="s">
        <v>2141</v>
      </c>
      <c r="C3008" s="8">
        <f>IFERROR(__xludf.DUMMYFUNCTION("SPLIT(B3008,""RM"")"),6680000.0)</f>
        <v>6680000</v>
      </c>
      <c r="D3008" s="7" t="s">
        <v>70</v>
      </c>
      <c r="E3008" s="7">
        <v>6.0</v>
      </c>
      <c r="F3008" s="7">
        <v>6.0</v>
      </c>
      <c r="G3008" s="7" t="s">
        <v>25</v>
      </c>
      <c r="H3008" s="7" t="s">
        <v>843</v>
      </c>
      <c r="I3008" s="7" t="s">
        <v>103</v>
      </c>
    </row>
    <row r="3009">
      <c r="A3009" s="7" t="s">
        <v>432</v>
      </c>
      <c r="B3009" s="7" t="s">
        <v>465</v>
      </c>
      <c r="C3009" s="8">
        <f>IFERROR(__xludf.DUMMYFUNCTION("SPLIT(B3009,""RM"")"),8000000.0)</f>
        <v>8000000</v>
      </c>
      <c r="D3009" s="7" t="s">
        <v>70</v>
      </c>
      <c r="E3009" s="7">
        <v>6.0</v>
      </c>
      <c r="F3009" s="7">
        <v>6.0</v>
      </c>
      <c r="G3009" s="7" t="s">
        <v>25</v>
      </c>
      <c r="H3009" s="7" t="s">
        <v>1764</v>
      </c>
      <c r="I3009" s="7" t="s">
        <v>27</v>
      </c>
    </row>
    <row r="3010">
      <c r="A3010" s="7" t="s">
        <v>72</v>
      </c>
      <c r="B3010" s="7" t="s">
        <v>2142</v>
      </c>
      <c r="C3010" s="8">
        <f>IFERROR(__xludf.DUMMYFUNCTION("SPLIT(B3010,""RM"")"),7680000.0)</f>
        <v>7680000</v>
      </c>
      <c r="D3010" s="7" t="s">
        <v>218</v>
      </c>
      <c r="E3010" s="7">
        <v>6.0</v>
      </c>
      <c r="F3010" s="7">
        <v>6.0</v>
      </c>
      <c r="G3010" s="7" t="s">
        <v>25</v>
      </c>
      <c r="H3010" s="7" t="s">
        <v>40</v>
      </c>
      <c r="I3010" s="7" t="s">
        <v>27</v>
      </c>
    </row>
    <row r="3011">
      <c r="A3011" s="7" t="s">
        <v>72</v>
      </c>
      <c r="B3011" s="7" t="s">
        <v>513</v>
      </c>
      <c r="C3011" s="8">
        <f>IFERROR(__xludf.DUMMYFUNCTION("SPLIT(B3011,""RM"")"),1.2E7)</f>
        <v>12000000</v>
      </c>
      <c r="D3011" s="7" t="s">
        <v>70</v>
      </c>
      <c r="E3011" s="7">
        <v>4.0</v>
      </c>
      <c r="F3011" s="7">
        <v>4.0</v>
      </c>
      <c r="G3011" s="7" t="s">
        <v>25</v>
      </c>
      <c r="H3011" s="7" t="s">
        <v>2143</v>
      </c>
      <c r="I3011" s="7" t="s">
        <v>27</v>
      </c>
    </row>
    <row r="3012">
      <c r="A3012" s="7" t="s">
        <v>432</v>
      </c>
      <c r="B3012" s="7" t="s">
        <v>66</v>
      </c>
      <c r="C3012" s="8">
        <f>IFERROR(__xludf.DUMMYFUNCTION("SPLIT(B3012,""RM"")"),9000000.0)</f>
        <v>9000000</v>
      </c>
      <c r="D3012" s="7" t="s">
        <v>70</v>
      </c>
      <c r="E3012" s="7">
        <v>6.0</v>
      </c>
      <c r="G3012" s="7" t="s">
        <v>25</v>
      </c>
      <c r="H3012" s="7" t="s">
        <v>856</v>
      </c>
      <c r="I3012" s="7" t="s">
        <v>27</v>
      </c>
    </row>
    <row r="3013">
      <c r="A3013" s="7" t="s">
        <v>72</v>
      </c>
      <c r="B3013" s="7" t="s">
        <v>1951</v>
      </c>
      <c r="C3013" s="8">
        <f>IFERROR(__xludf.DUMMYFUNCTION("SPLIT(B3013,""RM"")"),4780000.0)</f>
        <v>4780000</v>
      </c>
      <c r="D3013" s="7" t="s">
        <v>35</v>
      </c>
      <c r="E3013" s="7">
        <v>5.0</v>
      </c>
      <c r="F3013" s="7">
        <v>4.0</v>
      </c>
      <c r="G3013" s="7" t="s">
        <v>487</v>
      </c>
      <c r="H3013" s="7" t="s">
        <v>863</v>
      </c>
      <c r="I3013" s="7" t="s">
        <v>27</v>
      </c>
    </row>
    <row r="3014">
      <c r="A3014" s="7" t="s">
        <v>72</v>
      </c>
      <c r="B3014" s="7" t="s">
        <v>757</v>
      </c>
      <c r="C3014" s="8">
        <f>IFERROR(__xludf.DUMMYFUNCTION("SPLIT(B3014,""RM"")"),4250000.0)</f>
        <v>4250000</v>
      </c>
      <c r="D3014" s="7" t="s">
        <v>35</v>
      </c>
      <c r="E3014" s="7">
        <v>5.0</v>
      </c>
      <c r="G3014" s="7" t="s">
        <v>43</v>
      </c>
      <c r="H3014" s="7" t="s">
        <v>1594</v>
      </c>
      <c r="I3014" s="7" t="s">
        <v>22</v>
      </c>
    </row>
    <row r="3015">
      <c r="A3015" s="7" t="s">
        <v>72</v>
      </c>
      <c r="B3015" s="7" t="s">
        <v>513</v>
      </c>
      <c r="C3015" s="8">
        <f>IFERROR(__xludf.DUMMYFUNCTION("SPLIT(B3015,""RM"")"),1.2E7)</f>
        <v>12000000</v>
      </c>
      <c r="D3015" s="7" t="s">
        <v>60</v>
      </c>
      <c r="E3015" s="7">
        <v>6.0</v>
      </c>
      <c r="F3015" s="7">
        <v>6.0</v>
      </c>
      <c r="G3015" s="7" t="s">
        <v>25</v>
      </c>
      <c r="H3015" s="7" t="s">
        <v>2144</v>
      </c>
      <c r="I3015" s="7" t="s">
        <v>27</v>
      </c>
    </row>
    <row r="3016">
      <c r="A3016" s="7" t="s">
        <v>432</v>
      </c>
      <c r="B3016" s="7" t="s">
        <v>123</v>
      </c>
      <c r="C3016" s="8">
        <f>IFERROR(__xludf.DUMMYFUNCTION("SPLIT(B3016,""RM"")"),4280000.0)</f>
        <v>4280000</v>
      </c>
      <c r="D3016" s="7" t="s">
        <v>70</v>
      </c>
      <c r="E3016" s="7">
        <v>5.0</v>
      </c>
      <c r="F3016" s="7">
        <v>4.0</v>
      </c>
      <c r="G3016" s="7" t="s">
        <v>736</v>
      </c>
      <c r="H3016" s="7" t="s">
        <v>860</v>
      </c>
      <c r="I3016" s="7" t="s">
        <v>27</v>
      </c>
    </row>
    <row r="3017">
      <c r="A3017" s="7" t="s">
        <v>72</v>
      </c>
      <c r="B3017" s="7" t="s">
        <v>123</v>
      </c>
      <c r="C3017" s="8">
        <f>IFERROR(__xludf.DUMMYFUNCTION("SPLIT(B3017,""RM"")"),4280000.0)</f>
        <v>4280000</v>
      </c>
      <c r="D3017" s="7" t="s">
        <v>70</v>
      </c>
      <c r="E3017" s="7">
        <v>5.0</v>
      </c>
      <c r="F3017" s="7">
        <v>4.0</v>
      </c>
      <c r="G3017" s="7" t="s">
        <v>736</v>
      </c>
      <c r="H3017" s="7" t="s">
        <v>2145</v>
      </c>
      <c r="I3017" s="7" t="s">
        <v>27</v>
      </c>
    </row>
    <row r="3018">
      <c r="A3018" s="7" t="s">
        <v>432</v>
      </c>
      <c r="B3018" s="7" t="s">
        <v>123</v>
      </c>
      <c r="C3018" s="8">
        <f>IFERROR(__xludf.DUMMYFUNCTION("SPLIT(B3018,""RM"")"),4280000.0)</f>
        <v>4280000</v>
      </c>
      <c r="D3018" s="7" t="s">
        <v>70</v>
      </c>
      <c r="E3018" s="7">
        <v>5.0</v>
      </c>
      <c r="F3018" s="7">
        <v>4.0</v>
      </c>
      <c r="G3018" s="7" t="s">
        <v>736</v>
      </c>
      <c r="H3018" s="7" t="s">
        <v>2145</v>
      </c>
      <c r="I3018" s="7" t="s">
        <v>27</v>
      </c>
    </row>
    <row r="3019">
      <c r="A3019" s="7" t="s">
        <v>432</v>
      </c>
      <c r="B3019" s="7" t="s">
        <v>1492</v>
      </c>
      <c r="C3019" s="8">
        <f>IFERROR(__xludf.DUMMYFUNCTION("SPLIT(B3019,""RM"")"),4450000.0)</f>
        <v>4450000</v>
      </c>
      <c r="D3019" s="7" t="s">
        <v>70</v>
      </c>
      <c r="E3019" s="7">
        <v>5.0</v>
      </c>
      <c r="F3019" s="7">
        <v>5.0</v>
      </c>
      <c r="G3019" s="7" t="s">
        <v>43</v>
      </c>
      <c r="H3019" s="7" t="s">
        <v>860</v>
      </c>
      <c r="I3019" s="7" t="s">
        <v>27</v>
      </c>
    </row>
    <row r="3020">
      <c r="A3020" s="7" t="s">
        <v>432</v>
      </c>
      <c r="B3020" s="7" t="s">
        <v>2146</v>
      </c>
      <c r="C3020" s="8">
        <f>IFERROR(__xludf.DUMMYFUNCTION("SPLIT(B3020,""RM"")"),4390000.0)</f>
        <v>4390000</v>
      </c>
      <c r="D3020" s="7" t="s">
        <v>70</v>
      </c>
      <c r="E3020" s="7">
        <v>4.0</v>
      </c>
      <c r="F3020" s="7">
        <v>4.0</v>
      </c>
      <c r="G3020" s="7" t="s">
        <v>43</v>
      </c>
      <c r="H3020" s="7" t="s">
        <v>860</v>
      </c>
      <c r="I3020" s="7" t="s">
        <v>27</v>
      </c>
    </row>
    <row r="3021">
      <c r="A3021" s="7" t="s">
        <v>432</v>
      </c>
      <c r="B3021" s="7" t="s">
        <v>1610</v>
      </c>
      <c r="C3021" s="8">
        <f>IFERROR(__xludf.DUMMYFUNCTION("SPLIT(B3021,""RM"")"),4180000.0)</f>
        <v>4180000</v>
      </c>
      <c r="D3021" s="7" t="s">
        <v>70</v>
      </c>
      <c r="E3021" s="7">
        <v>5.0</v>
      </c>
      <c r="G3021" s="7" t="s">
        <v>90</v>
      </c>
      <c r="H3021" s="7" t="s">
        <v>1491</v>
      </c>
      <c r="I3021" s="7" t="s">
        <v>27</v>
      </c>
    </row>
    <row r="3022">
      <c r="A3022" s="7" t="s">
        <v>432</v>
      </c>
      <c r="B3022" s="7" t="s">
        <v>386</v>
      </c>
      <c r="C3022" s="8">
        <f>IFERROR(__xludf.DUMMYFUNCTION("SPLIT(B3022,""RM"")"),2380000.0)</f>
        <v>2380000</v>
      </c>
      <c r="D3022" s="7">
        <v>4.0</v>
      </c>
      <c r="E3022" s="7">
        <v>3.0</v>
      </c>
      <c r="F3022" s="7">
        <v>4.0</v>
      </c>
      <c r="G3022" s="7" t="s">
        <v>184</v>
      </c>
      <c r="H3022" s="7" t="s">
        <v>2147</v>
      </c>
      <c r="I3022" s="7" t="s">
        <v>103</v>
      </c>
    </row>
    <row r="3023">
      <c r="A3023" s="7" t="s">
        <v>432</v>
      </c>
      <c r="B3023" s="7" t="s">
        <v>69</v>
      </c>
      <c r="C3023" s="8">
        <f>IFERROR(__xludf.DUMMYFUNCTION("SPLIT(B3023,""RM"")"),4500000.0)</f>
        <v>4500000</v>
      </c>
      <c r="D3023" s="7" t="s">
        <v>70</v>
      </c>
      <c r="E3023" s="7">
        <v>5.0</v>
      </c>
      <c r="F3023" s="7">
        <v>2.0</v>
      </c>
      <c r="G3023" s="7" t="s">
        <v>487</v>
      </c>
      <c r="H3023" s="7" t="s">
        <v>478</v>
      </c>
      <c r="I3023" s="7" t="s">
        <v>27</v>
      </c>
    </row>
    <row r="3024">
      <c r="A3024" s="7" t="s">
        <v>432</v>
      </c>
      <c r="B3024" s="7" t="s">
        <v>468</v>
      </c>
      <c r="C3024" s="8">
        <f>IFERROR(__xludf.DUMMYFUNCTION("SPLIT(B3024,""RM"")"),2750000.0)</f>
        <v>2750000</v>
      </c>
      <c r="D3024" s="7">
        <v>7.0</v>
      </c>
      <c r="E3024" s="7">
        <v>4.0</v>
      </c>
      <c r="G3024" s="7" t="s">
        <v>169</v>
      </c>
      <c r="H3024" s="7" t="s">
        <v>1296</v>
      </c>
      <c r="I3024" s="7" t="s">
        <v>27</v>
      </c>
    </row>
    <row r="3025">
      <c r="A3025" s="7" t="s">
        <v>432</v>
      </c>
      <c r="B3025" s="7" t="s">
        <v>144</v>
      </c>
      <c r="C3025" s="8">
        <f>IFERROR(__xludf.DUMMYFUNCTION("SPLIT(B3025,""RM"")"),1800000.0)</f>
        <v>1800000</v>
      </c>
      <c r="D3025" s="7">
        <v>4.0</v>
      </c>
      <c r="E3025" s="7">
        <v>3.0</v>
      </c>
      <c r="F3025" s="7">
        <v>2.0</v>
      </c>
      <c r="G3025" s="7" t="s">
        <v>169</v>
      </c>
      <c r="H3025" s="7" t="s">
        <v>283</v>
      </c>
      <c r="I3025" s="7" t="s">
        <v>27</v>
      </c>
    </row>
    <row r="3026">
      <c r="A3026" s="7" t="s">
        <v>358</v>
      </c>
      <c r="B3026" s="7" t="s">
        <v>1328</v>
      </c>
      <c r="C3026" s="8">
        <f>IFERROR(__xludf.DUMMYFUNCTION("SPLIT(B3026,""RM"")"),650000.0)</f>
        <v>650000</v>
      </c>
      <c r="D3026" s="7" t="s">
        <v>57</v>
      </c>
      <c r="E3026" s="7">
        <v>3.0</v>
      </c>
      <c r="F3026" s="7">
        <v>2.0</v>
      </c>
      <c r="G3026" s="7" t="s">
        <v>93</v>
      </c>
      <c r="H3026" s="7" t="s">
        <v>636</v>
      </c>
      <c r="I3026" s="7" t="s">
        <v>27</v>
      </c>
    </row>
    <row r="3027">
      <c r="A3027" s="7" t="s">
        <v>17</v>
      </c>
      <c r="B3027" s="7" t="s">
        <v>322</v>
      </c>
      <c r="C3027" s="8">
        <f>IFERROR(__xludf.DUMMYFUNCTION("SPLIT(B3027,""RM"")"),1900000.0)</f>
        <v>1900000</v>
      </c>
      <c r="D3027" s="7" t="s">
        <v>19</v>
      </c>
      <c r="E3027" s="7">
        <v>2.0</v>
      </c>
      <c r="F3027" s="7">
        <v>1.0</v>
      </c>
      <c r="G3027" s="7" t="s">
        <v>83</v>
      </c>
      <c r="H3027" s="7" t="s">
        <v>323</v>
      </c>
    </row>
    <row r="3028">
      <c r="A3028" s="7" t="s">
        <v>1315</v>
      </c>
      <c r="B3028" s="7" t="s">
        <v>329</v>
      </c>
      <c r="C3028" s="8">
        <f>IFERROR(__xludf.DUMMYFUNCTION("SPLIT(B3028,""RM"")"),1200000.0)</f>
        <v>1200000</v>
      </c>
      <c r="D3028" s="7">
        <v>4.0</v>
      </c>
      <c r="E3028" s="7">
        <v>5.0</v>
      </c>
      <c r="F3028" s="7">
        <v>2.0</v>
      </c>
      <c r="G3028" s="7" t="s">
        <v>90</v>
      </c>
      <c r="H3028" s="7" t="s">
        <v>1197</v>
      </c>
      <c r="I3028" s="7" t="s">
        <v>22</v>
      </c>
    </row>
    <row r="3029">
      <c r="A3029" s="7" t="s">
        <v>72</v>
      </c>
      <c r="B3029" s="7" t="s">
        <v>309</v>
      </c>
      <c r="C3029" s="8">
        <f>IFERROR(__xludf.DUMMYFUNCTION("SPLIT(B3029,""RM"")"),2100000.0)</f>
        <v>2100000</v>
      </c>
      <c r="D3029" s="7" t="s">
        <v>57</v>
      </c>
      <c r="E3029" s="7">
        <v>5.0</v>
      </c>
      <c r="F3029" s="7">
        <v>3.0</v>
      </c>
      <c r="G3029" s="7" t="s">
        <v>83</v>
      </c>
      <c r="H3029" s="7" t="s">
        <v>561</v>
      </c>
      <c r="I3029" s="7" t="s">
        <v>22</v>
      </c>
    </row>
    <row r="3030">
      <c r="A3030" s="7" t="s">
        <v>72</v>
      </c>
      <c r="B3030" s="7" t="s">
        <v>1187</v>
      </c>
      <c r="C3030" s="8">
        <f>IFERROR(__xludf.DUMMYFUNCTION("SPLIT(B3030,""RM"")"),678000.0)</f>
        <v>678000</v>
      </c>
      <c r="D3030" s="7">
        <v>3.0</v>
      </c>
      <c r="E3030" s="7">
        <v>2.0</v>
      </c>
      <c r="F3030" s="7">
        <v>1.0</v>
      </c>
      <c r="G3030" s="7" t="s">
        <v>20</v>
      </c>
      <c r="H3030" s="7" t="s">
        <v>2148</v>
      </c>
      <c r="I3030" s="7" t="s">
        <v>27</v>
      </c>
    </row>
    <row r="3031">
      <c r="A3031" s="7" t="s">
        <v>72</v>
      </c>
      <c r="B3031" s="7" t="s">
        <v>2149</v>
      </c>
      <c r="C3031" s="8">
        <f>IFERROR(__xludf.DUMMYFUNCTION("SPLIT(B3031,""RM"")"),578000.0)</f>
        <v>578000</v>
      </c>
      <c r="D3031" s="7">
        <v>2.0</v>
      </c>
      <c r="E3031" s="7">
        <v>2.0</v>
      </c>
      <c r="F3031" s="7">
        <v>1.0</v>
      </c>
      <c r="G3031" s="7" t="s">
        <v>83</v>
      </c>
      <c r="H3031" s="7" t="s">
        <v>1178</v>
      </c>
      <c r="I3031" s="7" t="s">
        <v>27</v>
      </c>
    </row>
    <row r="3032">
      <c r="A3032" s="7" t="s">
        <v>28</v>
      </c>
      <c r="B3032" s="7" t="s">
        <v>890</v>
      </c>
      <c r="C3032" s="8">
        <f>IFERROR(__xludf.DUMMYFUNCTION("SPLIT(B3032,""RM"")"),450000.0)</f>
        <v>450000</v>
      </c>
      <c r="D3032" s="7">
        <v>3.0</v>
      </c>
      <c r="E3032" s="7">
        <v>2.0</v>
      </c>
      <c r="F3032" s="7">
        <v>1.0</v>
      </c>
      <c r="G3032" s="7" t="s">
        <v>83</v>
      </c>
      <c r="H3032" s="7" t="s">
        <v>734</v>
      </c>
      <c r="I3032" s="7" t="s">
        <v>27</v>
      </c>
    </row>
    <row r="3033">
      <c r="A3033" s="7" t="s">
        <v>72</v>
      </c>
      <c r="B3033" s="7" t="s">
        <v>1075</v>
      </c>
      <c r="C3033" s="8">
        <f>IFERROR(__xludf.DUMMYFUNCTION("SPLIT(B3033,""RM"")"),790000.0)</f>
        <v>790000</v>
      </c>
      <c r="D3033" s="7">
        <v>3.0</v>
      </c>
      <c r="E3033" s="7">
        <v>2.0</v>
      </c>
      <c r="F3033" s="7">
        <v>1.0</v>
      </c>
      <c r="G3033" s="7" t="s">
        <v>83</v>
      </c>
      <c r="H3033" s="7" t="s">
        <v>1604</v>
      </c>
      <c r="I3033" s="7" t="s">
        <v>22</v>
      </c>
    </row>
    <row r="3034">
      <c r="A3034" s="7" t="s">
        <v>28</v>
      </c>
      <c r="B3034" s="7" t="s">
        <v>281</v>
      </c>
      <c r="C3034" s="8">
        <f>IFERROR(__xludf.DUMMYFUNCTION("SPLIT(B3034,""RM"")"),2500000.0)</f>
        <v>2500000</v>
      </c>
      <c r="D3034" s="7" t="s">
        <v>35</v>
      </c>
      <c r="E3034" s="7">
        <v>5.0</v>
      </c>
      <c r="F3034" s="7">
        <v>2.0</v>
      </c>
      <c r="G3034" s="7" t="s">
        <v>43</v>
      </c>
      <c r="H3034" s="7" t="s">
        <v>2150</v>
      </c>
      <c r="I3034" s="7" t="s">
        <v>22</v>
      </c>
    </row>
    <row r="3035">
      <c r="A3035" s="7" t="s">
        <v>580</v>
      </c>
      <c r="B3035" s="7" t="s">
        <v>1423</v>
      </c>
      <c r="C3035" s="8">
        <f>IFERROR(__xludf.DUMMYFUNCTION("SPLIT(B3035,""RM"")"),420000.0)</f>
        <v>420000</v>
      </c>
      <c r="D3035" s="7" t="s">
        <v>57</v>
      </c>
      <c r="E3035" s="7">
        <v>2.0</v>
      </c>
      <c r="F3035" s="7">
        <v>2.0</v>
      </c>
      <c r="G3035" s="7" t="s">
        <v>83</v>
      </c>
      <c r="H3035" s="7" t="s">
        <v>342</v>
      </c>
      <c r="I3035" s="7" t="s">
        <v>27</v>
      </c>
    </row>
    <row r="3036">
      <c r="A3036" s="7" t="s">
        <v>72</v>
      </c>
      <c r="B3036" s="7" t="s">
        <v>2151</v>
      </c>
      <c r="C3036" s="8">
        <f>IFERROR(__xludf.DUMMYFUNCTION("SPLIT(B3036,""RM"")"),708000.0)</f>
        <v>708000</v>
      </c>
      <c r="D3036" s="7">
        <v>3.0</v>
      </c>
      <c r="E3036" s="7">
        <v>2.0</v>
      </c>
      <c r="F3036" s="7">
        <v>1.0</v>
      </c>
      <c r="G3036" s="7" t="s">
        <v>83</v>
      </c>
      <c r="H3036" s="7" t="s">
        <v>1522</v>
      </c>
      <c r="I3036" s="7" t="s">
        <v>27</v>
      </c>
    </row>
    <row r="3037">
      <c r="A3037" s="7" t="s">
        <v>358</v>
      </c>
      <c r="B3037" s="7" t="s">
        <v>1074</v>
      </c>
      <c r="C3037" s="8">
        <f>IFERROR(__xludf.DUMMYFUNCTION("SPLIT(B3037,""RM"")"),1130000.0)</f>
        <v>1130000</v>
      </c>
      <c r="D3037" s="7">
        <v>3.0</v>
      </c>
      <c r="E3037" s="7">
        <v>2.0</v>
      </c>
      <c r="F3037" s="7">
        <v>2.0</v>
      </c>
      <c r="G3037" s="7" t="s">
        <v>83</v>
      </c>
      <c r="H3037" s="7" t="s">
        <v>1411</v>
      </c>
      <c r="I3037" s="7" t="s">
        <v>27</v>
      </c>
    </row>
    <row r="3038">
      <c r="A3038" s="7" t="s">
        <v>358</v>
      </c>
      <c r="B3038" s="7" t="s">
        <v>316</v>
      </c>
      <c r="C3038" s="8">
        <f>IFERROR(__xludf.DUMMYFUNCTION("SPLIT(B3038,""RM"")"),820000.0)</f>
        <v>820000</v>
      </c>
      <c r="D3038" s="7">
        <v>3.0</v>
      </c>
      <c r="E3038" s="7">
        <v>2.0</v>
      </c>
      <c r="F3038" s="7">
        <v>2.0</v>
      </c>
      <c r="G3038" s="7" t="s">
        <v>83</v>
      </c>
      <c r="H3038" s="7" t="s">
        <v>1412</v>
      </c>
      <c r="I3038" s="7" t="s">
        <v>27</v>
      </c>
    </row>
    <row r="3039">
      <c r="A3039" s="7" t="s">
        <v>1158</v>
      </c>
      <c r="B3039" s="7" t="s">
        <v>2152</v>
      </c>
      <c r="C3039" s="8">
        <f>IFERROR(__xludf.DUMMYFUNCTION("SPLIT(B3039,""RM"")"),6820000.0)</f>
        <v>6820000</v>
      </c>
      <c r="G3039" s="7" t="s">
        <v>667</v>
      </c>
      <c r="H3039" s="7" t="s">
        <v>2153</v>
      </c>
    </row>
    <row r="3040">
      <c r="A3040" s="7" t="s">
        <v>65</v>
      </c>
      <c r="B3040" s="7" t="s">
        <v>462</v>
      </c>
      <c r="C3040" s="8">
        <f>IFERROR(__xludf.DUMMYFUNCTION("SPLIT(B3040,""RM"")"),1620000.0)</f>
        <v>1620000</v>
      </c>
      <c r="D3040" s="7" t="s">
        <v>57</v>
      </c>
      <c r="E3040" s="7">
        <v>3.0</v>
      </c>
      <c r="F3040" s="7">
        <v>2.0</v>
      </c>
      <c r="G3040" s="7" t="s">
        <v>793</v>
      </c>
      <c r="H3040" s="7" t="s">
        <v>483</v>
      </c>
      <c r="I3040" s="7" t="s">
        <v>27</v>
      </c>
    </row>
    <row r="3041">
      <c r="A3041" s="7" t="s">
        <v>72</v>
      </c>
      <c r="B3041" s="7" t="s">
        <v>610</v>
      </c>
      <c r="C3041" s="8">
        <f>IFERROR(__xludf.DUMMYFUNCTION("SPLIT(B3041,""RM"")"),2250000.0)</f>
        <v>2250000</v>
      </c>
      <c r="D3041" s="7" t="s">
        <v>35</v>
      </c>
      <c r="E3041" s="7">
        <v>4.0</v>
      </c>
      <c r="F3041" s="7">
        <v>3.0</v>
      </c>
      <c r="G3041" s="7" t="s">
        <v>30</v>
      </c>
      <c r="H3041" s="7" t="s">
        <v>456</v>
      </c>
      <c r="I3041" s="7" t="s">
        <v>27</v>
      </c>
    </row>
    <row r="3042">
      <c r="A3042" s="7" t="s">
        <v>72</v>
      </c>
      <c r="B3042" s="7" t="s">
        <v>460</v>
      </c>
      <c r="C3042" s="8">
        <f>IFERROR(__xludf.DUMMYFUNCTION("SPLIT(B3042,""RM"")"),1580000.0)</f>
        <v>1580000</v>
      </c>
      <c r="D3042" s="7" t="s">
        <v>57</v>
      </c>
      <c r="E3042" s="7">
        <v>4.0</v>
      </c>
      <c r="F3042" s="7">
        <v>2.0</v>
      </c>
      <c r="G3042" s="7" t="s">
        <v>30</v>
      </c>
      <c r="H3042" s="7" t="s">
        <v>404</v>
      </c>
      <c r="I3042" s="7" t="s">
        <v>27</v>
      </c>
    </row>
    <row r="3043">
      <c r="A3043" s="7" t="s">
        <v>41</v>
      </c>
      <c r="B3043" s="7" t="s">
        <v>329</v>
      </c>
      <c r="C3043" s="8">
        <f>IFERROR(__xludf.DUMMYFUNCTION("SPLIT(B3043,""RM"")"),1200000.0)</f>
        <v>1200000</v>
      </c>
      <c r="D3043" s="7" t="s">
        <v>57</v>
      </c>
      <c r="E3043" s="7">
        <v>4.0</v>
      </c>
      <c r="F3043" s="7">
        <v>2.0</v>
      </c>
      <c r="G3043" s="7" t="s">
        <v>83</v>
      </c>
      <c r="H3043" s="7" t="s">
        <v>2154</v>
      </c>
    </row>
    <row r="3044">
      <c r="A3044" s="7" t="s">
        <v>171</v>
      </c>
      <c r="B3044" s="7" t="s">
        <v>85</v>
      </c>
      <c r="C3044" s="8">
        <f>IFERROR(__xludf.DUMMYFUNCTION("SPLIT(B3044,""RM"")"),1450000.0)</f>
        <v>1450000</v>
      </c>
      <c r="D3044" s="7">
        <v>5.0</v>
      </c>
      <c r="E3044" s="7">
        <v>5.0</v>
      </c>
      <c r="G3044" s="7" t="s">
        <v>681</v>
      </c>
      <c r="H3044" s="7" t="s">
        <v>44</v>
      </c>
      <c r="I3044" s="7" t="s">
        <v>22</v>
      </c>
    </row>
    <row r="3045">
      <c r="A3045" s="7" t="s">
        <v>72</v>
      </c>
      <c r="B3045" s="7" t="s">
        <v>858</v>
      </c>
      <c r="C3045" s="8">
        <f>IFERROR(__xludf.DUMMYFUNCTION("SPLIT(B3045,""RM"")"),1.05E7)</f>
        <v>10500000</v>
      </c>
      <c r="D3045" s="7" t="s">
        <v>299</v>
      </c>
      <c r="E3045" s="7">
        <v>8.0</v>
      </c>
      <c r="F3045" s="7">
        <v>6.0</v>
      </c>
      <c r="G3045" s="7" t="s">
        <v>25</v>
      </c>
      <c r="H3045" s="7" t="s">
        <v>2155</v>
      </c>
      <c r="I3045" s="7" t="s">
        <v>27</v>
      </c>
    </row>
    <row r="3046">
      <c r="A3046" s="7" t="s">
        <v>72</v>
      </c>
      <c r="B3046" s="7" t="s">
        <v>513</v>
      </c>
      <c r="C3046" s="8">
        <f>IFERROR(__xludf.DUMMYFUNCTION("SPLIT(B3046,""RM"")"),1.2E7)</f>
        <v>12000000</v>
      </c>
      <c r="D3046" s="7" t="s">
        <v>1754</v>
      </c>
      <c r="E3046" s="7">
        <v>9.0</v>
      </c>
      <c r="F3046" s="7">
        <v>6.0</v>
      </c>
      <c r="G3046" s="7" t="s">
        <v>25</v>
      </c>
      <c r="H3046" s="7" t="s">
        <v>991</v>
      </c>
      <c r="I3046" s="7" t="s">
        <v>27</v>
      </c>
    </row>
    <row r="3047">
      <c r="A3047" s="7" t="s">
        <v>180</v>
      </c>
      <c r="B3047" s="7" t="s">
        <v>151</v>
      </c>
      <c r="C3047" s="8">
        <f>IFERROR(__xludf.DUMMYFUNCTION("SPLIT(B3047,""RM"")"),4800000.0)</f>
        <v>4800000</v>
      </c>
      <c r="D3047" s="7">
        <v>3.0</v>
      </c>
      <c r="E3047" s="7">
        <v>5.0</v>
      </c>
      <c r="F3047" s="7">
        <v>3.0</v>
      </c>
      <c r="G3047" s="7" t="s">
        <v>83</v>
      </c>
      <c r="H3047" s="7" t="s">
        <v>1280</v>
      </c>
      <c r="I3047" s="7" t="s">
        <v>22</v>
      </c>
    </row>
    <row r="3048">
      <c r="A3048" s="7" t="s">
        <v>432</v>
      </c>
      <c r="B3048" s="7" t="s">
        <v>257</v>
      </c>
      <c r="C3048" s="8">
        <f>IFERROR(__xludf.DUMMYFUNCTION("SPLIT(B3048,""RM"")"),2480000.0)</f>
        <v>2480000</v>
      </c>
      <c r="D3048" s="7" t="s">
        <v>70</v>
      </c>
      <c r="E3048" s="7">
        <v>5.0</v>
      </c>
      <c r="F3048" s="7">
        <v>4.0</v>
      </c>
      <c r="G3048" s="7" t="s">
        <v>64</v>
      </c>
      <c r="H3048" s="7" t="s">
        <v>2156</v>
      </c>
      <c r="I3048" s="7" t="s">
        <v>27</v>
      </c>
    </row>
    <row r="3049">
      <c r="A3049" s="7" t="s">
        <v>72</v>
      </c>
      <c r="B3049" s="7" t="s">
        <v>313</v>
      </c>
      <c r="C3049" s="8">
        <f>IFERROR(__xludf.DUMMYFUNCTION("SPLIT(B3049,""RM"")"),2900000.0)</f>
        <v>2900000</v>
      </c>
      <c r="D3049" s="7" t="s">
        <v>35</v>
      </c>
      <c r="E3049" s="7">
        <v>5.0</v>
      </c>
      <c r="G3049" s="7" t="s">
        <v>83</v>
      </c>
      <c r="H3049" s="7" t="s">
        <v>926</v>
      </c>
    </row>
    <row r="3050">
      <c r="A3050" s="7" t="s">
        <v>72</v>
      </c>
      <c r="B3050" s="7" t="s">
        <v>132</v>
      </c>
      <c r="C3050" s="8">
        <f>IFERROR(__xludf.DUMMYFUNCTION("SPLIT(B3050,""RM"")"),1080000.0)</f>
        <v>1080000</v>
      </c>
      <c r="D3050" s="7" t="s">
        <v>19</v>
      </c>
      <c r="E3050" s="7">
        <v>2.0</v>
      </c>
      <c r="F3050" s="7">
        <v>1.0</v>
      </c>
      <c r="G3050" s="7" t="s">
        <v>83</v>
      </c>
      <c r="H3050" s="7" t="s">
        <v>2157</v>
      </c>
    </row>
    <row r="3051">
      <c r="A3051" s="7" t="s">
        <v>32</v>
      </c>
      <c r="B3051" s="7" t="s">
        <v>1074</v>
      </c>
      <c r="C3051" s="8">
        <f>IFERROR(__xludf.DUMMYFUNCTION("SPLIT(B3051,""RM"")"),1130000.0)</f>
        <v>1130000</v>
      </c>
      <c r="D3051" s="7">
        <v>5.0</v>
      </c>
      <c r="E3051" s="7">
        <v>5.0</v>
      </c>
      <c r="G3051" s="7" t="s">
        <v>169</v>
      </c>
      <c r="H3051" s="7" t="s">
        <v>2158</v>
      </c>
      <c r="I3051" s="7" t="s">
        <v>27</v>
      </c>
    </row>
    <row r="3052">
      <c r="A3052" s="7" t="s">
        <v>32</v>
      </c>
      <c r="B3052" s="7" t="s">
        <v>1187</v>
      </c>
      <c r="C3052" s="8">
        <f>IFERROR(__xludf.DUMMYFUNCTION("SPLIT(B3052,""RM"")"),678000.0)</f>
        <v>678000</v>
      </c>
      <c r="D3052" s="7" t="s">
        <v>57</v>
      </c>
      <c r="E3052" s="7">
        <v>2.0</v>
      </c>
      <c r="G3052" s="7" t="s">
        <v>93</v>
      </c>
      <c r="H3052" s="7" t="s">
        <v>1833</v>
      </c>
      <c r="I3052" s="7" t="s">
        <v>22</v>
      </c>
    </row>
    <row r="3053">
      <c r="A3053" s="7" t="s">
        <v>32</v>
      </c>
      <c r="B3053" s="7" t="s">
        <v>191</v>
      </c>
      <c r="C3053" s="8">
        <f>IFERROR(__xludf.DUMMYFUNCTION("SPLIT(B3053,""RM"")"),1000000.0)</f>
        <v>1000000</v>
      </c>
      <c r="D3053" s="7" t="s">
        <v>35</v>
      </c>
      <c r="E3053" s="7">
        <v>4.0</v>
      </c>
      <c r="G3053" s="7" t="s">
        <v>54</v>
      </c>
      <c r="H3053" s="7" t="s">
        <v>344</v>
      </c>
      <c r="I3053" s="7" t="s">
        <v>103</v>
      </c>
    </row>
    <row r="3054">
      <c r="A3054" s="7" t="s">
        <v>32</v>
      </c>
      <c r="B3054" s="7" t="s">
        <v>245</v>
      </c>
      <c r="C3054" s="8">
        <f>IFERROR(__xludf.DUMMYFUNCTION("SPLIT(B3054,""RM"")"),800000.0)</f>
        <v>800000</v>
      </c>
      <c r="D3054" s="7">
        <v>4.0</v>
      </c>
      <c r="E3054" s="7">
        <v>3.0</v>
      </c>
      <c r="F3054" s="7">
        <v>2.0</v>
      </c>
      <c r="G3054" s="7" t="s">
        <v>54</v>
      </c>
      <c r="H3054" s="7" t="s">
        <v>283</v>
      </c>
      <c r="I3054" s="7" t="s">
        <v>27</v>
      </c>
    </row>
    <row r="3055">
      <c r="A3055" s="7" t="s">
        <v>32</v>
      </c>
      <c r="B3055" s="7" t="s">
        <v>245</v>
      </c>
      <c r="C3055" s="8">
        <f>IFERROR(__xludf.DUMMYFUNCTION("SPLIT(B3055,""RM"")"),800000.0)</f>
        <v>800000</v>
      </c>
      <c r="D3055" s="7">
        <v>4.0</v>
      </c>
      <c r="E3055" s="7">
        <v>4.0</v>
      </c>
      <c r="F3055" s="7">
        <v>2.0</v>
      </c>
      <c r="G3055" s="7" t="s">
        <v>54</v>
      </c>
      <c r="H3055" s="7" t="s">
        <v>1121</v>
      </c>
      <c r="I3055" s="7" t="s">
        <v>27</v>
      </c>
    </row>
    <row r="3056">
      <c r="A3056" s="7" t="s">
        <v>1979</v>
      </c>
      <c r="B3056" s="7" t="s">
        <v>635</v>
      </c>
      <c r="C3056" s="8">
        <f>IFERROR(__xludf.DUMMYFUNCTION("SPLIT(B3056,""RM"")"),720000.0)</f>
        <v>720000</v>
      </c>
      <c r="D3056" s="7">
        <v>4.0</v>
      </c>
      <c r="E3056" s="7">
        <v>3.0</v>
      </c>
      <c r="F3056" s="7">
        <v>2.0</v>
      </c>
      <c r="G3056" s="7" t="s">
        <v>54</v>
      </c>
      <c r="H3056" s="7" t="s">
        <v>2159</v>
      </c>
      <c r="I3056" s="7" t="s">
        <v>27</v>
      </c>
    </row>
    <row r="3057">
      <c r="A3057" s="7" t="s">
        <v>1979</v>
      </c>
      <c r="B3057" s="7" t="s">
        <v>2160</v>
      </c>
      <c r="C3057" s="8">
        <f>IFERROR(__xludf.DUMMYFUNCTION("SPLIT(B3057,""RM"")"),619999.0)</f>
        <v>619999</v>
      </c>
      <c r="D3057" s="7">
        <v>4.0</v>
      </c>
      <c r="E3057" s="7">
        <v>3.0</v>
      </c>
      <c r="F3057" s="7">
        <v>2.0</v>
      </c>
      <c r="G3057" s="7" t="s">
        <v>54</v>
      </c>
      <c r="H3057" s="7" t="s">
        <v>718</v>
      </c>
      <c r="I3057" s="7" t="s">
        <v>27</v>
      </c>
    </row>
    <row r="3058">
      <c r="A3058" s="7" t="s">
        <v>104</v>
      </c>
      <c r="B3058" s="7" t="s">
        <v>967</v>
      </c>
      <c r="C3058" s="8">
        <f>IFERROR(__xludf.DUMMYFUNCTION("SPLIT(B3058,""RM"")"),680000.0)</f>
        <v>680000</v>
      </c>
      <c r="D3058" s="7">
        <v>3.0</v>
      </c>
      <c r="E3058" s="7">
        <v>2.0</v>
      </c>
      <c r="G3058" s="7" t="s">
        <v>343</v>
      </c>
      <c r="H3058" s="7" t="s">
        <v>211</v>
      </c>
      <c r="I3058" s="7" t="s">
        <v>27</v>
      </c>
    </row>
    <row r="3059">
      <c r="A3059" s="7" t="s">
        <v>155</v>
      </c>
      <c r="B3059" s="7" t="s">
        <v>953</v>
      </c>
      <c r="C3059" s="8">
        <f>IFERROR(__xludf.DUMMYFUNCTION("SPLIT(B3059,""RM"")"),730000.0)</f>
        <v>730000</v>
      </c>
      <c r="D3059" s="7" t="s">
        <v>19</v>
      </c>
      <c r="E3059" s="7">
        <v>3.0</v>
      </c>
      <c r="F3059" s="7">
        <v>1.0</v>
      </c>
      <c r="G3059" s="7" t="s">
        <v>83</v>
      </c>
      <c r="H3059" s="7" t="s">
        <v>1336</v>
      </c>
      <c r="I3059" s="7" t="s">
        <v>103</v>
      </c>
    </row>
    <row r="3060">
      <c r="A3060" s="7" t="s">
        <v>37</v>
      </c>
      <c r="B3060" s="7" t="s">
        <v>1225</v>
      </c>
      <c r="C3060" s="8">
        <f>IFERROR(__xludf.DUMMYFUNCTION("SPLIT(B3060,""RM"")"),1290000.0)</f>
        <v>1290000</v>
      </c>
      <c r="D3060" s="7" t="s">
        <v>35</v>
      </c>
      <c r="E3060" s="7">
        <v>3.0</v>
      </c>
      <c r="F3060" s="7">
        <v>2.0</v>
      </c>
      <c r="G3060" s="7" t="s">
        <v>83</v>
      </c>
      <c r="H3060" s="7" t="s">
        <v>2161</v>
      </c>
      <c r="I3060" s="7" t="s">
        <v>27</v>
      </c>
    </row>
    <row r="3061">
      <c r="A3061" s="7" t="s">
        <v>72</v>
      </c>
      <c r="B3061" s="7" t="s">
        <v>462</v>
      </c>
      <c r="C3061" s="8">
        <f>IFERROR(__xludf.DUMMYFUNCTION("SPLIT(B3061,""RM"")"),1620000.0)</f>
        <v>1620000</v>
      </c>
      <c r="D3061" s="7">
        <v>3.0</v>
      </c>
      <c r="E3061" s="7">
        <v>5.0</v>
      </c>
      <c r="F3061" s="7">
        <v>2.0</v>
      </c>
      <c r="G3061" s="7" t="s">
        <v>30</v>
      </c>
      <c r="H3061" s="7" t="s">
        <v>2045</v>
      </c>
      <c r="I3061" s="7" t="s">
        <v>27</v>
      </c>
    </row>
    <row r="3062">
      <c r="A3062" s="7" t="s">
        <v>52</v>
      </c>
      <c r="B3062" s="7" t="s">
        <v>1292</v>
      </c>
      <c r="C3062" s="8">
        <f>IFERROR(__xludf.DUMMYFUNCTION("SPLIT(B3062,""RM"")"),1560000.0)</f>
        <v>1560000</v>
      </c>
      <c r="D3062" s="7" t="s">
        <v>57</v>
      </c>
      <c r="E3062" s="7">
        <v>4.0</v>
      </c>
      <c r="F3062" s="7">
        <v>1.0</v>
      </c>
      <c r="G3062" s="7" t="s">
        <v>30</v>
      </c>
      <c r="H3062" s="7" t="s">
        <v>412</v>
      </c>
      <c r="I3062" s="7" t="s">
        <v>22</v>
      </c>
    </row>
    <row r="3063">
      <c r="A3063" s="7" t="s">
        <v>52</v>
      </c>
      <c r="B3063" s="7" t="s">
        <v>1513</v>
      </c>
      <c r="C3063" s="8">
        <f>IFERROR(__xludf.DUMMYFUNCTION("SPLIT(B3063,""RM"")"),1570000.0)</f>
        <v>1570000</v>
      </c>
      <c r="D3063" s="7" t="s">
        <v>57</v>
      </c>
      <c r="E3063" s="7">
        <v>4.0</v>
      </c>
      <c r="F3063" s="7">
        <v>1.0</v>
      </c>
      <c r="G3063" s="7" t="s">
        <v>30</v>
      </c>
      <c r="H3063" s="7" t="s">
        <v>412</v>
      </c>
      <c r="I3063" s="7" t="s">
        <v>27</v>
      </c>
    </row>
    <row r="3064">
      <c r="A3064" s="7" t="s">
        <v>72</v>
      </c>
      <c r="B3064" s="7" t="s">
        <v>75</v>
      </c>
      <c r="C3064" s="8">
        <f>IFERROR(__xludf.DUMMYFUNCTION("SPLIT(B3064,""RM"")"),3450000.0)</f>
        <v>3450000</v>
      </c>
      <c r="D3064" s="7" t="s">
        <v>35</v>
      </c>
      <c r="E3064" s="7">
        <v>3.0</v>
      </c>
      <c r="G3064" s="7" t="s">
        <v>83</v>
      </c>
      <c r="H3064" s="7" t="s">
        <v>76</v>
      </c>
    </row>
    <row r="3065">
      <c r="A3065" s="7" t="s">
        <v>48</v>
      </c>
      <c r="B3065" s="7" t="s">
        <v>329</v>
      </c>
      <c r="C3065" s="8">
        <f>IFERROR(__xludf.DUMMYFUNCTION("SPLIT(B3065,""RM"")"),1200000.0)</f>
        <v>1200000</v>
      </c>
      <c r="D3065" s="7">
        <v>4.0</v>
      </c>
      <c r="E3065" s="7">
        <v>4.0</v>
      </c>
      <c r="G3065" s="7" t="s">
        <v>184</v>
      </c>
      <c r="H3065" s="7" t="s">
        <v>2162</v>
      </c>
      <c r="I3065" s="7" t="s">
        <v>103</v>
      </c>
    </row>
    <row r="3066">
      <c r="A3066" s="7" t="s">
        <v>100</v>
      </c>
      <c r="B3066" s="7" t="s">
        <v>2163</v>
      </c>
      <c r="C3066" s="8">
        <f>IFERROR(__xludf.DUMMYFUNCTION("SPLIT(B3066,""RM"")"),329999.0)</f>
        <v>329999</v>
      </c>
      <c r="D3066" s="7">
        <v>3.0</v>
      </c>
      <c r="E3066" s="7">
        <v>2.0</v>
      </c>
      <c r="G3066" s="7" t="s">
        <v>20</v>
      </c>
      <c r="H3066" s="7" t="s">
        <v>491</v>
      </c>
      <c r="I3066" s="7" t="s">
        <v>27</v>
      </c>
    </row>
    <row r="3067">
      <c r="A3067" s="7" t="s">
        <v>100</v>
      </c>
      <c r="B3067" s="7" t="s">
        <v>2163</v>
      </c>
      <c r="C3067" s="8">
        <f>IFERROR(__xludf.DUMMYFUNCTION("SPLIT(B3067,""RM"")"),329999.0)</f>
        <v>329999</v>
      </c>
      <c r="D3067" s="7">
        <v>3.0</v>
      </c>
      <c r="E3067" s="7">
        <v>2.0</v>
      </c>
      <c r="G3067" s="7" t="s">
        <v>20</v>
      </c>
      <c r="H3067" s="7" t="s">
        <v>491</v>
      </c>
      <c r="I3067" s="7" t="s">
        <v>27</v>
      </c>
    </row>
    <row r="3068">
      <c r="A3068" s="7" t="s">
        <v>104</v>
      </c>
      <c r="B3068" s="7" t="s">
        <v>311</v>
      </c>
      <c r="C3068" s="8">
        <f>IFERROR(__xludf.DUMMYFUNCTION("SPLIT(B3068,""RM"")"),1100000.0)</f>
        <v>1100000</v>
      </c>
      <c r="D3068" s="7" t="s">
        <v>60</v>
      </c>
      <c r="E3068" s="7">
        <v>4.0</v>
      </c>
      <c r="F3068" s="7">
        <v>3.0</v>
      </c>
      <c r="G3068" s="7" t="s">
        <v>203</v>
      </c>
      <c r="H3068" s="7" t="s">
        <v>1119</v>
      </c>
      <c r="I3068" s="7" t="s">
        <v>27</v>
      </c>
    </row>
    <row r="3069">
      <c r="A3069" s="7" t="s">
        <v>48</v>
      </c>
      <c r="B3069" s="7" t="s">
        <v>322</v>
      </c>
      <c r="C3069" s="8">
        <f>IFERROR(__xludf.DUMMYFUNCTION("SPLIT(B3069,""RM"")"),1900000.0)</f>
        <v>1900000</v>
      </c>
      <c r="D3069" s="7">
        <v>10.0</v>
      </c>
      <c r="E3069" s="7">
        <v>6.0</v>
      </c>
      <c r="F3069" s="7">
        <v>4.0</v>
      </c>
      <c r="G3069" s="7" t="s">
        <v>184</v>
      </c>
      <c r="H3069" s="7" t="s">
        <v>2164</v>
      </c>
      <c r="I3069" s="7" t="s">
        <v>27</v>
      </c>
    </row>
    <row r="3070">
      <c r="A3070" s="7" t="s">
        <v>148</v>
      </c>
      <c r="B3070" s="7" t="s">
        <v>1880</v>
      </c>
      <c r="C3070" s="8">
        <f>IFERROR(__xludf.DUMMYFUNCTION("SPLIT(B3070,""RM"")"),499000.0)</f>
        <v>499000</v>
      </c>
      <c r="D3070" s="7">
        <v>2.0</v>
      </c>
      <c r="E3070" s="7">
        <v>2.0</v>
      </c>
      <c r="F3070" s="7">
        <v>2.0</v>
      </c>
      <c r="G3070" s="7" t="s">
        <v>46</v>
      </c>
      <c r="H3070" s="7" t="s">
        <v>2081</v>
      </c>
      <c r="I3070" s="7" t="s">
        <v>103</v>
      </c>
    </row>
    <row r="3071">
      <c r="A3071" s="7" t="s">
        <v>506</v>
      </c>
      <c r="B3071" s="7" t="s">
        <v>507</v>
      </c>
      <c r="C3071" s="8">
        <f>IFERROR(__xludf.DUMMYFUNCTION("SPLIT(B3071,""RM"")"),590000.0)</f>
        <v>590000</v>
      </c>
      <c r="D3071" s="7">
        <v>3.0</v>
      </c>
      <c r="E3071" s="7">
        <v>2.0</v>
      </c>
      <c r="F3071" s="7">
        <v>2.0</v>
      </c>
      <c r="G3071" s="7" t="s">
        <v>30</v>
      </c>
      <c r="H3071" s="7" t="s">
        <v>508</v>
      </c>
      <c r="I3071" s="7" t="s">
        <v>27</v>
      </c>
    </row>
    <row r="3072">
      <c r="A3072" s="7" t="s">
        <v>506</v>
      </c>
      <c r="B3072" s="7" t="s">
        <v>507</v>
      </c>
      <c r="C3072" s="8">
        <f>IFERROR(__xludf.DUMMYFUNCTION("SPLIT(B3072,""RM"")"),590000.0)</f>
        <v>590000</v>
      </c>
      <c r="D3072" s="7">
        <v>3.0</v>
      </c>
      <c r="E3072" s="7">
        <v>2.0</v>
      </c>
      <c r="F3072" s="7">
        <v>2.0</v>
      </c>
      <c r="G3072" s="7" t="s">
        <v>93</v>
      </c>
      <c r="H3072" s="7" t="s">
        <v>508</v>
      </c>
      <c r="I3072" s="7" t="s">
        <v>27</v>
      </c>
    </row>
    <row r="3073">
      <c r="A3073" s="7" t="s">
        <v>171</v>
      </c>
      <c r="B3073" s="7" t="s">
        <v>677</v>
      </c>
      <c r="C3073" s="8">
        <f>IFERROR(__xludf.DUMMYFUNCTION("SPLIT(B3073,""RM"")"),535000.0)</f>
        <v>535000</v>
      </c>
      <c r="D3073" s="7" t="s">
        <v>57</v>
      </c>
      <c r="E3073" s="7">
        <v>2.0</v>
      </c>
      <c r="F3073" s="7">
        <v>1.0</v>
      </c>
      <c r="G3073" s="7" t="s">
        <v>93</v>
      </c>
      <c r="H3073" s="7" t="s">
        <v>2165</v>
      </c>
      <c r="I3073" s="7" t="s">
        <v>27</v>
      </c>
    </row>
    <row r="3074">
      <c r="A3074" s="7" t="s">
        <v>155</v>
      </c>
      <c r="B3074" s="7" t="s">
        <v>715</v>
      </c>
      <c r="C3074" s="8">
        <f>IFERROR(__xludf.DUMMYFUNCTION("SPLIT(B3074,""RM"")"),550000.0)</f>
        <v>550000</v>
      </c>
      <c r="D3074" s="7">
        <v>3.0</v>
      </c>
      <c r="E3074" s="7">
        <v>2.0</v>
      </c>
      <c r="F3074" s="7">
        <v>1.0</v>
      </c>
      <c r="G3074" s="7" t="s">
        <v>83</v>
      </c>
      <c r="H3074" s="7" t="s">
        <v>981</v>
      </c>
      <c r="I3074" s="7" t="s">
        <v>27</v>
      </c>
    </row>
    <row r="3075">
      <c r="A3075" s="7" t="s">
        <v>33</v>
      </c>
      <c r="B3075" s="7" t="s">
        <v>314</v>
      </c>
      <c r="C3075" s="8">
        <f>IFERROR(__xludf.DUMMYFUNCTION("SPLIT(B3075,""RM"")"),670000.0)</f>
        <v>670000</v>
      </c>
      <c r="G3075" s="7" t="s">
        <v>83</v>
      </c>
      <c r="H3075" s="7" t="s">
        <v>2166</v>
      </c>
    </row>
    <row r="3076">
      <c r="A3076" s="7" t="s">
        <v>177</v>
      </c>
      <c r="B3076" s="7" t="s">
        <v>193</v>
      </c>
      <c r="C3076" s="8">
        <f>IFERROR(__xludf.DUMMYFUNCTION("SPLIT(B3076,""RM"")"),1650000.0)</f>
        <v>1650000</v>
      </c>
      <c r="D3076" s="7" t="s">
        <v>57</v>
      </c>
      <c r="E3076" s="7">
        <v>3.0</v>
      </c>
      <c r="F3076" s="7">
        <v>1.0</v>
      </c>
      <c r="G3076" s="7" t="s">
        <v>93</v>
      </c>
      <c r="H3076" s="7" t="s">
        <v>333</v>
      </c>
      <c r="I3076" s="7" t="s">
        <v>22</v>
      </c>
    </row>
    <row r="3077">
      <c r="A3077" s="7" t="s">
        <v>109</v>
      </c>
      <c r="B3077" s="7" t="s">
        <v>639</v>
      </c>
      <c r="C3077" s="8">
        <f>IFERROR(__xludf.DUMMYFUNCTION("SPLIT(B3077,""RM"")"),360000.0)</f>
        <v>360000</v>
      </c>
      <c r="D3077" s="7">
        <v>3.0</v>
      </c>
      <c r="E3077" s="7">
        <v>2.0</v>
      </c>
      <c r="F3077" s="7">
        <v>1.0</v>
      </c>
      <c r="G3077" s="7" t="s">
        <v>354</v>
      </c>
      <c r="H3077" s="7" t="s">
        <v>135</v>
      </c>
    </row>
    <row r="3078">
      <c r="A3078" s="7" t="s">
        <v>109</v>
      </c>
      <c r="B3078" s="7" t="s">
        <v>2167</v>
      </c>
      <c r="C3078" s="8">
        <f>IFERROR(__xludf.DUMMYFUNCTION("SPLIT(B3078,""RM"")"),559000.0)</f>
        <v>559000</v>
      </c>
      <c r="D3078" s="7">
        <v>3.0</v>
      </c>
      <c r="E3078" s="7">
        <v>2.0</v>
      </c>
      <c r="F3078" s="7">
        <v>1.0</v>
      </c>
      <c r="G3078" s="7" t="s">
        <v>30</v>
      </c>
      <c r="H3078" s="7" t="s">
        <v>2168</v>
      </c>
      <c r="I3078" s="7" t="s">
        <v>27</v>
      </c>
    </row>
    <row r="3079">
      <c r="A3079" s="7" t="s">
        <v>72</v>
      </c>
      <c r="B3079" s="7" t="s">
        <v>85</v>
      </c>
      <c r="C3079" s="8">
        <f>IFERROR(__xludf.DUMMYFUNCTION("SPLIT(B3079,""RM"")"),1450000.0)</f>
        <v>1450000</v>
      </c>
      <c r="D3079" s="7" t="s">
        <v>35</v>
      </c>
      <c r="E3079" s="7">
        <v>4.0</v>
      </c>
      <c r="F3079" s="7">
        <v>3.0</v>
      </c>
      <c r="G3079" s="7" t="s">
        <v>30</v>
      </c>
      <c r="H3079" s="7" t="s">
        <v>1970</v>
      </c>
      <c r="I3079" s="7" t="s">
        <v>22</v>
      </c>
    </row>
    <row r="3080">
      <c r="A3080" s="7" t="s">
        <v>72</v>
      </c>
      <c r="B3080" s="7" t="s">
        <v>807</v>
      </c>
      <c r="C3080" s="8">
        <f>IFERROR(__xludf.DUMMYFUNCTION("SPLIT(B3080,""RM"")"),1430000.0)</f>
        <v>1430000</v>
      </c>
      <c r="D3080" s="7" t="s">
        <v>57</v>
      </c>
      <c r="E3080" s="7">
        <v>3.0</v>
      </c>
      <c r="F3080" s="7">
        <v>2.0</v>
      </c>
      <c r="G3080" s="7" t="s">
        <v>30</v>
      </c>
      <c r="H3080" s="7" t="s">
        <v>31</v>
      </c>
      <c r="I3080" s="7" t="s">
        <v>22</v>
      </c>
    </row>
    <row r="3081">
      <c r="A3081" s="7" t="s">
        <v>17</v>
      </c>
      <c r="B3081" s="7" t="s">
        <v>158</v>
      </c>
      <c r="C3081" s="8">
        <f>IFERROR(__xludf.DUMMYFUNCTION("SPLIT(B3081,""RM"")"),1850000.0)</f>
        <v>1850000</v>
      </c>
      <c r="D3081" s="7">
        <v>2.0</v>
      </c>
      <c r="E3081" s="7">
        <v>2.0</v>
      </c>
      <c r="G3081" s="7" t="s">
        <v>20</v>
      </c>
      <c r="H3081" s="7" t="s">
        <v>1813</v>
      </c>
    </row>
    <row r="3082">
      <c r="A3082" s="7" t="s">
        <v>1960</v>
      </c>
      <c r="B3082" s="7" t="s">
        <v>1307</v>
      </c>
      <c r="C3082" s="8">
        <f>IFERROR(__xludf.DUMMYFUNCTION("SPLIT(B3082,""RM"")"),270000.0)</f>
        <v>270000</v>
      </c>
      <c r="D3082" s="7" t="s">
        <v>325</v>
      </c>
      <c r="E3082" s="7">
        <v>1.0</v>
      </c>
      <c r="F3082" s="7">
        <v>1.0</v>
      </c>
      <c r="G3082" s="7" t="s">
        <v>83</v>
      </c>
      <c r="H3082" s="7" t="s">
        <v>1524</v>
      </c>
      <c r="I3082" s="7" t="s">
        <v>27</v>
      </c>
    </row>
    <row r="3083">
      <c r="A3083" s="7" t="s">
        <v>28</v>
      </c>
      <c r="B3083" s="7" t="s">
        <v>134</v>
      </c>
      <c r="C3083" s="8">
        <f>IFERROR(__xludf.DUMMYFUNCTION("SPLIT(B3083,""RM"")"),1150000.0)</f>
        <v>1150000</v>
      </c>
      <c r="D3083" s="7">
        <v>4.0</v>
      </c>
      <c r="E3083" s="7">
        <v>3.0</v>
      </c>
      <c r="F3083" s="7">
        <v>2.0</v>
      </c>
      <c r="G3083" s="7" t="s">
        <v>30</v>
      </c>
      <c r="H3083" s="7" t="s">
        <v>2169</v>
      </c>
      <c r="I3083" s="7" t="s">
        <v>27</v>
      </c>
    </row>
    <row r="3084">
      <c r="A3084" s="7" t="s">
        <v>100</v>
      </c>
      <c r="B3084" s="7" t="s">
        <v>107</v>
      </c>
      <c r="C3084" s="8">
        <f>IFERROR(__xludf.DUMMYFUNCTION("SPLIT(B3084,""RM"")"),460000.0)</f>
        <v>460000</v>
      </c>
      <c r="D3084" s="7">
        <v>3.0</v>
      </c>
      <c r="E3084" s="7">
        <v>2.0</v>
      </c>
      <c r="F3084" s="7">
        <v>1.0</v>
      </c>
      <c r="G3084" s="7" t="s">
        <v>30</v>
      </c>
      <c r="H3084" s="7" t="s">
        <v>1532</v>
      </c>
      <c r="I3084" s="7" t="s">
        <v>27</v>
      </c>
    </row>
    <row r="3085">
      <c r="A3085" s="7" t="s">
        <v>164</v>
      </c>
      <c r="B3085" s="7" t="s">
        <v>81</v>
      </c>
      <c r="C3085" s="8">
        <f>IFERROR(__xludf.DUMMYFUNCTION("SPLIT(B3085,""RM"")"),1550000.0)</f>
        <v>1550000</v>
      </c>
      <c r="D3085" s="7" t="s">
        <v>57</v>
      </c>
      <c r="E3085" s="7">
        <v>2.0</v>
      </c>
      <c r="F3085" s="7">
        <v>1.0</v>
      </c>
      <c r="G3085" s="7" t="s">
        <v>93</v>
      </c>
      <c r="H3085" s="7" t="s">
        <v>2170</v>
      </c>
      <c r="I3085" s="7" t="s">
        <v>22</v>
      </c>
    </row>
    <row r="3086">
      <c r="A3086" s="7" t="s">
        <v>23</v>
      </c>
      <c r="B3086" s="7" t="s">
        <v>893</v>
      </c>
      <c r="C3086" s="8">
        <f>IFERROR(__xludf.DUMMYFUNCTION("SPLIT(B3086,""RM"")"),7000000.0)</f>
        <v>7000000</v>
      </c>
      <c r="D3086" s="7">
        <v>7.0</v>
      </c>
      <c r="E3086" s="7">
        <v>6.0</v>
      </c>
      <c r="F3086" s="7">
        <v>6.0</v>
      </c>
      <c r="G3086" s="7" t="s">
        <v>61</v>
      </c>
      <c r="H3086" s="7" t="s">
        <v>2171</v>
      </c>
      <c r="I3086" s="7" t="s">
        <v>27</v>
      </c>
    </row>
    <row r="3087">
      <c r="A3087" s="7" t="s">
        <v>41</v>
      </c>
      <c r="B3087" s="7" t="s">
        <v>279</v>
      </c>
      <c r="C3087" s="8">
        <f>IFERROR(__xludf.DUMMYFUNCTION("SPLIT(B3087,""RM"")"),1380000.0)</f>
        <v>1380000</v>
      </c>
      <c r="D3087" s="7" t="s">
        <v>57</v>
      </c>
      <c r="E3087" s="7">
        <v>4.0</v>
      </c>
      <c r="G3087" s="7" t="s">
        <v>169</v>
      </c>
      <c r="H3087" s="7" t="s">
        <v>721</v>
      </c>
      <c r="I3087" s="7" t="s">
        <v>27</v>
      </c>
    </row>
    <row r="3088">
      <c r="A3088" s="7" t="s">
        <v>100</v>
      </c>
      <c r="B3088" s="7" t="s">
        <v>534</v>
      </c>
      <c r="C3088" s="8">
        <f>IFERROR(__xludf.DUMMYFUNCTION("SPLIT(B3088,""RM"")"),3200000.0)</f>
        <v>3200000</v>
      </c>
      <c r="D3088" s="7">
        <v>7.0</v>
      </c>
      <c r="E3088" s="7">
        <v>6.0</v>
      </c>
      <c r="G3088" s="7" t="s">
        <v>67</v>
      </c>
      <c r="H3088" s="7" t="s">
        <v>62</v>
      </c>
      <c r="I3088" s="7" t="s">
        <v>27</v>
      </c>
    </row>
    <row r="3089">
      <c r="A3089" s="7" t="s">
        <v>72</v>
      </c>
      <c r="B3089" s="7" t="s">
        <v>156</v>
      </c>
      <c r="C3089" s="8">
        <f>IFERROR(__xludf.DUMMYFUNCTION("SPLIT(B3089,""RM"")"),850000.0)</f>
        <v>850000</v>
      </c>
      <c r="D3089" s="7">
        <v>3.0</v>
      </c>
      <c r="E3089" s="7">
        <v>2.0</v>
      </c>
      <c r="F3089" s="7">
        <v>1.0</v>
      </c>
      <c r="G3089" s="7" t="s">
        <v>83</v>
      </c>
      <c r="H3089" s="7" t="s">
        <v>2172</v>
      </c>
    </row>
    <row r="3090">
      <c r="A3090" s="7" t="s">
        <v>1158</v>
      </c>
      <c r="B3090" s="7" t="s">
        <v>407</v>
      </c>
      <c r="C3090" s="8">
        <f>IFERROR(__xludf.DUMMYFUNCTION("SPLIT(B3090,""RM"")"),880000.0)</f>
        <v>880000</v>
      </c>
      <c r="D3090" s="7">
        <v>2.0</v>
      </c>
      <c r="E3090" s="7">
        <v>2.0</v>
      </c>
      <c r="G3090" s="7" t="s">
        <v>20</v>
      </c>
      <c r="H3090" s="7" t="s">
        <v>2173</v>
      </c>
      <c r="I3090" s="7" t="s">
        <v>22</v>
      </c>
    </row>
    <row r="3091">
      <c r="A3091" s="7" t="s">
        <v>86</v>
      </c>
      <c r="B3091" s="7" t="s">
        <v>655</v>
      </c>
      <c r="C3091" s="8">
        <f>IFERROR(__xludf.DUMMYFUNCTION("SPLIT(B3091,""RM"")"),2550000.0)</f>
        <v>2550000</v>
      </c>
      <c r="D3091" s="7" t="s">
        <v>35</v>
      </c>
      <c r="E3091" s="7">
        <v>5.0</v>
      </c>
      <c r="G3091" s="7" t="s">
        <v>83</v>
      </c>
      <c r="H3091" s="7" t="s">
        <v>220</v>
      </c>
    </row>
    <row r="3092">
      <c r="A3092" s="7" t="s">
        <v>428</v>
      </c>
      <c r="B3092" s="7" t="s">
        <v>465</v>
      </c>
      <c r="C3092" s="8">
        <f>IFERROR(__xludf.DUMMYFUNCTION("SPLIT(B3092,""RM"")"),8000000.0)</f>
        <v>8000000</v>
      </c>
      <c r="D3092" s="7">
        <v>5.0</v>
      </c>
      <c r="E3092" s="7">
        <v>5.0</v>
      </c>
      <c r="G3092" s="7" t="s">
        <v>25</v>
      </c>
      <c r="H3092" s="7" t="s">
        <v>264</v>
      </c>
      <c r="I3092" s="7" t="s">
        <v>103</v>
      </c>
    </row>
    <row r="3093">
      <c r="A3093" s="7" t="s">
        <v>41</v>
      </c>
      <c r="B3093" s="7" t="s">
        <v>842</v>
      </c>
      <c r="C3093" s="8">
        <f>IFERROR(__xludf.DUMMYFUNCTION("SPLIT(B3093,""RM"")"),5800000.0)</f>
        <v>5800000</v>
      </c>
      <c r="D3093" s="7" t="s">
        <v>70</v>
      </c>
      <c r="E3093" s="7">
        <v>6.0</v>
      </c>
      <c r="F3093" s="7">
        <v>4.0</v>
      </c>
      <c r="G3093" s="7" t="s">
        <v>61</v>
      </c>
      <c r="H3093" s="7" t="s">
        <v>1202</v>
      </c>
      <c r="I3093" s="7" t="s">
        <v>27</v>
      </c>
    </row>
    <row r="3094">
      <c r="A3094" s="7" t="s">
        <v>428</v>
      </c>
      <c r="B3094" s="7" t="s">
        <v>2174</v>
      </c>
      <c r="C3094" s="8">
        <f>IFERROR(__xludf.DUMMYFUNCTION("SPLIT(B3094,""RM"")"),7800000.0)</f>
        <v>7800000</v>
      </c>
      <c r="D3094" s="7" t="s">
        <v>39</v>
      </c>
      <c r="E3094" s="7">
        <v>6.0</v>
      </c>
      <c r="F3094" s="7">
        <v>8.0</v>
      </c>
      <c r="G3094" s="7" t="s">
        <v>25</v>
      </c>
      <c r="H3094" s="7" t="s">
        <v>1461</v>
      </c>
      <c r="I3094" s="7" t="s">
        <v>103</v>
      </c>
    </row>
    <row r="3095">
      <c r="A3095" s="7" t="s">
        <v>65</v>
      </c>
      <c r="B3095" s="7" t="s">
        <v>465</v>
      </c>
      <c r="C3095" s="8">
        <f>IFERROR(__xludf.DUMMYFUNCTION("SPLIT(B3095,""RM"")"),8000000.0)</f>
        <v>8000000</v>
      </c>
      <c r="D3095" s="7" t="s">
        <v>60</v>
      </c>
      <c r="E3095" s="7">
        <v>6.0</v>
      </c>
      <c r="F3095" s="7">
        <v>8.0</v>
      </c>
      <c r="G3095" s="7" t="s">
        <v>67</v>
      </c>
      <c r="H3095" s="7" t="s">
        <v>2175</v>
      </c>
      <c r="I3095" s="7" t="s">
        <v>27</v>
      </c>
    </row>
    <row r="3096">
      <c r="A3096" s="7" t="s">
        <v>89</v>
      </c>
      <c r="B3096" s="7" t="s">
        <v>2176</v>
      </c>
      <c r="C3096" s="8">
        <f>IFERROR(__xludf.DUMMYFUNCTION("SPLIT(B3096,""RM"")"),529000.0)</f>
        <v>529000</v>
      </c>
      <c r="D3096" s="7">
        <v>3.0</v>
      </c>
      <c r="E3096" s="7">
        <v>2.0</v>
      </c>
      <c r="G3096" s="7" t="s">
        <v>83</v>
      </c>
      <c r="H3096" s="7" t="s">
        <v>1532</v>
      </c>
      <c r="I3096" s="7" t="s">
        <v>27</v>
      </c>
    </row>
    <row r="3097">
      <c r="A3097" s="7" t="s">
        <v>104</v>
      </c>
      <c r="B3097" s="7" t="s">
        <v>967</v>
      </c>
      <c r="C3097" s="8">
        <f>IFERROR(__xludf.DUMMYFUNCTION("SPLIT(B3097,""RM"")"),680000.0)</f>
        <v>680000</v>
      </c>
      <c r="D3097" s="7">
        <v>3.0</v>
      </c>
      <c r="E3097" s="7">
        <v>2.0</v>
      </c>
      <c r="G3097" s="7" t="s">
        <v>343</v>
      </c>
      <c r="H3097" s="7" t="s">
        <v>211</v>
      </c>
      <c r="I3097" s="7" t="s">
        <v>27</v>
      </c>
    </row>
    <row r="3098">
      <c r="A3098" s="7" t="s">
        <v>100</v>
      </c>
      <c r="B3098" s="7" t="s">
        <v>733</v>
      </c>
      <c r="C3098" s="8">
        <f>IFERROR(__xludf.DUMMYFUNCTION("SPLIT(B3098,""RM"")"),565000.0)</f>
        <v>565000</v>
      </c>
      <c r="D3098" s="7" t="s">
        <v>57</v>
      </c>
      <c r="E3098" s="7">
        <v>3.0</v>
      </c>
      <c r="F3098" s="7">
        <v>1.0</v>
      </c>
      <c r="G3098" s="7" t="s">
        <v>30</v>
      </c>
      <c r="H3098" s="7" t="s">
        <v>2177</v>
      </c>
      <c r="I3098" s="7" t="s">
        <v>27</v>
      </c>
    </row>
    <row r="3099">
      <c r="A3099" s="7" t="s">
        <v>100</v>
      </c>
      <c r="B3099" s="7" t="s">
        <v>975</v>
      </c>
      <c r="C3099" s="8">
        <f>IFERROR(__xludf.DUMMYFUNCTION("SPLIT(B3099,""RM"")"),400000.0)</f>
        <v>400000</v>
      </c>
      <c r="D3099" s="7">
        <v>1.0</v>
      </c>
      <c r="E3099" s="7">
        <v>2.0</v>
      </c>
      <c r="F3099" s="7">
        <v>1.0</v>
      </c>
      <c r="G3099" s="7" t="s">
        <v>145</v>
      </c>
      <c r="H3099" s="7" t="s">
        <v>786</v>
      </c>
      <c r="I3099" s="7" t="s">
        <v>22</v>
      </c>
    </row>
    <row r="3100">
      <c r="A3100" s="7" t="s">
        <v>104</v>
      </c>
      <c r="B3100" s="7" t="s">
        <v>172</v>
      </c>
      <c r="C3100" s="8">
        <f>IFERROR(__xludf.DUMMYFUNCTION("SPLIT(B3100,""RM"")"),580000.0)</f>
        <v>580000</v>
      </c>
      <c r="D3100" s="7">
        <v>3.0</v>
      </c>
      <c r="E3100" s="7">
        <v>2.0</v>
      </c>
      <c r="G3100" s="7" t="s">
        <v>343</v>
      </c>
      <c r="H3100" s="7" t="s">
        <v>1732</v>
      </c>
      <c r="I3100" s="7" t="s">
        <v>27</v>
      </c>
    </row>
    <row r="3101">
      <c r="A3101" s="7" t="s">
        <v>358</v>
      </c>
      <c r="B3101" s="7" t="s">
        <v>2178</v>
      </c>
      <c r="C3101" s="8">
        <f>IFERROR(__xludf.DUMMYFUNCTION("SPLIT(B3101,""RM"")"),915000.0)</f>
        <v>915000</v>
      </c>
      <c r="D3101" s="7">
        <v>4.0</v>
      </c>
      <c r="E3101" s="7">
        <v>3.0</v>
      </c>
      <c r="G3101" s="7" t="s">
        <v>54</v>
      </c>
      <c r="H3101" s="7" t="s">
        <v>211</v>
      </c>
      <c r="I3101" s="7" t="s">
        <v>27</v>
      </c>
    </row>
    <row r="3102">
      <c r="A3102" s="7" t="s">
        <v>104</v>
      </c>
      <c r="B3102" s="7" t="s">
        <v>311</v>
      </c>
      <c r="C3102" s="8">
        <f>IFERROR(__xludf.DUMMYFUNCTION("SPLIT(B3102,""RM"")"),1100000.0)</f>
        <v>1100000</v>
      </c>
      <c r="D3102" s="7" t="s">
        <v>70</v>
      </c>
      <c r="E3102" s="7">
        <v>4.0</v>
      </c>
      <c r="G3102" s="7" t="s">
        <v>2179</v>
      </c>
      <c r="H3102" s="7" t="s">
        <v>1119</v>
      </c>
      <c r="I3102" s="7" t="s">
        <v>27</v>
      </c>
    </row>
    <row r="3103">
      <c r="A3103" s="7" t="s">
        <v>267</v>
      </c>
      <c r="B3103" s="7" t="s">
        <v>1823</v>
      </c>
      <c r="C3103" s="8">
        <f>IFERROR(__xludf.DUMMYFUNCTION("SPLIT(B3103,""RM"")"),508000.0)</f>
        <v>508000</v>
      </c>
      <c r="D3103" s="7">
        <v>2.0</v>
      </c>
      <c r="E3103" s="7">
        <v>2.0</v>
      </c>
      <c r="F3103" s="7">
        <v>1.0</v>
      </c>
      <c r="G3103" s="7" t="s">
        <v>20</v>
      </c>
      <c r="H3103" s="7" t="s">
        <v>269</v>
      </c>
      <c r="I3103" s="7" t="s">
        <v>27</v>
      </c>
    </row>
    <row r="3104">
      <c r="A3104" s="7" t="s">
        <v>267</v>
      </c>
      <c r="B3104" s="7" t="s">
        <v>603</v>
      </c>
      <c r="C3104" s="8">
        <f>IFERROR(__xludf.DUMMYFUNCTION("SPLIT(B3104,""RM"")"),628000.0)</f>
        <v>628000</v>
      </c>
      <c r="D3104" s="7">
        <v>3.0</v>
      </c>
      <c r="E3104" s="7">
        <v>2.0</v>
      </c>
      <c r="F3104" s="7">
        <v>1.0</v>
      </c>
      <c r="G3104" s="7" t="s">
        <v>20</v>
      </c>
      <c r="H3104" s="7" t="s">
        <v>954</v>
      </c>
      <c r="I3104" s="7" t="s">
        <v>27</v>
      </c>
    </row>
    <row r="3105">
      <c r="A3105" s="7" t="s">
        <v>148</v>
      </c>
      <c r="B3105" s="7" t="s">
        <v>761</v>
      </c>
      <c r="C3105" s="8">
        <f>IFERROR(__xludf.DUMMYFUNCTION("SPLIT(B3105,""RM"")"),480000.0)</f>
        <v>480000</v>
      </c>
      <c r="D3105" s="7">
        <v>3.0</v>
      </c>
      <c r="E3105" s="7">
        <v>2.0</v>
      </c>
      <c r="G3105" s="7" t="s">
        <v>20</v>
      </c>
      <c r="H3105" s="7" t="s">
        <v>2180</v>
      </c>
      <c r="I3105" s="7" t="s">
        <v>27</v>
      </c>
    </row>
    <row r="3106">
      <c r="A3106" s="7" t="s">
        <v>155</v>
      </c>
      <c r="B3106" s="7" t="s">
        <v>511</v>
      </c>
      <c r="C3106" s="8">
        <f>IFERROR(__xludf.DUMMYFUNCTION("SPLIT(B3106,""RM"")"),1198000.0)</f>
        <v>1198000</v>
      </c>
      <c r="D3106" s="7" t="s">
        <v>57</v>
      </c>
      <c r="E3106" s="7">
        <v>4.0</v>
      </c>
      <c r="F3106" s="7">
        <v>2.0</v>
      </c>
      <c r="G3106" s="7" t="s">
        <v>83</v>
      </c>
      <c r="H3106" s="7" t="s">
        <v>2181</v>
      </c>
      <c r="I3106" s="7" t="s">
        <v>22</v>
      </c>
    </row>
    <row r="3107">
      <c r="A3107" s="7" t="s">
        <v>171</v>
      </c>
      <c r="B3107" s="7" t="s">
        <v>507</v>
      </c>
      <c r="C3107" s="8">
        <f>IFERROR(__xludf.DUMMYFUNCTION("SPLIT(B3107,""RM"")"),590000.0)</f>
        <v>590000</v>
      </c>
      <c r="D3107" s="7" t="s">
        <v>57</v>
      </c>
      <c r="E3107" s="7">
        <v>3.0</v>
      </c>
      <c r="F3107" s="7">
        <v>1.0</v>
      </c>
      <c r="G3107" s="7" t="s">
        <v>83</v>
      </c>
      <c r="H3107" s="7" t="s">
        <v>2182</v>
      </c>
    </row>
    <row r="3108">
      <c r="A3108" s="7" t="s">
        <v>171</v>
      </c>
      <c r="B3108" s="7" t="s">
        <v>1140</v>
      </c>
      <c r="C3108" s="8">
        <f>IFERROR(__xludf.DUMMYFUNCTION("SPLIT(B3108,""RM"")"),330000.0)</f>
        <v>330000</v>
      </c>
      <c r="D3108" s="7" t="s">
        <v>325</v>
      </c>
      <c r="E3108" s="7">
        <v>1.0</v>
      </c>
      <c r="F3108" s="7">
        <v>1.0</v>
      </c>
      <c r="G3108" s="7" t="s">
        <v>20</v>
      </c>
      <c r="H3108" s="7" t="s">
        <v>2183</v>
      </c>
      <c r="I3108" s="7" t="s">
        <v>27</v>
      </c>
    </row>
    <row r="3109">
      <c r="A3109" s="7" t="s">
        <v>171</v>
      </c>
      <c r="B3109" s="7" t="s">
        <v>563</v>
      </c>
      <c r="C3109" s="8">
        <f>IFERROR(__xludf.DUMMYFUNCTION("SPLIT(B3109,""RM"")"),600000.0)</f>
        <v>600000</v>
      </c>
      <c r="D3109" s="7" t="s">
        <v>57</v>
      </c>
      <c r="E3109" s="7">
        <v>2.0</v>
      </c>
      <c r="F3109" s="7">
        <v>2.0</v>
      </c>
      <c r="G3109" s="7" t="s">
        <v>83</v>
      </c>
      <c r="H3109" s="7" t="s">
        <v>1371</v>
      </c>
    </row>
    <row r="3110">
      <c r="A3110" s="7" t="s">
        <v>371</v>
      </c>
      <c r="B3110" s="7" t="s">
        <v>983</v>
      </c>
      <c r="C3110" s="8">
        <f>IFERROR(__xludf.DUMMYFUNCTION("SPLIT(B3110,""RM"")"),440000.0)</f>
        <v>440000</v>
      </c>
      <c r="D3110" s="7" t="s">
        <v>57</v>
      </c>
      <c r="E3110" s="7">
        <v>3.0</v>
      </c>
      <c r="F3110" s="7">
        <v>1.0</v>
      </c>
      <c r="G3110" s="7" t="s">
        <v>83</v>
      </c>
      <c r="H3110" s="7" t="s">
        <v>1521</v>
      </c>
    </row>
    <row r="3111">
      <c r="A3111" s="7" t="s">
        <v>171</v>
      </c>
      <c r="B3111" s="7" t="s">
        <v>502</v>
      </c>
      <c r="C3111" s="8">
        <f>IFERROR(__xludf.DUMMYFUNCTION("SPLIT(B3111,""RM"")"),438000.0)</f>
        <v>438000</v>
      </c>
      <c r="D3111" s="7">
        <v>4.0</v>
      </c>
      <c r="E3111" s="7">
        <v>2.0</v>
      </c>
      <c r="G3111" s="7" t="s">
        <v>83</v>
      </c>
    </row>
    <row r="3112">
      <c r="A3112" s="7" t="s">
        <v>171</v>
      </c>
      <c r="B3112" s="7" t="s">
        <v>975</v>
      </c>
      <c r="C3112" s="8">
        <f>IFERROR(__xludf.DUMMYFUNCTION("SPLIT(B3112,""RM"")"),400000.0)</f>
        <v>400000</v>
      </c>
      <c r="D3112" s="7">
        <v>3.0</v>
      </c>
      <c r="E3112" s="7">
        <v>2.0</v>
      </c>
      <c r="G3112" s="7" t="s">
        <v>83</v>
      </c>
    </row>
    <row r="3113">
      <c r="A3113" s="7" t="s">
        <v>171</v>
      </c>
      <c r="B3113" s="7" t="s">
        <v>172</v>
      </c>
      <c r="C3113" s="8">
        <f>IFERROR(__xludf.DUMMYFUNCTION("SPLIT(B3113,""RM"")"),580000.0)</f>
        <v>580000</v>
      </c>
      <c r="D3113" s="7">
        <v>4.0</v>
      </c>
      <c r="E3113" s="7">
        <v>2.0</v>
      </c>
      <c r="F3113" s="7">
        <v>3.0</v>
      </c>
      <c r="G3113" s="7" t="s">
        <v>83</v>
      </c>
    </row>
    <row r="3114">
      <c r="A3114" s="7" t="s">
        <v>171</v>
      </c>
      <c r="B3114" s="7" t="s">
        <v>2184</v>
      </c>
      <c r="C3114" s="8">
        <f>IFERROR(__xludf.DUMMYFUNCTION("SPLIT(B3114,""RM"")"),340000.0)</f>
        <v>340000</v>
      </c>
      <c r="D3114" s="7">
        <v>3.0</v>
      </c>
      <c r="E3114" s="7">
        <v>2.0</v>
      </c>
      <c r="F3114" s="7">
        <v>1.0</v>
      </c>
      <c r="G3114" s="7" t="s">
        <v>83</v>
      </c>
      <c r="H3114" s="7" t="s">
        <v>1449</v>
      </c>
    </row>
    <row r="3115">
      <c r="A3115" s="7" t="s">
        <v>171</v>
      </c>
      <c r="B3115" s="7" t="s">
        <v>268</v>
      </c>
      <c r="C3115" s="8">
        <f>IFERROR(__xludf.DUMMYFUNCTION("SPLIT(B3115,""RM"")"),500000.0)</f>
        <v>500000</v>
      </c>
      <c r="D3115" s="7">
        <v>4.0</v>
      </c>
      <c r="E3115" s="7">
        <v>2.0</v>
      </c>
      <c r="G3115" s="7" t="s">
        <v>83</v>
      </c>
    </row>
    <row r="3116">
      <c r="A3116" s="7" t="s">
        <v>171</v>
      </c>
      <c r="B3116" s="7" t="s">
        <v>2185</v>
      </c>
      <c r="C3116" s="8">
        <f>IFERROR(__xludf.DUMMYFUNCTION("SPLIT(B3116,""RM"")"),496000.0)</f>
        <v>496000</v>
      </c>
      <c r="D3116" s="7">
        <v>4.0</v>
      </c>
      <c r="E3116" s="7">
        <v>2.0</v>
      </c>
      <c r="G3116" s="7" t="s">
        <v>83</v>
      </c>
    </row>
    <row r="3117">
      <c r="A3117" s="7" t="s">
        <v>171</v>
      </c>
      <c r="B3117" s="7" t="s">
        <v>975</v>
      </c>
      <c r="C3117" s="8">
        <f>IFERROR(__xludf.DUMMYFUNCTION("SPLIT(B3117,""RM"")"),400000.0)</f>
        <v>400000</v>
      </c>
      <c r="D3117" s="7">
        <v>3.0</v>
      </c>
      <c r="E3117" s="7">
        <v>2.0</v>
      </c>
      <c r="F3117" s="7">
        <v>1.0</v>
      </c>
      <c r="G3117" s="7" t="s">
        <v>83</v>
      </c>
    </row>
    <row r="3118">
      <c r="A3118" s="7" t="s">
        <v>171</v>
      </c>
      <c r="B3118" s="7" t="s">
        <v>1140</v>
      </c>
      <c r="C3118" s="8">
        <f>IFERROR(__xludf.DUMMYFUNCTION("SPLIT(B3118,""RM"")"),330000.0)</f>
        <v>330000</v>
      </c>
      <c r="D3118" s="7" t="s">
        <v>325</v>
      </c>
      <c r="E3118" s="7">
        <v>1.0</v>
      </c>
      <c r="F3118" s="7">
        <v>1.0</v>
      </c>
      <c r="G3118" s="7" t="s">
        <v>20</v>
      </c>
      <c r="H3118" s="7" t="s">
        <v>2183</v>
      </c>
      <c r="I3118" s="7" t="s">
        <v>27</v>
      </c>
    </row>
    <row r="3119">
      <c r="A3119" s="7" t="s">
        <v>171</v>
      </c>
      <c r="B3119" s="7" t="s">
        <v>543</v>
      </c>
      <c r="C3119" s="8">
        <f>IFERROR(__xludf.DUMMYFUNCTION("SPLIT(B3119,""RM"")"),425000.0)</f>
        <v>425000</v>
      </c>
      <c r="D3119" s="7">
        <v>4.0</v>
      </c>
      <c r="E3119" s="7">
        <v>2.0</v>
      </c>
      <c r="G3119" s="7" t="s">
        <v>83</v>
      </c>
    </row>
    <row r="3120">
      <c r="A3120" s="7" t="s">
        <v>171</v>
      </c>
      <c r="B3120" s="7" t="s">
        <v>702</v>
      </c>
      <c r="C3120" s="8">
        <f>IFERROR(__xludf.DUMMYFUNCTION("SPLIT(B3120,""RM"")"),410000.0)</f>
        <v>410000</v>
      </c>
      <c r="D3120" s="7">
        <v>4.0</v>
      </c>
      <c r="E3120" s="7">
        <v>2.0</v>
      </c>
      <c r="G3120" s="7" t="s">
        <v>83</v>
      </c>
    </row>
    <row r="3121">
      <c r="A3121" s="7" t="s">
        <v>171</v>
      </c>
      <c r="B3121" s="7" t="s">
        <v>105</v>
      </c>
      <c r="C3121" s="8">
        <f>IFERROR(__xludf.DUMMYFUNCTION("SPLIT(B3121,""RM"")"),560000.0)</f>
        <v>560000</v>
      </c>
      <c r="D3121" s="7">
        <v>3.0</v>
      </c>
      <c r="E3121" s="7">
        <v>4.0</v>
      </c>
      <c r="F3121" s="7">
        <v>2.0</v>
      </c>
      <c r="G3121" s="7" t="s">
        <v>20</v>
      </c>
      <c r="H3121" s="7" t="s">
        <v>1505</v>
      </c>
    </row>
    <row r="3122">
      <c r="A3122" s="7" t="s">
        <v>171</v>
      </c>
      <c r="B3122" s="7" t="s">
        <v>2186</v>
      </c>
      <c r="C3122" s="8">
        <f>IFERROR(__xludf.DUMMYFUNCTION("SPLIT(B3122,""RM"")"),406000.0)</f>
        <v>406000</v>
      </c>
      <c r="D3122" s="7">
        <v>3.0</v>
      </c>
      <c r="E3122" s="7">
        <v>2.0</v>
      </c>
      <c r="G3122" s="7" t="s">
        <v>83</v>
      </c>
    </row>
    <row r="3123">
      <c r="A3123" s="7" t="s">
        <v>171</v>
      </c>
      <c r="B3123" s="7" t="s">
        <v>759</v>
      </c>
      <c r="C3123" s="8">
        <f>IFERROR(__xludf.DUMMYFUNCTION("SPLIT(B3123,""RM"")"),520000.0)</f>
        <v>520000</v>
      </c>
      <c r="D3123" s="7">
        <v>4.0</v>
      </c>
      <c r="E3123" s="7">
        <v>2.0</v>
      </c>
      <c r="G3123" s="7" t="s">
        <v>83</v>
      </c>
    </row>
    <row r="3124">
      <c r="A3124" s="7" t="s">
        <v>171</v>
      </c>
      <c r="B3124" s="7" t="s">
        <v>268</v>
      </c>
      <c r="C3124" s="8">
        <f>IFERROR(__xludf.DUMMYFUNCTION("SPLIT(B3124,""RM"")"),500000.0)</f>
        <v>500000</v>
      </c>
      <c r="D3124" s="7">
        <v>4.0</v>
      </c>
      <c r="E3124" s="7">
        <v>2.0</v>
      </c>
      <c r="F3124" s="7">
        <v>2.0</v>
      </c>
      <c r="G3124" s="7" t="s">
        <v>83</v>
      </c>
    </row>
    <row r="3125">
      <c r="A3125" s="7" t="s">
        <v>171</v>
      </c>
      <c r="B3125" s="7" t="s">
        <v>2185</v>
      </c>
      <c r="C3125" s="8">
        <f>IFERROR(__xludf.DUMMYFUNCTION("SPLIT(B3125,""RM"")"),496000.0)</f>
        <v>496000</v>
      </c>
      <c r="D3125" s="7">
        <v>4.0</v>
      </c>
      <c r="E3125" s="7">
        <v>2.0</v>
      </c>
      <c r="F3125" s="7">
        <v>2.0</v>
      </c>
      <c r="G3125" s="7" t="s">
        <v>83</v>
      </c>
    </row>
    <row r="3126">
      <c r="A3126" s="7" t="s">
        <v>171</v>
      </c>
      <c r="B3126" s="7" t="s">
        <v>575</v>
      </c>
      <c r="C3126" s="8">
        <f>IFERROR(__xludf.DUMMYFUNCTION("SPLIT(B3126,""RM"")"),660000.0)</f>
        <v>660000</v>
      </c>
      <c r="D3126" s="7">
        <v>3.0</v>
      </c>
      <c r="E3126" s="7">
        <v>3.0</v>
      </c>
      <c r="F3126" s="7">
        <v>2.0</v>
      </c>
      <c r="G3126" s="7" t="s">
        <v>20</v>
      </c>
      <c r="I3126" s="7" t="s">
        <v>27</v>
      </c>
    </row>
    <row r="3127">
      <c r="A3127" s="7" t="s">
        <v>171</v>
      </c>
      <c r="B3127" s="7" t="s">
        <v>715</v>
      </c>
      <c r="C3127" s="8">
        <f>IFERROR(__xludf.DUMMYFUNCTION("SPLIT(B3127,""RM"")"),550000.0)</f>
        <v>550000</v>
      </c>
      <c r="D3127" s="7">
        <v>4.0</v>
      </c>
      <c r="E3127" s="7">
        <v>2.0</v>
      </c>
      <c r="G3127" s="7" t="s">
        <v>83</v>
      </c>
    </row>
    <row r="3128">
      <c r="A3128" s="7" t="s">
        <v>368</v>
      </c>
      <c r="B3128" s="7" t="s">
        <v>268</v>
      </c>
      <c r="C3128" s="8">
        <f>IFERROR(__xludf.DUMMYFUNCTION("SPLIT(B3128,""RM"")"),500000.0)</f>
        <v>500000</v>
      </c>
      <c r="D3128" s="7">
        <v>3.0</v>
      </c>
      <c r="E3128" s="7">
        <v>2.0</v>
      </c>
      <c r="F3128" s="7">
        <v>2.0</v>
      </c>
      <c r="G3128" s="7" t="s">
        <v>20</v>
      </c>
      <c r="H3128" s="7" t="s">
        <v>2187</v>
      </c>
      <c r="I3128" s="7" t="s">
        <v>27</v>
      </c>
    </row>
    <row r="3129">
      <c r="A3129" s="7" t="s">
        <v>155</v>
      </c>
      <c r="B3129" s="7" t="s">
        <v>87</v>
      </c>
      <c r="C3129" s="8">
        <f>IFERROR(__xludf.DUMMYFUNCTION("SPLIT(B3129,""RM"")"),490000.0)</f>
        <v>490000</v>
      </c>
      <c r="D3129" s="7">
        <v>3.0</v>
      </c>
      <c r="E3129" s="7">
        <v>2.0</v>
      </c>
      <c r="F3129" s="7">
        <v>1.0</v>
      </c>
      <c r="G3129" s="7" t="s">
        <v>20</v>
      </c>
    </row>
    <row r="3130">
      <c r="A3130" s="7" t="s">
        <v>1014</v>
      </c>
      <c r="B3130" s="7" t="s">
        <v>268</v>
      </c>
      <c r="C3130" s="8">
        <f>IFERROR(__xludf.DUMMYFUNCTION("SPLIT(B3130,""RM"")"),500000.0)</f>
        <v>500000</v>
      </c>
      <c r="D3130" s="7">
        <v>3.0</v>
      </c>
      <c r="E3130" s="7">
        <v>2.0</v>
      </c>
      <c r="F3130" s="7">
        <v>1.0</v>
      </c>
      <c r="G3130" s="7" t="s">
        <v>83</v>
      </c>
      <c r="H3130" s="7" t="s">
        <v>2188</v>
      </c>
    </row>
    <row r="3131">
      <c r="A3131" s="7" t="s">
        <v>171</v>
      </c>
      <c r="B3131" s="7" t="s">
        <v>1786</v>
      </c>
      <c r="C3131" s="8">
        <f>IFERROR(__xludf.DUMMYFUNCTION("SPLIT(B3131,""RM"")"),838000.0)</f>
        <v>838000</v>
      </c>
      <c r="D3131" s="7" t="s">
        <v>57</v>
      </c>
      <c r="E3131" s="7">
        <v>3.0</v>
      </c>
      <c r="F3131" s="7">
        <v>2.0</v>
      </c>
      <c r="G3131" s="7" t="s">
        <v>83</v>
      </c>
      <c r="H3131" s="7" t="s">
        <v>2189</v>
      </c>
      <c r="I3131" s="7" t="s">
        <v>27</v>
      </c>
    </row>
    <row r="3132">
      <c r="A3132" s="7" t="s">
        <v>155</v>
      </c>
      <c r="B3132" s="7" t="s">
        <v>502</v>
      </c>
      <c r="C3132" s="8">
        <f>IFERROR(__xludf.DUMMYFUNCTION("SPLIT(B3132,""RM"")"),438000.0)</f>
        <v>438000</v>
      </c>
      <c r="D3132" s="7">
        <v>3.0</v>
      </c>
      <c r="E3132" s="7">
        <v>2.0</v>
      </c>
      <c r="F3132" s="7">
        <v>1.0</v>
      </c>
      <c r="G3132" s="7" t="s">
        <v>83</v>
      </c>
      <c r="H3132" s="7" t="s">
        <v>2190</v>
      </c>
    </row>
    <row r="3133">
      <c r="A3133" s="7" t="s">
        <v>428</v>
      </c>
      <c r="B3133" s="7" t="s">
        <v>309</v>
      </c>
      <c r="C3133" s="8">
        <f>IFERROR(__xludf.DUMMYFUNCTION("SPLIT(B3133,""RM"")"),2100000.0)</f>
        <v>2100000</v>
      </c>
      <c r="D3133" s="7" t="s">
        <v>57</v>
      </c>
      <c r="E3133" s="7">
        <v>5.0</v>
      </c>
      <c r="F3133" s="7">
        <v>2.0</v>
      </c>
      <c r="G3133" s="7" t="s">
        <v>145</v>
      </c>
      <c r="H3133" s="7" t="s">
        <v>2191</v>
      </c>
      <c r="I3133" s="7" t="s">
        <v>22</v>
      </c>
    </row>
    <row r="3134">
      <c r="A3134" s="7" t="s">
        <v>72</v>
      </c>
      <c r="B3134" s="7" t="s">
        <v>475</v>
      </c>
      <c r="C3134" s="8">
        <f>IFERROR(__xludf.DUMMYFUNCTION("SPLIT(B3134,""RM"")"),2800000.0)</f>
        <v>2800000</v>
      </c>
      <c r="D3134" s="7" t="s">
        <v>35</v>
      </c>
      <c r="E3134" s="7">
        <v>5.0</v>
      </c>
      <c r="G3134" s="7" t="s">
        <v>83</v>
      </c>
      <c r="H3134" s="7" t="s">
        <v>113</v>
      </c>
      <c r="I3134" s="7" t="s">
        <v>27</v>
      </c>
    </row>
    <row r="3135">
      <c r="A3135" s="7" t="s">
        <v>100</v>
      </c>
      <c r="B3135" s="7" t="s">
        <v>1328</v>
      </c>
      <c r="C3135" s="8">
        <f>IFERROR(__xludf.DUMMYFUNCTION("SPLIT(B3135,""RM"")"),650000.0)</f>
        <v>650000</v>
      </c>
      <c r="D3135" s="7">
        <v>3.0</v>
      </c>
      <c r="E3135" s="7">
        <v>2.0</v>
      </c>
      <c r="F3135" s="7">
        <v>1.0</v>
      </c>
      <c r="G3135" s="7" t="s">
        <v>20</v>
      </c>
      <c r="H3135" s="7" t="s">
        <v>2013</v>
      </c>
    </row>
    <row r="3136">
      <c r="A3136" s="7" t="s">
        <v>267</v>
      </c>
      <c r="B3136" s="7" t="s">
        <v>1423</v>
      </c>
      <c r="C3136" s="8">
        <f>IFERROR(__xludf.DUMMYFUNCTION("SPLIT(B3136,""RM"")"),420000.0)</f>
        <v>420000</v>
      </c>
      <c r="D3136" s="7">
        <v>1.0</v>
      </c>
      <c r="E3136" s="7">
        <v>1.0</v>
      </c>
      <c r="F3136" s="7">
        <v>1.0</v>
      </c>
      <c r="G3136" s="7" t="s">
        <v>20</v>
      </c>
      <c r="H3136" s="7" t="s">
        <v>1207</v>
      </c>
      <c r="I3136" s="7" t="s">
        <v>27</v>
      </c>
    </row>
    <row r="3137">
      <c r="A3137" s="7" t="s">
        <v>100</v>
      </c>
      <c r="B3137" s="7" t="s">
        <v>289</v>
      </c>
      <c r="C3137" s="8">
        <f>IFERROR(__xludf.DUMMYFUNCTION("SPLIT(B3137,""RM"")"),509000.0)</f>
        <v>509000</v>
      </c>
      <c r="D3137" s="7">
        <v>2.0</v>
      </c>
      <c r="E3137" s="7">
        <v>2.0</v>
      </c>
      <c r="F3137" s="7">
        <v>1.0</v>
      </c>
      <c r="G3137" s="7" t="s">
        <v>20</v>
      </c>
      <c r="H3137" s="7" t="s">
        <v>198</v>
      </c>
    </row>
    <row r="3138">
      <c r="A3138" s="7" t="s">
        <v>72</v>
      </c>
      <c r="B3138" s="7" t="s">
        <v>599</v>
      </c>
      <c r="C3138" s="8">
        <f>IFERROR(__xludf.DUMMYFUNCTION("SPLIT(B3138,""RM"")"),950000.0)</f>
        <v>950000</v>
      </c>
      <c r="D3138" s="7">
        <v>3.0</v>
      </c>
      <c r="E3138" s="7">
        <v>3.0</v>
      </c>
      <c r="G3138" s="7" t="s">
        <v>20</v>
      </c>
      <c r="H3138" s="7" t="s">
        <v>471</v>
      </c>
      <c r="I3138" s="7" t="s">
        <v>22</v>
      </c>
    </row>
    <row r="3139">
      <c r="A3139" s="7" t="s">
        <v>371</v>
      </c>
      <c r="B3139" s="7" t="s">
        <v>983</v>
      </c>
      <c r="C3139" s="8">
        <f>IFERROR(__xludf.DUMMYFUNCTION("SPLIT(B3139,""RM"")"),440000.0)</f>
        <v>440000</v>
      </c>
      <c r="D3139" s="7">
        <v>3.0</v>
      </c>
      <c r="E3139" s="7">
        <v>2.0</v>
      </c>
      <c r="F3139" s="7">
        <v>3.0</v>
      </c>
      <c r="G3139" s="7" t="s">
        <v>83</v>
      </c>
      <c r="H3139" s="7" t="s">
        <v>604</v>
      </c>
      <c r="I3139" s="7" t="s">
        <v>27</v>
      </c>
    </row>
    <row r="3140">
      <c r="A3140" s="7" t="s">
        <v>52</v>
      </c>
      <c r="B3140" s="7" t="s">
        <v>229</v>
      </c>
      <c r="C3140" s="8">
        <f>IFERROR(__xludf.DUMMYFUNCTION("SPLIT(B3140,""RM"")"),1050000.0)</f>
        <v>1050000</v>
      </c>
      <c r="D3140" s="7">
        <v>2.0</v>
      </c>
      <c r="E3140" s="7">
        <v>2.0</v>
      </c>
      <c r="F3140" s="7">
        <v>1.0</v>
      </c>
      <c r="G3140" s="7" t="s">
        <v>82</v>
      </c>
      <c r="H3140" s="7" t="s">
        <v>2192</v>
      </c>
      <c r="I3140" s="7" t="s">
        <v>22</v>
      </c>
    </row>
    <row r="3141">
      <c r="A3141" s="7" t="s">
        <v>72</v>
      </c>
      <c r="B3141" s="7" t="s">
        <v>236</v>
      </c>
      <c r="C3141" s="8">
        <f>IFERROR(__xludf.DUMMYFUNCTION("SPLIT(B3141,""RM"")"),2000000.0)</f>
        <v>2000000</v>
      </c>
      <c r="D3141" s="7">
        <v>4.0</v>
      </c>
      <c r="E3141" s="7">
        <v>5.0</v>
      </c>
      <c r="F3141" s="7">
        <v>2.0</v>
      </c>
      <c r="G3141" s="7" t="s">
        <v>83</v>
      </c>
      <c r="H3141" s="7" t="s">
        <v>2193</v>
      </c>
      <c r="I3141" s="7" t="s">
        <v>22</v>
      </c>
    </row>
    <row r="3142">
      <c r="A3142" s="7" t="s">
        <v>72</v>
      </c>
      <c r="B3142" s="7" t="s">
        <v>931</v>
      </c>
      <c r="C3142" s="8">
        <f>IFERROR(__xludf.DUMMYFUNCTION("SPLIT(B3142,""RM"")"),2450000.0)</f>
        <v>2450000</v>
      </c>
      <c r="D3142" s="7">
        <v>4.0</v>
      </c>
      <c r="E3142" s="7">
        <v>4.0</v>
      </c>
      <c r="F3142" s="7">
        <v>4.0</v>
      </c>
      <c r="G3142" s="7" t="s">
        <v>83</v>
      </c>
      <c r="H3142" s="7" t="s">
        <v>561</v>
      </c>
      <c r="I3142" s="7" t="s">
        <v>22</v>
      </c>
    </row>
    <row r="3143">
      <c r="A3143" s="7" t="s">
        <v>72</v>
      </c>
      <c r="B3143" s="7" t="s">
        <v>277</v>
      </c>
      <c r="C3143" s="8">
        <f>IFERROR(__xludf.DUMMYFUNCTION("SPLIT(B3143,""RM"")"),2200000.0)</f>
        <v>2200000</v>
      </c>
      <c r="D3143" s="7">
        <v>5.0</v>
      </c>
      <c r="E3143" s="7">
        <v>4.0</v>
      </c>
      <c r="F3143" s="7">
        <v>2.0</v>
      </c>
      <c r="G3143" s="7" t="s">
        <v>83</v>
      </c>
      <c r="H3143" s="7" t="s">
        <v>74</v>
      </c>
      <c r="I3143" s="7" t="s">
        <v>27</v>
      </c>
    </row>
    <row r="3144">
      <c r="A3144" s="7" t="s">
        <v>177</v>
      </c>
      <c r="B3144" s="7" t="s">
        <v>2194</v>
      </c>
      <c r="C3144" s="8">
        <f>IFERROR(__xludf.DUMMYFUNCTION("SPLIT(B3144,""RM"")"),3886800.0)</f>
        <v>3886800</v>
      </c>
      <c r="D3144" s="7" t="s">
        <v>57</v>
      </c>
      <c r="E3144" s="7">
        <v>5.0</v>
      </c>
      <c r="G3144" s="7" t="s">
        <v>30</v>
      </c>
      <c r="H3144" s="7" t="s">
        <v>1796</v>
      </c>
      <c r="I3144" s="7" t="s">
        <v>27</v>
      </c>
    </row>
    <row r="3145">
      <c r="A3145" s="7" t="s">
        <v>100</v>
      </c>
      <c r="B3145" s="7" t="s">
        <v>610</v>
      </c>
      <c r="C3145" s="8">
        <f>IFERROR(__xludf.DUMMYFUNCTION("SPLIT(B3145,""RM"")"),2250000.0)</f>
        <v>2250000</v>
      </c>
      <c r="D3145" s="7">
        <v>6.0</v>
      </c>
      <c r="E3145" s="7">
        <v>3.0</v>
      </c>
      <c r="G3145" s="7" t="s">
        <v>487</v>
      </c>
      <c r="H3145" s="7" t="s">
        <v>2195</v>
      </c>
      <c r="I3145" s="7" t="s">
        <v>27</v>
      </c>
    </row>
    <row r="3146">
      <c r="A3146" s="7" t="s">
        <v>23</v>
      </c>
      <c r="B3146" s="7" t="s">
        <v>1140</v>
      </c>
      <c r="C3146" s="8">
        <f>IFERROR(__xludf.DUMMYFUNCTION("SPLIT(B3146,""RM"")"),330000.0)</f>
        <v>330000</v>
      </c>
      <c r="D3146" s="7">
        <v>1.0</v>
      </c>
      <c r="E3146" s="7">
        <v>1.0</v>
      </c>
      <c r="F3146" s="7">
        <v>1.0</v>
      </c>
      <c r="G3146" s="7" t="s">
        <v>82</v>
      </c>
      <c r="I3146" s="7" t="s">
        <v>22</v>
      </c>
    </row>
    <row r="3147">
      <c r="A3147" s="7" t="s">
        <v>33</v>
      </c>
      <c r="B3147" s="7" t="s">
        <v>18</v>
      </c>
      <c r="C3147" s="8">
        <f>IFERROR(__xludf.DUMMYFUNCTION("SPLIT(B3147,""RM"")"),1250000.0)</f>
        <v>1250000</v>
      </c>
      <c r="D3147" s="7">
        <v>6.0</v>
      </c>
      <c r="E3147" s="7">
        <v>5.0</v>
      </c>
      <c r="F3147" s="7">
        <v>3.0</v>
      </c>
      <c r="G3147" s="7" t="s">
        <v>90</v>
      </c>
      <c r="H3147" s="7" t="s">
        <v>2196</v>
      </c>
      <c r="I3147" s="7" t="s">
        <v>27</v>
      </c>
    </row>
    <row r="3148">
      <c r="A3148" s="7" t="s">
        <v>177</v>
      </c>
      <c r="B3148" s="7" t="s">
        <v>81</v>
      </c>
      <c r="C3148" s="8">
        <f>IFERROR(__xludf.DUMMYFUNCTION("SPLIT(B3148,""RM"")"),1550000.0)</f>
        <v>1550000</v>
      </c>
      <c r="D3148" s="7">
        <v>3.0</v>
      </c>
      <c r="E3148" s="7">
        <v>3.0</v>
      </c>
      <c r="F3148" s="7">
        <v>2.0</v>
      </c>
      <c r="G3148" s="7" t="s">
        <v>30</v>
      </c>
      <c r="H3148" s="7" t="s">
        <v>194</v>
      </c>
      <c r="I3148" s="7" t="s">
        <v>27</v>
      </c>
    </row>
    <row r="3149">
      <c r="A3149" s="7" t="s">
        <v>72</v>
      </c>
      <c r="B3149" s="7" t="s">
        <v>98</v>
      </c>
      <c r="C3149" s="8">
        <f>IFERROR(__xludf.DUMMYFUNCTION("SPLIT(B3149,""RM"")"),1830000.0)</f>
        <v>1830000</v>
      </c>
      <c r="D3149" s="7" t="s">
        <v>35</v>
      </c>
      <c r="E3149" s="7">
        <v>4.0</v>
      </c>
      <c r="G3149" s="7" t="s">
        <v>83</v>
      </c>
      <c r="H3149" s="7" t="s">
        <v>74</v>
      </c>
    </row>
    <row r="3150">
      <c r="A3150" s="7" t="s">
        <v>28</v>
      </c>
      <c r="B3150" s="7" t="s">
        <v>407</v>
      </c>
      <c r="C3150" s="8">
        <f>IFERROR(__xludf.DUMMYFUNCTION("SPLIT(B3150,""RM"")"),880000.0)</f>
        <v>880000</v>
      </c>
      <c r="D3150" s="7">
        <v>3.0</v>
      </c>
      <c r="E3150" s="7">
        <v>3.0</v>
      </c>
      <c r="G3150" s="7" t="s">
        <v>83</v>
      </c>
      <c r="H3150" s="7" t="s">
        <v>2197</v>
      </c>
    </row>
    <row r="3151">
      <c r="A3151" s="7" t="s">
        <v>72</v>
      </c>
      <c r="B3151" s="7" t="s">
        <v>172</v>
      </c>
      <c r="C3151" s="8">
        <f>IFERROR(__xludf.DUMMYFUNCTION("SPLIT(B3151,""RM"")"),580000.0)</f>
        <v>580000</v>
      </c>
      <c r="D3151" s="7">
        <v>1.0</v>
      </c>
      <c r="E3151" s="7">
        <v>1.0</v>
      </c>
      <c r="F3151" s="7">
        <v>1.0</v>
      </c>
      <c r="G3151" s="7" t="s">
        <v>1821</v>
      </c>
      <c r="H3151" s="7" t="s">
        <v>685</v>
      </c>
    </row>
    <row r="3152">
      <c r="A3152" s="7" t="s">
        <v>17</v>
      </c>
      <c r="B3152" s="7" t="s">
        <v>2198</v>
      </c>
      <c r="C3152" s="8">
        <f>IFERROR(__xludf.DUMMYFUNCTION("SPLIT(B3152,""RM"")"),1078000.0)</f>
        <v>1078000</v>
      </c>
      <c r="D3152" s="7">
        <v>1.0</v>
      </c>
      <c r="E3152" s="7">
        <v>1.0</v>
      </c>
      <c r="F3152" s="7">
        <v>1.0</v>
      </c>
      <c r="G3152" s="7" t="s">
        <v>83</v>
      </c>
      <c r="H3152" s="7" t="s">
        <v>392</v>
      </c>
      <c r="I3152" s="7" t="s">
        <v>22</v>
      </c>
    </row>
    <row r="3153">
      <c r="A3153" s="7" t="s">
        <v>23</v>
      </c>
      <c r="B3153" s="7" t="s">
        <v>349</v>
      </c>
      <c r="C3153" s="8">
        <f>IFERROR(__xludf.DUMMYFUNCTION("SPLIT(B3153,""RM"")"),1400000.0)</f>
        <v>1400000</v>
      </c>
      <c r="D3153" s="7">
        <v>1.0</v>
      </c>
      <c r="E3153" s="7">
        <v>1.0</v>
      </c>
      <c r="F3153" s="7">
        <v>1.0</v>
      </c>
      <c r="G3153" s="7" t="s">
        <v>20</v>
      </c>
      <c r="H3153" s="7" t="s">
        <v>51</v>
      </c>
      <c r="I3153" s="7" t="s">
        <v>22</v>
      </c>
    </row>
    <row r="3154">
      <c r="A3154" s="7" t="s">
        <v>368</v>
      </c>
      <c r="B3154" s="7" t="s">
        <v>677</v>
      </c>
      <c r="C3154" s="8">
        <f>IFERROR(__xludf.DUMMYFUNCTION("SPLIT(B3154,""RM"")"),535000.0)</f>
        <v>535000</v>
      </c>
      <c r="D3154" s="7">
        <v>3.0</v>
      </c>
      <c r="E3154" s="7">
        <v>2.0</v>
      </c>
      <c r="F3154" s="7">
        <v>2.0</v>
      </c>
      <c r="G3154" s="7" t="s">
        <v>82</v>
      </c>
      <c r="H3154" s="7" t="s">
        <v>2187</v>
      </c>
      <c r="I3154" s="7" t="s">
        <v>22</v>
      </c>
    </row>
    <row r="3155">
      <c r="A3155" s="7" t="s">
        <v>17</v>
      </c>
      <c r="B3155" s="7" t="s">
        <v>239</v>
      </c>
      <c r="C3155" s="8">
        <f>IFERROR(__xludf.DUMMYFUNCTION("SPLIT(B3155,""RM"")"),1280000.0)</f>
        <v>1280000</v>
      </c>
      <c r="D3155" s="7" t="s">
        <v>19</v>
      </c>
      <c r="E3155" s="7">
        <v>2.0</v>
      </c>
      <c r="F3155" s="7">
        <v>1.0</v>
      </c>
      <c r="G3155" s="7" t="s">
        <v>121</v>
      </c>
      <c r="H3155" s="7" t="s">
        <v>2199</v>
      </c>
      <c r="I3155" s="7" t="s">
        <v>22</v>
      </c>
    </row>
    <row r="3156">
      <c r="A3156" s="7" t="s">
        <v>100</v>
      </c>
      <c r="B3156" s="7" t="s">
        <v>890</v>
      </c>
      <c r="C3156" s="8">
        <f>IFERROR(__xludf.DUMMYFUNCTION("SPLIT(B3156,""RM"")"),450000.0)</f>
        <v>450000</v>
      </c>
      <c r="D3156" s="7" t="s">
        <v>57</v>
      </c>
      <c r="E3156" s="7">
        <v>2.0</v>
      </c>
      <c r="F3156" s="7">
        <v>1.0</v>
      </c>
      <c r="G3156" s="7" t="s">
        <v>83</v>
      </c>
      <c r="H3156" s="7" t="s">
        <v>2200</v>
      </c>
      <c r="I3156" s="7" t="s">
        <v>22</v>
      </c>
    </row>
    <row r="3157">
      <c r="A3157" s="7" t="s">
        <v>267</v>
      </c>
      <c r="B3157" s="7" t="s">
        <v>1318</v>
      </c>
      <c r="C3157" s="8">
        <f>IFERROR(__xludf.DUMMYFUNCTION("SPLIT(B3157,""RM"")"),470000.0)</f>
        <v>470000</v>
      </c>
      <c r="D3157" s="7">
        <v>3.0</v>
      </c>
      <c r="E3157" s="7">
        <v>2.0</v>
      </c>
      <c r="F3157" s="7">
        <v>1.0</v>
      </c>
      <c r="G3157" s="7" t="s">
        <v>83</v>
      </c>
      <c r="H3157" s="7" t="s">
        <v>2011</v>
      </c>
      <c r="I3157" s="7" t="s">
        <v>22</v>
      </c>
    </row>
    <row r="3158">
      <c r="A3158" s="7" t="s">
        <v>104</v>
      </c>
      <c r="B3158" s="7" t="s">
        <v>322</v>
      </c>
      <c r="C3158" s="8">
        <f>IFERROR(__xludf.DUMMYFUNCTION("SPLIT(B3158,""RM"")"),1900000.0)</f>
        <v>1900000</v>
      </c>
      <c r="D3158" s="7" t="s">
        <v>70</v>
      </c>
      <c r="E3158" s="7">
        <v>6.0</v>
      </c>
      <c r="G3158" s="7" t="s">
        <v>487</v>
      </c>
      <c r="H3158" s="7" t="s">
        <v>912</v>
      </c>
      <c r="I3158" s="7" t="s">
        <v>103</v>
      </c>
    </row>
    <row r="3159">
      <c r="A3159" s="7" t="s">
        <v>1014</v>
      </c>
      <c r="B3159" s="7" t="s">
        <v>2201</v>
      </c>
      <c r="C3159" s="8">
        <f>IFERROR(__xludf.DUMMYFUNCTION("SPLIT(B3159,""RM"")"),612000.0)</f>
        <v>612000</v>
      </c>
      <c r="D3159" s="7">
        <v>3.0</v>
      </c>
      <c r="E3159" s="7">
        <v>2.0</v>
      </c>
      <c r="F3159" s="7">
        <v>2.0</v>
      </c>
      <c r="G3159" s="7" t="s">
        <v>93</v>
      </c>
      <c r="H3159" s="7" t="s">
        <v>2202</v>
      </c>
      <c r="I3159" s="7" t="s">
        <v>27</v>
      </c>
    </row>
    <row r="3160">
      <c r="A3160" s="7" t="s">
        <v>1014</v>
      </c>
      <c r="B3160" s="7" t="s">
        <v>619</v>
      </c>
      <c r="C3160" s="8">
        <f>IFERROR(__xludf.DUMMYFUNCTION("SPLIT(B3160,""RM"")"),640000.0)</f>
        <v>640000</v>
      </c>
      <c r="D3160" s="7">
        <v>3.0</v>
      </c>
      <c r="E3160" s="7">
        <v>2.0</v>
      </c>
      <c r="F3160" s="7">
        <v>2.0</v>
      </c>
      <c r="G3160" s="7" t="s">
        <v>93</v>
      </c>
      <c r="H3160" s="7" t="s">
        <v>2202</v>
      </c>
      <c r="I3160" s="7" t="s">
        <v>27</v>
      </c>
    </row>
    <row r="3161">
      <c r="A3161" s="7" t="s">
        <v>1158</v>
      </c>
      <c r="B3161" s="7" t="s">
        <v>967</v>
      </c>
      <c r="C3161" s="8">
        <f>IFERROR(__xludf.DUMMYFUNCTION("SPLIT(B3161,""RM"")"),680000.0)</f>
        <v>680000</v>
      </c>
      <c r="D3161" s="7">
        <v>3.0</v>
      </c>
      <c r="E3161" s="7">
        <v>2.0</v>
      </c>
      <c r="F3161" s="7">
        <v>1.0</v>
      </c>
      <c r="G3161" s="7" t="s">
        <v>83</v>
      </c>
      <c r="H3161" s="7" t="s">
        <v>604</v>
      </c>
      <c r="I3161" s="7" t="s">
        <v>22</v>
      </c>
    </row>
    <row r="3162">
      <c r="A3162" s="7" t="s">
        <v>86</v>
      </c>
      <c r="B3162" s="7" t="s">
        <v>1517</v>
      </c>
      <c r="C3162" s="8">
        <f>IFERROR(__xludf.DUMMYFUNCTION("SPLIT(B3162,""RM"")"),910000.0)</f>
        <v>910000</v>
      </c>
      <c r="D3162" s="7">
        <v>3.0</v>
      </c>
      <c r="E3162" s="7">
        <v>2.0</v>
      </c>
      <c r="G3162" s="7" t="s">
        <v>82</v>
      </c>
      <c r="H3162" s="7" t="s">
        <v>621</v>
      </c>
      <c r="I3162" s="7" t="s">
        <v>103</v>
      </c>
    </row>
    <row r="3163">
      <c r="A3163" s="7" t="s">
        <v>86</v>
      </c>
      <c r="B3163" s="7" t="s">
        <v>575</v>
      </c>
      <c r="C3163" s="8">
        <f>IFERROR(__xludf.DUMMYFUNCTION("SPLIT(B3163,""RM"")"),660000.0)</f>
        <v>660000</v>
      </c>
      <c r="D3163" s="7">
        <v>2.0</v>
      </c>
      <c r="E3163" s="7">
        <v>2.0</v>
      </c>
      <c r="F3163" s="7">
        <v>1.0</v>
      </c>
      <c r="G3163" s="7" t="s">
        <v>82</v>
      </c>
      <c r="H3163" s="7" t="s">
        <v>416</v>
      </c>
      <c r="I3163" s="7" t="s">
        <v>103</v>
      </c>
    </row>
    <row r="3164">
      <c r="A3164" s="7" t="s">
        <v>100</v>
      </c>
      <c r="B3164" s="7" t="s">
        <v>702</v>
      </c>
      <c r="C3164" s="8">
        <f>IFERROR(__xludf.DUMMYFUNCTION("SPLIT(B3164,""RM"")"),410000.0)</f>
        <v>410000</v>
      </c>
      <c r="D3164" s="7">
        <v>2.0</v>
      </c>
      <c r="E3164" s="7">
        <v>2.0</v>
      </c>
      <c r="F3164" s="7">
        <v>1.0</v>
      </c>
      <c r="G3164" s="7" t="s">
        <v>121</v>
      </c>
      <c r="H3164" s="7" t="s">
        <v>2203</v>
      </c>
      <c r="I3164" s="7" t="s">
        <v>22</v>
      </c>
    </row>
    <row r="3165">
      <c r="A3165" s="7" t="s">
        <v>32</v>
      </c>
      <c r="B3165" s="7" t="s">
        <v>759</v>
      </c>
      <c r="C3165" s="8">
        <f>IFERROR(__xludf.DUMMYFUNCTION("SPLIT(B3165,""RM"")"),520000.0)</f>
        <v>520000</v>
      </c>
      <c r="D3165" s="7">
        <v>2.0</v>
      </c>
      <c r="E3165" s="7">
        <v>2.0</v>
      </c>
      <c r="F3165" s="7">
        <v>1.0</v>
      </c>
      <c r="G3165" s="7" t="s">
        <v>83</v>
      </c>
      <c r="H3165" s="7" t="s">
        <v>2204</v>
      </c>
      <c r="I3165" s="7" t="s">
        <v>27</v>
      </c>
    </row>
    <row r="3166">
      <c r="A3166" s="7" t="s">
        <v>89</v>
      </c>
      <c r="B3166" s="7" t="s">
        <v>243</v>
      </c>
      <c r="C3166" s="8">
        <f>IFERROR(__xludf.DUMMYFUNCTION("SPLIT(B3166,""RM"")"),1350000.0)</f>
        <v>1350000</v>
      </c>
      <c r="D3166" s="7" t="s">
        <v>35</v>
      </c>
      <c r="E3166" s="7">
        <v>6.0</v>
      </c>
      <c r="F3166" s="7">
        <v>4.0</v>
      </c>
      <c r="G3166" s="7" t="s">
        <v>90</v>
      </c>
      <c r="H3166" s="7" t="s">
        <v>344</v>
      </c>
      <c r="I3166" s="7" t="s">
        <v>27</v>
      </c>
    </row>
    <row r="3167">
      <c r="A3167" s="7" t="s">
        <v>515</v>
      </c>
      <c r="B3167" s="7" t="s">
        <v>1073</v>
      </c>
      <c r="C3167" s="8">
        <f>IFERROR(__xludf.DUMMYFUNCTION("SPLIT(B3167,""RM"")"),588000.0)</f>
        <v>588000</v>
      </c>
      <c r="D3167" s="7">
        <v>3.0</v>
      </c>
      <c r="E3167" s="7">
        <v>2.0</v>
      </c>
      <c r="F3167" s="7">
        <v>2.0</v>
      </c>
      <c r="G3167" s="7" t="s">
        <v>2002</v>
      </c>
      <c r="H3167" s="7" t="s">
        <v>2205</v>
      </c>
      <c r="I3167" s="7" t="s">
        <v>27</v>
      </c>
    </row>
    <row r="3168">
      <c r="A3168" s="7" t="s">
        <v>100</v>
      </c>
      <c r="B3168" s="7" t="s">
        <v>967</v>
      </c>
      <c r="C3168" s="8">
        <f>IFERROR(__xludf.DUMMYFUNCTION("SPLIT(B3168,""RM"")"),680000.0)</f>
        <v>680000</v>
      </c>
      <c r="D3168" s="7">
        <v>3.0</v>
      </c>
      <c r="E3168" s="7">
        <v>2.0</v>
      </c>
      <c r="F3168" s="7">
        <v>2.0</v>
      </c>
      <c r="G3168" s="7" t="s">
        <v>83</v>
      </c>
      <c r="H3168" s="7" t="s">
        <v>954</v>
      </c>
      <c r="I3168" s="7" t="s">
        <v>27</v>
      </c>
    </row>
    <row r="3169">
      <c r="A3169" s="7" t="s">
        <v>33</v>
      </c>
      <c r="B3169" s="7" t="s">
        <v>245</v>
      </c>
      <c r="C3169" s="8">
        <f>IFERROR(__xludf.DUMMYFUNCTION("SPLIT(B3169,""RM"")"),800000.0)</f>
        <v>800000</v>
      </c>
      <c r="D3169" s="7">
        <v>2.0</v>
      </c>
      <c r="E3169" s="7">
        <v>2.0</v>
      </c>
      <c r="G3169" s="7" t="s">
        <v>20</v>
      </c>
      <c r="H3169" s="7" t="s">
        <v>795</v>
      </c>
      <c r="I3169" s="7" t="s">
        <v>22</v>
      </c>
    </row>
    <row r="3170">
      <c r="A3170" s="7" t="s">
        <v>37</v>
      </c>
      <c r="B3170" s="7" t="s">
        <v>671</v>
      </c>
      <c r="C3170" s="8">
        <f>IFERROR(__xludf.DUMMYFUNCTION("SPLIT(B3170,""RM"")"),2780000.0)</f>
        <v>2780000</v>
      </c>
      <c r="D3170" s="7">
        <v>5.0</v>
      </c>
      <c r="E3170" s="7">
        <v>4.0</v>
      </c>
      <c r="G3170" s="7" t="s">
        <v>64</v>
      </c>
      <c r="H3170" s="7" t="s">
        <v>44</v>
      </c>
      <c r="I3170" s="7" t="s">
        <v>27</v>
      </c>
    </row>
    <row r="3171">
      <c r="A3171" s="7" t="s">
        <v>37</v>
      </c>
      <c r="B3171" s="7" t="s">
        <v>671</v>
      </c>
      <c r="C3171" s="8">
        <f>IFERROR(__xludf.DUMMYFUNCTION("SPLIT(B3171,""RM"")"),2780000.0)</f>
        <v>2780000</v>
      </c>
      <c r="D3171" s="7" t="s">
        <v>35</v>
      </c>
      <c r="E3171" s="7">
        <v>3.0</v>
      </c>
      <c r="G3171" s="7" t="s">
        <v>64</v>
      </c>
      <c r="H3171" s="7" t="s">
        <v>44</v>
      </c>
      <c r="I3171" s="7" t="s">
        <v>27</v>
      </c>
    </row>
    <row r="3172">
      <c r="A3172" s="7" t="s">
        <v>37</v>
      </c>
      <c r="B3172" s="7" t="s">
        <v>257</v>
      </c>
      <c r="C3172" s="8">
        <f>IFERROR(__xludf.DUMMYFUNCTION("SPLIT(B3172,""RM"")"),2480000.0)</f>
        <v>2480000</v>
      </c>
      <c r="D3172" s="7" t="s">
        <v>39</v>
      </c>
      <c r="E3172" s="7">
        <v>3.0</v>
      </c>
      <c r="F3172" s="7">
        <v>3.0</v>
      </c>
      <c r="G3172" s="7" t="s">
        <v>64</v>
      </c>
      <c r="H3172" s="7" t="s">
        <v>2206</v>
      </c>
      <c r="I3172" s="7" t="s">
        <v>27</v>
      </c>
    </row>
    <row r="3173">
      <c r="A3173" s="7" t="s">
        <v>37</v>
      </c>
      <c r="B3173" s="7" t="s">
        <v>183</v>
      </c>
      <c r="C3173" s="8">
        <f>IFERROR(__xludf.DUMMYFUNCTION("SPLIT(B3173,""RM"")"),2880000.0)</f>
        <v>2880000</v>
      </c>
      <c r="D3173" s="7" t="s">
        <v>35</v>
      </c>
      <c r="E3173" s="7">
        <v>4.0</v>
      </c>
      <c r="F3173" s="7">
        <v>3.0</v>
      </c>
      <c r="G3173" s="7" t="s">
        <v>64</v>
      </c>
      <c r="H3173" s="7" t="s">
        <v>44</v>
      </c>
      <c r="I3173" s="7" t="s">
        <v>27</v>
      </c>
    </row>
    <row r="3174">
      <c r="A3174" s="7" t="s">
        <v>37</v>
      </c>
      <c r="B3174" s="7" t="s">
        <v>525</v>
      </c>
      <c r="C3174" s="8">
        <f>IFERROR(__xludf.DUMMYFUNCTION("SPLIT(B3174,""RM"")"),1090000.0)</f>
        <v>1090000</v>
      </c>
      <c r="D3174" s="7">
        <v>3.0</v>
      </c>
      <c r="E3174" s="7">
        <v>2.0</v>
      </c>
      <c r="G3174" s="7" t="s">
        <v>343</v>
      </c>
      <c r="H3174" s="7" t="s">
        <v>344</v>
      </c>
      <c r="I3174" s="7" t="s">
        <v>103</v>
      </c>
    </row>
    <row r="3175">
      <c r="A3175" s="7" t="s">
        <v>77</v>
      </c>
      <c r="B3175" s="7" t="s">
        <v>98</v>
      </c>
      <c r="C3175" s="8">
        <f>IFERROR(__xludf.DUMMYFUNCTION("SPLIT(B3175,""RM"")"),1830000.0)</f>
        <v>1830000</v>
      </c>
      <c r="D3175" s="7">
        <v>3.0</v>
      </c>
      <c r="E3175" s="7">
        <v>2.0</v>
      </c>
      <c r="F3175" s="7">
        <v>2.0</v>
      </c>
      <c r="G3175" s="7" t="s">
        <v>93</v>
      </c>
      <c r="H3175" s="7" t="s">
        <v>471</v>
      </c>
      <c r="I3175" s="7" t="s">
        <v>22</v>
      </c>
    </row>
    <row r="3176">
      <c r="A3176" s="7" t="s">
        <v>23</v>
      </c>
      <c r="B3176" s="7" t="s">
        <v>679</v>
      </c>
      <c r="C3176" s="8">
        <f>IFERROR(__xludf.DUMMYFUNCTION("SPLIT(B3176,""RM"")"),6400000.0)</f>
        <v>6400000</v>
      </c>
      <c r="D3176" s="7" t="s">
        <v>70</v>
      </c>
      <c r="E3176" s="7">
        <v>6.0</v>
      </c>
      <c r="G3176" s="7" t="s">
        <v>25</v>
      </c>
      <c r="H3176" s="7" t="s">
        <v>2207</v>
      </c>
    </row>
    <row r="3177">
      <c r="A3177" s="7" t="s">
        <v>37</v>
      </c>
      <c r="B3177" s="7" t="s">
        <v>284</v>
      </c>
      <c r="C3177" s="8">
        <f>IFERROR(__xludf.DUMMYFUNCTION("SPLIT(B3177,""RM"")"),1060000.0)</f>
        <v>1060000</v>
      </c>
      <c r="D3177" s="7">
        <v>3.0</v>
      </c>
      <c r="E3177" s="7">
        <v>2.0</v>
      </c>
      <c r="G3177" s="7" t="s">
        <v>343</v>
      </c>
      <c r="H3177" s="7" t="s">
        <v>344</v>
      </c>
      <c r="I3177" s="7" t="s">
        <v>103</v>
      </c>
    </row>
    <row r="3178">
      <c r="A3178" s="7" t="s">
        <v>37</v>
      </c>
      <c r="B3178" s="7" t="s">
        <v>132</v>
      </c>
      <c r="C3178" s="8">
        <f>IFERROR(__xludf.DUMMYFUNCTION("SPLIT(B3178,""RM"")"),1080000.0)</f>
        <v>1080000</v>
      </c>
      <c r="D3178" s="7">
        <v>3.0</v>
      </c>
      <c r="E3178" s="7">
        <v>2.0</v>
      </c>
      <c r="F3178" s="7">
        <v>2.0</v>
      </c>
      <c r="G3178" s="7" t="s">
        <v>343</v>
      </c>
      <c r="H3178" s="7" t="s">
        <v>344</v>
      </c>
      <c r="I3178" s="7" t="s">
        <v>103</v>
      </c>
    </row>
    <row r="3179">
      <c r="A3179" s="7" t="s">
        <v>28</v>
      </c>
      <c r="B3179" s="7" t="s">
        <v>201</v>
      </c>
      <c r="C3179" s="8">
        <f>IFERROR(__xludf.DUMMYFUNCTION("SPLIT(B3179,""RM"")"),620000.0)</f>
        <v>620000</v>
      </c>
      <c r="D3179" s="7" t="s">
        <v>79</v>
      </c>
      <c r="E3179" s="7">
        <v>5.0</v>
      </c>
      <c r="F3179" s="7">
        <v>2.0</v>
      </c>
      <c r="G3179" s="7" t="s">
        <v>30</v>
      </c>
      <c r="H3179" s="7" t="s">
        <v>2208</v>
      </c>
    </row>
    <row r="3180">
      <c r="A3180" s="7" t="s">
        <v>86</v>
      </c>
      <c r="B3180" s="7" t="s">
        <v>403</v>
      </c>
      <c r="C3180" s="8">
        <f>IFERROR(__xludf.DUMMYFUNCTION("SPLIT(B3180,""RM"")"),1600000.0)</f>
        <v>1600000</v>
      </c>
      <c r="D3180" s="7">
        <v>3.0</v>
      </c>
      <c r="E3180" s="7">
        <v>3.0</v>
      </c>
      <c r="G3180" s="7" t="s">
        <v>83</v>
      </c>
      <c r="H3180" s="7" t="s">
        <v>2053</v>
      </c>
      <c r="I3180" s="7" t="s">
        <v>22</v>
      </c>
    </row>
    <row r="3181">
      <c r="A3181" s="7" t="s">
        <v>155</v>
      </c>
      <c r="B3181" s="7" t="s">
        <v>214</v>
      </c>
      <c r="C3181" s="8">
        <f>IFERROR(__xludf.DUMMYFUNCTION("SPLIT(B3181,""RM"")"),1180000.0)</f>
        <v>1180000</v>
      </c>
      <c r="D3181" s="7" t="s">
        <v>35</v>
      </c>
      <c r="E3181" s="7">
        <v>4.0</v>
      </c>
      <c r="F3181" s="7">
        <v>3.0</v>
      </c>
      <c r="G3181" s="7" t="s">
        <v>793</v>
      </c>
      <c r="H3181" s="7" t="s">
        <v>2209</v>
      </c>
      <c r="I3181" s="7" t="s">
        <v>22</v>
      </c>
    </row>
    <row r="3182">
      <c r="A3182" s="7" t="s">
        <v>109</v>
      </c>
      <c r="B3182" s="7" t="s">
        <v>620</v>
      </c>
      <c r="C3182" s="8">
        <f>IFERROR(__xludf.DUMMYFUNCTION("SPLIT(B3182,""RM"")"),840000.0)</f>
        <v>840000</v>
      </c>
      <c r="D3182" s="7" t="s">
        <v>57</v>
      </c>
      <c r="E3182" s="7">
        <v>4.0</v>
      </c>
      <c r="F3182" s="7">
        <v>2.0</v>
      </c>
      <c r="G3182" s="7" t="s">
        <v>30</v>
      </c>
      <c r="H3182" s="7" t="s">
        <v>1029</v>
      </c>
      <c r="I3182" s="7" t="s">
        <v>27</v>
      </c>
    </row>
    <row r="3183">
      <c r="A3183" s="7" t="s">
        <v>371</v>
      </c>
      <c r="B3183" s="7" t="s">
        <v>969</v>
      </c>
      <c r="C3183" s="8">
        <f>IFERROR(__xludf.DUMMYFUNCTION("SPLIT(B3183,""RM"")"),430000.0)</f>
        <v>430000</v>
      </c>
      <c r="D3183" s="7">
        <v>4.0</v>
      </c>
      <c r="E3183" s="7">
        <v>2.0</v>
      </c>
      <c r="F3183" s="7">
        <v>1.0</v>
      </c>
      <c r="G3183" s="7" t="s">
        <v>503</v>
      </c>
      <c r="H3183" s="7" t="s">
        <v>2210</v>
      </c>
      <c r="I3183" s="7" t="s">
        <v>27</v>
      </c>
    </row>
    <row r="3184">
      <c r="A3184" s="7" t="s">
        <v>72</v>
      </c>
      <c r="B3184" s="7" t="s">
        <v>1344</v>
      </c>
      <c r="C3184" s="8">
        <f>IFERROR(__xludf.DUMMYFUNCTION("SPLIT(B3184,""RM"")"),625000.0)</f>
        <v>625000</v>
      </c>
      <c r="D3184" s="7" t="s">
        <v>325</v>
      </c>
      <c r="E3184" s="7">
        <v>1.0</v>
      </c>
      <c r="F3184" s="7">
        <v>1.0</v>
      </c>
      <c r="G3184" s="7" t="s">
        <v>20</v>
      </c>
      <c r="H3184" s="7" t="s">
        <v>2211</v>
      </c>
      <c r="I3184" s="7" t="s">
        <v>22</v>
      </c>
    </row>
    <row r="3185">
      <c r="A3185" s="7" t="s">
        <v>32</v>
      </c>
      <c r="B3185" s="7" t="s">
        <v>2212</v>
      </c>
      <c r="C3185" s="8">
        <f>IFERROR(__xludf.DUMMYFUNCTION("SPLIT(B3185,""RM"")"),3288888.0)</f>
        <v>3288888</v>
      </c>
      <c r="D3185" s="7" t="s">
        <v>70</v>
      </c>
      <c r="E3185" s="7">
        <v>6.0</v>
      </c>
      <c r="F3185" s="7">
        <v>6.0</v>
      </c>
      <c r="G3185" s="7" t="s">
        <v>64</v>
      </c>
      <c r="H3185" s="7" t="s">
        <v>2213</v>
      </c>
      <c r="I3185" s="7" t="s">
        <v>103</v>
      </c>
    </row>
    <row r="3186">
      <c r="A3186" s="7" t="s">
        <v>100</v>
      </c>
      <c r="B3186" s="7" t="s">
        <v>641</v>
      </c>
      <c r="C3186" s="8">
        <f>IFERROR(__xludf.DUMMYFUNCTION("SPLIT(B3186,""RM"")"),830000.0)</f>
        <v>830000</v>
      </c>
      <c r="D3186" s="7" t="s">
        <v>57</v>
      </c>
      <c r="E3186" s="7">
        <v>3.0</v>
      </c>
      <c r="G3186" s="7" t="s">
        <v>54</v>
      </c>
      <c r="H3186" s="7" t="s">
        <v>1195</v>
      </c>
      <c r="I3186" s="7" t="s">
        <v>103</v>
      </c>
    </row>
    <row r="3187">
      <c r="A3187" s="7" t="s">
        <v>33</v>
      </c>
      <c r="B3187" s="7" t="s">
        <v>346</v>
      </c>
      <c r="C3187" s="8">
        <f>IFERROR(__xludf.DUMMYFUNCTION("SPLIT(B3187,""RM"")"),638000.0)</f>
        <v>638000</v>
      </c>
      <c r="D3187" s="7">
        <v>3.0</v>
      </c>
      <c r="E3187" s="7">
        <v>2.0</v>
      </c>
      <c r="G3187" s="7" t="s">
        <v>93</v>
      </c>
      <c r="H3187" s="7" t="s">
        <v>1196</v>
      </c>
      <c r="I3187" s="7" t="s">
        <v>27</v>
      </c>
    </row>
    <row r="3188">
      <c r="A3188" s="7" t="s">
        <v>515</v>
      </c>
      <c r="B3188" s="7" t="s">
        <v>45</v>
      </c>
      <c r="C3188" s="8">
        <f>IFERROR(__xludf.DUMMYFUNCTION("SPLIT(B3188,""RM"")"),1950000.0)</f>
        <v>1950000</v>
      </c>
      <c r="D3188" s="7">
        <v>5.0</v>
      </c>
      <c r="E3188" s="7">
        <v>3.0</v>
      </c>
      <c r="G3188" s="7" t="s">
        <v>43</v>
      </c>
      <c r="H3188" s="7" t="s">
        <v>2214</v>
      </c>
      <c r="I3188" s="7" t="s">
        <v>27</v>
      </c>
    </row>
    <row r="3189">
      <c r="A3189" s="7" t="s">
        <v>1241</v>
      </c>
      <c r="B3189" s="7" t="s">
        <v>657</v>
      </c>
      <c r="C3189" s="8">
        <f>IFERROR(__xludf.DUMMYFUNCTION("SPLIT(B3189,""RM"")"),980000.0)</f>
        <v>980000</v>
      </c>
      <c r="D3189" s="7">
        <v>2.0</v>
      </c>
      <c r="E3189" s="7">
        <v>2.0</v>
      </c>
      <c r="F3189" s="7">
        <v>2.0</v>
      </c>
      <c r="G3189" s="7" t="s">
        <v>82</v>
      </c>
      <c r="H3189" s="7" t="s">
        <v>1243</v>
      </c>
      <c r="I3189" s="7" t="s">
        <v>27</v>
      </c>
    </row>
    <row r="3190">
      <c r="A3190" s="7" t="s">
        <v>241</v>
      </c>
      <c r="B3190" s="7" t="s">
        <v>507</v>
      </c>
      <c r="C3190" s="8">
        <f>IFERROR(__xludf.DUMMYFUNCTION("SPLIT(B3190,""RM"")"),590000.0)</f>
        <v>590000</v>
      </c>
      <c r="D3190" s="7">
        <v>3.0</v>
      </c>
      <c r="E3190" s="7">
        <v>2.0</v>
      </c>
      <c r="F3190" s="7">
        <v>2.0</v>
      </c>
      <c r="G3190" s="7" t="s">
        <v>83</v>
      </c>
      <c r="H3190" s="7" t="s">
        <v>2215</v>
      </c>
      <c r="I3190" s="7" t="s">
        <v>22</v>
      </c>
    </row>
    <row r="3191">
      <c r="A3191" s="7" t="s">
        <v>1241</v>
      </c>
      <c r="B3191" s="7" t="s">
        <v>1166</v>
      </c>
      <c r="C3191" s="8">
        <f>IFERROR(__xludf.DUMMYFUNCTION("SPLIT(B3191,""RM"")"),760000.0)</f>
        <v>760000</v>
      </c>
      <c r="D3191" s="7">
        <v>2.0</v>
      </c>
      <c r="E3191" s="7">
        <v>2.0</v>
      </c>
      <c r="F3191" s="7">
        <v>2.0</v>
      </c>
      <c r="G3191" s="7" t="s">
        <v>82</v>
      </c>
      <c r="H3191" s="7" t="s">
        <v>342</v>
      </c>
      <c r="I3191" s="7" t="s">
        <v>27</v>
      </c>
    </row>
    <row r="3192">
      <c r="A3192" s="7" t="s">
        <v>72</v>
      </c>
      <c r="B3192" s="7" t="s">
        <v>221</v>
      </c>
      <c r="C3192" s="8">
        <f>IFERROR(__xludf.DUMMYFUNCTION("SPLIT(B3192,""RM"")"),630000.0)</f>
        <v>630000</v>
      </c>
      <c r="D3192" s="7" t="s">
        <v>325</v>
      </c>
      <c r="F3192" s="7">
        <v>1.0</v>
      </c>
      <c r="G3192" s="7" t="s">
        <v>20</v>
      </c>
      <c r="H3192" s="7" t="s">
        <v>685</v>
      </c>
      <c r="I3192" s="7" t="s">
        <v>22</v>
      </c>
    </row>
    <row r="3193">
      <c r="A3193" s="7" t="s">
        <v>28</v>
      </c>
      <c r="B3193" s="7" t="s">
        <v>635</v>
      </c>
      <c r="C3193" s="8">
        <f>IFERROR(__xludf.DUMMYFUNCTION("SPLIT(B3193,""RM"")"),720000.0)</f>
        <v>720000</v>
      </c>
      <c r="D3193" s="7">
        <v>1.0</v>
      </c>
      <c r="E3193" s="7">
        <v>1.0</v>
      </c>
      <c r="G3193" s="7" t="s">
        <v>20</v>
      </c>
      <c r="H3193" s="7" t="s">
        <v>1127</v>
      </c>
      <c r="I3193" s="7" t="s">
        <v>22</v>
      </c>
    </row>
    <row r="3194">
      <c r="A3194" s="7" t="s">
        <v>28</v>
      </c>
      <c r="B3194" s="7" t="s">
        <v>168</v>
      </c>
      <c r="C3194" s="8">
        <f>IFERROR(__xludf.DUMMYFUNCTION("SPLIT(B3194,""RM"")"),750000.0)</f>
        <v>750000</v>
      </c>
      <c r="D3194" s="7">
        <v>1.0</v>
      </c>
      <c r="E3194" s="7">
        <v>1.0</v>
      </c>
      <c r="G3194" s="7" t="s">
        <v>20</v>
      </c>
      <c r="H3194" s="7" t="s">
        <v>1127</v>
      </c>
      <c r="I3194" s="7" t="s">
        <v>22</v>
      </c>
    </row>
    <row r="3195">
      <c r="A3195" s="7" t="s">
        <v>72</v>
      </c>
      <c r="B3195" s="7" t="s">
        <v>448</v>
      </c>
      <c r="C3195" s="8">
        <f>IFERROR(__xludf.DUMMYFUNCTION("SPLIT(B3195,""RM"")"),1420000.0)</f>
        <v>1420000</v>
      </c>
      <c r="D3195" s="7" t="s">
        <v>57</v>
      </c>
      <c r="G3195" s="7" t="s">
        <v>83</v>
      </c>
      <c r="H3195" s="7" t="s">
        <v>334</v>
      </c>
    </row>
    <row r="3196">
      <c r="A3196" s="7" t="s">
        <v>33</v>
      </c>
      <c r="B3196" s="7" t="s">
        <v>361</v>
      </c>
      <c r="C3196" s="8">
        <f>IFERROR(__xludf.DUMMYFUNCTION("SPLIT(B3196,""RM"")"),530000.0)</f>
        <v>530000</v>
      </c>
      <c r="D3196" s="7">
        <v>3.0</v>
      </c>
      <c r="E3196" s="7">
        <v>3.0</v>
      </c>
      <c r="F3196" s="7">
        <v>2.0</v>
      </c>
      <c r="G3196" s="7" t="s">
        <v>93</v>
      </c>
      <c r="H3196" s="7" t="s">
        <v>1156</v>
      </c>
      <c r="I3196" s="7" t="s">
        <v>103</v>
      </c>
    </row>
    <row r="3197">
      <c r="A3197" s="7" t="s">
        <v>267</v>
      </c>
      <c r="B3197" s="7" t="s">
        <v>107</v>
      </c>
      <c r="C3197" s="8">
        <f>IFERROR(__xludf.DUMMYFUNCTION("SPLIT(B3197,""RM"")"),460000.0)</f>
        <v>460000</v>
      </c>
      <c r="D3197" s="7">
        <v>1.0</v>
      </c>
      <c r="E3197" s="7">
        <v>1.0</v>
      </c>
      <c r="F3197" s="7">
        <v>1.0</v>
      </c>
      <c r="G3197" s="7" t="s">
        <v>20</v>
      </c>
      <c r="H3197" s="7" t="s">
        <v>2216</v>
      </c>
      <c r="I3197" s="7" t="s">
        <v>22</v>
      </c>
    </row>
    <row r="3198">
      <c r="A3198" s="7" t="s">
        <v>104</v>
      </c>
      <c r="B3198" s="7" t="s">
        <v>53</v>
      </c>
      <c r="C3198" s="8">
        <f>IFERROR(__xludf.DUMMYFUNCTION("SPLIT(B3198,""RM"")"),1680000.0)</f>
        <v>1680000</v>
      </c>
      <c r="D3198" s="7">
        <v>6.0</v>
      </c>
      <c r="E3198" s="7">
        <v>4.0</v>
      </c>
      <c r="G3198" s="7" t="s">
        <v>184</v>
      </c>
      <c r="H3198" s="7" t="s">
        <v>638</v>
      </c>
      <c r="I3198" s="7" t="s">
        <v>27</v>
      </c>
    </row>
    <row r="3199">
      <c r="A3199" s="7" t="s">
        <v>104</v>
      </c>
      <c r="B3199" s="7" t="s">
        <v>221</v>
      </c>
      <c r="C3199" s="8">
        <f>IFERROR(__xludf.DUMMYFUNCTION("SPLIT(B3199,""RM"")"),630000.0)</f>
        <v>630000</v>
      </c>
      <c r="D3199" s="7">
        <v>4.0</v>
      </c>
      <c r="E3199" s="7">
        <v>2.0</v>
      </c>
      <c r="G3199" s="7" t="s">
        <v>54</v>
      </c>
      <c r="H3199" s="7" t="s">
        <v>2020</v>
      </c>
      <c r="I3199" s="7" t="s">
        <v>27</v>
      </c>
    </row>
    <row r="3200">
      <c r="A3200" s="7" t="s">
        <v>104</v>
      </c>
      <c r="B3200" s="7" t="s">
        <v>543</v>
      </c>
      <c r="C3200" s="8">
        <f>IFERROR(__xludf.DUMMYFUNCTION("SPLIT(B3200,""RM"")"),425000.0)</f>
        <v>425000</v>
      </c>
      <c r="D3200" s="7">
        <v>3.0</v>
      </c>
      <c r="E3200" s="7">
        <v>2.0</v>
      </c>
      <c r="F3200" s="7">
        <v>1.0</v>
      </c>
      <c r="G3200" s="7" t="s">
        <v>82</v>
      </c>
      <c r="H3200" s="7" t="s">
        <v>2217</v>
      </c>
      <c r="I3200" s="7" t="s">
        <v>103</v>
      </c>
    </row>
    <row r="3201">
      <c r="A3201" s="7" t="s">
        <v>72</v>
      </c>
      <c r="B3201" s="7" t="s">
        <v>277</v>
      </c>
      <c r="C3201" s="8">
        <f>IFERROR(__xludf.DUMMYFUNCTION("SPLIT(B3201,""RM"")"),2200000.0)</f>
        <v>2200000</v>
      </c>
      <c r="D3201" s="7" t="s">
        <v>35</v>
      </c>
      <c r="E3201" s="7">
        <v>5.0</v>
      </c>
      <c r="F3201" s="7">
        <v>3.0</v>
      </c>
      <c r="G3201" s="7" t="s">
        <v>83</v>
      </c>
      <c r="H3201" s="7" t="s">
        <v>1174</v>
      </c>
      <c r="I3201" s="7" t="s">
        <v>27</v>
      </c>
    </row>
    <row r="3202">
      <c r="A3202" s="7" t="s">
        <v>100</v>
      </c>
      <c r="B3202" s="7" t="s">
        <v>329</v>
      </c>
      <c r="C3202" s="8">
        <f>IFERROR(__xludf.DUMMYFUNCTION("SPLIT(B3202,""RM"")"),1200000.0)</f>
        <v>1200000</v>
      </c>
      <c r="D3202" s="7" t="s">
        <v>57</v>
      </c>
      <c r="E3202" s="7">
        <v>3.0</v>
      </c>
      <c r="F3202" s="7">
        <v>2.0</v>
      </c>
      <c r="G3202" s="7" t="s">
        <v>93</v>
      </c>
      <c r="H3202" s="7" t="s">
        <v>31</v>
      </c>
      <c r="I3202" s="7" t="s">
        <v>22</v>
      </c>
    </row>
    <row r="3203">
      <c r="A3203" s="7" t="s">
        <v>72</v>
      </c>
      <c r="B3203" s="7" t="s">
        <v>322</v>
      </c>
      <c r="C3203" s="8">
        <f>IFERROR(__xludf.DUMMYFUNCTION("SPLIT(B3203,""RM"")"),1900000.0)</f>
        <v>1900000</v>
      </c>
      <c r="D3203" s="7" t="s">
        <v>57</v>
      </c>
      <c r="E3203" s="7">
        <v>4.0</v>
      </c>
      <c r="F3203" s="7">
        <v>3.0</v>
      </c>
      <c r="G3203" s="7" t="s">
        <v>83</v>
      </c>
      <c r="H3203" s="7" t="s">
        <v>1599</v>
      </c>
    </row>
    <row r="3204">
      <c r="A3204" s="7" t="s">
        <v>148</v>
      </c>
      <c r="B3204" s="7" t="s">
        <v>484</v>
      </c>
      <c r="C3204" s="8">
        <f>IFERROR(__xludf.DUMMYFUNCTION("SPLIT(B3204,""RM"")"),2950000.0)</f>
        <v>2950000</v>
      </c>
      <c r="D3204" s="7" t="s">
        <v>70</v>
      </c>
      <c r="E3204" s="7">
        <v>6.0</v>
      </c>
      <c r="F3204" s="7">
        <v>6.0</v>
      </c>
      <c r="G3204" s="7" t="s">
        <v>61</v>
      </c>
      <c r="H3204" s="7" t="s">
        <v>2218</v>
      </c>
      <c r="I3204" s="7" t="s">
        <v>27</v>
      </c>
    </row>
    <row r="3205">
      <c r="A3205" s="7" t="s">
        <v>171</v>
      </c>
      <c r="B3205" s="7" t="s">
        <v>563</v>
      </c>
      <c r="C3205" s="8">
        <f>IFERROR(__xludf.DUMMYFUNCTION("SPLIT(B3205,""RM"")"),600000.0)</f>
        <v>600000</v>
      </c>
      <c r="D3205" s="7">
        <v>3.0</v>
      </c>
      <c r="E3205" s="7">
        <v>1.0</v>
      </c>
      <c r="G3205" s="7" t="s">
        <v>343</v>
      </c>
      <c r="H3205" s="7" t="s">
        <v>718</v>
      </c>
      <c r="I3205" s="7" t="s">
        <v>103</v>
      </c>
    </row>
    <row r="3206">
      <c r="A3206" s="7" t="s">
        <v>17</v>
      </c>
      <c r="B3206" s="7" t="s">
        <v>1513</v>
      </c>
      <c r="C3206" s="8">
        <f>IFERROR(__xludf.DUMMYFUNCTION("SPLIT(B3206,""RM"")"),1570000.0)</f>
        <v>1570000</v>
      </c>
      <c r="D3206" s="7">
        <v>2.0</v>
      </c>
      <c r="E3206" s="7">
        <v>2.0</v>
      </c>
      <c r="F3206" s="7">
        <v>1.0</v>
      </c>
      <c r="G3206" s="7" t="s">
        <v>83</v>
      </c>
      <c r="H3206" s="7" t="s">
        <v>1505</v>
      </c>
      <c r="I3206" s="7" t="s">
        <v>22</v>
      </c>
    </row>
    <row r="3207">
      <c r="A3207" s="7" t="s">
        <v>432</v>
      </c>
      <c r="B3207" s="7" t="s">
        <v>63</v>
      </c>
      <c r="C3207" s="8">
        <f>IFERROR(__xludf.DUMMYFUNCTION("SPLIT(B3207,""RM"")"),3100000.0)</f>
        <v>3100000</v>
      </c>
      <c r="D3207" s="7" t="s">
        <v>35</v>
      </c>
      <c r="E3207" s="7">
        <v>6.0</v>
      </c>
      <c r="F3207" s="7">
        <v>3.0</v>
      </c>
      <c r="G3207" s="7" t="s">
        <v>378</v>
      </c>
      <c r="H3207" s="7" t="s">
        <v>1626</v>
      </c>
      <c r="I3207" s="7" t="s">
        <v>22</v>
      </c>
    </row>
    <row r="3208">
      <c r="A3208" s="7" t="s">
        <v>148</v>
      </c>
      <c r="B3208" s="7" t="s">
        <v>2219</v>
      </c>
      <c r="C3208" s="8">
        <f>IFERROR(__xludf.DUMMYFUNCTION("SPLIT(B3208,""RM"")"),1688000.0)</f>
        <v>1688000</v>
      </c>
      <c r="D3208" s="7" t="s">
        <v>57</v>
      </c>
      <c r="E3208" s="7">
        <v>4.0</v>
      </c>
      <c r="G3208" s="7" t="s">
        <v>43</v>
      </c>
    </row>
    <row r="3209">
      <c r="A3209" s="7" t="s">
        <v>32</v>
      </c>
      <c r="B3209" s="7" t="s">
        <v>407</v>
      </c>
      <c r="C3209" s="8">
        <f>IFERROR(__xludf.DUMMYFUNCTION("SPLIT(B3209,""RM"")"),880000.0)</f>
        <v>880000</v>
      </c>
      <c r="D3209" s="7" t="s">
        <v>35</v>
      </c>
      <c r="E3209" s="7">
        <v>4.0</v>
      </c>
      <c r="G3209" s="7" t="s">
        <v>46</v>
      </c>
      <c r="H3209" s="7" t="s">
        <v>2220</v>
      </c>
      <c r="I3209" s="7" t="s">
        <v>27</v>
      </c>
    </row>
    <row r="3210">
      <c r="A3210" s="7" t="s">
        <v>17</v>
      </c>
      <c r="B3210" s="7" t="s">
        <v>329</v>
      </c>
      <c r="C3210" s="8">
        <f>IFERROR(__xludf.DUMMYFUNCTION("SPLIT(B3210,""RM"")"),1200000.0)</f>
        <v>1200000</v>
      </c>
      <c r="D3210" s="7">
        <v>2.0</v>
      </c>
      <c r="E3210" s="7">
        <v>2.0</v>
      </c>
      <c r="G3210" s="7" t="s">
        <v>20</v>
      </c>
    </row>
    <row r="3211">
      <c r="A3211" s="7" t="s">
        <v>72</v>
      </c>
      <c r="B3211" s="7" t="s">
        <v>411</v>
      </c>
      <c r="C3211" s="8">
        <f>IFERROR(__xludf.DUMMYFUNCTION("SPLIT(B3211,""RM"")"),2150000.0)</f>
        <v>2150000</v>
      </c>
      <c r="D3211" s="7" t="s">
        <v>57</v>
      </c>
      <c r="E3211" s="7">
        <v>5.0</v>
      </c>
      <c r="G3211" s="7" t="s">
        <v>83</v>
      </c>
      <c r="H3211" s="7" t="s">
        <v>561</v>
      </c>
      <c r="I3211" s="7" t="s">
        <v>22</v>
      </c>
    </row>
    <row r="3212">
      <c r="A3212" s="7" t="s">
        <v>72</v>
      </c>
      <c r="B3212" s="7" t="s">
        <v>411</v>
      </c>
      <c r="C3212" s="8">
        <f>IFERROR(__xludf.DUMMYFUNCTION("SPLIT(B3212,""RM"")"),2150000.0)</f>
        <v>2150000</v>
      </c>
      <c r="D3212" s="7" t="s">
        <v>57</v>
      </c>
      <c r="E3212" s="7">
        <v>5.0</v>
      </c>
      <c r="G3212" s="7" t="s">
        <v>83</v>
      </c>
      <c r="H3212" s="7" t="s">
        <v>561</v>
      </c>
      <c r="I3212" s="7" t="s">
        <v>22</v>
      </c>
    </row>
    <row r="3213">
      <c r="A3213" s="7" t="s">
        <v>72</v>
      </c>
      <c r="B3213" s="7" t="s">
        <v>110</v>
      </c>
      <c r="C3213" s="8">
        <f>IFERROR(__xludf.DUMMYFUNCTION("SPLIT(B3213,""RM"")"),2400000.0)</f>
        <v>2400000</v>
      </c>
      <c r="D3213" s="7" t="s">
        <v>35</v>
      </c>
      <c r="E3213" s="7">
        <v>6.0</v>
      </c>
      <c r="G3213" s="7" t="s">
        <v>83</v>
      </c>
      <c r="H3213" s="7" t="s">
        <v>176</v>
      </c>
      <c r="I3213" s="7" t="s">
        <v>22</v>
      </c>
    </row>
    <row r="3214">
      <c r="A3214" s="7" t="s">
        <v>72</v>
      </c>
      <c r="B3214" s="7" t="s">
        <v>193</v>
      </c>
      <c r="C3214" s="8">
        <f>IFERROR(__xludf.DUMMYFUNCTION("SPLIT(B3214,""RM"")"),1650000.0)</f>
        <v>1650000</v>
      </c>
      <c r="D3214" s="7" t="s">
        <v>19</v>
      </c>
      <c r="E3214" s="7">
        <v>4.0</v>
      </c>
      <c r="F3214" s="7">
        <v>2.0</v>
      </c>
      <c r="G3214" s="7" t="s">
        <v>83</v>
      </c>
      <c r="H3214" s="7" t="s">
        <v>1057</v>
      </c>
    </row>
    <row r="3215">
      <c r="A3215" s="7" t="s">
        <v>72</v>
      </c>
      <c r="B3215" s="7" t="s">
        <v>658</v>
      </c>
      <c r="C3215" s="8">
        <f>IFERROR(__xludf.DUMMYFUNCTION("SPLIT(B3215,""RM"")"),2650000.0)</f>
        <v>2650000</v>
      </c>
      <c r="D3215" s="7" t="s">
        <v>35</v>
      </c>
      <c r="E3215" s="7">
        <v>6.0</v>
      </c>
      <c r="G3215" s="7" t="s">
        <v>83</v>
      </c>
      <c r="H3215" s="7" t="s">
        <v>933</v>
      </c>
    </row>
    <row r="3216">
      <c r="A3216" s="7" t="s">
        <v>177</v>
      </c>
      <c r="B3216" s="7" t="s">
        <v>655</v>
      </c>
      <c r="C3216" s="8">
        <f>IFERROR(__xludf.DUMMYFUNCTION("SPLIT(B3216,""RM"")"),2550000.0)</f>
        <v>2550000</v>
      </c>
      <c r="D3216" s="7">
        <v>4.0</v>
      </c>
      <c r="E3216" s="7">
        <v>4.0</v>
      </c>
      <c r="G3216" s="7" t="s">
        <v>54</v>
      </c>
      <c r="H3216" s="7" t="s">
        <v>2066</v>
      </c>
      <c r="I3216" s="7" t="s">
        <v>27</v>
      </c>
    </row>
    <row r="3217">
      <c r="A3217" s="7" t="s">
        <v>428</v>
      </c>
      <c r="B3217" s="7" t="s">
        <v>1348</v>
      </c>
      <c r="C3217" s="8">
        <f>IFERROR(__xludf.DUMMYFUNCTION("SPLIT(B3217,""RM"")"),510000.0)</f>
        <v>510000</v>
      </c>
      <c r="D3217" s="7">
        <v>1.0</v>
      </c>
      <c r="E3217" s="7">
        <v>1.0</v>
      </c>
      <c r="F3217" s="7">
        <v>1.0</v>
      </c>
      <c r="G3217" s="7" t="s">
        <v>20</v>
      </c>
      <c r="H3217" s="7" t="s">
        <v>1964</v>
      </c>
      <c r="I3217" s="7" t="s">
        <v>27</v>
      </c>
    </row>
    <row r="3218">
      <c r="A3218" s="7" t="s">
        <v>33</v>
      </c>
      <c r="B3218" s="7" t="s">
        <v>984</v>
      </c>
      <c r="C3218" s="8">
        <f>IFERROR(__xludf.DUMMYFUNCTION("SPLIT(B3218,""RM"")"),1120000.0)</f>
        <v>1120000</v>
      </c>
      <c r="D3218" s="7" t="s">
        <v>70</v>
      </c>
      <c r="E3218" s="7">
        <v>4.0</v>
      </c>
      <c r="G3218" s="7" t="s">
        <v>562</v>
      </c>
      <c r="H3218" s="7" t="s">
        <v>1121</v>
      </c>
      <c r="I3218" s="7" t="s">
        <v>27</v>
      </c>
    </row>
    <row r="3219">
      <c r="A3219" s="7" t="s">
        <v>72</v>
      </c>
      <c r="B3219" s="7" t="s">
        <v>18</v>
      </c>
      <c r="C3219" s="8">
        <f>IFERROR(__xludf.DUMMYFUNCTION("SPLIT(B3219,""RM"")"),1250000.0)</f>
        <v>1250000</v>
      </c>
      <c r="D3219" s="7" t="s">
        <v>57</v>
      </c>
      <c r="E3219" s="7">
        <v>4.0</v>
      </c>
      <c r="F3219" s="7">
        <v>2.0</v>
      </c>
      <c r="G3219" s="7" t="s">
        <v>83</v>
      </c>
      <c r="H3219" s="7" t="s">
        <v>1034</v>
      </c>
      <c r="I3219" s="7" t="s">
        <v>22</v>
      </c>
    </row>
    <row r="3220">
      <c r="A3220" s="7" t="s">
        <v>72</v>
      </c>
      <c r="B3220" s="7" t="s">
        <v>56</v>
      </c>
      <c r="C3220" s="8">
        <f>IFERROR(__xludf.DUMMYFUNCTION("SPLIT(B3220,""RM"")"),1700000.0)</f>
        <v>1700000</v>
      </c>
      <c r="D3220" s="7" t="s">
        <v>35</v>
      </c>
      <c r="E3220" s="7">
        <v>5.0</v>
      </c>
      <c r="G3220" s="7" t="s">
        <v>83</v>
      </c>
      <c r="H3220" s="7" t="s">
        <v>1143</v>
      </c>
      <c r="I3220" s="7" t="s">
        <v>27</v>
      </c>
    </row>
    <row r="3221">
      <c r="A3221" s="7" t="s">
        <v>72</v>
      </c>
      <c r="B3221" s="7" t="s">
        <v>69</v>
      </c>
      <c r="C3221" s="8">
        <f>IFERROR(__xludf.DUMMYFUNCTION("SPLIT(B3221,""RM"")"),4500000.0)</f>
        <v>4500000</v>
      </c>
      <c r="D3221" s="7" t="s">
        <v>35</v>
      </c>
      <c r="E3221" s="7">
        <v>6.0</v>
      </c>
      <c r="F3221" s="7">
        <v>7.0</v>
      </c>
      <c r="G3221" s="7" t="s">
        <v>83</v>
      </c>
      <c r="H3221" s="7" t="s">
        <v>2221</v>
      </c>
      <c r="I3221" s="7" t="s">
        <v>22</v>
      </c>
    </row>
    <row r="3222">
      <c r="A3222" s="7" t="s">
        <v>72</v>
      </c>
      <c r="B3222" s="7" t="s">
        <v>125</v>
      </c>
      <c r="C3222" s="8">
        <f>IFERROR(__xludf.DUMMYFUNCTION("SPLIT(B3222,""RM"")"),2300000.0)</f>
        <v>2300000</v>
      </c>
      <c r="D3222" s="7" t="s">
        <v>57</v>
      </c>
      <c r="E3222" s="7">
        <v>5.0</v>
      </c>
      <c r="G3222" s="7" t="s">
        <v>83</v>
      </c>
      <c r="H3222" s="7" t="s">
        <v>412</v>
      </c>
      <c r="I3222" s="7" t="s">
        <v>27</v>
      </c>
    </row>
    <row r="3223">
      <c r="A3223" s="7" t="s">
        <v>72</v>
      </c>
      <c r="B3223" s="7" t="s">
        <v>931</v>
      </c>
      <c r="C3223" s="8">
        <f>IFERROR(__xludf.DUMMYFUNCTION("SPLIT(B3223,""RM"")"),2450000.0)</f>
        <v>2450000</v>
      </c>
      <c r="D3223" s="7" t="s">
        <v>57</v>
      </c>
      <c r="E3223" s="7">
        <v>5.0</v>
      </c>
      <c r="F3223" s="7">
        <v>4.0</v>
      </c>
      <c r="G3223" s="7" t="s">
        <v>83</v>
      </c>
      <c r="H3223" s="7" t="s">
        <v>561</v>
      </c>
      <c r="I3223" s="7" t="s">
        <v>22</v>
      </c>
    </row>
    <row r="3224">
      <c r="A3224" s="7" t="s">
        <v>72</v>
      </c>
      <c r="B3224" s="7" t="s">
        <v>1760</v>
      </c>
      <c r="C3224" s="8">
        <f>IFERROR(__xludf.DUMMYFUNCTION("SPLIT(B3224,""RM"")"),1460000.0)</f>
        <v>1460000</v>
      </c>
      <c r="D3224" s="7" t="s">
        <v>197</v>
      </c>
      <c r="E3224" s="7">
        <v>1.0</v>
      </c>
      <c r="F3224" s="7">
        <v>4.0</v>
      </c>
      <c r="G3224" s="7" t="s">
        <v>30</v>
      </c>
      <c r="H3224" s="7" t="s">
        <v>2222</v>
      </c>
      <c r="I3224" s="7" t="s">
        <v>22</v>
      </c>
    </row>
    <row r="3225">
      <c r="A3225" s="7" t="s">
        <v>72</v>
      </c>
      <c r="B3225" s="7" t="s">
        <v>130</v>
      </c>
      <c r="C3225" s="8">
        <f>IFERROR(__xludf.DUMMYFUNCTION("SPLIT(B3225,""RM"")"),2700000.0)</f>
        <v>2700000</v>
      </c>
      <c r="D3225" s="7" t="s">
        <v>35</v>
      </c>
      <c r="E3225" s="7">
        <v>6.0</v>
      </c>
      <c r="F3225" s="7">
        <v>5.0</v>
      </c>
      <c r="G3225" s="7" t="s">
        <v>83</v>
      </c>
      <c r="H3225" s="7" t="s">
        <v>176</v>
      </c>
      <c r="I3225" s="7" t="s">
        <v>27</v>
      </c>
    </row>
    <row r="3226">
      <c r="A3226" s="7" t="s">
        <v>72</v>
      </c>
      <c r="B3226" s="7" t="s">
        <v>125</v>
      </c>
      <c r="C3226" s="8">
        <f>IFERROR(__xludf.DUMMYFUNCTION("SPLIT(B3226,""RM"")"),2300000.0)</f>
        <v>2300000</v>
      </c>
      <c r="D3226" s="7" t="s">
        <v>57</v>
      </c>
      <c r="E3226" s="7">
        <v>5.0</v>
      </c>
      <c r="G3226" s="7" t="s">
        <v>83</v>
      </c>
      <c r="H3226" s="7" t="s">
        <v>412</v>
      </c>
      <c r="I3226" s="7" t="s">
        <v>27</v>
      </c>
    </row>
    <row r="3227">
      <c r="A3227" s="7" t="s">
        <v>72</v>
      </c>
      <c r="B3227" s="7" t="s">
        <v>2223</v>
      </c>
      <c r="C3227" s="8">
        <f>IFERROR(__xludf.DUMMYFUNCTION("SPLIT(B3227,""RM"")"),2484000.0)</f>
        <v>2484000</v>
      </c>
      <c r="D3227" s="7" t="s">
        <v>57</v>
      </c>
      <c r="E3227" s="7">
        <v>5.0</v>
      </c>
      <c r="G3227" s="7" t="s">
        <v>83</v>
      </c>
      <c r="H3227" s="7" t="s">
        <v>412</v>
      </c>
      <c r="I3227" s="7" t="s">
        <v>22</v>
      </c>
    </row>
    <row r="3228">
      <c r="A3228" s="7" t="s">
        <v>72</v>
      </c>
      <c r="B3228" s="7" t="s">
        <v>247</v>
      </c>
      <c r="C3228" s="8">
        <f>IFERROR(__xludf.DUMMYFUNCTION("SPLIT(B3228,""RM"")"),1980000.0)</f>
        <v>1980000</v>
      </c>
      <c r="D3228" s="7" t="s">
        <v>57</v>
      </c>
      <c r="E3228" s="7">
        <v>4.0</v>
      </c>
      <c r="F3228" s="7">
        <v>3.0</v>
      </c>
      <c r="G3228" s="7" t="s">
        <v>83</v>
      </c>
      <c r="H3228" s="7" t="s">
        <v>561</v>
      </c>
      <c r="I3228" s="7" t="s">
        <v>27</v>
      </c>
    </row>
    <row r="3229">
      <c r="A3229" s="7" t="s">
        <v>32</v>
      </c>
      <c r="B3229" s="7" t="s">
        <v>1981</v>
      </c>
      <c r="C3229" s="8">
        <f>IFERROR(__xludf.DUMMYFUNCTION("SPLIT(B3229,""RM"")"),310000.0)</f>
        <v>310000</v>
      </c>
      <c r="D3229" s="7">
        <v>2.0</v>
      </c>
      <c r="E3229" s="7">
        <v>1.0</v>
      </c>
      <c r="F3229" s="7">
        <v>1.0</v>
      </c>
      <c r="G3229" s="7" t="s">
        <v>82</v>
      </c>
      <c r="H3229" s="7" t="s">
        <v>2224</v>
      </c>
      <c r="I3229" s="7" t="s">
        <v>22</v>
      </c>
    </row>
    <row r="3230">
      <c r="A3230" s="7" t="s">
        <v>72</v>
      </c>
      <c r="B3230" s="7" t="s">
        <v>110</v>
      </c>
      <c r="C3230" s="8">
        <f>IFERROR(__xludf.DUMMYFUNCTION("SPLIT(B3230,""RM"")"),2400000.0)</f>
        <v>2400000</v>
      </c>
      <c r="D3230" s="7" t="s">
        <v>35</v>
      </c>
      <c r="E3230" s="7">
        <v>6.0</v>
      </c>
      <c r="G3230" s="7" t="s">
        <v>83</v>
      </c>
      <c r="H3230" s="7" t="s">
        <v>176</v>
      </c>
      <c r="I3230" s="7" t="s">
        <v>22</v>
      </c>
    </row>
    <row r="3231">
      <c r="A3231" s="7" t="s">
        <v>72</v>
      </c>
      <c r="B3231" s="7" t="s">
        <v>134</v>
      </c>
      <c r="C3231" s="8">
        <f>IFERROR(__xludf.DUMMYFUNCTION("SPLIT(B3231,""RM"")"),1150000.0)</f>
        <v>1150000</v>
      </c>
      <c r="D3231" s="7" t="s">
        <v>57</v>
      </c>
      <c r="E3231" s="7">
        <v>3.0</v>
      </c>
      <c r="G3231" s="7" t="s">
        <v>83</v>
      </c>
      <c r="H3231" s="7" t="s">
        <v>404</v>
      </c>
      <c r="I3231" s="7" t="s">
        <v>22</v>
      </c>
    </row>
    <row r="3232">
      <c r="A3232" s="7" t="s">
        <v>72</v>
      </c>
      <c r="B3232" s="7" t="s">
        <v>1079</v>
      </c>
      <c r="C3232" s="8">
        <f>IFERROR(__xludf.DUMMYFUNCTION("SPLIT(B3232,""RM"")"),2350000.0)</f>
        <v>2350000</v>
      </c>
      <c r="D3232" s="7" t="s">
        <v>35</v>
      </c>
      <c r="E3232" s="7">
        <v>6.0</v>
      </c>
      <c r="G3232" s="7" t="s">
        <v>83</v>
      </c>
      <c r="H3232" s="7" t="s">
        <v>431</v>
      </c>
      <c r="I3232" s="7" t="s">
        <v>22</v>
      </c>
    </row>
    <row r="3233">
      <c r="A3233" s="7" t="s">
        <v>72</v>
      </c>
      <c r="B3233" s="7" t="s">
        <v>411</v>
      </c>
      <c r="C3233" s="8">
        <f>IFERROR(__xludf.DUMMYFUNCTION("SPLIT(B3233,""RM"")"),2150000.0)</f>
        <v>2150000</v>
      </c>
      <c r="D3233" s="7" t="s">
        <v>57</v>
      </c>
      <c r="E3233" s="7">
        <v>5.0</v>
      </c>
      <c r="G3233" s="7" t="s">
        <v>83</v>
      </c>
      <c r="H3233" s="7" t="s">
        <v>654</v>
      </c>
      <c r="I3233" s="7" t="s">
        <v>22</v>
      </c>
    </row>
    <row r="3234">
      <c r="A3234" s="7" t="s">
        <v>72</v>
      </c>
      <c r="B3234" s="7" t="s">
        <v>411</v>
      </c>
      <c r="C3234" s="8">
        <f>IFERROR(__xludf.DUMMYFUNCTION("SPLIT(B3234,""RM"")"),2150000.0)</f>
        <v>2150000</v>
      </c>
      <c r="D3234" s="7" t="s">
        <v>57</v>
      </c>
      <c r="E3234" s="7">
        <v>4.0</v>
      </c>
      <c r="G3234" s="7" t="s">
        <v>83</v>
      </c>
      <c r="H3234" s="7" t="s">
        <v>561</v>
      </c>
      <c r="I3234" s="7" t="s">
        <v>22</v>
      </c>
    </row>
    <row r="3235">
      <c r="A3235" s="7" t="s">
        <v>72</v>
      </c>
      <c r="B3235" s="7" t="s">
        <v>110</v>
      </c>
      <c r="C3235" s="8">
        <f>IFERROR(__xludf.DUMMYFUNCTION("SPLIT(B3235,""RM"")"),2400000.0)</f>
        <v>2400000</v>
      </c>
      <c r="D3235" s="7" t="s">
        <v>57</v>
      </c>
      <c r="E3235" s="7">
        <v>4.0</v>
      </c>
      <c r="G3235" s="7" t="s">
        <v>83</v>
      </c>
      <c r="H3235" s="7" t="s">
        <v>412</v>
      </c>
    </row>
    <row r="3236">
      <c r="A3236" s="7" t="s">
        <v>72</v>
      </c>
      <c r="B3236" s="7" t="s">
        <v>110</v>
      </c>
      <c r="C3236" s="8">
        <f>IFERROR(__xludf.DUMMYFUNCTION("SPLIT(B3236,""RM"")"),2400000.0)</f>
        <v>2400000</v>
      </c>
      <c r="D3236" s="7" t="s">
        <v>57</v>
      </c>
      <c r="E3236" s="7">
        <v>5.0</v>
      </c>
      <c r="G3236" s="7" t="s">
        <v>83</v>
      </c>
      <c r="H3236" s="7" t="s">
        <v>412</v>
      </c>
      <c r="I3236" s="7" t="s">
        <v>27</v>
      </c>
    </row>
    <row r="3237">
      <c r="A3237" s="7" t="s">
        <v>72</v>
      </c>
      <c r="B3237" s="7" t="s">
        <v>144</v>
      </c>
      <c r="C3237" s="8">
        <f>IFERROR(__xludf.DUMMYFUNCTION("SPLIT(B3237,""RM"")"),1800000.0)</f>
        <v>1800000</v>
      </c>
      <c r="D3237" s="7" t="s">
        <v>35</v>
      </c>
      <c r="E3237" s="7">
        <v>5.0</v>
      </c>
      <c r="F3237" s="7">
        <v>2.0</v>
      </c>
      <c r="G3237" s="7" t="s">
        <v>793</v>
      </c>
      <c r="H3237" s="7" t="s">
        <v>152</v>
      </c>
      <c r="I3237" s="7" t="s">
        <v>27</v>
      </c>
    </row>
    <row r="3238">
      <c r="A3238" s="7" t="s">
        <v>65</v>
      </c>
      <c r="B3238" s="7" t="s">
        <v>356</v>
      </c>
      <c r="C3238" s="8">
        <f>IFERROR(__xludf.DUMMYFUNCTION("SPLIT(B3238,""RM"")"),1790000.0)</f>
        <v>1790000</v>
      </c>
      <c r="D3238" s="7" t="s">
        <v>57</v>
      </c>
      <c r="E3238" s="7">
        <v>5.0</v>
      </c>
      <c r="F3238" s="7">
        <v>2.0</v>
      </c>
      <c r="G3238" s="7" t="s">
        <v>83</v>
      </c>
      <c r="H3238" s="7" t="s">
        <v>2225</v>
      </c>
      <c r="I3238" s="7" t="s">
        <v>27</v>
      </c>
    </row>
    <row r="3239">
      <c r="A3239" s="7" t="s">
        <v>72</v>
      </c>
      <c r="B3239" s="7" t="s">
        <v>277</v>
      </c>
      <c r="C3239" s="8">
        <f>IFERROR(__xludf.DUMMYFUNCTION("SPLIT(B3239,""RM"")"),2200000.0)</f>
        <v>2200000</v>
      </c>
      <c r="D3239" s="7" t="s">
        <v>35</v>
      </c>
      <c r="E3239" s="7">
        <v>6.0</v>
      </c>
      <c r="G3239" s="7" t="s">
        <v>83</v>
      </c>
      <c r="H3239" s="7" t="s">
        <v>176</v>
      </c>
      <c r="I3239" s="7" t="s">
        <v>27</v>
      </c>
    </row>
    <row r="3240">
      <c r="A3240" s="7" t="s">
        <v>72</v>
      </c>
      <c r="B3240" s="7" t="s">
        <v>125</v>
      </c>
      <c r="C3240" s="8">
        <f>IFERROR(__xludf.DUMMYFUNCTION("SPLIT(B3240,""RM"")"),2300000.0)</f>
        <v>2300000</v>
      </c>
      <c r="D3240" s="7" t="s">
        <v>57</v>
      </c>
      <c r="E3240" s="7">
        <v>5.0</v>
      </c>
      <c r="F3240" s="7">
        <v>2.0</v>
      </c>
      <c r="G3240" s="7" t="s">
        <v>83</v>
      </c>
      <c r="H3240" s="7" t="s">
        <v>654</v>
      </c>
      <c r="I3240" s="7" t="s">
        <v>27</v>
      </c>
    </row>
    <row r="3241">
      <c r="A3241" s="7" t="s">
        <v>72</v>
      </c>
      <c r="B3241" s="7" t="s">
        <v>322</v>
      </c>
      <c r="C3241" s="8">
        <f>IFERROR(__xludf.DUMMYFUNCTION("SPLIT(B3241,""RM"")"),1900000.0)</f>
        <v>1900000</v>
      </c>
      <c r="D3241" s="7" t="s">
        <v>35</v>
      </c>
      <c r="E3241" s="7">
        <v>5.0</v>
      </c>
      <c r="G3241" s="7" t="s">
        <v>83</v>
      </c>
      <c r="H3241" s="7" t="s">
        <v>1143</v>
      </c>
      <c r="I3241" s="7" t="s">
        <v>22</v>
      </c>
    </row>
    <row r="3242">
      <c r="A3242" s="7" t="s">
        <v>72</v>
      </c>
      <c r="B3242" s="7" t="s">
        <v>411</v>
      </c>
      <c r="C3242" s="8">
        <f>IFERROR(__xludf.DUMMYFUNCTION("SPLIT(B3242,""RM"")"),2150000.0)</f>
        <v>2150000</v>
      </c>
      <c r="D3242" s="7" t="s">
        <v>57</v>
      </c>
      <c r="E3242" s="7">
        <v>4.0</v>
      </c>
      <c r="G3242" s="7" t="s">
        <v>83</v>
      </c>
      <c r="H3242" s="7" t="s">
        <v>561</v>
      </c>
      <c r="I3242" s="7" t="s">
        <v>22</v>
      </c>
    </row>
    <row r="3243">
      <c r="A3243" s="7" t="s">
        <v>72</v>
      </c>
      <c r="B3243" s="7" t="s">
        <v>227</v>
      </c>
      <c r="C3243" s="8">
        <f>IFERROR(__xludf.DUMMYFUNCTION("SPLIT(B3243,""RM"")"),2850000.0)</f>
        <v>2850000</v>
      </c>
      <c r="D3243" s="7" t="s">
        <v>35</v>
      </c>
      <c r="E3243" s="7">
        <v>6.0</v>
      </c>
      <c r="G3243" s="7" t="s">
        <v>83</v>
      </c>
      <c r="H3243" s="7" t="s">
        <v>1284</v>
      </c>
      <c r="I3243" s="7" t="s">
        <v>27</v>
      </c>
    </row>
    <row r="3244">
      <c r="A3244" s="7" t="s">
        <v>72</v>
      </c>
      <c r="B3244" s="7" t="s">
        <v>193</v>
      </c>
      <c r="C3244" s="8">
        <f>IFERROR(__xludf.DUMMYFUNCTION("SPLIT(B3244,""RM"")"),1650000.0)</f>
        <v>1650000</v>
      </c>
      <c r="D3244" s="7" t="s">
        <v>19</v>
      </c>
      <c r="E3244" s="7">
        <v>4.0</v>
      </c>
      <c r="F3244" s="7">
        <v>2.0</v>
      </c>
      <c r="G3244" s="7" t="s">
        <v>83</v>
      </c>
      <c r="H3244" s="7" t="s">
        <v>1057</v>
      </c>
    </row>
    <row r="3245">
      <c r="A3245" s="7" t="s">
        <v>72</v>
      </c>
      <c r="B3245" s="7" t="s">
        <v>311</v>
      </c>
      <c r="C3245" s="8">
        <f>IFERROR(__xludf.DUMMYFUNCTION("SPLIT(B3245,""RM"")"),1100000.0)</f>
        <v>1100000</v>
      </c>
      <c r="D3245" s="7" t="s">
        <v>57</v>
      </c>
      <c r="E3245" s="7">
        <v>4.0</v>
      </c>
      <c r="G3245" s="7" t="s">
        <v>83</v>
      </c>
      <c r="H3245" s="7" t="s">
        <v>2226</v>
      </c>
      <c r="I3245" s="7" t="s">
        <v>22</v>
      </c>
    </row>
    <row r="3246">
      <c r="A3246" s="7" t="s">
        <v>72</v>
      </c>
      <c r="B3246" s="7" t="s">
        <v>349</v>
      </c>
      <c r="C3246" s="8">
        <f>IFERROR(__xludf.DUMMYFUNCTION("SPLIT(B3246,""RM"")"),1400000.0)</f>
        <v>1400000</v>
      </c>
      <c r="D3246" s="7" t="s">
        <v>57</v>
      </c>
      <c r="E3246" s="7">
        <v>3.0</v>
      </c>
      <c r="G3246" s="7" t="s">
        <v>83</v>
      </c>
      <c r="H3246" s="7" t="s">
        <v>1947</v>
      </c>
      <c r="I3246" s="7" t="s">
        <v>27</v>
      </c>
    </row>
    <row r="3247">
      <c r="A3247" s="7" t="s">
        <v>72</v>
      </c>
      <c r="B3247" s="7" t="s">
        <v>165</v>
      </c>
      <c r="C3247" s="8">
        <f>IFERROR(__xludf.DUMMYFUNCTION("SPLIT(B3247,""RM"")"),3500000.0)</f>
        <v>3500000</v>
      </c>
      <c r="D3247" s="7" t="s">
        <v>35</v>
      </c>
      <c r="E3247" s="7">
        <v>6.0</v>
      </c>
      <c r="G3247" s="7" t="s">
        <v>83</v>
      </c>
      <c r="H3247" s="7" t="s">
        <v>76</v>
      </c>
      <c r="I3247" s="7" t="s">
        <v>22</v>
      </c>
    </row>
    <row r="3248">
      <c r="A3248" s="7" t="s">
        <v>72</v>
      </c>
      <c r="B3248" s="7" t="s">
        <v>484</v>
      </c>
      <c r="C3248" s="8">
        <f>IFERROR(__xludf.DUMMYFUNCTION("SPLIT(B3248,""RM"")"),2950000.0)</f>
        <v>2950000</v>
      </c>
      <c r="D3248" s="7" t="s">
        <v>35</v>
      </c>
      <c r="E3248" s="7">
        <v>4.0</v>
      </c>
      <c r="F3248" s="7">
        <v>3.0</v>
      </c>
      <c r="G3248" s="7" t="s">
        <v>83</v>
      </c>
      <c r="H3248" s="7" t="s">
        <v>622</v>
      </c>
      <c r="I3248" s="7" t="s">
        <v>22</v>
      </c>
    </row>
    <row r="3249">
      <c r="A3249" s="7" t="s">
        <v>72</v>
      </c>
      <c r="B3249" s="7" t="s">
        <v>18</v>
      </c>
      <c r="C3249" s="8">
        <f>IFERROR(__xludf.DUMMYFUNCTION("SPLIT(B3249,""RM"")"),1250000.0)</f>
        <v>1250000</v>
      </c>
      <c r="D3249" s="7" t="s">
        <v>57</v>
      </c>
      <c r="E3249" s="7">
        <v>4.0</v>
      </c>
      <c r="G3249" s="7" t="s">
        <v>83</v>
      </c>
      <c r="H3249" s="7" t="s">
        <v>2227</v>
      </c>
      <c r="I3249" s="7" t="s">
        <v>22</v>
      </c>
    </row>
    <row r="3250">
      <c r="A3250" s="7" t="s">
        <v>72</v>
      </c>
      <c r="B3250" s="7" t="s">
        <v>134</v>
      </c>
      <c r="C3250" s="8">
        <f>IFERROR(__xludf.DUMMYFUNCTION("SPLIT(B3250,""RM"")"),1150000.0)</f>
        <v>1150000</v>
      </c>
      <c r="D3250" s="7" t="s">
        <v>57</v>
      </c>
      <c r="E3250" s="7">
        <v>4.0</v>
      </c>
      <c r="G3250" s="7" t="s">
        <v>83</v>
      </c>
      <c r="H3250" s="7" t="s">
        <v>2226</v>
      </c>
      <c r="I3250" s="7" t="s">
        <v>22</v>
      </c>
    </row>
    <row r="3251">
      <c r="A3251" s="7" t="s">
        <v>72</v>
      </c>
      <c r="B3251" s="7" t="s">
        <v>484</v>
      </c>
      <c r="C3251" s="8">
        <f>IFERROR(__xludf.DUMMYFUNCTION("SPLIT(B3251,""RM"")"),2950000.0)</f>
        <v>2950000</v>
      </c>
      <c r="D3251" s="7" t="s">
        <v>35</v>
      </c>
      <c r="E3251" s="7">
        <v>6.0</v>
      </c>
      <c r="G3251" s="7" t="s">
        <v>83</v>
      </c>
      <c r="H3251" s="7" t="s">
        <v>994</v>
      </c>
    </row>
    <row r="3252">
      <c r="A3252" s="7" t="s">
        <v>432</v>
      </c>
      <c r="B3252" s="7" t="s">
        <v>281</v>
      </c>
      <c r="C3252" s="8">
        <f>IFERROR(__xludf.DUMMYFUNCTION("SPLIT(B3252,""RM"")"),2500000.0)</f>
        <v>2500000</v>
      </c>
      <c r="D3252" s="7" t="s">
        <v>57</v>
      </c>
      <c r="E3252" s="7">
        <v>5.0</v>
      </c>
      <c r="G3252" s="7" t="s">
        <v>83</v>
      </c>
      <c r="H3252" s="7" t="s">
        <v>1627</v>
      </c>
      <c r="I3252" s="7" t="s">
        <v>22</v>
      </c>
    </row>
    <row r="3253">
      <c r="A3253" s="7" t="s">
        <v>72</v>
      </c>
      <c r="B3253" s="7" t="s">
        <v>401</v>
      </c>
      <c r="C3253" s="8">
        <f>IFERROR(__xludf.DUMMYFUNCTION("SPLIT(B3253,""RM"")"),3380000.0)</f>
        <v>3380000</v>
      </c>
      <c r="D3253" s="7" t="s">
        <v>35</v>
      </c>
      <c r="E3253" s="7">
        <v>6.0</v>
      </c>
      <c r="G3253" s="7" t="s">
        <v>83</v>
      </c>
      <c r="H3253" s="7" t="s">
        <v>1230</v>
      </c>
      <c r="I3253" s="7" t="s">
        <v>22</v>
      </c>
    </row>
    <row r="3254">
      <c r="A3254" s="7" t="s">
        <v>72</v>
      </c>
      <c r="B3254" s="7" t="s">
        <v>704</v>
      </c>
      <c r="C3254" s="8">
        <f>IFERROR(__xludf.DUMMYFUNCTION("SPLIT(B3254,""RM"")"),3360000.0)</f>
        <v>3360000</v>
      </c>
      <c r="D3254" s="7" t="s">
        <v>35</v>
      </c>
      <c r="E3254" s="7">
        <v>5.0</v>
      </c>
      <c r="G3254" s="7" t="s">
        <v>83</v>
      </c>
      <c r="H3254" s="7" t="s">
        <v>989</v>
      </c>
      <c r="I3254" s="7" t="s">
        <v>22</v>
      </c>
    </row>
    <row r="3255">
      <c r="A3255" s="7" t="s">
        <v>72</v>
      </c>
      <c r="B3255" s="7" t="s">
        <v>78</v>
      </c>
      <c r="C3255" s="8">
        <f>IFERROR(__xludf.DUMMYFUNCTION("SPLIT(B3255,""RM"")"),1500000.0)</f>
        <v>1500000</v>
      </c>
      <c r="D3255" s="7" t="s">
        <v>57</v>
      </c>
      <c r="E3255" s="7">
        <v>4.0</v>
      </c>
      <c r="G3255" s="7" t="s">
        <v>83</v>
      </c>
      <c r="H3255" s="7" t="s">
        <v>84</v>
      </c>
      <c r="I3255" s="7" t="s">
        <v>22</v>
      </c>
    </row>
    <row r="3256">
      <c r="A3256" s="7" t="s">
        <v>72</v>
      </c>
      <c r="B3256" s="7" t="s">
        <v>475</v>
      </c>
      <c r="C3256" s="8">
        <f>IFERROR(__xludf.DUMMYFUNCTION("SPLIT(B3256,""RM"")"),2800000.0)</f>
        <v>2800000</v>
      </c>
      <c r="D3256" s="7" t="s">
        <v>35</v>
      </c>
      <c r="E3256" s="7">
        <v>6.0</v>
      </c>
      <c r="G3256" s="7" t="s">
        <v>83</v>
      </c>
      <c r="H3256" s="7" t="s">
        <v>1230</v>
      </c>
      <c r="I3256" s="7" t="s">
        <v>27</v>
      </c>
    </row>
    <row r="3257">
      <c r="A3257" s="7" t="s">
        <v>72</v>
      </c>
      <c r="B3257" s="7" t="s">
        <v>2052</v>
      </c>
      <c r="C3257" s="8">
        <f>IFERROR(__xludf.DUMMYFUNCTION("SPLIT(B3257,""RM"")"),3230000.0)</f>
        <v>3230000</v>
      </c>
      <c r="D3257" s="7" t="s">
        <v>35</v>
      </c>
      <c r="E3257" s="7">
        <v>4.0</v>
      </c>
      <c r="F3257" s="7">
        <v>3.0</v>
      </c>
      <c r="G3257" s="7" t="s">
        <v>83</v>
      </c>
      <c r="H3257" s="7" t="s">
        <v>622</v>
      </c>
      <c r="I3257" s="7" t="s">
        <v>22</v>
      </c>
    </row>
    <row r="3258">
      <c r="A3258" s="7" t="s">
        <v>72</v>
      </c>
      <c r="B3258" s="7" t="s">
        <v>1094</v>
      </c>
      <c r="C3258" s="8">
        <f>IFERROR(__xludf.DUMMYFUNCTION("SPLIT(B3258,""RM"")"),4700000.0)</f>
        <v>4700000</v>
      </c>
      <c r="D3258" s="7" t="s">
        <v>35</v>
      </c>
      <c r="E3258" s="7">
        <v>6.0</v>
      </c>
      <c r="F3258" s="7">
        <v>3.0</v>
      </c>
      <c r="G3258" s="7" t="s">
        <v>83</v>
      </c>
      <c r="H3258" s="7" t="s">
        <v>992</v>
      </c>
      <c r="I3258" s="7" t="s">
        <v>27</v>
      </c>
    </row>
    <row r="3259">
      <c r="A3259" s="7" t="s">
        <v>72</v>
      </c>
      <c r="B3259" s="7" t="s">
        <v>101</v>
      </c>
      <c r="C3259" s="8">
        <f>IFERROR(__xludf.DUMMYFUNCTION("SPLIT(B3259,""RM"")"),3300000.0)</f>
        <v>3300000</v>
      </c>
      <c r="D3259" s="7" t="s">
        <v>35</v>
      </c>
      <c r="E3259" s="7">
        <v>5.0</v>
      </c>
      <c r="G3259" s="7" t="s">
        <v>83</v>
      </c>
      <c r="H3259" s="7" t="s">
        <v>1230</v>
      </c>
      <c r="I3259" s="7" t="s">
        <v>27</v>
      </c>
    </row>
    <row r="3260">
      <c r="A3260" s="7" t="s">
        <v>72</v>
      </c>
      <c r="B3260" s="7" t="s">
        <v>349</v>
      </c>
      <c r="C3260" s="8">
        <f>IFERROR(__xludf.DUMMYFUNCTION("SPLIT(B3260,""RM"")"),1400000.0)</f>
        <v>1400000</v>
      </c>
      <c r="D3260" s="7" t="s">
        <v>57</v>
      </c>
      <c r="E3260" s="7">
        <v>4.0</v>
      </c>
      <c r="G3260" s="7" t="s">
        <v>83</v>
      </c>
      <c r="H3260" s="7" t="s">
        <v>99</v>
      </c>
      <c r="I3260" s="7" t="s">
        <v>22</v>
      </c>
    </row>
    <row r="3261">
      <c r="A3261" s="7" t="s">
        <v>72</v>
      </c>
      <c r="B3261" s="7" t="s">
        <v>56</v>
      </c>
      <c r="C3261" s="8">
        <f>IFERROR(__xludf.DUMMYFUNCTION("SPLIT(B3261,""RM"")"),1700000.0)</f>
        <v>1700000</v>
      </c>
      <c r="D3261" s="7" t="s">
        <v>57</v>
      </c>
      <c r="E3261" s="7">
        <v>4.0</v>
      </c>
      <c r="G3261" s="7" t="s">
        <v>83</v>
      </c>
      <c r="H3261" s="7" t="s">
        <v>555</v>
      </c>
      <c r="I3261" s="7" t="s">
        <v>27</v>
      </c>
    </row>
    <row r="3262">
      <c r="A3262" s="7" t="s">
        <v>72</v>
      </c>
      <c r="B3262" s="7" t="s">
        <v>292</v>
      </c>
      <c r="C3262" s="8">
        <f>IFERROR(__xludf.DUMMYFUNCTION("SPLIT(B3262,""RM"")"),3400000.0)</f>
        <v>3400000</v>
      </c>
      <c r="D3262" s="7" t="s">
        <v>35</v>
      </c>
      <c r="E3262" s="7">
        <v>6.0</v>
      </c>
      <c r="G3262" s="7" t="s">
        <v>83</v>
      </c>
      <c r="H3262" s="7" t="s">
        <v>2228</v>
      </c>
      <c r="I3262" s="7" t="s">
        <v>27</v>
      </c>
    </row>
    <row r="3263">
      <c r="A3263" s="7" t="s">
        <v>72</v>
      </c>
      <c r="B3263" s="7" t="s">
        <v>165</v>
      </c>
      <c r="C3263" s="8">
        <f>IFERROR(__xludf.DUMMYFUNCTION("SPLIT(B3263,""RM"")"),3500000.0)</f>
        <v>3500000</v>
      </c>
      <c r="D3263" s="7" t="s">
        <v>35</v>
      </c>
      <c r="E3263" s="7">
        <v>6.0</v>
      </c>
      <c r="F3263" s="7">
        <v>3.0</v>
      </c>
      <c r="G3263" s="7" t="s">
        <v>83</v>
      </c>
      <c r="H3263" s="7" t="s">
        <v>1283</v>
      </c>
      <c r="I3263" s="7" t="s">
        <v>27</v>
      </c>
    </row>
    <row r="3264">
      <c r="A3264" s="7" t="s">
        <v>72</v>
      </c>
      <c r="B3264" s="7" t="s">
        <v>193</v>
      </c>
      <c r="C3264" s="8">
        <f>IFERROR(__xludf.DUMMYFUNCTION("SPLIT(B3264,""RM"")"),1650000.0)</f>
        <v>1650000</v>
      </c>
      <c r="D3264" s="7" t="s">
        <v>57</v>
      </c>
      <c r="E3264" s="7">
        <v>4.0</v>
      </c>
      <c r="G3264" s="7" t="s">
        <v>83</v>
      </c>
      <c r="H3264" s="7" t="s">
        <v>555</v>
      </c>
      <c r="I3264" s="7" t="s">
        <v>22</v>
      </c>
    </row>
    <row r="3265">
      <c r="A3265" s="7" t="s">
        <v>432</v>
      </c>
      <c r="B3265" s="7" t="s">
        <v>411</v>
      </c>
      <c r="C3265" s="8">
        <f>IFERROR(__xludf.DUMMYFUNCTION("SPLIT(B3265,""RM"")"),2150000.0)</f>
        <v>2150000</v>
      </c>
      <c r="D3265" s="7" t="s">
        <v>57</v>
      </c>
      <c r="E3265" s="7">
        <v>3.0</v>
      </c>
      <c r="G3265" s="7" t="s">
        <v>83</v>
      </c>
      <c r="H3265" s="7" t="s">
        <v>1627</v>
      </c>
      <c r="I3265" s="7" t="s">
        <v>22</v>
      </c>
    </row>
    <row r="3266">
      <c r="A3266" s="7" t="s">
        <v>72</v>
      </c>
      <c r="B3266" s="7" t="s">
        <v>193</v>
      </c>
      <c r="C3266" s="8">
        <f>IFERROR(__xludf.DUMMYFUNCTION("SPLIT(B3266,""RM"")"),1650000.0)</f>
        <v>1650000</v>
      </c>
      <c r="D3266" s="7" t="s">
        <v>57</v>
      </c>
      <c r="E3266" s="7">
        <v>4.0</v>
      </c>
      <c r="G3266" s="7" t="s">
        <v>83</v>
      </c>
      <c r="H3266" s="7" t="s">
        <v>555</v>
      </c>
      <c r="I3266" s="7" t="s">
        <v>27</v>
      </c>
    </row>
    <row r="3267">
      <c r="A3267" s="7" t="s">
        <v>432</v>
      </c>
      <c r="B3267" s="7" t="s">
        <v>475</v>
      </c>
      <c r="C3267" s="8">
        <f>IFERROR(__xludf.DUMMYFUNCTION("SPLIT(B3267,""RM"")"),2800000.0)</f>
        <v>2800000</v>
      </c>
      <c r="D3267" s="7" t="s">
        <v>35</v>
      </c>
      <c r="E3267" s="7">
        <v>6.0</v>
      </c>
      <c r="G3267" s="7" t="s">
        <v>83</v>
      </c>
      <c r="H3267" s="7" t="s">
        <v>1495</v>
      </c>
      <c r="I3267" s="7" t="s">
        <v>27</v>
      </c>
    </row>
    <row r="3268">
      <c r="A3268" s="7" t="s">
        <v>72</v>
      </c>
      <c r="B3268" s="7" t="s">
        <v>351</v>
      </c>
      <c r="C3268" s="8">
        <f>IFERROR(__xludf.DUMMYFUNCTION("SPLIT(B3268,""RM"")"),3800000.0)</f>
        <v>3800000</v>
      </c>
      <c r="D3268" s="7" t="s">
        <v>35</v>
      </c>
      <c r="E3268" s="7">
        <v>6.0</v>
      </c>
      <c r="G3268" s="7" t="s">
        <v>83</v>
      </c>
      <c r="H3268" s="7" t="s">
        <v>147</v>
      </c>
      <c r="I3268" s="7" t="s">
        <v>27</v>
      </c>
    </row>
    <row r="3269">
      <c r="A3269" s="7" t="s">
        <v>72</v>
      </c>
      <c r="B3269" s="7" t="s">
        <v>313</v>
      </c>
      <c r="C3269" s="8">
        <f>IFERROR(__xludf.DUMMYFUNCTION("SPLIT(B3269,""RM"")"),2900000.0)</f>
        <v>2900000</v>
      </c>
      <c r="D3269" s="7" t="s">
        <v>35</v>
      </c>
      <c r="E3269" s="7">
        <v>5.0</v>
      </c>
      <c r="G3269" s="7" t="s">
        <v>83</v>
      </c>
      <c r="H3269" s="7" t="s">
        <v>989</v>
      </c>
    </row>
    <row r="3270">
      <c r="A3270" s="7" t="s">
        <v>72</v>
      </c>
      <c r="B3270" s="7" t="s">
        <v>2229</v>
      </c>
      <c r="C3270" s="8">
        <f>IFERROR(__xludf.DUMMYFUNCTION("SPLIT(B3270,""RM"")"),2310000.0)</f>
        <v>2310000</v>
      </c>
      <c r="D3270" s="7">
        <v>3.0</v>
      </c>
      <c r="E3270" s="7">
        <v>3.0</v>
      </c>
      <c r="G3270" s="7" t="s">
        <v>20</v>
      </c>
      <c r="H3270" s="7" t="s">
        <v>2230</v>
      </c>
      <c r="I3270" s="7" t="s">
        <v>27</v>
      </c>
    </row>
    <row r="3271">
      <c r="A3271" s="7" t="s">
        <v>72</v>
      </c>
      <c r="B3271" s="7" t="s">
        <v>174</v>
      </c>
      <c r="C3271" s="8">
        <f>IFERROR(__xludf.DUMMYFUNCTION("SPLIT(B3271,""RM"")"),3000000.0)</f>
        <v>3000000</v>
      </c>
      <c r="D3271" s="7" t="s">
        <v>57</v>
      </c>
      <c r="E3271" s="7">
        <v>5.0</v>
      </c>
      <c r="G3271" s="7" t="s">
        <v>312</v>
      </c>
      <c r="H3271" s="7" t="s">
        <v>2231</v>
      </c>
      <c r="I3271" s="7" t="s">
        <v>27</v>
      </c>
    </row>
    <row r="3272">
      <c r="A3272" s="7" t="s">
        <v>72</v>
      </c>
      <c r="B3272" s="7" t="s">
        <v>2232</v>
      </c>
      <c r="C3272" s="8">
        <f>IFERROR(__xludf.DUMMYFUNCTION("SPLIT(B3272,""RM"")"),2420000.0)</f>
        <v>2420000</v>
      </c>
      <c r="D3272" s="7">
        <v>3.0</v>
      </c>
      <c r="E3272" s="7">
        <v>3.0</v>
      </c>
      <c r="G3272" s="7" t="s">
        <v>20</v>
      </c>
      <c r="H3272" s="7" t="s">
        <v>1923</v>
      </c>
      <c r="I3272" s="7" t="s">
        <v>27</v>
      </c>
    </row>
    <row r="3273">
      <c r="A3273" s="7" t="s">
        <v>72</v>
      </c>
      <c r="B3273" s="7" t="s">
        <v>327</v>
      </c>
      <c r="C3273" s="8">
        <f>IFERROR(__xludf.DUMMYFUNCTION("SPLIT(B3273,""RM"")"),1300000.0)</f>
        <v>1300000</v>
      </c>
      <c r="D3273" s="7">
        <v>2.0</v>
      </c>
      <c r="E3273" s="7">
        <v>2.0</v>
      </c>
      <c r="G3273" s="7" t="s">
        <v>20</v>
      </c>
      <c r="H3273" s="7" t="s">
        <v>2233</v>
      </c>
      <c r="I3273" s="7" t="s">
        <v>22</v>
      </c>
    </row>
    <row r="3274">
      <c r="A3274" s="7" t="s">
        <v>72</v>
      </c>
      <c r="B3274" s="7" t="s">
        <v>214</v>
      </c>
      <c r="C3274" s="8">
        <f>IFERROR(__xludf.DUMMYFUNCTION("SPLIT(B3274,""RM"")"),1180000.0)</f>
        <v>1180000</v>
      </c>
      <c r="D3274" s="7">
        <v>2.0</v>
      </c>
      <c r="E3274" s="7">
        <v>2.0</v>
      </c>
      <c r="G3274" s="7" t="s">
        <v>20</v>
      </c>
      <c r="H3274" s="7" t="s">
        <v>2234</v>
      </c>
      <c r="I3274" s="7" t="s">
        <v>27</v>
      </c>
    </row>
    <row r="3275">
      <c r="A3275" s="7" t="s">
        <v>515</v>
      </c>
      <c r="B3275" s="7" t="s">
        <v>2235</v>
      </c>
      <c r="C3275" s="8">
        <f>IFERROR(__xludf.DUMMYFUNCTION("SPLIT(B3275,""RM"")"),2520000.0)</f>
        <v>2520000</v>
      </c>
      <c r="D3275" s="7" t="s">
        <v>60</v>
      </c>
      <c r="E3275" s="7">
        <v>5.0</v>
      </c>
      <c r="G3275" s="7" t="s">
        <v>43</v>
      </c>
      <c r="H3275" s="7" t="s">
        <v>860</v>
      </c>
      <c r="I3275" s="7" t="s">
        <v>27</v>
      </c>
    </row>
    <row r="3276">
      <c r="A3276" s="7" t="s">
        <v>104</v>
      </c>
      <c r="B3276" s="7" t="s">
        <v>641</v>
      </c>
      <c r="C3276" s="8">
        <f>IFERROR(__xludf.DUMMYFUNCTION("SPLIT(B3276,""RM"")"),830000.0)</f>
        <v>830000</v>
      </c>
      <c r="D3276" s="7">
        <v>4.0</v>
      </c>
      <c r="E3276" s="7">
        <v>3.0</v>
      </c>
      <c r="G3276" s="7" t="s">
        <v>54</v>
      </c>
      <c r="H3276" s="7" t="s">
        <v>2236</v>
      </c>
      <c r="I3276" s="7" t="s">
        <v>27</v>
      </c>
    </row>
    <row r="3277">
      <c r="A3277" s="7" t="s">
        <v>2237</v>
      </c>
      <c r="B3277" s="7" t="s">
        <v>1869</v>
      </c>
      <c r="C3277" s="8">
        <f>IFERROR(__xludf.DUMMYFUNCTION("SPLIT(B3277,""RM"")"),458000.0)</f>
        <v>458000</v>
      </c>
      <c r="D3277" s="7">
        <v>3.0</v>
      </c>
      <c r="E3277" s="7">
        <v>3.0</v>
      </c>
      <c r="G3277" s="7" t="s">
        <v>20</v>
      </c>
      <c r="H3277" s="7" t="s">
        <v>254</v>
      </c>
      <c r="I3277" s="7" t="s">
        <v>22</v>
      </c>
    </row>
    <row r="3278">
      <c r="A3278" s="7" t="s">
        <v>41</v>
      </c>
      <c r="B3278" s="7" t="s">
        <v>281</v>
      </c>
      <c r="C3278" s="8">
        <f>IFERROR(__xludf.DUMMYFUNCTION("SPLIT(B3278,""RM"")"),2500000.0)</f>
        <v>2500000</v>
      </c>
      <c r="D3278" s="7">
        <v>6.0</v>
      </c>
      <c r="E3278" s="7">
        <v>5.0</v>
      </c>
      <c r="F3278" s="7">
        <v>6.0</v>
      </c>
      <c r="G3278" s="7" t="s">
        <v>67</v>
      </c>
      <c r="H3278" s="7" t="s">
        <v>2238</v>
      </c>
      <c r="I3278" s="7" t="s">
        <v>103</v>
      </c>
    </row>
    <row r="3279">
      <c r="A3279" s="7" t="s">
        <v>2022</v>
      </c>
      <c r="B3279" s="7" t="s">
        <v>563</v>
      </c>
      <c r="C3279" s="8">
        <f>IFERROR(__xludf.DUMMYFUNCTION("SPLIT(B3279,""RM"")"),600000.0)</f>
        <v>600000</v>
      </c>
      <c r="D3279" s="7">
        <v>3.0</v>
      </c>
      <c r="E3279" s="7">
        <v>2.0</v>
      </c>
      <c r="G3279" s="7" t="s">
        <v>1185</v>
      </c>
      <c r="H3279" s="7" t="s">
        <v>2239</v>
      </c>
      <c r="I3279" s="7" t="s">
        <v>27</v>
      </c>
    </row>
    <row r="3280">
      <c r="A3280" s="7" t="s">
        <v>1979</v>
      </c>
      <c r="B3280" s="7" t="s">
        <v>953</v>
      </c>
      <c r="C3280" s="8">
        <f>IFERROR(__xludf.DUMMYFUNCTION("SPLIT(B3280,""RM"")"),730000.0)</f>
        <v>730000</v>
      </c>
      <c r="D3280" s="7" t="s">
        <v>57</v>
      </c>
      <c r="E3280" s="7">
        <v>2.0</v>
      </c>
      <c r="G3280" s="7" t="s">
        <v>169</v>
      </c>
      <c r="H3280" s="7" t="s">
        <v>2240</v>
      </c>
      <c r="I3280" s="7" t="s">
        <v>27</v>
      </c>
    </row>
    <row r="3281">
      <c r="A3281" s="7" t="s">
        <v>104</v>
      </c>
      <c r="B3281" s="7" t="s">
        <v>1908</v>
      </c>
      <c r="C3281" s="8">
        <f>IFERROR(__xludf.DUMMYFUNCTION("SPLIT(B3281,""RM"")"),699000.0)</f>
        <v>699000</v>
      </c>
      <c r="D3281" s="7">
        <v>3.0</v>
      </c>
      <c r="E3281" s="7">
        <v>2.0</v>
      </c>
      <c r="G3281" s="7" t="s">
        <v>1497</v>
      </c>
      <c r="H3281" s="7" t="s">
        <v>1121</v>
      </c>
      <c r="I3281" s="7" t="s">
        <v>27</v>
      </c>
    </row>
    <row r="3282">
      <c r="A3282" s="7" t="s">
        <v>104</v>
      </c>
      <c r="B3282" s="7" t="s">
        <v>1328</v>
      </c>
      <c r="C3282" s="8">
        <f>IFERROR(__xludf.DUMMYFUNCTION("SPLIT(B3282,""RM"")"),650000.0)</f>
        <v>650000</v>
      </c>
      <c r="D3282" s="7">
        <v>3.0</v>
      </c>
      <c r="E3282" s="7">
        <v>2.0</v>
      </c>
      <c r="G3282" s="7" t="s">
        <v>343</v>
      </c>
      <c r="H3282" s="7" t="s">
        <v>211</v>
      </c>
      <c r="I3282" s="7" t="s">
        <v>27</v>
      </c>
    </row>
    <row r="3283">
      <c r="A3283" s="7" t="s">
        <v>33</v>
      </c>
      <c r="B3283" s="7" t="s">
        <v>1433</v>
      </c>
      <c r="C3283" s="8">
        <f>IFERROR(__xludf.DUMMYFUNCTION("SPLIT(B3283,""RM"")"),849000.0)</f>
        <v>849000</v>
      </c>
      <c r="D3283" s="7" t="s">
        <v>57</v>
      </c>
      <c r="E3283" s="7">
        <v>3.0</v>
      </c>
      <c r="F3283" s="7">
        <v>2.0</v>
      </c>
      <c r="G3283" s="7" t="s">
        <v>83</v>
      </c>
      <c r="H3283" s="7" t="s">
        <v>21</v>
      </c>
      <c r="I3283" s="7" t="s">
        <v>27</v>
      </c>
    </row>
    <row r="3284">
      <c r="A3284" s="7" t="s">
        <v>100</v>
      </c>
      <c r="B3284" s="7" t="s">
        <v>172</v>
      </c>
      <c r="C3284" s="8">
        <f>IFERROR(__xludf.DUMMYFUNCTION("SPLIT(B3284,""RM"")"),580000.0)</f>
        <v>580000</v>
      </c>
      <c r="D3284" s="7">
        <v>2.0</v>
      </c>
      <c r="E3284" s="7">
        <v>2.0</v>
      </c>
      <c r="G3284" s="7" t="s">
        <v>20</v>
      </c>
      <c r="H3284" s="7" t="s">
        <v>2085</v>
      </c>
      <c r="I3284" s="7" t="s">
        <v>27</v>
      </c>
    </row>
    <row r="3285">
      <c r="A3285" s="7" t="s">
        <v>100</v>
      </c>
      <c r="B3285" s="7" t="s">
        <v>575</v>
      </c>
      <c r="C3285" s="8">
        <f>IFERROR(__xludf.DUMMYFUNCTION("SPLIT(B3285,""RM"")"),660000.0)</f>
        <v>660000</v>
      </c>
      <c r="D3285" s="7" t="s">
        <v>57</v>
      </c>
      <c r="E3285" s="7">
        <v>2.0</v>
      </c>
      <c r="G3285" s="7" t="s">
        <v>20</v>
      </c>
      <c r="H3285" s="7" t="s">
        <v>2241</v>
      </c>
      <c r="I3285" s="7" t="s">
        <v>27</v>
      </c>
    </row>
    <row r="3286">
      <c r="A3286" s="7" t="s">
        <v>89</v>
      </c>
      <c r="B3286" s="7" t="s">
        <v>332</v>
      </c>
      <c r="C3286" s="8">
        <f>IFERROR(__xludf.DUMMYFUNCTION("SPLIT(B3286,""RM"")"),998000.0)</f>
        <v>998000</v>
      </c>
      <c r="D3286" s="7" t="s">
        <v>35</v>
      </c>
      <c r="E3286" s="7">
        <v>4.0</v>
      </c>
      <c r="F3286" s="7">
        <v>2.0</v>
      </c>
      <c r="G3286" s="7" t="s">
        <v>90</v>
      </c>
      <c r="I3286" s="7" t="s">
        <v>27</v>
      </c>
    </row>
    <row r="3287">
      <c r="A3287" s="7" t="s">
        <v>267</v>
      </c>
      <c r="B3287" s="7" t="s">
        <v>1267</v>
      </c>
      <c r="C3287" s="8">
        <f>IFERROR(__xludf.DUMMYFUNCTION("SPLIT(B3287,""RM"")"),648000.0)</f>
        <v>648000</v>
      </c>
      <c r="D3287" s="7">
        <v>3.0</v>
      </c>
      <c r="E3287" s="7">
        <v>2.0</v>
      </c>
      <c r="F3287" s="7">
        <v>2.0</v>
      </c>
      <c r="G3287" s="7" t="s">
        <v>82</v>
      </c>
      <c r="H3287" s="7" t="s">
        <v>2242</v>
      </c>
      <c r="I3287" s="7" t="s">
        <v>27</v>
      </c>
    </row>
    <row r="3288">
      <c r="A3288" s="7" t="s">
        <v>241</v>
      </c>
      <c r="B3288" s="7" t="s">
        <v>87</v>
      </c>
      <c r="C3288" s="8">
        <f>IFERROR(__xludf.DUMMYFUNCTION("SPLIT(B3288,""RM"")"),490000.0)</f>
        <v>490000</v>
      </c>
      <c r="D3288" s="7">
        <v>3.0</v>
      </c>
      <c r="E3288" s="7">
        <v>2.0</v>
      </c>
      <c r="F3288" s="7">
        <v>2.0</v>
      </c>
      <c r="G3288" s="7" t="s">
        <v>82</v>
      </c>
      <c r="H3288" s="7" t="s">
        <v>2243</v>
      </c>
      <c r="I3288" s="7" t="s">
        <v>22</v>
      </c>
    </row>
    <row r="3289">
      <c r="A3289" s="7" t="s">
        <v>100</v>
      </c>
      <c r="B3289" s="7" t="s">
        <v>715</v>
      </c>
      <c r="C3289" s="8">
        <f>IFERROR(__xludf.DUMMYFUNCTION("SPLIT(B3289,""RM"")"),550000.0)</f>
        <v>550000</v>
      </c>
      <c r="D3289" s="7">
        <v>3.0</v>
      </c>
      <c r="E3289" s="7">
        <v>2.0</v>
      </c>
      <c r="F3289" s="7">
        <v>1.0</v>
      </c>
      <c r="G3289" s="7" t="s">
        <v>93</v>
      </c>
      <c r="H3289" s="7" t="s">
        <v>2244</v>
      </c>
      <c r="I3289" s="7" t="s">
        <v>27</v>
      </c>
    </row>
    <row r="3290">
      <c r="A3290" s="7" t="s">
        <v>1456</v>
      </c>
      <c r="B3290" s="7" t="s">
        <v>489</v>
      </c>
      <c r="C3290" s="8">
        <f>IFERROR(__xludf.DUMMYFUNCTION("SPLIT(B3290,""RM"")"),1230000.0)</f>
        <v>1230000</v>
      </c>
      <c r="D3290" s="7">
        <v>6.0</v>
      </c>
      <c r="E3290" s="7">
        <v>4.0</v>
      </c>
      <c r="F3290" s="7">
        <v>4.0</v>
      </c>
      <c r="G3290" s="7" t="s">
        <v>470</v>
      </c>
      <c r="H3290" s="7" t="s">
        <v>2245</v>
      </c>
      <c r="I3290" s="7" t="s">
        <v>27</v>
      </c>
    </row>
    <row r="3291">
      <c r="A3291" s="7" t="s">
        <v>432</v>
      </c>
      <c r="B3291" s="7" t="s">
        <v>165</v>
      </c>
      <c r="C3291" s="8">
        <f>IFERROR(__xludf.DUMMYFUNCTION("SPLIT(B3291,""RM"")"),3500000.0)</f>
        <v>3500000</v>
      </c>
      <c r="D3291" s="7" t="s">
        <v>35</v>
      </c>
      <c r="E3291" s="7">
        <v>5.0</v>
      </c>
      <c r="F3291" s="7">
        <v>3.0</v>
      </c>
      <c r="G3291" s="7" t="s">
        <v>43</v>
      </c>
      <c r="H3291" s="7" t="s">
        <v>2246</v>
      </c>
      <c r="I3291" s="7" t="s">
        <v>27</v>
      </c>
    </row>
    <row r="3292">
      <c r="A3292" s="7" t="s">
        <v>89</v>
      </c>
      <c r="B3292" s="7" t="s">
        <v>890</v>
      </c>
      <c r="C3292" s="8">
        <f>IFERROR(__xludf.DUMMYFUNCTION("SPLIT(B3292,""RM"")"),450000.0)</f>
        <v>450000</v>
      </c>
      <c r="D3292" s="7" t="s">
        <v>19</v>
      </c>
      <c r="E3292" s="7">
        <v>3.0</v>
      </c>
      <c r="F3292" s="7">
        <v>1.0</v>
      </c>
      <c r="G3292" s="7" t="s">
        <v>93</v>
      </c>
      <c r="H3292" s="7" t="s">
        <v>2247</v>
      </c>
      <c r="I3292" s="7" t="s">
        <v>27</v>
      </c>
    </row>
    <row r="3293">
      <c r="A3293" s="7" t="s">
        <v>188</v>
      </c>
      <c r="B3293" s="7" t="s">
        <v>969</v>
      </c>
      <c r="C3293" s="8">
        <f>IFERROR(__xludf.DUMMYFUNCTION("SPLIT(B3293,""RM"")"),430000.0)</f>
        <v>430000</v>
      </c>
      <c r="D3293" s="7">
        <v>3.0</v>
      </c>
      <c r="E3293" s="7">
        <v>2.0</v>
      </c>
      <c r="G3293" s="7" t="s">
        <v>50</v>
      </c>
      <c r="H3293" s="7" t="s">
        <v>491</v>
      </c>
      <c r="I3293" s="7" t="s">
        <v>27</v>
      </c>
    </row>
    <row r="3294">
      <c r="A3294" s="7" t="s">
        <v>72</v>
      </c>
      <c r="B3294" s="7" t="s">
        <v>351</v>
      </c>
      <c r="C3294" s="8">
        <f>IFERROR(__xludf.DUMMYFUNCTION("SPLIT(B3294,""RM"")"),3800000.0)</f>
        <v>3800000</v>
      </c>
      <c r="D3294" s="7">
        <v>5.0</v>
      </c>
      <c r="E3294" s="7">
        <v>4.0</v>
      </c>
      <c r="F3294" s="7">
        <v>4.0</v>
      </c>
      <c r="G3294" s="7" t="s">
        <v>43</v>
      </c>
      <c r="H3294" s="7" t="s">
        <v>498</v>
      </c>
      <c r="I3294" s="7" t="s">
        <v>27</v>
      </c>
    </row>
    <row r="3295">
      <c r="A3295" s="7" t="s">
        <v>48</v>
      </c>
      <c r="B3295" s="7" t="s">
        <v>657</v>
      </c>
      <c r="C3295" s="8">
        <f>IFERROR(__xludf.DUMMYFUNCTION("SPLIT(B3295,""RM"")"),980000.0)</f>
        <v>980000</v>
      </c>
      <c r="D3295" s="7">
        <v>5.0</v>
      </c>
      <c r="E3295" s="7">
        <v>4.0</v>
      </c>
      <c r="G3295" s="7" t="s">
        <v>203</v>
      </c>
      <c r="H3295" s="7" t="s">
        <v>55</v>
      </c>
      <c r="I3295" s="7" t="s">
        <v>103</v>
      </c>
    </row>
    <row r="3296">
      <c r="A3296" s="7" t="s">
        <v>100</v>
      </c>
      <c r="B3296" s="7" t="s">
        <v>314</v>
      </c>
      <c r="C3296" s="8">
        <f>IFERROR(__xludf.DUMMYFUNCTION("SPLIT(B3296,""RM"")"),670000.0)</f>
        <v>670000</v>
      </c>
      <c r="D3296" s="7">
        <v>3.0</v>
      </c>
      <c r="E3296" s="7">
        <v>2.0</v>
      </c>
      <c r="F3296" s="7">
        <v>2.0</v>
      </c>
      <c r="G3296" s="7" t="s">
        <v>20</v>
      </c>
      <c r="H3296" s="7" t="s">
        <v>505</v>
      </c>
      <c r="I3296" s="7" t="s">
        <v>27</v>
      </c>
    </row>
    <row r="3297">
      <c r="A3297" s="7" t="s">
        <v>177</v>
      </c>
      <c r="B3297" s="7" t="s">
        <v>350</v>
      </c>
      <c r="C3297" s="8">
        <f>IFERROR(__xludf.DUMMYFUNCTION("SPLIT(B3297,""RM"")"),6500000.0)</f>
        <v>6500000</v>
      </c>
      <c r="D3297" s="7">
        <v>4.0</v>
      </c>
      <c r="E3297" s="7">
        <v>4.0</v>
      </c>
      <c r="G3297" s="7" t="s">
        <v>25</v>
      </c>
      <c r="H3297" s="7" t="s">
        <v>843</v>
      </c>
      <c r="I3297" s="7" t="s">
        <v>22</v>
      </c>
    </row>
    <row r="3298">
      <c r="A3298" s="7" t="s">
        <v>72</v>
      </c>
      <c r="B3298" s="7" t="s">
        <v>1338</v>
      </c>
      <c r="C3298" s="8">
        <f>IFERROR(__xludf.DUMMYFUNCTION("SPLIT(B3298,""RM"")"),898000.0)</f>
        <v>898000</v>
      </c>
      <c r="D3298" s="7">
        <v>3.0</v>
      </c>
      <c r="E3298" s="7">
        <v>3.0</v>
      </c>
      <c r="F3298" s="7">
        <v>2.0</v>
      </c>
      <c r="G3298" s="7" t="s">
        <v>20</v>
      </c>
      <c r="H3298" s="7" t="s">
        <v>2248</v>
      </c>
    </row>
    <row r="3299">
      <c r="A3299" s="7" t="s">
        <v>17</v>
      </c>
      <c r="B3299" s="7" t="s">
        <v>277</v>
      </c>
      <c r="C3299" s="8">
        <f>IFERROR(__xludf.DUMMYFUNCTION("SPLIT(B3299,""RM"")"),2200000.0)</f>
        <v>2200000</v>
      </c>
      <c r="D3299" s="7">
        <v>2.0</v>
      </c>
      <c r="E3299" s="7">
        <v>2.0</v>
      </c>
      <c r="F3299" s="7">
        <v>2.0</v>
      </c>
      <c r="G3299" s="7" t="s">
        <v>20</v>
      </c>
      <c r="H3299" s="7" t="s">
        <v>930</v>
      </c>
      <c r="I3299" s="7" t="s">
        <v>27</v>
      </c>
    </row>
    <row r="3300">
      <c r="A3300" s="7" t="s">
        <v>104</v>
      </c>
      <c r="B3300" s="7" t="s">
        <v>42</v>
      </c>
      <c r="C3300" s="8">
        <f>IFERROR(__xludf.DUMMYFUNCTION("SPLIT(B3300,""RM"")"),2600000.0)</f>
        <v>2600000</v>
      </c>
      <c r="D3300" s="7" t="s">
        <v>70</v>
      </c>
      <c r="E3300" s="7">
        <v>6.0</v>
      </c>
      <c r="G3300" s="7" t="s">
        <v>487</v>
      </c>
      <c r="H3300" s="7" t="s">
        <v>2249</v>
      </c>
      <c r="I3300" s="7" t="s">
        <v>103</v>
      </c>
    </row>
    <row r="3301">
      <c r="A3301" s="7" t="s">
        <v>32</v>
      </c>
      <c r="B3301" s="7" t="s">
        <v>1908</v>
      </c>
      <c r="C3301" s="8">
        <f>IFERROR(__xludf.DUMMYFUNCTION("SPLIT(B3301,""RM"")"),699000.0)</f>
        <v>699000</v>
      </c>
      <c r="D3301" s="7">
        <v>4.0</v>
      </c>
      <c r="E3301" s="7">
        <v>3.0</v>
      </c>
      <c r="F3301" s="7">
        <v>2.0</v>
      </c>
      <c r="G3301" s="7" t="s">
        <v>54</v>
      </c>
      <c r="H3301" s="7" t="s">
        <v>2250</v>
      </c>
      <c r="I3301" s="7" t="s">
        <v>103</v>
      </c>
    </row>
    <row r="3302">
      <c r="A3302" s="7" t="s">
        <v>89</v>
      </c>
      <c r="B3302" s="7" t="s">
        <v>1915</v>
      </c>
      <c r="C3302" s="8">
        <f>IFERROR(__xludf.DUMMYFUNCTION("SPLIT(B3302,""RM"")"),598000.0)</f>
        <v>598000</v>
      </c>
      <c r="D3302" s="7">
        <v>3.0</v>
      </c>
      <c r="E3302" s="7">
        <v>2.0</v>
      </c>
      <c r="F3302" s="7">
        <v>3.0</v>
      </c>
      <c r="G3302" s="7" t="s">
        <v>83</v>
      </c>
      <c r="I3302" s="7" t="s">
        <v>22</v>
      </c>
    </row>
    <row r="3303">
      <c r="A3303" s="7" t="s">
        <v>368</v>
      </c>
      <c r="B3303" s="7" t="s">
        <v>886</v>
      </c>
      <c r="C3303" s="8">
        <f>IFERROR(__xludf.DUMMYFUNCTION("SPLIT(B3303,""RM"")"),768000.0)</f>
        <v>768000</v>
      </c>
      <c r="D3303" s="7">
        <v>3.0</v>
      </c>
      <c r="E3303" s="7">
        <v>2.0</v>
      </c>
      <c r="F3303" s="7">
        <v>2.0</v>
      </c>
      <c r="G3303" s="7" t="s">
        <v>20</v>
      </c>
      <c r="H3303" s="7" t="s">
        <v>2034</v>
      </c>
    </row>
    <row r="3304">
      <c r="A3304" s="7" t="s">
        <v>17</v>
      </c>
      <c r="B3304" s="7" t="s">
        <v>1348</v>
      </c>
      <c r="C3304" s="8">
        <f>IFERROR(__xludf.DUMMYFUNCTION("SPLIT(B3304,""RM"")"),510000.0)</f>
        <v>510000</v>
      </c>
      <c r="D3304" s="7">
        <v>1.0</v>
      </c>
      <c r="E3304" s="7">
        <v>1.0</v>
      </c>
      <c r="G3304" s="7" t="s">
        <v>20</v>
      </c>
      <c r="H3304" s="7" t="s">
        <v>2251</v>
      </c>
      <c r="I3304" s="7" t="s">
        <v>27</v>
      </c>
    </row>
    <row r="3305">
      <c r="A3305" s="7" t="s">
        <v>17</v>
      </c>
      <c r="B3305" s="7" t="s">
        <v>475</v>
      </c>
      <c r="C3305" s="8">
        <f>IFERROR(__xludf.DUMMYFUNCTION("SPLIT(B3305,""RM"")"),2800000.0)</f>
        <v>2800000</v>
      </c>
      <c r="D3305" s="7" t="s">
        <v>35</v>
      </c>
      <c r="E3305" s="7">
        <v>5.0</v>
      </c>
      <c r="F3305" s="7">
        <v>3.0</v>
      </c>
      <c r="G3305" s="7" t="s">
        <v>20</v>
      </c>
      <c r="H3305" s="7" t="s">
        <v>729</v>
      </c>
      <c r="I3305" s="7" t="s">
        <v>22</v>
      </c>
    </row>
    <row r="3306">
      <c r="A3306" s="7" t="s">
        <v>37</v>
      </c>
      <c r="B3306" s="7" t="s">
        <v>844</v>
      </c>
      <c r="C3306" s="8">
        <f>IFERROR(__xludf.DUMMYFUNCTION("SPLIT(B3306,""RM"")"),1690000.0)</f>
        <v>1690000</v>
      </c>
      <c r="D3306" s="7" t="s">
        <v>57</v>
      </c>
      <c r="E3306" s="7">
        <v>3.0</v>
      </c>
      <c r="G3306" s="7" t="s">
        <v>54</v>
      </c>
      <c r="H3306" s="7" t="s">
        <v>614</v>
      </c>
      <c r="I3306" s="7" t="s">
        <v>27</v>
      </c>
    </row>
    <row r="3307">
      <c r="A3307" s="7" t="s">
        <v>33</v>
      </c>
      <c r="B3307" s="7" t="s">
        <v>210</v>
      </c>
      <c r="C3307" s="8">
        <f>IFERROR(__xludf.DUMMYFUNCTION("SPLIT(B3307,""RM"")"),1630000.0)</f>
        <v>1630000</v>
      </c>
      <c r="D3307" s="7" t="s">
        <v>57</v>
      </c>
      <c r="E3307" s="7">
        <v>4.0</v>
      </c>
      <c r="G3307" s="7" t="s">
        <v>83</v>
      </c>
      <c r="H3307" s="7" t="s">
        <v>2252</v>
      </c>
      <c r="I3307" s="7" t="s">
        <v>22</v>
      </c>
    </row>
    <row r="3308">
      <c r="A3308" s="7" t="s">
        <v>32</v>
      </c>
      <c r="B3308" s="7" t="s">
        <v>1659</v>
      </c>
      <c r="C3308" s="8">
        <f>IFERROR(__xludf.DUMMYFUNCTION("SPLIT(B3308,""RM"")"),540000.0)</f>
        <v>540000</v>
      </c>
      <c r="D3308" s="7">
        <v>3.0</v>
      </c>
      <c r="E3308" s="7">
        <v>2.0</v>
      </c>
      <c r="F3308" s="7">
        <v>1.0</v>
      </c>
      <c r="G3308" s="7" t="s">
        <v>30</v>
      </c>
      <c r="H3308" s="7" t="s">
        <v>1746</v>
      </c>
      <c r="I3308" s="7" t="s">
        <v>27</v>
      </c>
    </row>
    <row r="3309">
      <c r="A3309" s="7" t="s">
        <v>28</v>
      </c>
      <c r="B3309" s="7" t="s">
        <v>2253</v>
      </c>
      <c r="C3309" s="8">
        <f>IFERROR(__xludf.DUMMYFUNCTION("SPLIT(B3309,""RM"")"),646701.0)</f>
        <v>646701</v>
      </c>
      <c r="D3309" s="7">
        <v>3.0</v>
      </c>
      <c r="E3309" s="7">
        <v>2.0</v>
      </c>
      <c r="F3309" s="7">
        <v>2.0</v>
      </c>
      <c r="G3309" s="7" t="s">
        <v>20</v>
      </c>
      <c r="H3309" s="7" t="s">
        <v>1395</v>
      </c>
      <c r="I3309" s="7" t="s">
        <v>27</v>
      </c>
    </row>
    <row r="3310">
      <c r="A3310" s="7" t="s">
        <v>72</v>
      </c>
      <c r="B3310" s="7" t="s">
        <v>221</v>
      </c>
      <c r="C3310" s="8">
        <f>IFERROR(__xludf.DUMMYFUNCTION("SPLIT(B3310,""RM"")"),630000.0)</f>
        <v>630000</v>
      </c>
      <c r="D3310" s="7">
        <v>3.0</v>
      </c>
      <c r="E3310" s="7">
        <v>2.0</v>
      </c>
      <c r="F3310" s="7">
        <v>2.0</v>
      </c>
      <c r="G3310" s="7" t="s">
        <v>83</v>
      </c>
      <c r="H3310" s="7" t="s">
        <v>2254</v>
      </c>
    </row>
    <row r="3311">
      <c r="A3311" s="7" t="s">
        <v>171</v>
      </c>
      <c r="B3311" s="7" t="s">
        <v>1880</v>
      </c>
      <c r="C3311" s="8">
        <f>IFERROR(__xludf.DUMMYFUNCTION("SPLIT(B3311,""RM"")"),499000.0)</f>
        <v>499000</v>
      </c>
      <c r="D3311" s="7">
        <v>4.0</v>
      </c>
      <c r="E3311" s="7">
        <v>2.0</v>
      </c>
      <c r="F3311" s="7">
        <v>2.0</v>
      </c>
      <c r="G3311" s="7" t="s">
        <v>93</v>
      </c>
      <c r="H3311" s="7" t="s">
        <v>192</v>
      </c>
      <c r="I3311" s="7" t="s">
        <v>27</v>
      </c>
    </row>
    <row r="3312">
      <c r="A3312" s="7" t="s">
        <v>32</v>
      </c>
      <c r="B3312" s="7" t="s">
        <v>221</v>
      </c>
      <c r="C3312" s="8">
        <f>IFERROR(__xludf.DUMMYFUNCTION("SPLIT(B3312,""RM"")"),630000.0)</f>
        <v>630000</v>
      </c>
      <c r="D3312" s="7">
        <v>3.0</v>
      </c>
      <c r="E3312" s="7">
        <v>2.0</v>
      </c>
      <c r="G3312" s="7" t="s">
        <v>20</v>
      </c>
      <c r="H3312" s="7" t="s">
        <v>1973</v>
      </c>
      <c r="I3312" s="7" t="s">
        <v>22</v>
      </c>
    </row>
    <row r="3313">
      <c r="A3313" s="7" t="s">
        <v>23</v>
      </c>
      <c r="B3313" s="7" t="s">
        <v>407</v>
      </c>
      <c r="C3313" s="8">
        <f>IFERROR(__xludf.DUMMYFUNCTION("SPLIT(B3313,""RM"")"),880000.0)</f>
        <v>880000</v>
      </c>
      <c r="D3313" s="7" t="s">
        <v>19</v>
      </c>
      <c r="E3313" s="7">
        <v>3.0</v>
      </c>
      <c r="F3313" s="7">
        <v>1.0</v>
      </c>
      <c r="G3313" s="7" t="s">
        <v>83</v>
      </c>
      <c r="H3313" s="7" t="s">
        <v>2255</v>
      </c>
      <c r="I3313" s="7" t="s">
        <v>22</v>
      </c>
    </row>
    <row r="3314">
      <c r="A3314" s="7" t="s">
        <v>33</v>
      </c>
      <c r="B3314" s="7" t="s">
        <v>2256</v>
      </c>
      <c r="C3314" s="8">
        <f>IFERROR(__xludf.DUMMYFUNCTION("SPLIT(B3314,""RM"")"),359999.0)</f>
        <v>359999</v>
      </c>
      <c r="D3314" s="7">
        <v>3.0</v>
      </c>
      <c r="E3314" s="7">
        <v>2.0</v>
      </c>
      <c r="F3314" s="7">
        <v>1.0</v>
      </c>
      <c r="G3314" s="7" t="s">
        <v>93</v>
      </c>
      <c r="H3314" s="7" t="s">
        <v>2010</v>
      </c>
      <c r="I3314" s="7" t="s">
        <v>27</v>
      </c>
    </row>
    <row r="3315">
      <c r="A3315" s="7" t="s">
        <v>2257</v>
      </c>
      <c r="B3315" s="7" t="s">
        <v>165</v>
      </c>
      <c r="C3315" s="8">
        <f>IFERROR(__xludf.DUMMYFUNCTION("SPLIT(B3315,""RM"")"),3500000.0)</f>
        <v>3500000</v>
      </c>
      <c r="D3315" s="7" t="s">
        <v>60</v>
      </c>
      <c r="E3315" s="7">
        <v>5.0</v>
      </c>
      <c r="G3315" s="7" t="s">
        <v>25</v>
      </c>
      <c r="H3315" s="7" t="s">
        <v>2258</v>
      </c>
      <c r="I3315" s="7" t="s">
        <v>103</v>
      </c>
    </row>
    <row r="3316">
      <c r="A3316" s="7" t="s">
        <v>17</v>
      </c>
      <c r="B3316" s="7" t="s">
        <v>81</v>
      </c>
      <c r="C3316" s="8">
        <f>IFERROR(__xludf.DUMMYFUNCTION("SPLIT(B3316,""RM"")"),1550000.0)</f>
        <v>1550000</v>
      </c>
      <c r="D3316" s="7" t="s">
        <v>57</v>
      </c>
      <c r="E3316" s="7">
        <v>5.0</v>
      </c>
      <c r="F3316" s="7">
        <v>2.0</v>
      </c>
      <c r="G3316" s="7" t="s">
        <v>93</v>
      </c>
      <c r="H3316" s="7" t="s">
        <v>1090</v>
      </c>
      <c r="I3316" s="7" t="s">
        <v>22</v>
      </c>
    </row>
    <row r="3317">
      <c r="A3317" s="7" t="s">
        <v>371</v>
      </c>
      <c r="B3317" s="7" t="s">
        <v>2259</v>
      </c>
      <c r="C3317" s="8">
        <f>IFERROR(__xludf.DUMMYFUNCTION("SPLIT(B3317,""RM"")"),1920000.0)</f>
        <v>1920000</v>
      </c>
      <c r="D3317" s="7" t="s">
        <v>35</v>
      </c>
      <c r="E3317" s="7">
        <v>3.0</v>
      </c>
      <c r="G3317" s="7" t="s">
        <v>487</v>
      </c>
      <c r="H3317" s="7" t="s">
        <v>631</v>
      </c>
      <c r="I3317" s="7" t="s">
        <v>27</v>
      </c>
    </row>
    <row r="3318">
      <c r="A3318" s="7" t="s">
        <v>32</v>
      </c>
      <c r="B3318" s="7" t="s">
        <v>353</v>
      </c>
      <c r="C3318" s="8">
        <f>IFERROR(__xludf.DUMMYFUNCTION("SPLIT(B3318,""RM"")"),350000.0)</f>
        <v>350000</v>
      </c>
      <c r="D3318" s="7">
        <v>3.0</v>
      </c>
      <c r="E3318" s="7">
        <v>2.0</v>
      </c>
      <c r="G3318" s="7" t="s">
        <v>83</v>
      </c>
      <c r="H3318" s="7" t="s">
        <v>948</v>
      </c>
      <c r="I3318" s="7" t="s">
        <v>103</v>
      </c>
    </row>
    <row r="3319">
      <c r="A3319" s="7" t="s">
        <v>41</v>
      </c>
      <c r="B3319" s="7" t="s">
        <v>2260</v>
      </c>
      <c r="C3319" s="8">
        <f>IFERROR(__xludf.DUMMYFUNCTION("SPLIT(B3319,""RM"")"),3.1314631E7)</f>
        <v>31314631</v>
      </c>
      <c r="G3319" s="7" t="s">
        <v>667</v>
      </c>
      <c r="H3319" s="7" t="s">
        <v>2261</v>
      </c>
    </row>
    <row r="3320">
      <c r="A3320" s="7" t="s">
        <v>17</v>
      </c>
      <c r="B3320" s="7" t="s">
        <v>422</v>
      </c>
      <c r="C3320" s="8">
        <f>IFERROR(__xludf.DUMMYFUNCTION("SPLIT(B3320,""RM"")"),2050000.0)</f>
        <v>2050000</v>
      </c>
      <c r="D3320" s="7">
        <v>2.0</v>
      </c>
      <c r="E3320" s="7">
        <v>2.0</v>
      </c>
      <c r="G3320" s="7" t="s">
        <v>121</v>
      </c>
      <c r="H3320" s="7" t="s">
        <v>2262</v>
      </c>
      <c r="I3320" s="7" t="s">
        <v>27</v>
      </c>
    </row>
    <row r="3321">
      <c r="A3321" s="7" t="s">
        <v>17</v>
      </c>
      <c r="B3321" s="7" t="s">
        <v>349</v>
      </c>
      <c r="C3321" s="8">
        <f>IFERROR(__xludf.DUMMYFUNCTION("SPLIT(B3321,""RM"")"),1400000.0)</f>
        <v>1400000</v>
      </c>
      <c r="D3321" s="7" t="s">
        <v>325</v>
      </c>
      <c r="E3321" s="7">
        <v>1.0</v>
      </c>
      <c r="G3321" s="7" t="s">
        <v>82</v>
      </c>
      <c r="H3321" s="7" t="s">
        <v>2263</v>
      </c>
      <c r="I3321" s="7" t="s">
        <v>27</v>
      </c>
    </row>
    <row r="3322">
      <c r="A3322" s="7" t="s">
        <v>32</v>
      </c>
      <c r="B3322" s="7" t="s">
        <v>2184</v>
      </c>
      <c r="C3322" s="8">
        <f>IFERROR(__xludf.DUMMYFUNCTION("SPLIT(B3322,""RM"")"),340000.0)</f>
        <v>340000</v>
      </c>
      <c r="D3322" s="7" t="s">
        <v>325</v>
      </c>
      <c r="E3322" s="7">
        <v>1.0</v>
      </c>
      <c r="G3322" s="7" t="s">
        <v>20</v>
      </c>
      <c r="H3322" s="7" t="s">
        <v>1350</v>
      </c>
    </row>
    <row r="3323">
      <c r="A3323" s="7" t="s">
        <v>100</v>
      </c>
      <c r="B3323" s="7" t="s">
        <v>92</v>
      </c>
      <c r="C3323" s="8">
        <f>IFERROR(__xludf.DUMMYFUNCTION("SPLIT(B3323,""RM"")"),610000.0)</f>
        <v>610000</v>
      </c>
      <c r="D3323" s="7" t="s">
        <v>57</v>
      </c>
      <c r="E3323" s="7">
        <v>4.0</v>
      </c>
      <c r="F3323" s="7">
        <v>1.0</v>
      </c>
      <c r="G3323" s="7" t="s">
        <v>30</v>
      </c>
      <c r="H3323" s="7" t="s">
        <v>2264</v>
      </c>
      <c r="I3323" s="7" t="s">
        <v>22</v>
      </c>
    </row>
    <row r="3324">
      <c r="A3324" s="7" t="s">
        <v>32</v>
      </c>
      <c r="B3324" s="7" t="s">
        <v>2265</v>
      </c>
      <c r="C3324" s="8">
        <f>IFERROR(__xludf.DUMMYFUNCTION("SPLIT(B3324,""RM"")"),905000.0)</f>
        <v>905000</v>
      </c>
      <c r="D3324" s="7">
        <v>5.0</v>
      </c>
      <c r="E3324" s="7">
        <v>3.0</v>
      </c>
      <c r="G3324" s="7" t="s">
        <v>54</v>
      </c>
      <c r="H3324" s="7" t="s">
        <v>2266</v>
      </c>
      <c r="I3324" s="7" t="s">
        <v>27</v>
      </c>
    </row>
    <row r="3325">
      <c r="A3325" s="7" t="s">
        <v>155</v>
      </c>
      <c r="B3325" s="7" t="s">
        <v>243</v>
      </c>
      <c r="C3325" s="8">
        <f>IFERROR(__xludf.DUMMYFUNCTION("SPLIT(B3325,""RM"")"),1350000.0)</f>
        <v>1350000</v>
      </c>
      <c r="D3325" s="7" t="s">
        <v>57</v>
      </c>
      <c r="E3325" s="7">
        <v>3.0</v>
      </c>
      <c r="F3325" s="7">
        <v>2.0</v>
      </c>
      <c r="G3325" s="7" t="s">
        <v>30</v>
      </c>
      <c r="H3325" s="7" t="s">
        <v>2267</v>
      </c>
      <c r="I3325" s="7" t="s">
        <v>27</v>
      </c>
    </row>
    <row r="3326">
      <c r="A3326" s="7" t="s">
        <v>32</v>
      </c>
      <c r="B3326" s="7" t="s">
        <v>2268</v>
      </c>
      <c r="C3326" s="8">
        <f>IFERROR(__xludf.DUMMYFUNCTION("SPLIT(B3326,""RM"")"),278000.0)</f>
        <v>278000</v>
      </c>
      <c r="D3326" s="7">
        <v>3.0</v>
      </c>
      <c r="E3326" s="7">
        <v>2.0</v>
      </c>
      <c r="F3326" s="7">
        <v>1.0</v>
      </c>
      <c r="G3326" s="7" t="s">
        <v>50</v>
      </c>
      <c r="H3326" s="7" t="s">
        <v>1270</v>
      </c>
      <c r="I3326" s="7" t="s">
        <v>27</v>
      </c>
    </row>
    <row r="3327">
      <c r="A3327" s="7" t="s">
        <v>32</v>
      </c>
      <c r="B3327" s="7" t="s">
        <v>967</v>
      </c>
      <c r="C3327" s="8">
        <f>IFERROR(__xludf.DUMMYFUNCTION("SPLIT(B3327,""RM"")"),680000.0)</f>
        <v>680000</v>
      </c>
      <c r="D3327" s="7" t="s">
        <v>57</v>
      </c>
      <c r="E3327" s="7">
        <v>3.0</v>
      </c>
      <c r="G3327" s="7" t="s">
        <v>494</v>
      </c>
      <c r="H3327" s="7" t="s">
        <v>2269</v>
      </c>
      <c r="I3327" s="7" t="s">
        <v>27</v>
      </c>
    </row>
    <row r="3328">
      <c r="A3328" s="7" t="s">
        <v>32</v>
      </c>
      <c r="B3328" s="7" t="s">
        <v>78</v>
      </c>
      <c r="C3328" s="8">
        <f>IFERROR(__xludf.DUMMYFUNCTION("SPLIT(B3328,""RM"")"),1500000.0)</f>
        <v>1500000</v>
      </c>
      <c r="D3328" s="7" t="s">
        <v>591</v>
      </c>
      <c r="E3328" s="7">
        <v>7.0</v>
      </c>
      <c r="G3328" s="7" t="s">
        <v>64</v>
      </c>
      <c r="H3328" s="7" t="s">
        <v>2270</v>
      </c>
      <c r="I3328" s="7" t="s">
        <v>27</v>
      </c>
    </row>
    <row r="3329">
      <c r="A3329" s="7" t="s">
        <v>155</v>
      </c>
      <c r="B3329" s="7" t="s">
        <v>134</v>
      </c>
      <c r="C3329" s="8">
        <f>IFERROR(__xludf.DUMMYFUNCTION("SPLIT(B3329,""RM"")"),1150000.0)</f>
        <v>1150000</v>
      </c>
      <c r="D3329" s="7" t="s">
        <v>57</v>
      </c>
      <c r="E3329" s="7">
        <v>3.0</v>
      </c>
      <c r="F3329" s="7">
        <v>2.0</v>
      </c>
      <c r="G3329" s="7" t="s">
        <v>30</v>
      </c>
      <c r="H3329" s="7" t="s">
        <v>2181</v>
      </c>
      <c r="I3329" s="7" t="s">
        <v>27</v>
      </c>
    </row>
    <row r="3330">
      <c r="A3330" s="7" t="s">
        <v>32</v>
      </c>
      <c r="B3330" s="7" t="s">
        <v>372</v>
      </c>
      <c r="C3330" s="8">
        <f>IFERROR(__xludf.DUMMYFUNCTION("SPLIT(B3330,""RM"")"),700000.0)</f>
        <v>700000</v>
      </c>
      <c r="D3330" s="7" t="s">
        <v>57</v>
      </c>
      <c r="E3330" s="7">
        <v>3.0</v>
      </c>
      <c r="F3330" s="7">
        <v>2.0</v>
      </c>
      <c r="G3330" s="7" t="s">
        <v>494</v>
      </c>
      <c r="H3330" s="7" t="s">
        <v>2271</v>
      </c>
      <c r="I3330" s="7" t="s">
        <v>27</v>
      </c>
    </row>
    <row r="3331">
      <c r="A3331" s="7" t="s">
        <v>171</v>
      </c>
      <c r="B3331" s="7" t="s">
        <v>761</v>
      </c>
      <c r="C3331" s="8">
        <f>IFERROR(__xludf.DUMMYFUNCTION("SPLIT(B3331,""RM"")"),480000.0)</f>
        <v>480000</v>
      </c>
      <c r="D3331" s="7">
        <v>1.0</v>
      </c>
      <c r="E3331" s="7">
        <v>1.0</v>
      </c>
      <c r="F3331" s="7">
        <v>5.0</v>
      </c>
      <c r="G3331" s="7" t="s">
        <v>121</v>
      </c>
      <c r="H3331" s="7" t="s">
        <v>2272</v>
      </c>
      <c r="I3331" s="7" t="s">
        <v>27</v>
      </c>
    </row>
    <row r="3332">
      <c r="A3332" s="7" t="s">
        <v>104</v>
      </c>
      <c r="B3332" s="7" t="s">
        <v>603</v>
      </c>
      <c r="C3332" s="8">
        <f>IFERROR(__xludf.DUMMYFUNCTION("SPLIT(B3332,""RM"")"),628000.0)</f>
        <v>628000</v>
      </c>
      <c r="D3332" s="7">
        <v>3.0</v>
      </c>
      <c r="E3332" s="7">
        <v>2.0</v>
      </c>
      <c r="F3332" s="7">
        <v>2.0</v>
      </c>
      <c r="G3332" s="7" t="s">
        <v>1185</v>
      </c>
      <c r="H3332" s="7" t="s">
        <v>1132</v>
      </c>
    </row>
    <row r="3333">
      <c r="A3333" s="7" t="s">
        <v>171</v>
      </c>
      <c r="B3333" s="7" t="s">
        <v>268</v>
      </c>
      <c r="C3333" s="8">
        <f>IFERROR(__xludf.DUMMYFUNCTION("SPLIT(B3333,""RM"")"),500000.0)</f>
        <v>500000</v>
      </c>
      <c r="D3333" s="7">
        <v>3.0</v>
      </c>
      <c r="E3333" s="7">
        <v>2.0</v>
      </c>
      <c r="F3333" s="7">
        <v>2.0</v>
      </c>
      <c r="G3333" s="7" t="s">
        <v>20</v>
      </c>
    </row>
    <row r="3334">
      <c r="A3334" s="7" t="s">
        <v>171</v>
      </c>
      <c r="B3334" s="7" t="s">
        <v>107</v>
      </c>
      <c r="C3334" s="8">
        <f>IFERROR(__xludf.DUMMYFUNCTION("SPLIT(B3334,""RM"")"),460000.0)</f>
        <v>460000</v>
      </c>
      <c r="D3334" s="7">
        <v>3.0</v>
      </c>
      <c r="E3334" s="7">
        <v>2.0</v>
      </c>
      <c r="F3334" s="7">
        <v>2.0</v>
      </c>
      <c r="G3334" s="7" t="s">
        <v>20</v>
      </c>
    </row>
    <row r="3335">
      <c r="A3335" s="7" t="s">
        <v>171</v>
      </c>
      <c r="B3335" s="7" t="s">
        <v>268</v>
      </c>
      <c r="C3335" s="8">
        <f>IFERROR(__xludf.DUMMYFUNCTION("SPLIT(B3335,""RM"")"),500000.0)</f>
        <v>500000</v>
      </c>
      <c r="D3335" s="7">
        <v>4.0</v>
      </c>
      <c r="E3335" s="7">
        <v>2.0</v>
      </c>
      <c r="F3335" s="7">
        <v>1.0</v>
      </c>
      <c r="G3335" s="7" t="s">
        <v>30</v>
      </c>
      <c r="H3335" s="7" t="s">
        <v>760</v>
      </c>
      <c r="I3335" s="7" t="s">
        <v>251</v>
      </c>
    </row>
    <row r="3336">
      <c r="A3336" s="7" t="s">
        <v>692</v>
      </c>
      <c r="B3336" s="7" t="s">
        <v>243</v>
      </c>
      <c r="C3336" s="8">
        <f>IFERROR(__xludf.DUMMYFUNCTION("SPLIT(B3336,""RM"")"),1350000.0)</f>
        <v>1350000</v>
      </c>
      <c r="D3336" s="7" t="s">
        <v>57</v>
      </c>
      <c r="E3336" s="7">
        <v>4.0</v>
      </c>
      <c r="F3336" s="7">
        <v>2.0</v>
      </c>
      <c r="G3336" s="7" t="s">
        <v>494</v>
      </c>
      <c r="H3336" s="7" t="s">
        <v>1386</v>
      </c>
      <c r="I3336" s="7" t="s">
        <v>27</v>
      </c>
    </row>
    <row r="3337">
      <c r="A3337" s="7" t="s">
        <v>72</v>
      </c>
      <c r="B3337" s="7" t="s">
        <v>1374</v>
      </c>
      <c r="C3337" s="8">
        <f>IFERROR(__xludf.DUMMYFUNCTION("SPLIT(B3337,""RM"")"),1360000.0)</f>
        <v>1360000</v>
      </c>
      <c r="D3337" s="7">
        <v>5.0</v>
      </c>
      <c r="E3337" s="7">
        <v>5.0</v>
      </c>
      <c r="F3337" s="7">
        <v>2.0</v>
      </c>
      <c r="G3337" s="7" t="s">
        <v>90</v>
      </c>
      <c r="H3337" s="7" t="s">
        <v>2273</v>
      </c>
      <c r="I3337" s="7" t="s">
        <v>27</v>
      </c>
    </row>
    <row r="3338">
      <c r="A3338" s="7" t="s">
        <v>368</v>
      </c>
      <c r="B3338" s="7" t="s">
        <v>221</v>
      </c>
      <c r="C3338" s="8">
        <f>IFERROR(__xludf.DUMMYFUNCTION("SPLIT(B3338,""RM"")"),630000.0)</f>
        <v>630000</v>
      </c>
      <c r="D3338" s="7">
        <v>2.0</v>
      </c>
      <c r="E3338" s="7">
        <v>2.0</v>
      </c>
      <c r="F3338" s="7">
        <v>1.0</v>
      </c>
      <c r="G3338" s="7" t="s">
        <v>20</v>
      </c>
      <c r="H3338" s="7" t="s">
        <v>51</v>
      </c>
      <c r="I3338" s="7" t="s">
        <v>27</v>
      </c>
    </row>
    <row r="3339">
      <c r="A3339" s="7" t="s">
        <v>368</v>
      </c>
      <c r="B3339" s="7" t="s">
        <v>168</v>
      </c>
      <c r="C3339" s="8">
        <f>IFERROR(__xludf.DUMMYFUNCTION("SPLIT(B3339,""RM"")"),750000.0)</f>
        <v>750000</v>
      </c>
      <c r="D3339" s="7">
        <v>3.0</v>
      </c>
      <c r="E3339" s="7">
        <v>2.0</v>
      </c>
      <c r="F3339" s="7">
        <v>2.0</v>
      </c>
      <c r="G3339" s="7" t="s">
        <v>121</v>
      </c>
      <c r="H3339" s="7" t="s">
        <v>2034</v>
      </c>
      <c r="I3339" s="7" t="s">
        <v>27</v>
      </c>
    </row>
    <row r="3340">
      <c r="A3340" s="7" t="s">
        <v>23</v>
      </c>
      <c r="B3340" s="7" t="s">
        <v>1240</v>
      </c>
      <c r="C3340" s="8">
        <f>IFERROR(__xludf.DUMMYFUNCTION("SPLIT(B3340,""RM"")"),1.25E7)</f>
        <v>12500000</v>
      </c>
      <c r="D3340" s="7" t="s">
        <v>70</v>
      </c>
      <c r="E3340" s="7">
        <v>7.0</v>
      </c>
      <c r="F3340" s="7">
        <v>3.0</v>
      </c>
      <c r="G3340" s="7" t="s">
        <v>25</v>
      </c>
      <c r="H3340" s="7" t="s">
        <v>1496</v>
      </c>
      <c r="I3340" s="7" t="s">
        <v>22</v>
      </c>
    </row>
    <row r="3341">
      <c r="A3341" s="7" t="s">
        <v>262</v>
      </c>
      <c r="B3341" s="7" t="s">
        <v>934</v>
      </c>
      <c r="C3341" s="8">
        <f>IFERROR(__xludf.DUMMYFUNCTION("SPLIT(B3341,""RM"")"),1.18E7)</f>
        <v>11800000</v>
      </c>
      <c r="D3341" s="7" t="s">
        <v>299</v>
      </c>
      <c r="E3341" s="7">
        <v>8.0</v>
      </c>
      <c r="G3341" s="7" t="s">
        <v>25</v>
      </c>
      <c r="H3341" s="7" t="s">
        <v>935</v>
      </c>
      <c r="I3341" s="7" t="s">
        <v>27</v>
      </c>
    </row>
    <row r="3342">
      <c r="A3342" s="7" t="s">
        <v>262</v>
      </c>
      <c r="B3342" s="7" t="s">
        <v>66</v>
      </c>
      <c r="C3342" s="8">
        <f>IFERROR(__xludf.DUMMYFUNCTION("SPLIT(B3342,""RM"")"),9000000.0)</f>
        <v>9000000</v>
      </c>
      <c r="D3342" s="7" t="s">
        <v>60</v>
      </c>
      <c r="E3342" s="7">
        <v>10.0</v>
      </c>
      <c r="F3342" s="7">
        <v>10.0</v>
      </c>
      <c r="G3342" s="7" t="s">
        <v>25</v>
      </c>
      <c r="H3342" s="7" t="s">
        <v>2274</v>
      </c>
      <c r="I3342" s="7" t="s">
        <v>27</v>
      </c>
    </row>
    <row r="3343">
      <c r="A3343" s="7" t="s">
        <v>100</v>
      </c>
      <c r="B3343" s="7" t="s">
        <v>372</v>
      </c>
      <c r="C3343" s="8">
        <f>IFERROR(__xludf.DUMMYFUNCTION("SPLIT(B3343,""RM"")"),700000.0)</f>
        <v>700000</v>
      </c>
      <c r="D3343" s="7" t="s">
        <v>57</v>
      </c>
      <c r="E3343" s="7">
        <v>2.0</v>
      </c>
      <c r="F3343" s="7">
        <v>2.0</v>
      </c>
      <c r="G3343" s="7" t="s">
        <v>82</v>
      </c>
      <c r="H3343" s="7" t="s">
        <v>410</v>
      </c>
      <c r="I3343" s="7" t="s">
        <v>22</v>
      </c>
    </row>
    <row r="3344">
      <c r="A3344" s="7" t="s">
        <v>72</v>
      </c>
      <c r="B3344" s="7" t="s">
        <v>78</v>
      </c>
      <c r="C3344" s="8">
        <f>IFERROR(__xludf.DUMMYFUNCTION("SPLIT(B3344,""RM"")"),1500000.0)</f>
        <v>1500000</v>
      </c>
      <c r="D3344" s="7" t="s">
        <v>57</v>
      </c>
      <c r="E3344" s="7">
        <v>4.0</v>
      </c>
      <c r="F3344" s="7">
        <v>2.0</v>
      </c>
      <c r="G3344" s="7" t="s">
        <v>83</v>
      </c>
      <c r="H3344" s="7" t="s">
        <v>334</v>
      </c>
      <c r="I3344" s="7" t="s">
        <v>27</v>
      </c>
    </row>
    <row r="3345">
      <c r="A3345" s="7" t="s">
        <v>33</v>
      </c>
      <c r="B3345" s="7" t="s">
        <v>221</v>
      </c>
      <c r="C3345" s="8">
        <f>IFERROR(__xludf.DUMMYFUNCTION("SPLIT(B3345,""RM"")"),630000.0)</f>
        <v>630000</v>
      </c>
      <c r="D3345" s="7">
        <v>2.0</v>
      </c>
      <c r="E3345" s="7">
        <v>2.0</v>
      </c>
      <c r="F3345" s="7">
        <v>1.0</v>
      </c>
      <c r="G3345" s="7" t="s">
        <v>82</v>
      </c>
      <c r="H3345" s="7" t="s">
        <v>222</v>
      </c>
      <c r="I3345" s="7" t="s">
        <v>27</v>
      </c>
    </row>
    <row r="3346">
      <c r="A3346" s="7" t="s">
        <v>28</v>
      </c>
      <c r="B3346" s="7" t="s">
        <v>327</v>
      </c>
      <c r="C3346" s="8">
        <f>IFERROR(__xludf.DUMMYFUNCTION("SPLIT(B3346,""RM"")"),1300000.0)</f>
        <v>1300000</v>
      </c>
      <c r="D3346" s="7">
        <v>3.0</v>
      </c>
      <c r="E3346" s="7">
        <v>2.0</v>
      </c>
      <c r="F3346" s="7">
        <v>1.0</v>
      </c>
      <c r="G3346" s="7" t="s">
        <v>20</v>
      </c>
      <c r="H3346" s="7" t="s">
        <v>1555</v>
      </c>
      <c r="I3346" s="7" t="s">
        <v>22</v>
      </c>
    </row>
    <row r="3347">
      <c r="A3347" s="7" t="s">
        <v>28</v>
      </c>
      <c r="B3347" s="7" t="s">
        <v>635</v>
      </c>
      <c r="C3347" s="8">
        <f>IFERROR(__xludf.DUMMYFUNCTION("SPLIT(B3347,""RM"")"),720000.0)</f>
        <v>720000</v>
      </c>
      <c r="D3347" s="7">
        <v>1.0</v>
      </c>
      <c r="E3347" s="7">
        <v>1.0</v>
      </c>
      <c r="F3347" s="7">
        <v>1.0</v>
      </c>
      <c r="G3347" s="7" t="s">
        <v>20</v>
      </c>
      <c r="H3347" s="7" t="s">
        <v>1127</v>
      </c>
      <c r="I3347" s="7" t="s">
        <v>22</v>
      </c>
    </row>
    <row r="3348">
      <c r="A3348" s="7" t="s">
        <v>171</v>
      </c>
      <c r="B3348" s="7" t="s">
        <v>2275</v>
      </c>
      <c r="C3348" s="8">
        <f>IFERROR(__xludf.DUMMYFUNCTION("SPLIT(B3348,""RM"")"),392000.0)</f>
        <v>392000</v>
      </c>
      <c r="D3348" s="7" t="s">
        <v>197</v>
      </c>
      <c r="E3348" s="7">
        <v>2.0</v>
      </c>
      <c r="F3348" s="7">
        <v>1.0</v>
      </c>
      <c r="G3348" s="7" t="s">
        <v>20</v>
      </c>
      <c r="H3348" s="7" t="s">
        <v>252</v>
      </c>
      <c r="I3348" s="7" t="s">
        <v>27</v>
      </c>
    </row>
    <row r="3349">
      <c r="A3349" s="7" t="s">
        <v>37</v>
      </c>
      <c r="B3349" s="7" t="s">
        <v>530</v>
      </c>
      <c r="C3349" s="8">
        <f>IFERROR(__xludf.DUMMYFUNCTION("SPLIT(B3349,""RM"")"),5000000.0)</f>
        <v>5000000</v>
      </c>
      <c r="D3349" s="7" t="s">
        <v>218</v>
      </c>
      <c r="E3349" s="7">
        <v>7.0</v>
      </c>
      <c r="G3349" s="7" t="s">
        <v>61</v>
      </c>
      <c r="H3349" s="7" t="s">
        <v>696</v>
      </c>
      <c r="I3349" s="7" t="s">
        <v>27</v>
      </c>
    </row>
    <row r="3350">
      <c r="A3350" s="7" t="s">
        <v>17</v>
      </c>
      <c r="B3350" s="7" t="s">
        <v>610</v>
      </c>
      <c r="C3350" s="8">
        <f>IFERROR(__xludf.DUMMYFUNCTION("SPLIT(B3350,""RM"")"),2250000.0)</f>
        <v>2250000</v>
      </c>
      <c r="D3350" s="7">
        <v>4.0</v>
      </c>
      <c r="E3350" s="7">
        <v>3.0</v>
      </c>
      <c r="F3350" s="7">
        <v>1.0</v>
      </c>
      <c r="G3350" s="7" t="s">
        <v>20</v>
      </c>
      <c r="H3350" s="7" t="s">
        <v>2064</v>
      </c>
    </row>
    <row r="3351">
      <c r="A3351" s="7" t="s">
        <v>1979</v>
      </c>
      <c r="B3351" s="7" t="s">
        <v>201</v>
      </c>
      <c r="C3351" s="8">
        <f>IFERROR(__xludf.DUMMYFUNCTION("SPLIT(B3351,""RM"")"),620000.0)</f>
        <v>620000</v>
      </c>
      <c r="D3351" s="7" t="s">
        <v>57</v>
      </c>
      <c r="E3351" s="7">
        <v>2.0</v>
      </c>
      <c r="G3351" s="7" t="s">
        <v>169</v>
      </c>
      <c r="H3351" s="7" t="s">
        <v>2276</v>
      </c>
      <c r="I3351" s="7" t="s">
        <v>27</v>
      </c>
    </row>
    <row r="3352">
      <c r="A3352" s="7" t="s">
        <v>28</v>
      </c>
      <c r="B3352" s="7" t="s">
        <v>125</v>
      </c>
      <c r="C3352" s="8">
        <f>IFERROR(__xludf.DUMMYFUNCTION("SPLIT(B3352,""RM"")"),2300000.0)</f>
        <v>2300000</v>
      </c>
      <c r="D3352" s="7" t="s">
        <v>70</v>
      </c>
      <c r="E3352" s="7">
        <v>6.0</v>
      </c>
      <c r="F3352" s="7">
        <v>2.0</v>
      </c>
      <c r="G3352" s="7" t="s">
        <v>43</v>
      </c>
      <c r="H3352" s="7" t="s">
        <v>2277</v>
      </c>
      <c r="I3352" s="7" t="s">
        <v>27</v>
      </c>
    </row>
    <row r="3353">
      <c r="A3353" s="7" t="s">
        <v>77</v>
      </c>
      <c r="B3353" s="7" t="s">
        <v>281</v>
      </c>
      <c r="C3353" s="8">
        <f>IFERROR(__xludf.DUMMYFUNCTION("SPLIT(B3353,""RM"")"),2500000.0)</f>
        <v>2500000</v>
      </c>
      <c r="D3353" s="7" t="s">
        <v>39</v>
      </c>
      <c r="E3353" s="7">
        <v>6.0</v>
      </c>
      <c r="G3353" s="7" t="s">
        <v>169</v>
      </c>
      <c r="H3353" s="7" t="s">
        <v>2278</v>
      </c>
    </row>
    <row r="3354">
      <c r="A3354" s="7" t="s">
        <v>17</v>
      </c>
      <c r="B3354" s="7" t="s">
        <v>349</v>
      </c>
      <c r="C3354" s="8">
        <f>IFERROR(__xludf.DUMMYFUNCTION("SPLIT(B3354,""RM"")"),1400000.0)</f>
        <v>1400000</v>
      </c>
      <c r="D3354" s="7">
        <v>1.0</v>
      </c>
      <c r="E3354" s="7">
        <v>2.0</v>
      </c>
      <c r="F3354" s="7">
        <v>1.0</v>
      </c>
      <c r="G3354" s="7" t="s">
        <v>83</v>
      </c>
      <c r="H3354" s="7" t="s">
        <v>2279</v>
      </c>
    </row>
    <row r="3355">
      <c r="A3355" s="7" t="s">
        <v>86</v>
      </c>
      <c r="B3355" s="7" t="s">
        <v>311</v>
      </c>
      <c r="C3355" s="8">
        <f>IFERROR(__xludf.DUMMYFUNCTION("SPLIT(B3355,""RM"")"),1100000.0)</f>
        <v>1100000</v>
      </c>
      <c r="D3355" s="7">
        <v>3.0</v>
      </c>
      <c r="E3355" s="7">
        <v>2.0</v>
      </c>
      <c r="G3355" s="7" t="s">
        <v>83</v>
      </c>
      <c r="H3355" s="7" t="s">
        <v>303</v>
      </c>
    </row>
    <row r="3356">
      <c r="A3356" s="7" t="s">
        <v>1315</v>
      </c>
      <c r="B3356" s="7" t="s">
        <v>329</v>
      </c>
      <c r="C3356" s="8">
        <f>IFERROR(__xludf.DUMMYFUNCTION("SPLIT(B3356,""RM"")"),1200000.0)</f>
        <v>1200000</v>
      </c>
      <c r="D3356" s="7">
        <v>3.0</v>
      </c>
      <c r="E3356" s="7">
        <v>4.0</v>
      </c>
      <c r="G3356" s="7" t="s">
        <v>93</v>
      </c>
      <c r="H3356" s="7" t="s">
        <v>1029</v>
      </c>
      <c r="I3356" s="7" t="s">
        <v>22</v>
      </c>
    </row>
    <row r="3357">
      <c r="A3357" s="7" t="s">
        <v>1661</v>
      </c>
      <c r="B3357" s="7" t="s">
        <v>1259</v>
      </c>
      <c r="C3357" s="8">
        <f>IFERROR(__xludf.DUMMYFUNCTION("SPLIT(B3357,""RM"")"),3180000.0)</f>
        <v>3180000</v>
      </c>
      <c r="D3357" s="7" t="s">
        <v>35</v>
      </c>
      <c r="E3357" s="7">
        <v>6.0</v>
      </c>
      <c r="G3357" s="7" t="s">
        <v>494</v>
      </c>
      <c r="H3357" s="7" t="s">
        <v>2280</v>
      </c>
      <c r="I3357" s="7" t="s">
        <v>27</v>
      </c>
    </row>
    <row r="3358">
      <c r="A3358" s="7" t="s">
        <v>1661</v>
      </c>
      <c r="B3358" s="7" t="s">
        <v>101</v>
      </c>
      <c r="C3358" s="8">
        <f>IFERROR(__xludf.DUMMYFUNCTION("SPLIT(B3358,""RM"")"),3300000.0)</f>
        <v>3300000</v>
      </c>
      <c r="D3358" s="7" t="s">
        <v>35</v>
      </c>
      <c r="E3358" s="7">
        <v>6.0</v>
      </c>
      <c r="G3358" s="7" t="s">
        <v>1410</v>
      </c>
      <c r="H3358" s="7" t="s">
        <v>1991</v>
      </c>
      <c r="I3358" s="7" t="s">
        <v>27</v>
      </c>
    </row>
    <row r="3359">
      <c r="A3359" s="7" t="s">
        <v>177</v>
      </c>
      <c r="B3359" s="7" t="s">
        <v>130</v>
      </c>
      <c r="C3359" s="8">
        <f>IFERROR(__xludf.DUMMYFUNCTION("SPLIT(B3359,""RM"")"),2700000.0)</f>
        <v>2700000</v>
      </c>
      <c r="D3359" s="7" t="s">
        <v>57</v>
      </c>
      <c r="E3359" s="7">
        <v>4.0</v>
      </c>
      <c r="G3359" s="7" t="s">
        <v>30</v>
      </c>
      <c r="H3359" s="7" t="s">
        <v>2281</v>
      </c>
      <c r="I3359" s="7" t="s">
        <v>27</v>
      </c>
    </row>
    <row r="3360">
      <c r="A3360" s="7" t="s">
        <v>1661</v>
      </c>
      <c r="B3360" s="7" t="s">
        <v>1180</v>
      </c>
      <c r="C3360" s="8">
        <f>IFERROR(__xludf.DUMMYFUNCTION("SPLIT(B3360,""RM"")"),4600000.0)</f>
        <v>4600000</v>
      </c>
      <c r="D3360" s="7" t="s">
        <v>35</v>
      </c>
      <c r="E3360" s="7">
        <v>6.0</v>
      </c>
      <c r="G3360" s="7" t="s">
        <v>64</v>
      </c>
      <c r="H3360" s="7" t="s">
        <v>2282</v>
      </c>
      <c r="I3360" s="7" t="s">
        <v>27</v>
      </c>
    </row>
    <row r="3361">
      <c r="A3361" s="7" t="s">
        <v>33</v>
      </c>
      <c r="B3361" s="7" t="s">
        <v>243</v>
      </c>
      <c r="C3361" s="8">
        <f>IFERROR(__xludf.DUMMYFUNCTION("SPLIT(B3361,""RM"")"),1350000.0)</f>
        <v>1350000</v>
      </c>
      <c r="D3361" s="7" t="s">
        <v>57</v>
      </c>
      <c r="E3361" s="7">
        <v>2.0</v>
      </c>
      <c r="F3361" s="7">
        <v>2.0</v>
      </c>
      <c r="G3361" s="7" t="s">
        <v>83</v>
      </c>
      <c r="H3361" s="7" t="s">
        <v>2087</v>
      </c>
      <c r="I3361" s="7" t="s">
        <v>103</v>
      </c>
    </row>
    <row r="3362">
      <c r="A3362" s="7" t="s">
        <v>33</v>
      </c>
      <c r="B3362" s="7" t="s">
        <v>78</v>
      </c>
      <c r="C3362" s="8">
        <f>IFERROR(__xludf.DUMMYFUNCTION("SPLIT(B3362,""RM"")"),1500000.0)</f>
        <v>1500000</v>
      </c>
      <c r="D3362" s="7" t="s">
        <v>57</v>
      </c>
      <c r="E3362" s="7">
        <v>2.0</v>
      </c>
      <c r="F3362" s="7">
        <v>2.0</v>
      </c>
      <c r="G3362" s="7" t="s">
        <v>83</v>
      </c>
      <c r="H3362" s="7" t="s">
        <v>2087</v>
      </c>
      <c r="I3362" s="7" t="s">
        <v>27</v>
      </c>
    </row>
    <row r="3363">
      <c r="A3363" s="7" t="s">
        <v>33</v>
      </c>
      <c r="B3363" s="7" t="s">
        <v>144</v>
      </c>
      <c r="C3363" s="8">
        <f>IFERROR(__xludf.DUMMYFUNCTION("SPLIT(B3363,""RM"")"),1800000.0)</f>
        <v>1800000</v>
      </c>
      <c r="D3363" s="7" t="s">
        <v>57</v>
      </c>
      <c r="E3363" s="7">
        <v>4.0</v>
      </c>
      <c r="F3363" s="7">
        <v>4.0</v>
      </c>
      <c r="G3363" s="7" t="s">
        <v>83</v>
      </c>
      <c r="H3363" s="7" t="s">
        <v>2283</v>
      </c>
      <c r="I3363" s="7" t="s">
        <v>22</v>
      </c>
    </row>
    <row r="3364">
      <c r="A3364" s="7" t="s">
        <v>17</v>
      </c>
      <c r="B3364" s="7" t="s">
        <v>1146</v>
      </c>
      <c r="C3364" s="8">
        <f>IFERROR(__xludf.DUMMYFUNCTION("SPLIT(B3364,""RM"")"),1490000.0)</f>
        <v>1490000</v>
      </c>
      <c r="D3364" s="7">
        <v>2.0</v>
      </c>
      <c r="E3364" s="7">
        <v>2.0</v>
      </c>
      <c r="F3364" s="7">
        <v>1.0</v>
      </c>
      <c r="G3364" s="7" t="s">
        <v>83</v>
      </c>
      <c r="H3364" s="7" t="s">
        <v>2284</v>
      </c>
    </row>
    <row r="3365">
      <c r="A3365" s="7" t="s">
        <v>33</v>
      </c>
      <c r="B3365" s="7" t="s">
        <v>42</v>
      </c>
      <c r="C3365" s="8">
        <f>IFERROR(__xludf.DUMMYFUNCTION("SPLIT(B3365,""RM"")"),2600000.0)</f>
        <v>2600000</v>
      </c>
      <c r="D3365" s="7">
        <v>4.0</v>
      </c>
      <c r="E3365" s="7">
        <v>4.0</v>
      </c>
      <c r="F3365" s="7">
        <v>3.0</v>
      </c>
      <c r="G3365" s="7" t="s">
        <v>83</v>
      </c>
      <c r="H3365" s="7" t="s">
        <v>1408</v>
      </c>
      <c r="I3365" s="7" t="s">
        <v>27</v>
      </c>
    </row>
    <row r="3366">
      <c r="A3366" s="7" t="s">
        <v>100</v>
      </c>
      <c r="B3366" s="7" t="s">
        <v>1423</v>
      </c>
      <c r="C3366" s="8">
        <f>IFERROR(__xludf.DUMMYFUNCTION("SPLIT(B3366,""RM"")"),420000.0)</f>
        <v>420000</v>
      </c>
      <c r="D3366" s="7" t="s">
        <v>19</v>
      </c>
      <c r="E3366" s="7">
        <v>2.0</v>
      </c>
      <c r="F3366" s="7">
        <v>1.0</v>
      </c>
      <c r="G3366" s="7" t="s">
        <v>20</v>
      </c>
      <c r="H3366" s="7" t="s">
        <v>1270</v>
      </c>
      <c r="I3366" s="7" t="s">
        <v>27</v>
      </c>
    </row>
    <row r="3367">
      <c r="A3367" s="7" t="s">
        <v>1456</v>
      </c>
      <c r="B3367" s="7" t="s">
        <v>641</v>
      </c>
      <c r="C3367" s="8">
        <f>IFERROR(__xludf.DUMMYFUNCTION("SPLIT(B3367,""RM"")"),830000.0)</f>
        <v>830000</v>
      </c>
      <c r="D3367" s="7" t="s">
        <v>70</v>
      </c>
      <c r="E3367" s="7">
        <v>3.0</v>
      </c>
      <c r="F3367" s="7">
        <v>3.0</v>
      </c>
      <c r="G3367" s="7" t="s">
        <v>54</v>
      </c>
      <c r="H3367" s="7" t="s">
        <v>1458</v>
      </c>
    </row>
    <row r="3368">
      <c r="A3368" s="7" t="s">
        <v>89</v>
      </c>
      <c r="B3368" s="7" t="s">
        <v>759</v>
      </c>
      <c r="C3368" s="8">
        <f>IFERROR(__xludf.DUMMYFUNCTION("SPLIT(B3368,""RM"")"),520000.0)</f>
        <v>520000</v>
      </c>
      <c r="D3368" s="7">
        <v>3.0</v>
      </c>
      <c r="E3368" s="7">
        <v>2.0</v>
      </c>
      <c r="F3368" s="7">
        <v>1.0</v>
      </c>
      <c r="G3368" s="7" t="s">
        <v>93</v>
      </c>
      <c r="H3368" s="7" t="s">
        <v>1532</v>
      </c>
      <c r="I3368" s="7" t="s">
        <v>27</v>
      </c>
    </row>
    <row r="3369">
      <c r="A3369" s="7" t="s">
        <v>33</v>
      </c>
      <c r="B3369" s="7" t="s">
        <v>221</v>
      </c>
      <c r="C3369" s="8">
        <f>IFERROR(__xludf.DUMMYFUNCTION("SPLIT(B3369,""RM"")"),630000.0)</f>
        <v>630000</v>
      </c>
      <c r="D3369" s="7">
        <v>3.0</v>
      </c>
      <c r="E3369" s="7">
        <v>2.0</v>
      </c>
      <c r="F3369" s="7">
        <v>2.0</v>
      </c>
      <c r="G3369" s="7" t="s">
        <v>93</v>
      </c>
      <c r="H3369" s="7" t="s">
        <v>508</v>
      </c>
      <c r="I3369" s="7" t="s">
        <v>27</v>
      </c>
    </row>
    <row r="3370">
      <c r="A3370" s="7" t="s">
        <v>33</v>
      </c>
      <c r="B3370" s="7" t="s">
        <v>2285</v>
      </c>
      <c r="C3370" s="8">
        <f>IFERROR(__xludf.DUMMYFUNCTION("SPLIT(B3370,""RM"")"),685000.0)</f>
        <v>685000</v>
      </c>
      <c r="D3370" s="7" t="s">
        <v>57</v>
      </c>
      <c r="E3370" s="7">
        <v>3.0</v>
      </c>
      <c r="F3370" s="7">
        <v>2.0</v>
      </c>
      <c r="G3370" s="7" t="s">
        <v>93</v>
      </c>
      <c r="H3370" s="7" t="s">
        <v>2286</v>
      </c>
      <c r="I3370" s="7" t="s">
        <v>22</v>
      </c>
    </row>
    <row r="3371">
      <c r="A3371" s="7" t="s">
        <v>32</v>
      </c>
      <c r="B3371" s="7" t="s">
        <v>311</v>
      </c>
      <c r="C3371" s="8">
        <f>IFERROR(__xludf.DUMMYFUNCTION("SPLIT(B3371,""RM"")"),1100000.0)</f>
        <v>1100000</v>
      </c>
      <c r="D3371" s="7" t="s">
        <v>35</v>
      </c>
      <c r="E3371" s="7">
        <v>3.0</v>
      </c>
      <c r="F3371" s="7">
        <v>2.0</v>
      </c>
      <c r="G3371" s="7" t="s">
        <v>30</v>
      </c>
      <c r="H3371" s="7" t="s">
        <v>2287</v>
      </c>
      <c r="I3371" s="7" t="s">
        <v>27</v>
      </c>
    </row>
    <row r="3372">
      <c r="A3372" s="7" t="s">
        <v>32</v>
      </c>
      <c r="B3372" s="7" t="s">
        <v>419</v>
      </c>
      <c r="C3372" s="8">
        <f>IFERROR(__xludf.DUMMYFUNCTION("SPLIT(B3372,""RM"")"),990000.0)</f>
        <v>990000</v>
      </c>
      <c r="D3372" s="7" t="s">
        <v>35</v>
      </c>
      <c r="E3372" s="7">
        <v>3.0</v>
      </c>
      <c r="F3372" s="7">
        <v>2.0</v>
      </c>
      <c r="G3372" s="7" t="s">
        <v>93</v>
      </c>
      <c r="H3372" s="7" t="s">
        <v>2288</v>
      </c>
      <c r="I3372" s="7" t="s">
        <v>27</v>
      </c>
    </row>
    <row r="3373" hidden="1">
      <c r="A3373" s="7" t="s">
        <v>23</v>
      </c>
      <c r="C3373" s="7" t="str">
        <f>IFERROR(__xludf.DUMMYFUNCTION("SPLIT(B3373,""RM"")"),"#VALUE!")</f>
        <v>#VALUE!</v>
      </c>
      <c r="D3373" s="7">
        <v>7.0</v>
      </c>
      <c r="E3373" s="7">
        <v>4.0</v>
      </c>
      <c r="F3373" s="7">
        <v>7.0</v>
      </c>
      <c r="G3373" s="7" t="s">
        <v>25</v>
      </c>
      <c r="H3373" s="7" t="s">
        <v>2289</v>
      </c>
      <c r="I3373" s="7" t="s">
        <v>27</v>
      </c>
    </row>
    <row r="3374">
      <c r="A3374" s="7" t="s">
        <v>262</v>
      </c>
      <c r="B3374" s="7" t="s">
        <v>934</v>
      </c>
      <c r="C3374" s="8">
        <f>IFERROR(__xludf.DUMMYFUNCTION("SPLIT(B3374,""RM"")"),1.18E7)</f>
        <v>11800000</v>
      </c>
      <c r="D3374" s="7">
        <v>7.0</v>
      </c>
      <c r="E3374" s="7">
        <v>8.0</v>
      </c>
      <c r="F3374" s="7">
        <v>10.0</v>
      </c>
      <c r="G3374" s="7" t="s">
        <v>25</v>
      </c>
      <c r="H3374" s="7" t="s">
        <v>2290</v>
      </c>
      <c r="I3374" s="7" t="s">
        <v>27</v>
      </c>
    </row>
    <row r="3375">
      <c r="A3375" s="7" t="s">
        <v>262</v>
      </c>
      <c r="B3375" s="7" t="s">
        <v>545</v>
      </c>
      <c r="C3375" s="8">
        <f>IFERROR(__xludf.DUMMYFUNCTION("SPLIT(B3375,""RM"")"),1.0E7)</f>
        <v>10000000</v>
      </c>
      <c r="D3375" s="7" t="s">
        <v>591</v>
      </c>
      <c r="E3375" s="7">
        <v>9.0</v>
      </c>
      <c r="G3375" s="7" t="s">
        <v>25</v>
      </c>
      <c r="H3375" s="7" t="s">
        <v>2274</v>
      </c>
      <c r="I3375" s="7" t="s">
        <v>27</v>
      </c>
    </row>
    <row r="3376" hidden="1">
      <c r="A3376" s="7" t="s">
        <v>177</v>
      </c>
      <c r="C3376" s="7" t="str">
        <f>IFERROR(__xludf.DUMMYFUNCTION("SPLIT(B3376,""RM"")"),"#VALUE!")</f>
        <v>#VALUE!</v>
      </c>
      <c r="D3376" s="7">
        <v>6.0</v>
      </c>
      <c r="E3376" s="7">
        <v>7.0</v>
      </c>
      <c r="G3376" s="7" t="s">
        <v>25</v>
      </c>
      <c r="H3376" s="7" t="s">
        <v>2291</v>
      </c>
    </row>
    <row r="3377">
      <c r="A3377" s="7" t="s">
        <v>33</v>
      </c>
      <c r="B3377" s="7" t="s">
        <v>1114</v>
      </c>
      <c r="C3377" s="8">
        <f>IFERROR(__xludf.DUMMYFUNCTION("SPLIT(B3377,""RM"")"),890000.0)</f>
        <v>890000</v>
      </c>
      <c r="D3377" s="7" t="s">
        <v>57</v>
      </c>
      <c r="E3377" s="7">
        <v>3.0</v>
      </c>
      <c r="F3377" s="7">
        <v>2.0</v>
      </c>
      <c r="G3377" s="7" t="s">
        <v>83</v>
      </c>
      <c r="H3377" s="7" t="s">
        <v>760</v>
      </c>
      <c r="I3377" s="7" t="s">
        <v>27</v>
      </c>
    </row>
    <row r="3378">
      <c r="A3378" s="7" t="s">
        <v>33</v>
      </c>
      <c r="B3378" s="7" t="s">
        <v>245</v>
      </c>
      <c r="C3378" s="8">
        <f>IFERROR(__xludf.DUMMYFUNCTION("SPLIT(B3378,""RM"")"),800000.0)</f>
        <v>800000</v>
      </c>
      <c r="D3378" s="7" t="s">
        <v>57</v>
      </c>
      <c r="E3378" s="7">
        <v>3.0</v>
      </c>
      <c r="F3378" s="7">
        <v>2.0</v>
      </c>
      <c r="G3378" s="7" t="s">
        <v>83</v>
      </c>
      <c r="H3378" s="7" t="s">
        <v>21</v>
      </c>
      <c r="I3378" s="7" t="s">
        <v>27</v>
      </c>
    </row>
    <row r="3379">
      <c r="A3379" s="7" t="s">
        <v>48</v>
      </c>
      <c r="B3379" s="7" t="s">
        <v>691</v>
      </c>
      <c r="C3379" s="8">
        <f>IFERROR(__xludf.DUMMYFUNCTION("SPLIT(B3379,""RM"")"),370000.0)</f>
        <v>370000</v>
      </c>
      <c r="D3379" s="7">
        <v>2.0</v>
      </c>
      <c r="E3379" s="7">
        <v>2.0</v>
      </c>
      <c r="F3379" s="7">
        <v>1.0</v>
      </c>
      <c r="G3379" s="7" t="s">
        <v>54</v>
      </c>
      <c r="H3379" s="7" t="s">
        <v>2292</v>
      </c>
      <c r="I3379" s="7" t="s">
        <v>27</v>
      </c>
    </row>
    <row r="3380">
      <c r="A3380" s="7" t="s">
        <v>48</v>
      </c>
      <c r="B3380" s="7" t="s">
        <v>2293</v>
      </c>
      <c r="C3380" s="8">
        <f>IFERROR(__xludf.DUMMYFUNCTION("SPLIT(B3380,""RM"")"),220000.0)</f>
        <v>220000</v>
      </c>
      <c r="D3380" s="7">
        <v>2.0</v>
      </c>
      <c r="E3380" s="7">
        <v>1.0</v>
      </c>
      <c r="F3380" s="7">
        <v>1.0</v>
      </c>
      <c r="G3380" s="7" t="s">
        <v>503</v>
      </c>
      <c r="H3380" s="7" t="s">
        <v>1235</v>
      </c>
      <c r="I3380" s="7" t="s">
        <v>27</v>
      </c>
    </row>
    <row r="3381">
      <c r="A3381" s="7" t="s">
        <v>100</v>
      </c>
      <c r="B3381" s="7" t="s">
        <v>619</v>
      </c>
      <c r="C3381" s="8">
        <f>IFERROR(__xludf.DUMMYFUNCTION("SPLIT(B3381,""RM"")"),640000.0)</f>
        <v>640000</v>
      </c>
      <c r="D3381" s="7" t="s">
        <v>57</v>
      </c>
      <c r="E3381" s="7">
        <v>2.0</v>
      </c>
      <c r="F3381" s="7">
        <v>2.0</v>
      </c>
      <c r="G3381" s="7" t="s">
        <v>20</v>
      </c>
      <c r="H3381" s="7" t="s">
        <v>410</v>
      </c>
      <c r="I3381" s="7" t="s">
        <v>27</v>
      </c>
    </row>
    <row r="3382">
      <c r="A3382" s="7" t="s">
        <v>32</v>
      </c>
      <c r="B3382" s="7" t="s">
        <v>2016</v>
      </c>
      <c r="C3382" s="8">
        <f>IFERROR(__xludf.DUMMYFUNCTION("SPLIT(B3382,""RM"")"),435000.0)</f>
        <v>435000</v>
      </c>
      <c r="D3382" s="7">
        <v>3.0</v>
      </c>
      <c r="E3382" s="7">
        <v>2.0</v>
      </c>
      <c r="F3382" s="7">
        <v>1.0</v>
      </c>
      <c r="G3382" s="7" t="s">
        <v>20</v>
      </c>
      <c r="I3382" s="7" t="s">
        <v>22</v>
      </c>
    </row>
    <row r="3383">
      <c r="A3383" s="7" t="s">
        <v>1014</v>
      </c>
      <c r="B3383" s="7" t="s">
        <v>346</v>
      </c>
      <c r="C3383" s="8">
        <f>IFERROR(__xludf.DUMMYFUNCTION("SPLIT(B3383,""RM"")"),638000.0)</f>
        <v>638000</v>
      </c>
      <c r="D3383" s="7" t="s">
        <v>35</v>
      </c>
      <c r="E3383" s="7">
        <v>3.0</v>
      </c>
      <c r="F3383" s="7">
        <v>1.0</v>
      </c>
      <c r="G3383" s="7" t="s">
        <v>30</v>
      </c>
      <c r="H3383" s="7" t="s">
        <v>2294</v>
      </c>
      <c r="I3383" s="7" t="s">
        <v>27</v>
      </c>
    </row>
    <row r="3384">
      <c r="A3384" s="7" t="s">
        <v>104</v>
      </c>
      <c r="B3384" s="7" t="s">
        <v>967</v>
      </c>
      <c r="C3384" s="8">
        <f>IFERROR(__xludf.DUMMYFUNCTION("SPLIT(B3384,""RM"")"),680000.0)</f>
        <v>680000</v>
      </c>
      <c r="D3384" s="7">
        <v>4.0</v>
      </c>
      <c r="E3384" s="7">
        <v>3.0</v>
      </c>
      <c r="G3384" s="7" t="s">
        <v>54</v>
      </c>
      <c r="H3384" s="7" t="s">
        <v>845</v>
      </c>
      <c r="I3384" s="7" t="s">
        <v>27</v>
      </c>
    </row>
    <row r="3385">
      <c r="A3385" s="7" t="s">
        <v>104</v>
      </c>
      <c r="B3385" s="7" t="s">
        <v>923</v>
      </c>
      <c r="C3385" s="8">
        <f>IFERROR(__xludf.DUMMYFUNCTION("SPLIT(B3385,""RM"")"),715000.0)</f>
        <v>715000</v>
      </c>
      <c r="D3385" s="7">
        <v>4.0</v>
      </c>
      <c r="E3385" s="7">
        <v>3.0</v>
      </c>
      <c r="G3385" s="7" t="s">
        <v>1497</v>
      </c>
      <c r="H3385" s="7" t="s">
        <v>796</v>
      </c>
      <c r="I3385" s="7" t="s">
        <v>27</v>
      </c>
    </row>
    <row r="3386">
      <c r="A3386" s="7" t="s">
        <v>28</v>
      </c>
      <c r="B3386" s="7" t="s">
        <v>2295</v>
      </c>
      <c r="C3386" s="8">
        <f>IFERROR(__xludf.DUMMYFUNCTION("SPLIT(B3386,""RM"")"),1090600.0)</f>
        <v>1090600</v>
      </c>
      <c r="D3386" s="7">
        <v>2.0</v>
      </c>
      <c r="E3386" s="7">
        <v>2.0</v>
      </c>
      <c r="G3386" s="7" t="s">
        <v>20</v>
      </c>
      <c r="H3386" s="7" t="s">
        <v>937</v>
      </c>
      <c r="I3386" s="7" t="s">
        <v>22</v>
      </c>
    </row>
    <row r="3387">
      <c r="A3387" s="7" t="s">
        <v>28</v>
      </c>
      <c r="B3387" s="7" t="s">
        <v>2296</v>
      </c>
      <c r="C3387" s="8">
        <f>IFERROR(__xludf.DUMMYFUNCTION("SPLIT(B3387,""RM"")"),705000.0)</f>
        <v>705000</v>
      </c>
      <c r="D3387" s="7">
        <v>1.0</v>
      </c>
      <c r="E3387" s="7">
        <v>1.0</v>
      </c>
      <c r="F3387" s="7">
        <v>1.0</v>
      </c>
      <c r="G3387" s="7" t="s">
        <v>20</v>
      </c>
      <c r="H3387" s="7" t="s">
        <v>1127</v>
      </c>
      <c r="I3387" s="7" t="s">
        <v>22</v>
      </c>
    </row>
    <row r="3388">
      <c r="A3388" s="7" t="s">
        <v>23</v>
      </c>
      <c r="B3388" s="7" t="s">
        <v>2297</v>
      </c>
      <c r="C3388" s="8">
        <f>IFERROR(__xludf.DUMMYFUNCTION("SPLIT(B3388,""RM"")"),1.5E7)</f>
        <v>15000000</v>
      </c>
      <c r="D3388" s="7" t="s">
        <v>70</v>
      </c>
      <c r="E3388" s="7">
        <v>6.0</v>
      </c>
      <c r="F3388" s="7">
        <v>6.0</v>
      </c>
      <c r="G3388" s="7" t="s">
        <v>25</v>
      </c>
      <c r="H3388" s="7" t="s">
        <v>593</v>
      </c>
      <c r="I3388" s="7" t="s">
        <v>27</v>
      </c>
    </row>
    <row r="3389">
      <c r="A3389" s="7" t="s">
        <v>32</v>
      </c>
      <c r="B3389" s="7" t="s">
        <v>2298</v>
      </c>
      <c r="C3389" s="8">
        <f>IFERROR(__xludf.DUMMYFUNCTION("SPLIT(B3389,""RM"")"),841700.0)</f>
        <v>841700</v>
      </c>
      <c r="D3389" s="7">
        <v>2.0</v>
      </c>
      <c r="E3389" s="7">
        <v>2.0</v>
      </c>
      <c r="F3389" s="7">
        <v>2.0</v>
      </c>
      <c r="G3389" s="7" t="s">
        <v>145</v>
      </c>
      <c r="H3389" s="7" t="s">
        <v>2299</v>
      </c>
      <c r="I3389" s="7" t="s">
        <v>27</v>
      </c>
    </row>
    <row r="3390">
      <c r="A3390" s="7" t="s">
        <v>32</v>
      </c>
      <c r="B3390" s="7" t="s">
        <v>2300</v>
      </c>
      <c r="C3390" s="8">
        <f>IFERROR(__xludf.DUMMYFUNCTION("SPLIT(B3390,""RM"")"),795308.0)</f>
        <v>795308</v>
      </c>
      <c r="D3390" s="7">
        <v>2.0</v>
      </c>
      <c r="E3390" s="7">
        <v>2.0</v>
      </c>
      <c r="F3390" s="7">
        <v>2.0</v>
      </c>
      <c r="G3390" s="7" t="s">
        <v>20</v>
      </c>
      <c r="H3390" s="7" t="s">
        <v>1820</v>
      </c>
      <c r="I3390" s="7" t="s">
        <v>27</v>
      </c>
    </row>
    <row r="3391">
      <c r="A3391" s="7" t="s">
        <v>32</v>
      </c>
      <c r="B3391" s="7" t="s">
        <v>2301</v>
      </c>
      <c r="C3391" s="8">
        <f>IFERROR(__xludf.DUMMYFUNCTION("SPLIT(B3391,""RM"")"),601469.0)</f>
        <v>601469</v>
      </c>
      <c r="D3391" s="7">
        <v>2.0</v>
      </c>
      <c r="E3391" s="7">
        <v>1.0</v>
      </c>
      <c r="F3391" s="7">
        <v>1.0</v>
      </c>
      <c r="G3391" s="7" t="s">
        <v>20</v>
      </c>
      <c r="H3391" s="7" t="s">
        <v>2302</v>
      </c>
      <c r="I3391" s="7" t="s">
        <v>27</v>
      </c>
    </row>
    <row r="3392">
      <c r="A3392" s="7" t="s">
        <v>32</v>
      </c>
      <c r="B3392" s="7" t="s">
        <v>2303</v>
      </c>
      <c r="C3392" s="8">
        <f>IFERROR(__xludf.DUMMYFUNCTION("SPLIT(B3392,""RM"")"),974600.0)</f>
        <v>974600</v>
      </c>
      <c r="D3392" s="7" t="s">
        <v>57</v>
      </c>
      <c r="E3392" s="7">
        <v>2.0</v>
      </c>
      <c r="F3392" s="7">
        <v>2.0</v>
      </c>
      <c r="G3392" s="7" t="s">
        <v>145</v>
      </c>
      <c r="H3392" s="7" t="s">
        <v>2304</v>
      </c>
      <c r="I3392" s="7" t="s">
        <v>27</v>
      </c>
    </row>
    <row r="3393">
      <c r="A3393" s="7" t="s">
        <v>32</v>
      </c>
      <c r="B3393" s="7" t="s">
        <v>1333</v>
      </c>
      <c r="C3393" s="8">
        <f>IFERROR(__xludf.DUMMYFUNCTION("SPLIT(B3393,""RM"")"),535400.0)</f>
        <v>535400</v>
      </c>
      <c r="D3393" s="7">
        <v>1.0</v>
      </c>
      <c r="E3393" s="7">
        <v>2.0</v>
      </c>
      <c r="F3393" s="7">
        <v>1.0</v>
      </c>
      <c r="G3393" s="7" t="s">
        <v>145</v>
      </c>
      <c r="H3393" s="7" t="s">
        <v>678</v>
      </c>
      <c r="I3393" s="7" t="s">
        <v>27</v>
      </c>
    </row>
    <row r="3394">
      <c r="A3394" s="7" t="s">
        <v>32</v>
      </c>
      <c r="B3394" s="7" t="s">
        <v>2305</v>
      </c>
      <c r="C3394" s="8">
        <f>IFERROR(__xludf.DUMMYFUNCTION("SPLIT(B3394,""RM"")"),597443.0)</f>
        <v>597443</v>
      </c>
      <c r="D3394" s="7">
        <v>1.0</v>
      </c>
      <c r="E3394" s="7">
        <v>1.0</v>
      </c>
      <c r="F3394" s="7">
        <v>1.0</v>
      </c>
      <c r="G3394" s="7" t="s">
        <v>20</v>
      </c>
      <c r="H3394" s="7" t="s">
        <v>2306</v>
      </c>
      <c r="I3394" s="7" t="s">
        <v>27</v>
      </c>
    </row>
    <row r="3395">
      <c r="A3395" s="7" t="s">
        <v>109</v>
      </c>
      <c r="B3395" s="7" t="s">
        <v>1659</v>
      </c>
      <c r="C3395" s="8">
        <f>IFERROR(__xludf.DUMMYFUNCTION("SPLIT(B3395,""RM"")"),540000.0)</f>
        <v>540000</v>
      </c>
      <c r="D3395" s="7" t="s">
        <v>57</v>
      </c>
      <c r="E3395" s="7">
        <v>2.0</v>
      </c>
      <c r="F3395" s="7">
        <v>1.0</v>
      </c>
      <c r="G3395" s="7" t="s">
        <v>30</v>
      </c>
      <c r="H3395" s="7" t="s">
        <v>135</v>
      </c>
      <c r="I3395" s="7" t="s">
        <v>27</v>
      </c>
    </row>
    <row r="3396">
      <c r="A3396" s="7" t="s">
        <v>171</v>
      </c>
      <c r="B3396" s="7" t="s">
        <v>563</v>
      </c>
      <c r="C3396" s="8">
        <f>IFERROR(__xludf.DUMMYFUNCTION("SPLIT(B3396,""RM"")"),600000.0)</f>
        <v>600000</v>
      </c>
      <c r="D3396" s="7">
        <v>3.0</v>
      </c>
      <c r="E3396" s="7">
        <v>2.0</v>
      </c>
      <c r="F3396" s="7">
        <v>2.0</v>
      </c>
      <c r="G3396" s="7" t="s">
        <v>83</v>
      </c>
      <c r="H3396" s="7" t="s">
        <v>734</v>
      </c>
      <c r="I3396" s="7" t="s">
        <v>103</v>
      </c>
    </row>
    <row r="3397">
      <c r="A3397" s="7" t="s">
        <v>17</v>
      </c>
      <c r="B3397" s="7" t="s">
        <v>1225</v>
      </c>
      <c r="C3397" s="8">
        <f>IFERROR(__xludf.DUMMYFUNCTION("SPLIT(B3397,""RM"")"),1290000.0)</f>
        <v>1290000</v>
      </c>
      <c r="D3397" s="7">
        <v>3.0</v>
      </c>
      <c r="E3397" s="7">
        <v>2.0</v>
      </c>
      <c r="G3397" s="7" t="s">
        <v>30</v>
      </c>
      <c r="H3397" s="7" t="s">
        <v>338</v>
      </c>
      <c r="I3397" s="7" t="s">
        <v>27</v>
      </c>
    </row>
    <row r="3398">
      <c r="A3398" s="7" t="s">
        <v>89</v>
      </c>
      <c r="B3398" s="7" t="s">
        <v>1423</v>
      </c>
      <c r="C3398" s="8">
        <f>IFERROR(__xludf.DUMMYFUNCTION("SPLIT(B3398,""RM"")"),420000.0)</f>
        <v>420000</v>
      </c>
      <c r="D3398" s="7">
        <v>2.0</v>
      </c>
      <c r="E3398" s="7">
        <v>2.0</v>
      </c>
      <c r="F3398" s="7">
        <v>2.0</v>
      </c>
      <c r="G3398" s="7" t="s">
        <v>121</v>
      </c>
      <c r="H3398" s="7" t="s">
        <v>2224</v>
      </c>
      <c r="I3398" s="7" t="s">
        <v>103</v>
      </c>
    </row>
    <row r="3399">
      <c r="A3399" s="7" t="s">
        <v>100</v>
      </c>
      <c r="B3399" s="7" t="s">
        <v>329</v>
      </c>
      <c r="C3399" s="8">
        <f>IFERROR(__xludf.DUMMYFUNCTION("SPLIT(B3399,""RM"")"),1200000.0)</f>
        <v>1200000</v>
      </c>
      <c r="D3399" s="7">
        <v>3.0</v>
      </c>
      <c r="E3399" s="7">
        <v>4.0</v>
      </c>
      <c r="F3399" s="7">
        <v>2.0</v>
      </c>
      <c r="G3399" s="7" t="s">
        <v>93</v>
      </c>
      <c r="H3399" s="7" t="s">
        <v>942</v>
      </c>
      <c r="I3399" s="7" t="s">
        <v>27</v>
      </c>
    </row>
    <row r="3400">
      <c r="A3400" s="7" t="s">
        <v>2307</v>
      </c>
      <c r="B3400" s="7" t="s">
        <v>1348</v>
      </c>
      <c r="C3400" s="8">
        <f>IFERROR(__xludf.DUMMYFUNCTION("SPLIT(B3400,""RM"")"),510000.0)</f>
        <v>510000</v>
      </c>
      <c r="D3400" s="7" t="s">
        <v>325</v>
      </c>
      <c r="E3400" s="7">
        <v>1.0</v>
      </c>
      <c r="F3400" s="7">
        <v>1.0</v>
      </c>
      <c r="G3400" s="7" t="s">
        <v>1821</v>
      </c>
      <c r="H3400" s="7" t="s">
        <v>244</v>
      </c>
    </row>
    <row r="3401">
      <c r="A3401" s="7" t="s">
        <v>2307</v>
      </c>
      <c r="B3401" s="7" t="s">
        <v>1328</v>
      </c>
      <c r="C3401" s="8">
        <f>IFERROR(__xludf.DUMMYFUNCTION("SPLIT(B3401,""RM"")"),650000.0)</f>
        <v>650000</v>
      </c>
      <c r="D3401" s="7">
        <v>2.0</v>
      </c>
      <c r="E3401" s="7">
        <v>2.0</v>
      </c>
      <c r="G3401" s="7" t="s">
        <v>20</v>
      </c>
      <c r="H3401" s="7" t="s">
        <v>2308</v>
      </c>
    </row>
    <row r="3402">
      <c r="A3402" s="7" t="s">
        <v>72</v>
      </c>
      <c r="B3402" s="7" t="s">
        <v>658</v>
      </c>
      <c r="C3402" s="8">
        <f>IFERROR(__xludf.DUMMYFUNCTION("SPLIT(B3402,""RM"")"),2650000.0)</f>
        <v>2650000</v>
      </c>
      <c r="D3402" s="7" t="s">
        <v>35</v>
      </c>
      <c r="E3402" s="7">
        <v>5.0</v>
      </c>
      <c r="F3402" s="7">
        <v>3.0</v>
      </c>
      <c r="G3402" s="7" t="s">
        <v>30</v>
      </c>
      <c r="H3402" s="7" t="s">
        <v>2263</v>
      </c>
      <c r="I3402" s="7" t="s">
        <v>27</v>
      </c>
    </row>
    <row r="3403">
      <c r="A3403" s="7" t="s">
        <v>86</v>
      </c>
      <c r="B3403" s="7" t="s">
        <v>854</v>
      </c>
      <c r="C3403" s="8">
        <f>IFERROR(__xludf.DUMMYFUNCTION("SPLIT(B3403,""RM"")"),690000.0)</f>
        <v>690000</v>
      </c>
      <c r="D3403" s="7">
        <v>2.0</v>
      </c>
      <c r="E3403" s="7">
        <v>2.0</v>
      </c>
      <c r="F3403" s="7">
        <v>1.0</v>
      </c>
      <c r="G3403" s="7" t="s">
        <v>82</v>
      </c>
      <c r="H3403" s="7" t="s">
        <v>2309</v>
      </c>
      <c r="I3403" s="7" t="s">
        <v>22</v>
      </c>
    </row>
    <row r="3404">
      <c r="A3404" s="7" t="s">
        <v>1241</v>
      </c>
      <c r="B3404" s="7" t="s">
        <v>132</v>
      </c>
      <c r="C3404" s="8">
        <f>IFERROR(__xludf.DUMMYFUNCTION("SPLIT(B3404,""RM"")"),1080000.0)</f>
        <v>1080000</v>
      </c>
      <c r="D3404" s="7">
        <v>2.0</v>
      </c>
      <c r="E3404" s="7">
        <v>2.0</v>
      </c>
      <c r="F3404" s="7">
        <v>2.0</v>
      </c>
      <c r="G3404" s="7" t="s">
        <v>20</v>
      </c>
      <c r="H3404" s="7" t="s">
        <v>1243</v>
      </c>
    </row>
    <row r="3405">
      <c r="A3405" s="7" t="s">
        <v>1241</v>
      </c>
      <c r="B3405" s="7" t="s">
        <v>168</v>
      </c>
      <c r="C3405" s="8">
        <f>IFERROR(__xludf.DUMMYFUNCTION("SPLIT(B3405,""RM"")"),750000.0)</f>
        <v>750000</v>
      </c>
      <c r="D3405" s="7">
        <v>2.0</v>
      </c>
      <c r="E3405" s="7">
        <v>2.0</v>
      </c>
      <c r="F3405" s="7">
        <v>2.0</v>
      </c>
      <c r="G3405" s="7" t="s">
        <v>20</v>
      </c>
    </row>
    <row r="3406">
      <c r="A3406" s="7" t="s">
        <v>109</v>
      </c>
      <c r="B3406" s="7" t="s">
        <v>193</v>
      </c>
      <c r="C3406" s="8">
        <f>IFERROR(__xludf.DUMMYFUNCTION("SPLIT(B3406,""RM"")"),1650000.0)</f>
        <v>1650000</v>
      </c>
      <c r="D3406" s="7" t="s">
        <v>70</v>
      </c>
      <c r="E3406" s="7">
        <v>5.0</v>
      </c>
      <c r="F3406" s="7">
        <v>4.0</v>
      </c>
      <c r="G3406" s="7" t="s">
        <v>64</v>
      </c>
      <c r="H3406" s="7" t="s">
        <v>2310</v>
      </c>
      <c r="I3406" s="7" t="s">
        <v>22</v>
      </c>
    </row>
    <row r="3407">
      <c r="A3407" s="7" t="s">
        <v>177</v>
      </c>
      <c r="B3407" s="7" t="s">
        <v>193</v>
      </c>
      <c r="C3407" s="8">
        <f>IFERROR(__xludf.DUMMYFUNCTION("SPLIT(B3407,""RM"")"),1650000.0)</f>
        <v>1650000</v>
      </c>
      <c r="D3407" s="7">
        <v>4.0</v>
      </c>
      <c r="E3407" s="7">
        <v>3.0</v>
      </c>
      <c r="G3407" s="7" t="s">
        <v>54</v>
      </c>
      <c r="H3407" s="7" t="s">
        <v>283</v>
      </c>
      <c r="I3407" s="7" t="s">
        <v>103</v>
      </c>
    </row>
    <row r="3408">
      <c r="A3408" s="7" t="s">
        <v>72</v>
      </c>
      <c r="B3408" s="7" t="s">
        <v>81</v>
      </c>
      <c r="C3408" s="8">
        <f>IFERROR(__xludf.DUMMYFUNCTION("SPLIT(B3408,""RM"")"),1550000.0)</f>
        <v>1550000</v>
      </c>
      <c r="D3408" s="7" t="s">
        <v>57</v>
      </c>
      <c r="E3408" s="7">
        <v>3.0</v>
      </c>
      <c r="F3408" s="7">
        <v>2.0</v>
      </c>
      <c r="G3408" s="7" t="s">
        <v>83</v>
      </c>
      <c r="H3408" s="7" t="s">
        <v>2311</v>
      </c>
      <c r="I3408" s="7" t="s">
        <v>22</v>
      </c>
    </row>
    <row r="3409">
      <c r="A3409" s="7" t="s">
        <v>32</v>
      </c>
      <c r="B3409" s="7" t="s">
        <v>940</v>
      </c>
      <c r="C3409" s="8">
        <f>IFERROR(__xludf.DUMMYFUNCTION("SPLIT(B3409,""RM"")"),4300000.0)</f>
        <v>4300000</v>
      </c>
      <c r="D3409" s="7">
        <v>7.0</v>
      </c>
      <c r="E3409" s="7">
        <v>9.0</v>
      </c>
      <c r="F3409" s="7">
        <v>4.0</v>
      </c>
      <c r="G3409" s="7" t="s">
        <v>61</v>
      </c>
      <c r="H3409" s="7" t="s">
        <v>631</v>
      </c>
      <c r="I3409" s="7" t="s">
        <v>22</v>
      </c>
    </row>
    <row r="3410">
      <c r="A3410" s="7" t="s">
        <v>17</v>
      </c>
      <c r="B3410" s="7" t="s">
        <v>2312</v>
      </c>
      <c r="C3410" s="8">
        <f>IFERROR(__xludf.DUMMYFUNCTION("SPLIT(B3410,""RM"")"),2005000.0)</f>
        <v>2005000</v>
      </c>
      <c r="D3410" s="7">
        <v>2.0</v>
      </c>
      <c r="E3410" s="7">
        <v>2.0</v>
      </c>
      <c r="G3410" s="7" t="s">
        <v>121</v>
      </c>
      <c r="H3410" s="7" t="s">
        <v>2262</v>
      </c>
      <c r="I3410" s="7" t="s">
        <v>27</v>
      </c>
    </row>
    <row r="3411">
      <c r="A3411" s="7" t="s">
        <v>223</v>
      </c>
      <c r="B3411" s="7" t="s">
        <v>969</v>
      </c>
      <c r="C3411" s="8">
        <f>IFERROR(__xludf.DUMMYFUNCTION("SPLIT(B3411,""RM"")"),430000.0)</f>
        <v>430000</v>
      </c>
      <c r="D3411" s="7" t="s">
        <v>325</v>
      </c>
      <c r="E3411" s="7">
        <v>1.0</v>
      </c>
      <c r="G3411" s="7" t="s">
        <v>20</v>
      </c>
      <c r="H3411" s="7" t="s">
        <v>244</v>
      </c>
      <c r="I3411" s="7" t="s">
        <v>22</v>
      </c>
    </row>
    <row r="3412">
      <c r="A3412" s="7" t="s">
        <v>32</v>
      </c>
      <c r="B3412" s="7" t="s">
        <v>372</v>
      </c>
      <c r="C3412" s="8">
        <f>IFERROR(__xludf.DUMMYFUNCTION("SPLIT(B3412,""RM"")"),700000.0)</f>
        <v>700000</v>
      </c>
      <c r="D3412" s="7" t="s">
        <v>57</v>
      </c>
      <c r="E3412" s="7">
        <v>3.0</v>
      </c>
      <c r="F3412" s="7">
        <v>2.0</v>
      </c>
      <c r="G3412" s="7" t="s">
        <v>82</v>
      </c>
      <c r="H3412" s="7" t="s">
        <v>2313</v>
      </c>
      <c r="I3412" s="7" t="s">
        <v>22</v>
      </c>
    </row>
    <row r="3413">
      <c r="A3413" s="7" t="s">
        <v>32</v>
      </c>
      <c r="B3413" s="7" t="s">
        <v>1200</v>
      </c>
      <c r="C3413" s="8">
        <f>IFERROR(__xludf.DUMMYFUNCTION("SPLIT(B3413,""RM"")"),599000.0)</f>
        <v>599000</v>
      </c>
      <c r="D3413" s="7">
        <v>4.0</v>
      </c>
      <c r="E3413" s="7">
        <v>3.0</v>
      </c>
      <c r="G3413" s="7" t="s">
        <v>54</v>
      </c>
      <c r="H3413" s="7" t="s">
        <v>2239</v>
      </c>
      <c r="I3413" s="7" t="s">
        <v>27</v>
      </c>
    </row>
    <row r="3414">
      <c r="A3414" s="7" t="s">
        <v>267</v>
      </c>
      <c r="B3414" s="7" t="s">
        <v>807</v>
      </c>
      <c r="C3414" s="8">
        <f>IFERROR(__xludf.DUMMYFUNCTION("SPLIT(B3414,""RM"")"),1430000.0)</f>
        <v>1430000</v>
      </c>
      <c r="D3414" s="7" t="s">
        <v>57</v>
      </c>
      <c r="E3414" s="7">
        <v>4.0</v>
      </c>
      <c r="F3414" s="7">
        <v>2.0</v>
      </c>
      <c r="G3414" s="7" t="s">
        <v>83</v>
      </c>
      <c r="H3414" s="7" t="s">
        <v>1198</v>
      </c>
      <c r="I3414" s="7" t="s">
        <v>27</v>
      </c>
    </row>
    <row r="3415">
      <c r="A3415" s="7" t="s">
        <v>104</v>
      </c>
      <c r="B3415" s="7" t="s">
        <v>1073</v>
      </c>
      <c r="C3415" s="8">
        <f>IFERROR(__xludf.DUMMYFUNCTION("SPLIT(B3415,""RM"")"),588000.0)</f>
        <v>588000</v>
      </c>
      <c r="D3415" s="7" t="s">
        <v>57</v>
      </c>
      <c r="E3415" s="7">
        <v>2.0</v>
      </c>
      <c r="F3415" s="7">
        <v>2.0</v>
      </c>
      <c r="G3415" s="7" t="s">
        <v>82</v>
      </c>
      <c r="H3415" s="7" t="s">
        <v>321</v>
      </c>
      <c r="I3415" s="7" t="s">
        <v>27</v>
      </c>
    </row>
    <row r="3416">
      <c r="A3416" s="7" t="s">
        <v>33</v>
      </c>
      <c r="B3416" s="7" t="s">
        <v>18</v>
      </c>
      <c r="C3416" s="8">
        <f>IFERROR(__xludf.DUMMYFUNCTION("SPLIT(B3416,""RM"")"),1250000.0)</f>
        <v>1250000</v>
      </c>
      <c r="D3416" s="7" t="s">
        <v>70</v>
      </c>
      <c r="E3416" s="7">
        <v>4.0</v>
      </c>
      <c r="F3416" s="7">
        <v>2.0</v>
      </c>
      <c r="G3416" s="7" t="s">
        <v>90</v>
      </c>
      <c r="H3416" s="7" t="s">
        <v>2314</v>
      </c>
      <c r="I3416" s="7" t="s">
        <v>27</v>
      </c>
    </row>
    <row r="3417">
      <c r="A3417" s="7" t="s">
        <v>188</v>
      </c>
      <c r="B3417" s="7" t="s">
        <v>2315</v>
      </c>
      <c r="C3417" s="8">
        <f>IFERROR(__xludf.DUMMYFUNCTION("SPLIT(B3417,""RM"")"),3854400.0)</f>
        <v>3854400</v>
      </c>
      <c r="D3417" s="7" t="s">
        <v>57</v>
      </c>
      <c r="E3417" s="7">
        <v>4.0</v>
      </c>
      <c r="F3417" s="7">
        <v>2.0</v>
      </c>
      <c r="G3417" s="7" t="s">
        <v>20</v>
      </c>
      <c r="H3417" s="7" t="s">
        <v>2316</v>
      </c>
      <c r="I3417" s="7" t="s">
        <v>22</v>
      </c>
    </row>
    <row r="3418">
      <c r="A3418" s="7" t="s">
        <v>188</v>
      </c>
      <c r="B3418" s="7" t="s">
        <v>130</v>
      </c>
      <c r="C3418" s="8">
        <f>IFERROR(__xludf.DUMMYFUNCTION("SPLIT(B3418,""RM"")"),2700000.0)</f>
        <v>2700000</v>
      </c>
      <c r="D3418" s="7">
        <v>2.0</v>
      </c>
      <c r="E3418" s="7">
        <v>3.0</v>
      </c>
      <c r="F3418" s="7">
        <v>1.0</v>
      </c>
      <c r="G3418" s="7" t="s">
        <v>20</v>
      </c>
      <c r="H3418" s="7" t="s">
        <v>823</v>
      </c>
      <c r="I3418" s="7" t="s">
        <v>22</v>
      </c>
    </row>
    <row r="3419">
      <c r="A3419" s="7" t="s">
        <v>100</v>
      </c>
      <c r="B3419" s="7" t="s">
        <v>2184</v>
      </c>
      <c r="C3419" s="8">
        <f>IFERROR(__xludf.DUMMYFUNCTION("SPLIT(B3419,""RM"")"),340000.0)</f>
        <v>340000</v>
      </c>
      <c r="D3419" s="7">
        <v>3.0</v>
      </c>
      <c r="E3419" s="7">
        <v>2.0</v>
      </c>
      <c r="F3419" s="7">
        <v>1.0</v>
      </c>
      <c r="G3419" s="7" t="s">
        <v>121</v>
      </c>
      <c r="H3419" s="7" t="s">
        <v>491</v>
      </c>
      <c r="I3419" s="7" t="s">
        <v>27</v>
      </c>
    </row>
    <row r="3420">
      <c r="A3420" s="7" t="s">
        <v>104</v>
      </c>
      <c r="B3420" s="7" t="s">
        <v>715</v>
      </c>
      <c r="C3420" s="8">
        <f>IFERROR(__xludf.DUMMYFUNCTION("SPLIT(B3420,""RM"")"),550000.0)</f>
        <v>550000</v>
      </c>
      <c r="D3420" s="7" t="s">
        <v>19</v>
      </c>
      <c r="E3420" s="7">
        <v>2.0</v>
      </c>
      <c r="G3420" s="7" t="s">
        <v>343</v>
      </c>
    </row>
    <row r="3421">
      <c r="A3421" s="7" t="s">
        <v>33</v>
      </c>
      <c r="B3421" s="7" t="s">
        <v>809</v>
      </c>
      <c r="C3421" s="8">
        <f>IFERROR(__xludf.DUMMYFUNCTION("SPLIT(B3421,""RM"")"),645000.0)</f>
        <v>645000</v>
      </c>
      <c r="D3421" s="7" t="s">
        <v>57</v>
      </c>
      <c r="E3421" s="7">
        <v>3.0</v>
      </c>
      <c r="F3421" s="7">
        <v>3.0</v>
      </c>
      <c r="G3421" s="7" t="s">
        <v>30</v>
      </c>
      <c r="H3421" s="7" t="s">
        <v>845</v>
      </c>
      <c r="I3421" s="7" t="s">
        <v>22</v>
      </c>
    </row>
    <row r="3422">
      <c r="A3422" s="7" t="s">
        <v>23</v>
      </c>
      <c r="B3422" s="7" t="s">
        <v>472</v>
      </c>
      <c r="C3422" s="8">
        <f>IFERROR(__xludf.DUMMYFUNCTION("SPLIT(B3422,""RM"")"),1730000.0)</f>
        <v>1730000</v>
      </c>
      <c r="D3422" s="7" t="s">
        <v>197</v>
      </c>
      <c r="E3422" s="7">
        <v>2.0</v>
      </c>
      <c r="G3422" s="7" t="s">
        <v>20</v>
      </c>
      <c r="H3422" s="7" t="s">
        <v>373</v>
      </c>
      <c r="I3422" s="7" t="s">
        <v>27</v>
      </c>
    </row>
    <row r="3423">
      <c r="A3423" s="7" t="s">
        <v>177</v>
      </c>
      <c r="B3423" s="7" t="s">
        <v>858</v>
      </c>
      <c r="C3423" s="8">
        <f>IFERROR(__xludf.DUMMYFUNCTION("SPLIT(B3423,""RM"")"),1.05E7)</f>
        <v>10500000</v>
      </c>
      <c r="D3423" s="7" t="s">
        <v>70</v>
      </c>
      <c r="E3423" s="7">
        <v>7.0</v>
      </c>
      <c r="G3423" s="7" t="s">
        <v>83</v>
      </c>
      <c r="H3423" s="7" t="s">
        <v>546</v>
      </c>
      <c r="I3423" s="7" t="s">
        <v>103</v>
      </c>
    </row>
    <row r="3424">
      <c r="A3424" s="7" t="s">
        <v>17</v>
      </c>
      <c r="B3424" s="7" t="s">
        <v>422</v>
      </c>
      <c r="C3424" s="8">
        <f>IFERROR(__xludf.DUMMYFUNCTION("SPLIT(B3424,""RM"")"),2050000.0)</f>
        <v>2050000</v>
      </c>
      <c r="D3424" s="7">
        <v>2.0</v>
      </c>
      <c r="E3424" s="7">
        <v>2.0</v>
      </c>
      <c r="G3424" s="7" t="s">
        <v>121</v>
      </c>
      <c r="H3424" s="7" t="s">
        <v>446</v>
      </c>
      <c r="I3424" s="7" t="s">
        <v>27</v>
      </c>
    </row>
    <row r="3425">
      <c r="A3425" s="7" t="s">
        <v>72</v>
      </c>
      <c r="B3425" s="7" t="s">
        <v>123</v>
      </c>
      <c r="C3425" s="8">
        <f>IFERROR(__xludf.DUMMYFUNCTION("SPLIT(B3425,""RM"")"),4280000.0)</f>
        <v>4280000</v>
      </c>
      <c r="D3425" s="7" t="s">
        <v>70</v>
      </c>
      <c r="E3425" s="7">
        <v>5.0</v>
      </c>
      <c r="F3425" s="7">
        <v>4.0</v>
      </c>
      <c r="G3425" s="7" t="s">
        <v>736</v>
      </c>
      <c r="H3425" s="7" t="s">
        <v>860</v>
      </c>
      <c r="I3425" s="7" t="s">
        <v>27</v>
      </c>
    </row>
    <row r="3426">
      <c r="A3426" s="7" t="s">
        <v>86</v>
      </c>
      <c r="B3426" s="7" t="s">
        <v>1166</v>
      </c>
      <c r="C3426" s="8">
        <f>IFERROR(__xludf.DUMMYFUNCTION("SPLIT(B3426,""RM"")"),760000.0)</f>
        <v>760000</v>
      </c>
      <c r="D3426" s="7" t="s">
        <v>197</v>
      </c>
      <c r="E3426" s="7">
        <v>1.0</v>
      </c>
      <c r="G3426" s="7" t="s">
        <v>20</v>
      </c>
      <c r="H3426" s="7" t="s">
        <v>1567</v>
      </c>
    </row>
    <row r="3427">
      <c r="A3427" s="7" t="s">
        <v>177</v>
      </c>
      <c r="B3427" s="7" t="s">
        <v>243</v>
      </c>
      <c r="C3427" s="8">
        <f>IFERROR(__xludf.DUMMYFUNCTION("SPLIT(B3427,""RM"")"),1350000.0)</f>
        <v>1350000</v>
      </c>
      <c r="D3427" s="7">
        <v>3.0</v>
      </c>
      <c r="E3427" s="7">
        <v>2.0</v>
      </c>
      <c r="F3427" s="7">
        <v>1.0</v>
      </c>
      <c r="G3427" s="7" t="s">
        <v>83</v>
      </c>
      <c r="H3427" s="7" t="s">
        <v>2317</v>
      </c>
    </row>
    <row r="3428">
      <c r="A3428" s="7" t="s">
        <v>77</v>
      </c>
      <c r="B3428" s="7" t="s">
        <v>1289</v>
      </c>
      <c r="C3428" s="8">
        <f>IFERROR(__xludf.DUMMYFUNCTION("SPLIT(B3428,""RM"")"),2730000.0)</f>
        <v>2730000</v>
      </c>
      <c r="D3428" s="7" t="s">
        <v>57</v>
      </c>
      <c r="E3428" s="7">
        <v>5.0</v>
      </c>
      <c r="F3428" s="7">
        <v>3.0</v>
      </c>
      <c r="G3428" s="7" t="s">
        <v>184</v>
      </c>
      <c r="H3428" s="7" t="s">
        <v>176</v>
      </c>
      <c r="I3428" s="7" t="s">
        <v>27</v>
      </c>
    </row>
    <row r="3429">
      <c r="A3429" s="7" t="s">
        <v>32</v>
      </c>
      <c r="B3429" s="7" t="s">
        <v>1493</v>
      </c>
      <c r="C3429" s="8">
        <f>IFERROR(__xludf.DUMMYFUNCTION("SPLIT(B3429,""RM"")"),537000.0)</f>
        <v>537000</v>
      </c>
      <c r="D3429" s="7">
        <v>4.0</v>
      </c>
      <c r="E3429" s="7">
        <v>3.0</v>
      </c>
      <c r="F3429" s="7">
        <v>2.0</v>
      </c>
      <c r="G3429" s="7" t="s">
        <v>83</v>
      </c>
      <c r="H3429" s="7" t="s">
        <v>161</v>
      </c>
    </row>
    <row r="3430">
      <c r="A3430" s="7" t="s">
        <v>2237</v>
      </c>
      <c r="B3430" s="7" t="s">
        <v>2318</v>
      </c>
      <c r="C3430" s="8">
        <f>IFERROR(__xludf.DUMMYFUNCTION("SPLIT(B3430,""RM"")"),402000.0)</f>
        <v>402000</v>
      </c>
      <c r="D3430" s="7">
        <v>2.0</v>
      </c>
      <c r="E3430" s="7">
        <v>2.0</v>
      </c>
      <c r="F3430" s="7">
        <v>1.0</v>
      </c>
      <c r="G3430" s="7" t="s">
        <v>82</v>
      </c>
      <c r="H3430" s="7" t="s">
        <v>392</v>
      </c>
      <c r="I3430" s="7" t="s">
        <v>22</v>
      </c>
    </row>
    <row r="3431">
      <c r="A3431" s="7" t="s">
        <v>171</v>
      </c>
      <c r="B3431" s="7" t="s">
        <v>2016</v>
      </c>
      <c r="C3431" s="8">
        <f>IFERROR(__xludf.DUMMYFUNCTION("SPLIT(B3431,""RM"")"),435000.0)</f>
        <v>435000</v>
      </c>
      <c r="D3431" s="7">
        <v>3.0</v>
      </c>
      <c r="E3431" s="7">
        <v>2.0</v>
      </c>
      <c r="F3431" s="7">
        <v>2.0</v>
      </c>
      <c r="G3431" s="7" t="s">
        <v>82</v>
      </c>
      <c r="H3431" s="7" t="s">
        <v>2319</v>
      </c>
      <c r="I3431" s="7" t="s">
        <v>27</v>
      </c>
    </row>
    <row r="3432">
      <c r="A3432" s="7" t="s">
        <v>72</v>
      </c>
      <c r="B3432" s="7" t="s">
        <v>712</v>
      </c>
      <c r="C3432" s="8">
        <f>IFERROR(__xludf.DUMMYFUNCTION("SPLIT(B3432,""RM"")"),1880000.0)</f>
        <v>1880000</v>
      </c>
      <c r="D3432" s="7" t="s">
        <v>57</v>
      </c>
      <c r="E3432" s="7">
        <v>4.0</v>
      </c>
      <c r="F3432" s="7">
        <v>2.0</v>
      </c>
      <c r="G3432" s="7" t="s">
        <v>93</v>
      </c>
      <c r="H3432" s="7" t="s">
        <v>278</v>
      </c>
      <c r="I3432" s="7" t="s">
        <v>22</v>
      </c>
    </row>
    <row r="3433">
      <c r="A3433" s="7" t="s">
        <v>33</v>
      </c>
      <c r="B3433" s="7" t="s">
        <v>534</v>
      </c>
      <c r="C3433" s="8">
        <f>IFERROR(__xludf.DUMMYFUNCTION("SPLIT(B3433,""RM"")"),3200000.0)</f>
        <v>3200000</v>
      </c>
      <c r="D3433" s="7" t="s">
        <v>60</v>
      </c>
      <c r="E3433" s="7">
        <v>7.0</v>
      </c>
      <c r="F3433" s="7">
        <v>5.0</v>
      </c>
      <c r="G3433" s="7" t="s">
        <v>64</v>
      </c>
      <c r="H3433" s="7" t="s">
        <v>946</v>
      </c>
      <c r="I3433" s="7" t="s">
        <v>27</v>
      </c>
    </row>
    <row r="3434">
      <c r="A3434" s="7" t="s">
        <v>33</v>
      </c>
      <c r="B3434" s="7" t="s">
        <v>890</v>
      </c>
      <c r="C3434" s="8">
        <f>IFERROR(__xludf.DUMMYFUNCTION("SPLIT(B3434,""RM"")"),450000.0)</f>
        <v>450000</v>
      </c>
      <c r="D3434" s="7">
        <v>3.0</v>
      </c>
      <c r="E3434" s="7">
        <v>2.0</v>
      </c>
      <c r="F3434" s="7">
        <v>1.0</v>
      </c>
      <c r="G3434" s="7" t="s">
        <v>93</v>
      </c>
      <c r="H3434" s="7" t="s">
        <v>2320</v>
      </c>
      <c r="I3434" s="7" t="s">
        <v>22</v>
      </c>
    </row>
    <row r="3435">
      <c r="A3435" s="7" t="s">
        <v>72</v>
      </c>
      <c r="B3435" s="7" t="s">
        <v>1038</v>
      </c>
      <c r="C3435" s="8">
        <f>IFERROR(__xludf.DUMMYFUNCTION("SPLIT(B3435,""RM"")"),6200000.0)</f>
        <v>6200000</v>
      </c>
      <c r="D3435" s="7" t="s">
        <v>299</v>
      </c>
      <c r="E3435" s="7">
        <v>8.0</v>
      </c>
      <c r="G3435" s="7" t="s">
        <v>25</v>
      </c>
      <c r="H3435" s="7" t="s">
        <v>2321</v>
      </c>
      <c r="I3435" s="7" t="s">
        <v>27</v>
      </c>
    </row>
    <row r="3436">
      <c r="A3436" s="7" t="s">
        <v>371</v>
      </c>
      <c r="B3436" s="7" t="s">
        <v>885</v>
      </c>
      <c r="C3436" s="8">
        <f>IFERROR(__xludf.DUMMYFUNCTION("SPLIT(B3436,""RM"")"),609000.0)</f>
        <v>609000</v>
      </c>
      <c r="D3436" s="7" t="s">
        <v>19</v>
      </c>
      <c r="E3436" s="7">
        <v>2.0</v>
      </c>
      <c r="G3436" s="7" t="s">
        <v>83</v>
      </c>
      <c r="H3436" s="7" t="s">
        <v>2284</v>
      </c>
      <c r="I3436" s="7" t="s">
        <v>27</v>
      </c>
    </row>
    <row r="3437">
      <c r="A3437" s="7" t="s">
        <v>515</v>
      </c>
      <c r="B3437" s="7" t="s">
        <v>386</v>
      </c>
      <c r="C3437" s="8">
        <f>IFERROR(__xludf.DUMMYFUNCTION("SPLIT(B3437,""RM"")"),2380000.0)</f>
        <v>2380000</v>
      </c>
      <c r="D3437" s="7" t="s">
        <v>70</v>
      </c>
      <c r="E3437" s="7">
        <v>4.0</v>
      </c>
      <c r="F3437" s="7">
        <v>3.0</v>
      </c>
      <c r="G3437" s="7" t="s">
        <v>25</v>
      </c>
      <c r="H3437" s="7" t="s">
        <v>2322</v>
      </c>
      <c r="I3437" s="7" t="s">
        <v>27</v>
      </c>
    </row>
    <row r="3438">
      <c r="A3438" s="7" t="s">
        <v>371</v>
      </c>
      <c r="B3438" s="7" t="s">
        <v>49</v>
      </c>
      <c r="C3438" s="8">
        <f>IFERROR(__xludf.DUMMYFUNCTION("SPLIT(B3438,""RM"")"),385000.0)</f>
        <v>385000</v>
      </c>
      <c r="D3438" s="7" t="s">
        <v>197</v>
      </c>
      <c r="E3438" s="7">
        <v>2.0</v>
      </c>
      <c r="F3438" s="7">
        <v>1.0</v>
      </c>
      <c r="G3438" s="7" t="s">
        <v>82</v>
      </c>
      <c r="H3438" s="7" t="s">
        <v>2323</v>
      </c>
      <c r="I3438" s="7" t="s">
        <v>27</v>
      </c>
    </row>
    <row r="3439">
      <c r="A3439" s="7" t="s">
        <v>32</v>
      </c>
      <c r="B3439" s="7" t="s">
        <v>759</v>
      </c>
      <c r="C3439" s="8">
        <f>IFERROR(__xludf.DUMMYFUNCTION("SPLIT(B3439,""RM"")"),520000.0)</f>
        <v>520000</v>
      </c>
      <c r="D3439" s="7">
        <v>3.0</v>
      </c>
      <c r="E3439" s="7">
        <v>2.0</v>
      </c>
      <c r="F3439" s="7">
        <v>2.0</v>
      </c>
      <c r="G3439" s="7" t="s">
        <v>20</v>
      </c>
      <c r="H3439" s="7" t="s">
        <v>2324</v>
      </c>
      <c r="I3439" s="7" t="s">
        <v>103</v>
      </c>
    </row>
    <row r="3440">
      <c r="A3440" s="7" t="s">
        <v>72</v>
      </c>
      <c r="B3440" s="7" t="s">
        <v>1553</v>
      </c>
      <c r="C3440" s="8">
        <f>IFERROR(__xludf.DUMMYFUNCTION("SPLIT(B3440,""RM"")"),1.1E7)</f>
        <v>11000000</v>
      </c>
      <c r="D3440" s="7" t="s">
        <v>70</v>
      </c>
      <c r="E3440" s="7">
        <v>8.0</v>
      </c>
      <c r="F3440" s="7">
        <v>5.0</v>
      </c>
      <c r="G3440" s="7" t="s">
        <v>67</v>
      </c>
      <c r="H3440" s="7" t="s">
        <v>2325</v>
      </c>
      <c r="I3440" s="7" t="s">
        <v>27</v>
      </c>
    </row>
    <row r="3441">
      <c r="A3441" s="7" t="s">
        <v>100</v>
      </c>
      <c r="B3441" s="7" t="s">
        <v>632</v>
      </c>
      <c r="C3441" s="8">
        <f>IFERROR(__xludf.DUMMYFUNCTION("SPLIT(B3441,""RM"")"),870000.0)</f>
        <v>870000</v>
      </c>
      <c r="D3441" s="7" t="s">
        <v>57</v>
      </c>
      <c r="E3441" s="7">
        <v>3.0</v>
      </c>
      <c r="F3441" s="7">
        <v>2.0</v>
      </c>
      <c r="G3441" s="7" t="s">
        <v>83</v>
      </c>
      <c r="H3441" s="7" t="s">
        <v>2326</v>
      </c>
      <c r="I3441" s="7" t="s">
        <v>27</v>
      </c>
    </row>
    <row r="3442">
      <c r="A3442" s="7" t="s">
        <v>100</v>
      </c>
      <c r="B3442" s="7" t="s">
        <v>874</v>
      </c>
      <c r="C3442" s="8">
        <f>IFERROR(__xludf.DUMMYFUNCTION("SPLIT(B3442,""RM"")"),945000.0)</f>
        <v>945000</v>
      </c>
      <c r="D3442" s="7" t="s">
        <v>57</v>
      </c>
      <c r="E3442" s="7">
        <v>3.0</v>
      </c>
      <c r="F3442" s="7">
        <v>2.0</v>
      </c>
      <c r="G3442" s="7" t="s">
        <v>30</v>
      </c>
      <c r="H3442" s="7" t="s">
        <v>1072</v>
      </c>
      <c r="I3442" s="7" t="s">
        <v>22</v>
      </c>
    </row>
    <row r="3443">
      <c r="A3443" s="7" t="s">
        <v>100</v>
      </c>
      <c r="B3443" s="7" t="s">
        <v>632</v>
      </c>
      <c r="C3443" s="8">
        <f>IFERROR(__xludf.DUMMYFUNCTION("SPLIT(B3443,""RM"")"),870000.0)</f>
        <v>870000</v>
      </c>
      <c r="D3443" s="7" t="s">
        <v>57</v>
      </c>
      <c r="E3443" s="7">
        <v>3.0</v>
      </c>
      <c r="F3443" s="7">
        <v>2.0</v>
      </c>
      <c r="G3443" s="7" t="s">
        <v>83</v>
      </c>
      <c r="H3443" s="7" t="s">
        <v>1132</v>
      </c>
      <c r="I3443" s="7" t="s">
        <v>27</v>
      </c>
    </row>
    <row r="3444">
      <c r="A3444" s="7" t="s">
        <v>1014</v>
      </c>
      <c r="B3444" s="7" t="s">
        <v>967</v>
      </c>
      <c r="C3444" s="8">
        <f>IFERROR(__xludf.DUMMYFUNCTION("SPLIT(B3444,""RM"")"),680000.0)</f>
        <v>680000</v>
      </c>
      <c r="D3444" s="7" t="s">
        <v>35</v>
      </c>
      <c r="E3444" s="7">
        <v>3.0</v>
      </c>
      <c r="F3444" s="7">
        <v>1.0</v>
      </c>
      <c r="G3444" s="7" t="s">
        <v>83</v>
      </c>
      <c r="H3444" s="7" t="s">
        <v>845</v>
      </c>
      <c r="I3444" s="7" t="s">
        <v>27</v>
      </c>
    </row>
    <row r="3445">
      <c r="A3445" s="7" t="s">
        <v>109</v>
      </c>
      <c r="B3445" s="7" t="s">
        <v>715</v>
      </c>
      <c r="C3445" s="8">
        <f>IFERROR(__xludf.DUMMYFUNCTION("SPLIT(B3445,""RM"")"),550000.0)</f>
        <v>550000</v>
      </c>
      <c r="D3445" s="7">
        <v>2.0</v>
      </c>
      <c r="E3445" s="7">
        <v>2.0</v>
      </c>
      <c r="F3445" s="7">
        <v>1.0</v>
      </c>
      <c r="G3445" s="7" t="s">
        <v>83</v>
      </c>
      <c r="H3445" s="7" t="s">
        <v>2187</v>
      </c>
      <c r="I3445" s="7" t="s">
        <v>27</v>
      </c>
    </row>
    <row r="3446">
      <c r="A3446" s="7" t="s">
        <v>89</v>
      </c>
      <c r="B3446" s="7" t="s">
        <v>1382</v>
      </c>
      <c r="C3446" s="8">
        <f>IFERROR(__xludf.DUMMYFUNCTION("SPLIT(B3446,""RM"")"),525000.0)</f>
        <v>525000</v>
      </c>
      <c r="D3446" s="7">
        <v>3.0</v>
      </c>
      <c r="E3446" s="7">
        <v>2.0</v>
      </c>
      <c r="F3446" s="7">
        <v>2.0</v>
      </c>
      <c r="G3446" s="7" t="s">
        <v>83</v>
      </c>
      <c r="H3446" s="7" t="s">
        <v>1106</v>
      </c>
      <c r="I3446" s="7" t="s">
        <v>27</v>
      </c>
    </row>
    <row r="3447">
      <c r="A3447" s="7" t="s">
        <v>100</v>
      </c>
      <c r="B3447" s="7" t="s">
        <v>327</v>
      </c>
      <c r="C3447" s="8">
        <f>IFERROR(__xludf.DUMMYFUNCTION("SPLIT(B3447,""RM"")"),1300000.0)</f>
        <v>1300000</v>
      </c>
      <c r="D3447" s="7" t="s">
        <v>79</v>
      </c>
      <c r="E3447" s="7">
        <v>4.0</v>
      </c>
      <c r="F3447" s="7">
        <v>3.0</v>
      </c>
      <c r="G3447" s="7" t="s">
        <v>30</v>
      </c>
      <c r="H3447" s="7" t="s">
        <v>741</v>
      </c>
      <c r="I3447" s="7" t="s">
        <v>22</v>
      </c>
    </row>
    <row r="3448">
      <c r="A3448" s="7" t="s">
        <v>371</v>
      </c>
      <c r="B3448" s="7" t="s">
        <v>759</v>
      </c>
      <c r="C3448" s="8">
        <f>IFERROR(__xludf.DUMMYFUNCTION("SPLIT(B3448,""RM"")"),520000.0)</f>
        <v>520000</v>
      </c>
      <c r="D3448" s="7">
        <v>3.0</v>
      </c>
      <c r="E3448" s="7">
        <v>2.0</v>
      </c>
      <c r="F3448" s="7">
        <v>1.0</v>
      </c>
      <c r="G3448" s="7" t="s">
        <v>54</v>
      </c>
      <c r="H3448" s="7" t="s">
        <v>2327</v>
      </c>
      <c r="I3448" s="7" t="s">
        <v>27</v>
      </c>
    </row>
    <row r="3449">
      <c r="A3449" s="7" t="s">
        <v>180</v>
      </c>
      <c r="B3449" s="7" t="s">
        <v>523</v>
      </c>
      <c r="C3449" s="8">
        <f>IFERROR(__xludf.DUMMYFUNCTION("SPLIT(B3449,""RM"")"),6000000.0)</f>
        <v>6000000</v>
      </c>
      <c r="D3449" s="7" t="s">
        <v>57</v>
      </c>
      <c r="E3449" s="7">
        <v>4.0</v>
      </c>
      <c r="F3449" s="7">
        <v>2.0</v>
      </c>
      <c r="G3449" s="7" t="s">
        <v>378</v>
      </c>
      <c r="H3449" s="7" t="s">
        <v>1027</v>
      </c>
      <c r="I3449" s="7" t="s">
        <v>22</v>
      </c>
    </row>
    <row r="3450">
      <c r="A3450" s="7" t="s">
        <v>33</v>
      </c>
      <c r="B3450" s="7" t="s">
        <v>2184</v>
      </c>
      <c r="C3450" s="8">
        <f>IFERROR(__xludf.DUMMYFUNCTION("SPLIT(B3450,""RM"")"),340000.0)</f>
        <v>340000</v>
      </c>
      <c r="D3450" s="7">
        <v>3.0</v>
      </c>
      <c r="E3450" s="7">
        <v>2.0</v>
      </c>
      <c r="F3450" s="7">
        <v>1.0</v>
      </c>
      <c r="G3450" s="7" t="s">
        <v>354</v>
      </c>
      <c r="H3450" s="7" t="s">
        <v>2328</v>
      </c>
    </row>
    <row r="3451">
      <c r="A3451" s="7" t="s">
        <v>37</v>
      </c>
      <c r="B3451" s="7" t="s">
        <v>243</v>
      </c>
      <c r="C3451" s="8">
        <f>IFERROR(__xludf.DUMMYFUNCTION("SPLIT(B3451,""RM"")"),1350000.0)</f>
        <v>1350000</v>
      </c>
      <c r="D3451" s="7">
        <v>3.0</v>
      </c>
      <c r="E3451" s="7">
        <v>3.0</v>
      </c>
      <c r="F3451" s="7">
        <v>2.0</v>
      </c>
      <c r="G3451" s="7" t="s">
        <v>82</v>
      </c>
      <c r="H3451" s="7" t="s">
        <v>473</v>
      </c>
      <c r="I3451" s="7" t="s">
        <v>27</v>
      </c>
    </row>
    <row r="3452">
      <c r="A3452" s="7" t="s">
        <v>155</v>
      </c>
      <c r="B3452" s="7" t="s">
        <v>620</v>
      </c>
      <c r="C3452" s="8">
        <f>IFERROR(__xludf.DUMMYFUNCTION("SPLIT(B3452,""RM"")"),840000.0)</f>
        <v>840000</v>
      </c>
      <c r="D3452" s="7">
        <v>3.0</v>
      </c>
      <c r="E3452" s="7">
        <v>3.0</v>
      </c>
      <c r="F3452" s="7">
        <v>2.0</v>
      </c>
      <c r="G3452" s="7" t="s">
        <v>93</v>
      </c>
      <c r="H3452" s="7" t="s">
        <v>2329</v>
      </c>
      <c r="I3452" s="7" t="s">
        <v>27</v>
      </c>
    </row>
    <row r="3453">
      <c r="A3453" s="7" t="s">
        <v>1476</v>
      </c>
      <c r="B3453" s="7" t="s">
        <v>2052</v>
      </c>
      <c r="C3453" s="8">
        <f>IFERROR(__xludf.DUMMYFUNCTION("SPLIT(B3453,""RM"")"),3230000.0)</f>
        <v>3230000</v>
      </c>
      <c r="D3453" s="7" t="s">
        <v>35</v>
      </c>
      <c r="E3453" s="7">
        <v>5.0</v>
      </c>
      <c r="G3453" s="7" t="s">
        <v>43</v>
      </c>
      <c r="H3453" s="7" t="s">
        <v>1118</v>
      </c>
      <c r="I3453" s="7" t="s">
        <v>251</v>
      </c>
    </row>
    <row r="3454">
      <c r="A3454" s="7" t="s">
        <v>28</v>
      </c>
      <c r="B3454" s="7" t="s">
        <v>249</v>
      </c>
      <c r="C3454" s="8">
        <f>IFERROR(__xludf.DUMMYFUNCTION("SPLIT(B3454,""RM"")"),1035000.0)</f>
        <v>1035000</v>
      </c>
      <c r="D3454" s="7" t="s">
        <v>57</v>
      </c>
      <c r="E3454" s="7">
        <v>5.0</v>
      </c>
      <c r="F3454" s="7">
        <v>2.0</v>
      </c>
      <c r="G3454" s="7" t="s">
        <v>30</v>
      </c>
      <c r="H3454" s="7" t="s">
        <v>97</v>
      </c>
      <c r="I3454" s="7" t="s">
        <v>27</v>
      </c>
    </row>
    <row r="3455">
      <c r="A3455" s="7" t="s">
        <v>32</v>
      </c>
      <c r="B3455" s="7" t="s">
        <v>229</v>
      </c>
      <c r="C3455" s="8">
        <f>IFERROR(__xludf.DUMMYFUNCTION("SPLIT(B3455,""RM"")"),1050000.0)</f>
        <v>1050000</v>
      </c>
      <c r="D3455" s="7">
        <v>2.0</v>
      </c>
      <c r="E3455" s="7">
        <v>2.0</v>
      </c>
      <c r="F3455" s="7">
        <v>1.0</v>
      </c>
      <c r="G3455" s="7" t="s">
        <v>50</v>
      </c>
      <c r="H3455" s="7" t="s">
        <v>2012</v>
      </c>
      <c r="I3455" s="7" t="s">
        <v>251</v>
      </c>
    </row>
    <row r="3456">
      <c r="A3456" s="7" t="s">
        <v>52</v>
      </c>
      <c r="B3456" s="7" t="s">
        <v>42</v>
      </c>
      <c r="C3456" s="8">
        <f>IFERROR(__xludf.DUMMYFUNCTION("SPLIT(B3456,""RM"")"),2600000.0)</f>
        <v>2600000</v>
      </c>
      <c r="D3456" s="7">
        <v>4.0</v>
      </c>
      <c r="E3456" s="7">
        <v>5.0</v>
      </c>
      <c r="F3456" s="7">
        <v>3.0</v>
      </c>
      <c r="G3456" s="7" t="s">
        <v>169</v>
      </c>
      <c r="H3456" s="7" t="s">
        <v>1594</v>
      </c>
      <c r="I3456" s="7" t="s">
        <v>27</v>
      </c>
    </row>
    <row r="3457">
      <c r="A3457" s="7" t="s">
        <v>32</v>
      </c>
      <c r="B3457" s="7" t="s">
        <v>489</v>
      </c>
      <c r="C3457" s="8">
        <f>IFERROR(__xludf.DUMMYFUNCTION("SPLIT(B3457,""RM"")"),1230000.0)</f>
        <v>1230000</v>
      </c>
      <c r="D3457" s="7" t="s">
        <v>35</v>
      </c>
      <c r="E3457" s="7">
        <v>4.0</v>
      </c>
      <c r="F3457" s="7">
        <v>2.0</v>
      </c>
      <c r="G3457" s="7" t="s">
        <v>83</v>
      </c>
      <c r="H3457" s="7" t="s">
        <v>2330</v>
      </c>
    </row>
    <row r="3458">
      <c r="A3458" s="7" t="s">
        <v>32</v>
      </c>
      <c r="B3458" s="7" t="s">
        <v>332</v>
      </c>
      <c r="C3458" s="8">
        <f>IFERROR(__xludf.DUMMYFUNCTION("SPLIT(B3458,""RM"")"),998000.0)</f>
        <v>998000</v>
      </c>
      <c r="D3458" s="7">
        <v>6.0</v>
      </c>
      <c r="E3458" s="7">
        <v>3.0</v>
      </c>
      <c r="G3458" s="7" t="s">
        <v>2331</v>
      </c>
      <c r="H3458" s="7" t="s">
        <v>737</v>
      </c>
    </row>
    <row r="3459">
      <c r="A3459" s="7" t="s">
        <v>104</v>
      </c>
      <c r="B3459" s="7" t="s">
        <v>641</v>
      </c>
      <c r="C3459" s="8">
        <f>IFERROR(__xludf.DUMMYFUNCTION("SPLIT(B3459,""RM"")"),830000.0)</f>
        <v>830000</v>
      </c>
      <c r="D3459" s="7" t="s">
        <v>57</v>
      </c>
      <c r="E3459" s="7">
        <v>3.0</v>
      </c>
      <c r="F3459" s="7">
        <v>2.0</v>
      </c>
      <c r="G3459" s="7" t="s">
        <v>54</v>
      </c>
      <c r="H3459" s="7" t="s">
        <v>1523</v>
      </c>
      <c r="I3459" s="7" t="s">
        <v>27</v>
      </c>
    </row>
    <row r="3460">
      <c r="A3460" s="7" t="s">
        <v>37</v>
      </c>
      <c r="B3460" s="7" t="s">
        <v>144</v>
      </c>
      <c r="C3460" s="8">
        <f>IFERROR(__xludf.DUMMYFUNCTION("SPLIT(B3460,""RM"")"),1800000.0)</f>
        <v>1800000</v>
      </c>
      <c r="D3460" s="7" t="s">
        <v>1234</v>
      </c>
      <c r="E3460" s="7">
        <v>4.0</v>
      </c>
      <c r="F3460" s="7">
        <v>3.0</v>
      </c>
      <c r="G3460" s="7" t="s">
        <v>82</v>
      </c>
      <c r="H3460" s="7" t="s">
        <v>2332</v>
      </c>
      <c r="I3460" s="7" t="s">
        <v>27</v>
      </c>
    </row>
    <row r="3461">
      <c r="A3461" s="7" t="s">
        <v>17</v>
      </c>
      <c r="B3461" s="7" t="s">
        <v>403</v>
      </c>
      <c r="C3461" s="8">
        <f>IFERROR(__xludf.DUMMYFUNCTION("SPLIT(B3461,""RM"")"),1600000.0)</f>
        <v>1600000</v>
      </c>
      <c r="D3461" s="7" t="s">
        <v>19</v>
      </c>
      <c r="E3461" s="7">
        <v>2.0</v>
      </c>
      <c r="F3461" s="7">
        <v>1.0</v>
      </c>
      <c r="G3461" s="7" t="s">
        <v>83</v>
      </c>
      <c r="H3461" s="7" t="s">
        <v>74</v>
      </c>
      <c r="I3461" s="7" t="s">
        <v>27</v>
      </c>
    </row>
    <row r="3462">
      <c r="A3462" s="7" t="s">
        <v>28</v>
      </c>
      <c r="B3462" s="7" t="s">
        <v>132</v>
      </c>
      <c r="C3462" s="8">
        <f>IFERROR(__xludf.DUMMYFUNCTION("SPLIT(B3462,""RM"")"),1080000.0)</f>
        <v>1080000</v>
      </c>
      <c r="D3462" s="7" t="s">
        <v>35</v>
      </c>
      <c r="E3462" s="7">
        <v>3.0</v>
      </c>
      <c r="G3462" s="7" t="s">
        <v>83</v>
      </c>
      <c r="H3462" s="7" t="s">
        <v>2333</v>
      </c>
      <c r="I3462" s="7" t="s">
        <v>27</v>
      </c>
    </row>
    <row r="3463">
      <c r="A3463" s="7" t="s">
        <v>100</v>
      </c>
      <c r="B3463" s="7" t="s">
        <v>899</v>
      </c>
      <c r="C3463" s="8">
        <f>IFERROR(__xludf.DUMMYFUNCTION("SPLIT(B3463,""RM"")"),1160000.0)</f>
        <v>1160000</v>
      </c>
      <c r="D3463" s="7" t="s">
        <v>19</v>
      </c>
      <c r="E3463" s="7">
        <v>3.0</v>
      </c>
      <c r="F3463" s="7">
        <v>2.0</v>
      </c>
      <c r="G3463" s="7" t="s">
        <v>93</v>
      </c>
      <c r="H3463" s="7" t="s">
        <v>1252</v>
      </c>
      <c r="I3463" s="7" t="s">
        <v>27</v>
      </c>
    </row>
    <row r="3464">
      <c r="A3464" s="7" t="s">
        <v>86</v>
      </c>
      <c r="B3464" s="7" t="s">
        <v>423</v>
      </c>
      <c r="C3464" s="8">
        <f>IFERROR(__xludf.DUMMYFUNCTION("SPLIT(B3464,""RM"")"),1121800.0)</f>
        <v>1121800</v>
      </c>
      <c r="D3464" s="7" t="s">
        <v>19</v>
      </c>
      <c r="E3464" s="7">
        <v>2.0</v>
      </c>
      <c r="F3464" s="7">
        <v>1.0</v>
      </c>
      <c r="G3464" s="7" t="s">
        <v>20</v>
      </c>
      <c r="H3464" s="7" t="s">
        <v>135</v>
      </c>
      <c r="I3464" s="7" t="s">
        <v>27</v>
      </c>
    </row>
    <row r="3465">
      <c r="A3465" s="7" t="s">
        <v>17</v>
      </c>
      <c r="B3465" s="7" t="s">
        <v>141</v>
      </c>
      <c r="C3465" s="8">
        <f>IFERROR(__xludf.DUMMYFUNCTION("SPLIT(B3465,""RM"")"),4098000.0)</f>
        <v>4098000</v>
      </c>
      <c r="D3465" s="7" t="s">
        <v>57</v>
      </c>
      <c r="E3465" s="7">
        <v>4.0</v>
      </c>
      <c r="F3465" s="7">
        <v>2.0</v>
      </c>
      <c r="G3465" s="7" t="s">
        <v>121</v>
      </c>
      <c r="H3465" s="7" t="s">
        <v>2330</v>
      </c>
      <c r="I3465" s="7" t="s">
        <v>22</v>
      </c>
    </row>
    <row r="3466">
      <c r="A3466" s="7" t="s">
        <v>180</v>
      </c>
      <c r="B3466" s="7" t="s">
        <v>790</v>
      </c>
      <c r="C3466" s="8">
        <f>IFERROR(__xludf.DUMMYFUNCTION("SPLIT(B3466,""RM"")"),2680000.0)</f>
        <v>2680000</v>
      </c>
      <c r="D3466" s="7" t="s">
        <v>57</v>
      </c>
      <c r="E3466" s="7">
        <v>4.0</v>
      </c>
      <c r="F3466" s="7">
        <v>2.0</v>
      </c>
      <c r="G3466" s="7" t="s">
        <v>20</v>
      </c>
      <c r="H3466" s="7" t="s">
        <v>2334</v>
      </c>
    </row>
    <row r="3467">
      <c r="A3467" s="7" t="s">
        <v>432</v>
      </c>
      <c r="B3467" s="7" t="s">
        <v>545</v>
      </c>
      <c r="C3467" s="8">
        <f>IFERROR(__xludf.DUMMYFUNCTION("SPLIT(B3467,""RM"")"),1.0E7)</f>
        <v>10000000</v>
      </c>
      <c r="D3467" s="7" t="s">
        <v>60</v>
      </c>
      <c r="E3467" s="7">
        <v>9.0</v>
      </c>
      <c r="G3467" s="7" t="s">
        <v>25</v>
      </c>
      <c r="H3467" s="7" t="s">
        <v>434</v>
      </c>
      <c r="I3467" s="7" t="s">
        <v>27</v>
      </c>
    </row>
    <row r="3468">
      <c r="A3468" s="7" t="s">
        <v>32</v>
      </c>
      <c r="B3468" s="7" t="s">
        <v>1341</v>
      </c>
      <c r="C3468" s="8">
        <f>IFERROR(__xludf.DUMMYFUNCTION("SPLIT(B3468,""RM"")"),368000.0)</f>
        <v>368000</v>
      </c>
      <c r="D3468" s="7">
        <v>2.0</v>
      </c>
      <c r="E3468" s="7">
        <v>2.0</v>
      </c>
      <c r="F3468" s="7">
        <v>1.0</v>
      </c>
      <c r="G3468" s="7" t="s">
        <v>20</v>
      </c>
      <c r="H3468" s="7" t="s">
        <v>242</v>
      </c>
      <c r="I3468" s="7" t="s">
        <v>27</v>
      </c>
    </row>
    <row r="3469">
      <c r="A3469" s="7" t="s">
        <v>72</v>
      </c>
      <c r="B3469" s="7" t="s">
        <v>2335</v>
      </c>
      <c r="C3469" s="8">
        <f>IFERROR(__xludf.DUMMYFUNCTION("SPLIT(B3469,""RM"")"),1642744.0)</f>
        <v>1642744</v>
      </c>
      <c r="D3469" s="7" t="s">
        <v>35</v>
      </c>
      <c r="E3469" s="7">
        <v>5.0</v>
      </c>
      <c r="F3469" s="7">
        <v>3.0</v>
      </c>
      <c r="G3469" s="7" t="s">
        <v>83</v>
      </c>
      <c r="H3469" s="7" t="s">
        <v>84</v>
      </c>
      <c r="I3469" s="7" t="s">
        <v>27</v>
      </c>
    </row>
    <row r="3470">
      <c r="A3470" s="7" t="s">
        <v>72</v>
      </c>
      <c r="B3470" s="7" t="s">
        <v>386</v>
      </c>
      <c r="C3470" s="8">
        <f>IFERROR(__xludf.DUMMYFUNCTION("SPLIT(B3470,""RM"")"),2380000.0)</f>
        <v>2380000</v>
      </c>
      <c r="D3470" s="7" t="s">
        <v>35</v>
      </c>
      <c r="E3470" s="7">
        <v>5.0</v>
      </c>
      <c r="G3470" s="7" t="s">
        <v>30</v>
      </c>
      <c r="H3470" s="7" t="s">
        <v>431</v>
      </c>
    </row>
    <row r="3471">
      <c r="A3471" s="7" t="s">
        <v>100</v>
      </c>
      <c r="B3471" s="7" t="s">
        <v>398</v>
      </c>
      <c r="C3471" s="8">
        <f>IFERROR(__xludf.DUMMYFUNCTION("SPLIT(B3471,""RM"")"),2280000.0)</f>
        <v>2280000</v>
      </c>
      <c r="D3471" s="7">
        <v>4.0</v>
      </c>
      <c r="E3471" s="7">
        <v>3.0</v>
      </c>
      <c r="G3471" s="7" t="s">
        <v>25</v>
      </c>
      <c r="H3471" s="7" t="s">
        <v>2336</v>
      </c>
      <c r="I3471" s="7" t="s">
        <v>27</v>
      </c>
    </row>
    <row r="3472">
      <c r="A3472" s="7" t="s">
        <v>17</v>
      </c>
      <c r="B3472" s="7" t="s">
        <v>34</v>
      </c>
      <c r="C3472" s="8">
        <f>IFERROR(__xludf.DUMMYFUNCTION("SPLIT(B3472,""RM"")"),900000.0)</f>
        <v>900000</v>
      </c>
      <c r="D3472" s="7">
        <v>2.0</v>
      </c>
      <c r="G3472" s="7" t="s">
        <v>20</v>
      </c>
      <c r="H3472" s="7" t="s">
        <v>2337</v>
      </c>
      <c r="I3472" s="7" t="s">
        <v>22</v>
      </c>
    </row>
    <row r="3473">
      <c r="A3473" s="7" t="s">
        <v>432</v>
      </c>
      <c r="B3473" s="7" t="s">
        <v>499</v>
      </c>
      <c r="C3473" s="8">
        <f>IFERROR(__xludf.DUMMYFUNCTION("SPLIT(B3473,""RM"")"),3900000.0)</f>
        <v>3900000</v>
      </c>
      <c r="D3473" s="7">
        <v>4.0</v>
      </c>
      <c r="E3473" s="7">
        <v>4.0</v>
      </c>
      <c r="G3473" s="7" t="s">
        <v>83</v>
      </c>
      <c r="H3473" s="7" t="s">
        <v>2338</v>
      </c>
      <c r="I3473" s="7" t="s">
        <v>22</v>
      </c>
    </row>
    <row r="3474">
      <c r="A3474" s="7" t="s">
        <v>17</v>
      </c>
      <c r="B3474" s="7" t="s">
        <v>2339</v>
      </c>
      <c r="C3474" s="8">
        <f>IFERROR(__xludf.DUMMYFUNCTION("SPLIT(B3474,""RM"")"),1473450.0)</f>
        <v>1473450</v>
      </c>
      <c r="D3474" s="7">
        <v>3.0</v>
      </c>
      <c r="E3474" s="7">
        <v>3.0</v>
      </c>
      <c r="F3474" s="7">
        <v>1.0</v>
      </c>
      <c r="G3474" s="7" t="s">
        <v>93</v>
      </c>
      <c r="H3474" s="7" t="s">
        <v>2340</v>
      </c>
      <c r="I3474" s="7" t="s">
        <v>22</v>
      </c>
    </row>
    <row r="3475">
      <c r="A3475" s="7" t="s">
        <v>72</v>
      </c>
      <c r="B3475" s="7" t="s">
        <v>191</v>
      </c>
      <c r="C3475" s="8">
        <f>IFERROR(__xludf.DUMMYFUNCTION("SPLIT(B3475,""RM"")"),1000000.0)</f>
        <v>1000000</v>
      </c>
      <c r="D3475" s="7" t="s">
        <v>19</v>
      </c>
      <c r="E3475" s="7">
        <v>2.0</v>
      </c>
      <c r="F3475" s="7">
        <v>2.0</v>
      </c>
      <c r="G3475" s="7" t="s">
        <v>83</v>
      </c>
      <c r="H3475" s="7" t="s">
        <v>2341</v>
      </c>
    </row>
    <row r="3476">
      <c r="A3476" s="7" t="s">
        <v>72</v>
      </c>
      <c r="B3476" s="7" t="s">
        <v>73</v>
      </c>
      <c r="C3476" s="8">
        <f>IFERROR(__xludf.DUMMYFUNCTION("SPLIT(B3476,""RM"")"),1780000.0)</f>
        <v>1780000</v>
      </c>
      <c r="D3476" s="7" t="s">
        <v>57</v>
      </c>
      <c r="E3476" s="7">
        <v>4.0</v>
      </c>
      <c r="F3476" s="7">
        <v>2.0</v>
      </c>
      <c r="G3476" s="7" t="s">
        <v>30</v>
      </c>
      <c r="H3476" s="7" t="s">
        <v>867</v>
      </c>
      <c r="I3476" s="7" t="s">
        <v>27</v>
      </c>
    </row>
    <row r="3477">
      <c r="A3477" s="7" t="s">
        <v>77</v>
      </c>
      <c r="B3477" s="7" t="s">
        <v>349</v>
      </c>
      <c r="C3477" s="8">
        <f>IFERROR(__xludf.DUMMYFUNCTION("SPLIT(B3477,""RM"")"),1400000.0)</f>
        <v>1400000</v>
      </c>
      <c r="D3477" s="7">
        <v>2.0</v>
      </c>
      <c r="E3477" s="7">
        <v>2.0</v>
      </c>
      <c r="F3477" s="7">
        <v>2.0</v>
      </c>
      <c r="G3477" s="7" t="s">
        <v>83</v>
      </c>
      <c r="H3477" s="7" t="s">
        <v>321</v>
      </c>
      <c r="I3477" s="7" t="s">
        <v>22</v>
      </c>
    </row>
    <row r="3478">
      <c r="A3478" s="7" t="s">
        <v>77</v>
      </c>
      <c r="B3478" s="7" t="s">
        <v>1075</v>
      </c>
      <c r="C3478" s="8">
        <f>IFERROR(__xludf.DUMMYFUNCTION("SPLIT(B3478,""RM"")"),790000.0)</f>
        <v>790000</v>
      </c>
      <c r="D3478" s="7" t="s">
        <v>197</v>
      </c>
      <c r="E3478" s="7">
        <v>1.0</v>
      </c>
      <c r="F3478" s="7">
        <v>2.0</v>
      </c>
      <c r="G3478" s="7" t="s">
        <v>83</v>
      </c>
      <c r="H3478" s="7" t="s">
        <v>609</v>
      </c>
      <c r="I3478" s="7" t="s">
        <v>27</v>
      </c>
    </row>
    <row r="3479">
      <c r="A3479" s="7" t="s">
        <v>77</v>
      </c>
      <c r="B3479" s="7" t="s">
        <v>34</v>
      </c>
      <c r="C3479" s="8">
        <f>IFERROR(__xludf.DUMMYFUNCTION("SPLIT(B3479,""RM"")"),900000.0)</f>
        <v>900000</v>
      </c>
      <c r="D3479" s="7">
        <v>2.0</v>
      </c>
      <c r="E3479" s="7">
        <v>1.0</v>
      </c>
      <c r="F3479" s="7">
        <v>2.0</v>
      </c>
      <c r="G3479" s="7" t="s">
        <v>93</v>
      </c>
      <c r="H3479" s="7" t="s">
        <v>609</v>
      </c>
      <c r="I3479" s="7" t="s">
        <v>22</v>
      </c>
    </row>
    <row r="3480">
      <c r="A3480" s="7" t="s">
        <v>104</v>
      </c>
      <c r="B3480" s="7" t="s">
        <v>2342</v>
      </c>
      <c r="C3480" s="8">
        <f>IFERROR(__xludf.DUMMYFUNCTION("SPLIT(B3480,""RM"")"),595000.0)</f>
        <v>595000</v>
      </c>
      <c r="D3480" s="7">
        <v>3.0</v>
      </c>
      <c r="E3480" s="7">
        <v>2.0</v>
      </c>
      <c r="G3480" s="7" t="s">
        <v>54</v>
      </c>
      <c r="H3480" s="7" t="s">
        <v>106</v>
      </c>
    </row>
    <row r="3481">
      <c r="A3481" s="7" t="s">
        <v>65</v>
      </c>
      <c r="B3481" s="7" t="s">
        <v>465</v>
      </c>
      <c r="C3481" s="8">
        <f>IFERROR(__xludf.DUMMYFUNCTION("SPLIT(B3481,""RM"")"),8000000.0)</f>
        <v>8000000</v>
      </c>
      <c r="D3481" s="7" t="s">
        <v>60</v>
      </c>
      <c r="E3481" s="7">
        <v>7.0</v>
      </c>
      <c r="F3481" s="7">
        <v>6.0</v>
      </c>
      <c r="G3481" s="7" t="s">
        <v>67</v>
      </c>
      <c r="H3481" s="7" t="s">
        <v>2343</v>
      </c>
      <c r="I3481" s="7" t="s">
        <v>27</v>
      </c>
    </row>
    <row r="3482">
      <c r="A3482" s="7" t="s">
        <v>267</v>
      </c>
      <c r="B3482" s="7" t="s">
        <v>2344</v>
      </c>
      <c r="C3482" s="8">
        <f>IFERROR(__xludf.DUMMYFUNCTION("SPLIT(B3482,""RM"")"),4088000.0)</f>
        <v>4088000</v>
      </c>
      <c r="D3482" s="7" t="s">
        <v>70</v>
      </c>
      <c r="E3482" s="7">
        <v>6.0</v>
      </c>
      <c r="F3482" s="7">
        <v>5.0</v>
      </c>
      <c r="G3482" s="7" t="s">
        <v>25</v>
      </c>
      <c r="H3482" s="7" t="s">
        <v>2345</v>
      </c>
      <c r="I3482" s="7" t="s">
        <v>27</v>
      </c>
    </row>
    <row r="3483">
      <c r="A3483" s="7" t="s">
        <v>41</v>
      </c>
      <c r="B3483" s="7" t="s">
        <v>479</v>
      </c>
      <c r="C3483" s="8">
        <f>IFERROR(__xludf.DUMMYFUNCTION("SPLIT(B3483,""RM"")"),5500000.0)</f>
        <v>5500000</v>
      </c>
      <c r="D3483" s="7">
        <v>6.0</v>
      </c>
      <c r="E3483" s="7">
        <v>5.0</v>
      </c>
      <c r="F3483" s="7">
        <v>2.0</v>
      </c>
      <c r="G3483" s="7" t="s">
        <v>61</v>
      </c>
      <c r="H3483" s="7" t="s">
        <v>1649</v>
      </c>
      <c r="I3483" s="7" t="s">
        <v>27</v>
      </c>
    </row>
    <row r="3484">
      <c r="A3484" s="7" t="s">
        <v>65</v>
      </c>
      <c r="B3484" s="7" t="s">
        <v>2297</v>
      </c>
      <c r="C3484" s="8">
        <f>IFERROR(__xludf.DUMMYFUNCTION("SPLIT(B3484,""RM"")"),1.5E7)</f>
        <v>15000000</v>
      </c>
      <c r="D3484" s="7" t="s">
        <v>299</v>
      </c>
      <c r="E3484" s="7">
        <v>8.0</v>
      </c>
      <c r="F3484" s="7">
        <v>6.0</v>
      </c>
      <c r="G3484" s="7" t="s">
        <v>67</v>
      </c>
      <c r="H3484" s="7" t="s">
        <v>593</v>
      </c>
      <c r="I3484" s="7" t="s">
        <v>27</v>
      </c>
    </row>
    <row r="3485">
      <c r="A3485" s="7" t="s">
        <v>109</v>
      </c>
      <c r="B3485" s="7" t="s">
        <v>1702</v>
      </c>
      <c r="C3485" s="8">
        <f>IFERROR(__xludf.DUMMYFUNCTION("SPLIT(B3485,""RM"")"),397000.0)</f>
        <v>397000</v>
      </c>
      <c r="D3485" s="7">
        <v>1.0</v>
      </c>
      <c r="E3485" s="7">
        <v>1.0</v>
      </c>
      <c r="F3485" s="7">
        <v>1.0</v>
      </c>
      <c r="G3485" s="7" t="s">
        <v>82</v>
      </c>
      <c r="I3485" s="7" t="s">
        <v>27</v>
      </c>
    </row>
    <row r="3486">
      <c r="A3486" s="7" t="s">
        <v>17</v>
      </c>
      <c r="B3486" s="7" t="s">
        <v>1079</v>
      </c>
      <c r="C3486" s="8">
        <f>IFERROR(__xludf.DUMMYFUNCTION("SPLIT(B3486,""RM"")"),2350000.0)</f>
        <v>2350000</v>
      </c>
      <c r="D3486" s="7" t="s">
        <v>57</v>
      </c>
      <c r="E3486" s="7">
        <v>4.0</v>
      </c>
      <c r="F3486" s="7">
        <v>2.0</v>
      </c>
      <c r="G3486" s="7" t="s">
        <v>20</v>
      </c>
      <c r="H3486" s="7" t="s">
        <v>1879</v>
      </c>
      <c r="I3486" s="7" t="s">
        <v>27</v>
      </c>
    </row>
    <row r="3487">
      <c r="A3487" s="7" t="s">
        <v>72</v>
      </c>
      <c r="B3487" s="7" t="s">
        <v>130</v>
      </c>
      <c r="C3487" s="8">
        <f>IFERROR(__xludf.DUMMYFUNCTION("SPLIT(B3487,""RM"")"),2700000.0)</f>
        <v>2700000</v>
      </c>
      <c r="D3487" s="7" t="s">
        <v>35</v>
      </c>
      <c r="E3487" s="7">
        <v>6.0</v>
      </c>
      <c r="F3487" s="7">
        <v>3.0</v>
      </c>
      <c r="G3487" s="7" t="s">
        <v>83</v>
      </c>
      <c r="H3487" s="7" t="s">
        <v>803</v>
      </c>
      <c r="I3487" s="7" t="s">
        <v>27</v>
      </c>
    </row>
    <row r="3488">
      <c r="A3488" s="7" t="s">
        <v>17</v>
      </c>
      <c r="B3488" s="7" t="s">
        <v>641</v>
      </c>
      <c r="C3488" s="8">
        <f>IFERROR(__xludf.DUMMYFUNCTION("SPLIT(B3488,""RM"")"),830000.0)</f>
        <v>830000</v>
      </c>
      <c r="D3488" s="7" t="s">
        <v>325</v>
      </c>
      <c r="E3488" s="7">
        <v>1.0</v>
      </c>
      <c r="F3488" s="7">
        <v>1.0</v>
      </c>
      <c r="G3488" s="7" t="s">
        <v>20</v>
      </c>
      <c r="H3488" s="7" t="s">
        <v>980</v>
      </c>
    </row>
    <row r="3489">
      <c r="A3489" s="7" t="s">
        <v>17</v>
      </c>
      <c r="B3489" s="7" t="s">
        <v>599</v>
      </c>
      <c r="C3489" s="8">
        <f>IFERROR(__xludf.DUMMYFUNCTION("SPLIT(B3489,""RM"")"),950000.0)</f>
        <v>950000</v>
      </c>
      <c r="D3489" s="7">
        <v>1.0</v>
      </c>
      <c r="E3489" s="7">
        <v>1.0</v>
      </c>
      <c r="F3489" s="7">
        <v>1.0</v>
      </c>
      <c r="G3489" s="7" t="s">
        <v>83</v>
      </c>
      <c r="H3489" s="7" t="s">
        <v>646</v>
      </c>
    </row>
    <row r="3490">
      <c r="A3490" s="7" t="s">
        <v>100</v>
      </c>
      <c r="B3490" s="7" t="s">
        <v>2346</v>
      </c>
      <c r="C3490" s="8">
        <f>IFERROR(__xludf.DUMMYFUNCTION("SPLIT(B3490,""RM"")"),698000.0)</f>
        <v>698000</v>
      </c>
      <c r="D3490" s="7">
        <v>3.0</v>
      </c>
      <c r="E3490" s="7">
        <v>2.0</v>
      </c>
      <c r="F3490" s="7">
        <v>2.0</v>
      </c>
      <c r="G3490" s="7" t="s">
        <v>20</v>
      </c>
      <c r="H3490" s="7" t="s">
        <v>2347</v>
      </c>
      <c r="I3490" s="7" t="s">
        <v>27</v>
      </c>
    </row>
    <row r="3491">
      <c r="A3491" s="7" t="s">
        <v>72</v>
      </c>
      <c r="B3491" s="7" t="s">
        <v>277</v>
      </c>
      <c r="C3491" s="8">
        <f>IFERROR(__xludf.DUMMYFUNCTION("SPLIT(B3491,""RM"")"),2200000.0)</f>
        <v>2200000</v>
      </c>
      <c r="D3491" s="7" t="s">
        <v>35</v>
      </c>
      <c r="E3491" s="7">
        <v>5.0</v>
      </c>
      <c r="F3491" s="7">
        <v>3.0</v>
      </c>
      <c r="G3491" s="7" t="s">
        <v>83</v>
      </c>
      <c r="H3491" s="7" t="s">
        <v>456</v>
      </c>
    </row>
    <row r="3492">
      <c r="A3492" s="7" t="s">
        <v>48</v>
      </c>
      <c r="B3492" s="7" t="s">
        <v>191</v>
      </c>
      <c r="C3492" s="8">
        <f>IFERROR(__xludf.DUMMYFUNCTION("SPLIT(B3492,""RM"")"),1000000.0)</f>
        <v>1000000</v>
      </c>
      <c r="D3492" s="7" t="s">
        <v>35</v>
      </c>
      <c r="E3492" s="7">
        <v>5.0</v>
      </c>
      <c r="F3492" s="7">
        <v>2.0</v>
      </c>
      <c r="G3492" s="7" t="s">
        <v>90</v>
      </c>
      <c r="H3492" s="7" t="s">
        <v>2348</v>
      </c>
      <c r="I3492" s="7" t="s">
        <v>251</v>
      </c>
    </row>
    <row r="3493">
      <c r="A3493" s="7" t="s">
        <v>32</v>
      </c>
      <c r="B3493" s="7" t="s">
        <v>1547</v>
      </c>
      <c r="C3493" s="8">
        <f>IFERROR(__xludf.DUMMYFUNCTION("SPLIT(B3493,""RM"")"),408000.0)</f>
        <v>408000</v>
      </c>
      <c r="D3493" s="7">
        <v>2.0</v>
      </c>
      <c r="E3493" s="7">
        <v>2.0</v>
      </c>
      <c r="F3493" s="7">
        <v>1.0</v>
      </c>
      <c r="G3493" s="7" t="s">
        <v>93</v>
      </c>
      <c r="H3493" s="7" t="s">
        <v>246</v>
      </c>
      <c r="I3493" s="7" t="s">
        <v>22</v>
      </c>
    </row>
    <row r="3494">
      <c r="A3494" s="7" t="s">
        <v>89</v>
      </c>
      <c r="B3494" s="7" t="s">
        <v>107</v>
      </c>
      <c r="C3494" s="8">
        <f>IFERROR(__xludf.DUMMYFUNCTION("SPLIT(B3494,""RM"")"),460000.0)</f>
        <v>460000</v>
      </c>
      <c r="D3494" s="7" t="s">
        <v>325</v>
      </c>
      <c r="E3494" s="7">
        <v>1.0</v>
      </c>
      <c r="F3494" s="7">
        <v>1.0</v>
      </c>
      <c r="G3494" s="7" t="s">
        <v>82</v>
      </c>
      <c r="H3494" s="7" t="s">
        <v>924</v>
      </c>
      <c r="I3494" s="7" t="s">
        <v>27</v>
      </c>
    </row>
    <row r="3495">
      <c r="A3495" s="7" t="s">
        <v>89</v>
      </c>
      <c r="B3495" s="7" t="s">
        <v>563</v>
      </c>
      <c r="C3495" s="8">
        <f>IFERROR(__xludf.DUMMYFUNCTION("SPLIT(B3495,""RM"")"),600000.0)</f>
        <v>600000</v>
      </c>
      <c r="D3495" s="7" t="s">
        <v>19</v>
      </c>
      <c r="E3495" s="7">
        <v>2.0</v>
      </c>
      <c r="F3495" s="7">
        <v>2.0</v>
      </c>
      <c r="G3495" s="7" t="s">
        <v>82</v>
      </c>
      <c r="H3495" s="7" t="s">
        <v>764</v>
      </c>
      <c r="I3495" s="7" t="s">
        <v>22</v>
      </c>
    </row>
    <row r="3496">
      <c r="A3496" s="7" t="s">
        <v>1315</v>
      </c>
      <c r="B3496" s="7" t="s">
        <v>902</v>
      </c>
      <c r="C3496" s="8">
        <f>IFERROR(__xludf.DUMMYFUNCTION("SPLIT(B3496,""RM"")"),710000.0)</f>
        <v>710000</v>
      </c>
      <c r="D3496" s="7">
        <v>4.0</v>
      </c>
      <c r="E3496" s="7">
        <v>4.0</v>
      </c>
      <c r="G3496" s="7" t="s">
        <v>54</v>
      </c>
      <c r="H3496" s="7" t="s">
        <v>283</v>
      </c>
      <c r="I3496" s="7" t="s">
        <v>27</v>
      </c>
    </row>
    <row r="3497">
      <c r="A3497" s="7" t="s">
        <v>371</v>
      </c>
      <c r="B3497" s="7" t="s">
        <v>967</v>
      </c>
      <c r="C3497" s="8">
        <f>IFERROR(__xludf.DUMMYFUNCTION("SPLIT(B3497,""RM"")"),680000.0)</f>
        <v>680000</v>
      </c>
      <c r="D3497" s="7">
        <v>4.0</v>
      </c>
      <c r="E3497" s="7">
        <v>2.0</v>
      </c>
      <c r="G3497" s="7" t="s">
        <v>54</v>
      </c>
      <c r="H3497" s="7" t="s">
        <v>711</v>
      </c>
      <c r="I3497" s="7" t="s">
        <v>22</v>
      </c>
    </row>
    <row r="3498">
      <c r="A3498" s="7" t="s">
        <v>65</v>
      </c>
      <c r="B3498" s="7" t="s">
        <v>144</v>
      </c>
      <c r="C3498" s="8">
        <f>IFERROR(__xludf.DUMMYFUNCTION("SPLIT(B3498,""RM"")"),1800000.0)</f>
        <v>1800000</v>
      </c>
      <c r="D3498" s="7" t="s">
        <v>57</v>
      </c>
      <c r="E3498" s="7">
        <v>4.0</v>
      </c>
      <c r="G3498" s="7" t="s">
        <v>30</v>
      </c>
      <c r="H3498" s="7" t="s">
        <v>483</v>
      </c>
      <c r="I3498" s="7" t="s">
        <v>22</v>
      </c>
    </row>
    <row r="3499">
      <c r="A3499" s="7" t="s">
        <v>72</v>
      </c>
      <c r="B3499" s="7" t="s">
        <v>168</v>
      </c>
      <c r="C3499" s="8">
        <f>IFERROR(__xludf.DUMMYFUNCTION("SPLIT(B3499,""RM"")"),750000.0)</f>
        <v>750000</v>
      </c>
      <c r="D3499" s="7">
        <v>2.0</v>
      </c>
      <c r="E3499" s="7">
        <v>2.0</v>
      </c>
      <c r="F3499" s="7">
        <v>1.0</v>
      </c>
      <c r="G3499" s="7" t="s">
        <v>83</v>
      </c>
      <c r="H3499" s="7" t="s">
        <v>1178</v>
      </c>
      <c r="I3499" s="7" t="s">
        <v>22</v>
      </c>
    </row>
    <row r="3500">
      <c r="A3500" s="7" t="s">
        <v>33</v>
      </c>
      <c r="B3500" s="7" t="s">
        <v>890</v>
      </c>
      <c r="C3500" s="8">
        <f>IFERROR(__xludf.DUMMYFUNCTION("SPLIT(B3500,""RM"")"),450000.0)</f>
        <v>450000</v>
      </c>
      <c r="D3500" s="7">
        <v>3.0</v>
      </c>
      <c r="E3500" s="7">
        <v>2.0</v>
      </c>
      <c r="F3500" s="7">
        <v>1.0</v>
      </c>
      <c r="G3500" s="7" t="s">
        <v>83</v>
      </c>
      <c r="H3500" s="7" t="s">
        <v>1391</v>
      </c>
      <c r="I3500" s="7" t="s">
        <v>27</v>
      </c>
    </row>
    <row r="3501">
      <c r="A3501" s="7" t="s">
        <v>32</v>
      </c>
      <c r="B3501" s="7" t="s">
        <v>2349</v>
      </c>
      <c r="C3501" s="8">
        <f>IFERROR(__xludf.DUMMYFUNCTION("SPLIT(B3501,""RM"")"),1075000.0)</f>
        <v>1075000</v>
      </c>
      <c r="D3501" s="7">
        <v>5.0</v>
      </c>
      <c r="E3501" s="7">
        <v>5.0</v>
      </c>
      <c r="G3501" s="7" t="s">
        <v>90</v>
      </c>
      <c r="H3501" s="7" t="s">
        <v>280</v>
      </c>
    </row>
    <row r="3502">
      <c r="A3502" s="7" t="s">
        <v>155</v>
      </c>
      <c r="B3502" s="7" t="s">
        <v>329</v>
      </c>
      <c r="C3502" s="8">
        <f>IFERROR(__xludf.DUMMYFUNCTION("SPLIT(B3502,""RM"")"),1200000.0)</f>
        <v>1200000</v>
      </c>
      <c r="D3502" s="7" t="s">
        <v>57</v>
      </c>
      <c r="E3502" s="7">
        <v>3.0</v>
      </c>
      <c r="F3502" s="7">
        <v>2.0</v>
      </c>
      <c r="G3502" s="7" t="s">
        <v>83</v>
      </c>
      <c r="H3502" s="7" t="s">
        <v>2350</v>
      </c>
      <c r="I3502" s="7" t="s">
        <v>27</v>
      </c>
    </row>
    <row r="3503">
      <c r="A3503" s="7" t="s">
        <v>709</v>
      </c>
      <c r="B3503" s="7" t="s">
        <v>886</v>
      </c>
      <c r="C3503" s="8">
        <f>IFERROR(__xludf.DUMMYFUNCTION("SPLIT(B3503,""RM"")"),768000.0)</f>
        <v>768000</v>
      </c>
      <c r="D3503" s="7">
        <v>3.0</v>
      </c>
      <c r="E3503" s="7">
        <v>2.0</v>
      </c>
      <c r="F3503" s="7">
        <v>2.0</v>
      </c>
      <c r="G3503" s="7" t="s">
        <v>30</v>
      </c>
      <c r="H3503" s="7" t="s">
        <v>2351</v>
      </c>
      <c r="I3503" s="7" t="s">
        <v>22</v>
      </c>
    </row>
    <row r="3504">
      <c r="A3504" s="7" t="s">
        <v>171</v>
      </c>
      <c r="B3504" s="7" t="s">
        <v>898</v>
      </c>
      <c r="C3504" s="8">
        <f>IFERROR(__xludf.DUMMYFUNCTION("SPLIT(B3504,""RM"")"),485000.0)</f>
        <v>485000</v>
      </c>
      <c r="D3504" s="7" t="s">
        <v>57</v>
      </c>
      <c r="E3504" s="7">
        <v>2.0</v>
      </c>
      <c r="F3504" s="7">
        <v>2.0</v>
      </c>
      <c r="G3504" s="7" t="s">
        <v>93</v>
      </c>
      <c r="H3504" s="7" t="s">
        <v>1068</v>
      </c>
      <c r="I3504" s="7" t="s">
        <v>27</v>
      </c>
    </row>
    <row r="3505">
      <c r="A3505" s="7" t="s">
        <v>1476</v>
      </c>
      <c r="B3505" s="7" t="s">
        <v>1479</v>
      </c>
      <c r="C3505" s="8">
        <f>IFERROR(__xludf.DUMMYFUNCTION("SPLIT(B3505,""RM"")"),130000.0)</f>
        <v>130000</v>
      </c>
      <c r="D3505" s="7">
        <v>2.0</v>
      </c>
      <c r="E3505" s="7">
        <v>1.0</v>
      </c>
      <c r="F3505" s="7">
        <v>1.0</v>
      </c>
      <c r="G3505" s="7" t="s">
        <v>2352</v>
      </c>
      <c r="H3505" s="7" t="s">
        <v>1812</v>
      </c>
      <c r="I3505" s="7" t="s">
        <v>27</v>
      </c>
    </row>
    <row r="3506">
      <c r="A3506" s="7" t="s">
        <v>155</v>
      </c>
      <c r="B3506" s="7" t="s">
        <v>603</v>
      </c>
      <c r="C3506" s="8">
        <f>IFERROR(__xludf.DUMMYFUNCTION("SPLIT(B3506,""RM"")"),628000.0)</f>
        <v>628000</v>
      </c>
      <c r="D3506" s="7">
        <v>3.0</v>
      </c>
      <c r="E3506" s="7">
        <v>2.0</v>
      </c>
      <c r="F3506" s="7">
        <v>1.0</v>
      </c>
      <c r="G3506" s="7" t="s">
        <v>83</v>
      </c>
      <c r="H3506" s="7" t="s">
        <v>2353</v>
      </c>
      <c r="I3506" s="7" t="s">
        <v>27</v>
      </c>
    </row>
    <row r="3507">
      <c r="A3507" s="7" t="s">
        <v>72</v>
      </c>
      <c r="B3507" s="7" t="s">
        <v>1328</v>
      </c>
      <c r="C3507" s="8">
        <f>IFERROR(__xludf.DUMMYFUNCTION("SPLIT(B3507,""RM"")"),650000.0)</f>
        <v>650000</v>
      </c>
      <c r="D3507" s="7">
        <v>1.0</v>
      </c>
      <c r="E3507" s="7">
        <v>1.0</v>
      </c>
      <c r="F3507" s="7">
        <v>1.0</v>
      </c>
      <c r="G3507" s="7" t="s">
        <v>20</v>
      </c>
      <c r="H3507" s="7" t="s">
        <v>242</v>
      </c>
      <c r="I3507" s="7" t="s">
        <v>22</v>
      </c>
    </row>
    <row r="3508">
      <c r="A3508" s="7" t="s">
        <v>1476</v>
      </c>
      <c r="B3508" s="7" t="s">
        <v>1911</v>
      </c>
      <c r="C3508" s="8">
        <f>IFERROR(__xludf.DUMMYFUNCTION("SPLIT(B3508,""RM"")"),325000.0)</f>
        <v>325000</v>
      </c>
      <c r="D3508" s="7">
        <v>3.0</v>
      </c>
      <c r="E3508" s="7">
        <v>2.0</v>
      </c>
      <c r="F3508" s="7">
        <v>1.0</v>
      </c>
      <c r="G3508" s="7" t="s">
        <v>50</v>
      </c>
      <c r="H3508" s="7" t="s">
        <v>2354</v>
      </c>
      <c r="I3508" s="7" t="s">
        <v>27</v>
      </c>
    </row>
    <row r="3509">
      <c r="A3509" s="7" t="s">
        <v>28</v>
      </c>
      <c r="B3509" s="7" t="s">
        <v>635</v>
      </c>
      <c r="C3509" s="8">
        <f>IFERROR(__xludf.DUMMYFUNCTION("SPLIT(B3509,""RM"")"),720000.0)</f>
        <v>720000</v>
      </c>
      <c r="D3509" s="7" t="s">
        <v>57</v>
      </c>
      <c r="E3509" s="7">
        <v>3.0</v>
      </c>
      <c r="F3509" s="7">
        <v>2.0</v>
      </c>
      <c r="G3509" s="7" t="s">
        <v>93</v>
      </c>
      <c r="H3509" s="7" t="s">
        <v>490</v>
      </c>
      <c r="I3509" s="7" t="s">
        <v>22</v>
      </c>
    </row>
    <row r="3510">
      <c r="A3510" s="7" t="s">
        <v>104</v>
      </c>
      <c r="B3510" s="7" t="s">
        <v>87</v>
      </c>
      <c r="C3510" s="8">
        <f>IFERROR(__xludf.DUMMYFUNCTION("SPLIT(B3510,""RM"")"),490000.0)</f>
        <v>490000</v>
      </c>
      <c r="D3510" s="7">
        <v>3.0</v>
      </c>
      <c r="E3510" s="7">
        <v>2.0</v>
      </c>
      <c r="F3510" s="7">
        <v>2.0</v>
      </c>
      <c r="G3510" s="7" t="s">
        <v>343</v>
      </c>
      <c r="H3510" s="7" t="s">
        <v>283</v>
      </c>
      <c r="I3510" s="7" t="s">
        <v>103</v>
      </c>
    </row>
    <row r="3511">
      <c r="A3511" s="7" t="s">
        <v>72</v>
      </c>
      <c r="B3511" s="7" t="s">
        <v>158</v>
      </c>
      <c r="C3511" s="8">
        <f>IFERROR(__xludf.DUMMYFUNCTION("SPLIT(B3511,""RM"")"),1850000.0)</f>
        <v>1850000</v>
      </c>
      <c r="D3511" s="7" t="s">
        <v>57</v>
      </c>
      <c r="E3511" s="7">
        <v>4.0</v>
      </c>
      <c r="F3511" s="7">
        <v>2.0</v>
      </c>
      <c r="G3511" s="7" t="s">
        <v>83</v>
      </c>
      <c r="H3511" s="7" t="s">
        <v>714</v>
      </c>
      <c r="I3511" s="7" t="s">
        <v>27</v>
      </c>
    </row>
    <row r="3512">
      <c r="A3512" s="7" t="s">
        <v>72</v>
      </c>
      <c r="B3512" s="7" t="s">
        <v>34</v>
      </c>
      <c r="C3512" s="8">
        <f>IFERROR(__xludf.DUMMYFUNCTION("SPLIT(B3512,""RM"")"),900000.0)</f>
        <v>900000</v>
      </c>
      <c r="D3512" s="7">
        <v>3.0</v>
      </c>
      <c r="E3512" s="7">
        <v>3.0</v>
      </c>
      <c r="F3512" s="7">
        <v>2.0</v>
      </c>
      <c r="G3512" s="7" t="s">
        <v>83</v>
      </c>
      <c r="H3512" s="7" t="s">
        <v>1929</v>
      </c>
      <c r="I3512" s="7" t="s">
        <v>27</v>
      </c>
    </row>
    <row r="3513">
      <c r="A3513" s="7" t="s">
        <v>72</v>
      </c>
      <c r="B3513" s="7" t="s">
        <v>130</v>
      </c>
      <c r="C3513" s="8">
        <f>IFERROR(__xludf.DUMMYFUNCTION("SPLIT(B3513,""RM"")"),2700000.0)</f>
        <v>2700000</v>
      </c>
      <c r="D3513" s="7" t="s">
        <v>57</v>
      </c>
      <c r="E3513" s="7">
        <v>4.0</v>
      </c>
      <c r="F3513" s="7">
        <v>3.0</v>
      </c>
      <c r="G3513" s="7" t="s">
        <v>378</v>
      </c>
      <c r="H3513" s="7" t="s">
        <v>2355</v>
      </c>
      <c r="I3513" s="7" t="s">
        <v>22</v>
      </c>
    </row>
    <row r="3514">
      <c r="A3514" s="7" t="s">
        <v>32</v>
      </c>
      <c r="B3514" s="7" t="s">
        <v>1968</v>
      </c>
      <c r="C3514" s="8">
        <f>IFERROR(__xludf.DUMMYFUNCTION("SPLIT(B3514,""RM"")"),478000.0)</f>
        <v>478000</v>
      </c>
      <c r="D3514" s="7">
        <v>2.0</v>
      </c>
      <c r="E3514" s="7">
        <v>2.0</v>
      </c>
      <c r="G3514" s="7" t="s">
        <v>20</v>
      </c>
      <c r="H3514" s="7" t="s">
        <v>1870</v>
      </c>
      <c r="I3514" s="7" t="s">
        <v>103</v>
      </c>
    </row>
    <row r="3515">
      <c r="A3515" s="7" t="s">
        <v>77</v>
      </c>
      <c r="B3515" s="7" t="s">
        <v>1517</v>
      </c>
      <c r="C3515" s="8">
        <f>IFERROR(__xludf.DUMMYFUNCTION("SPLIT(B3515,""RM"")"),910000.0)</f>
        <v>910000</v>
      </c>
      <c r="D3515" s="7">
        <v>1.0</v>
      </c>
      <c r="E3515" s="7">
        <v>1.0</v>
      </c>
      <c r="G3515" s="7" t="s">
        <v>20</v>
      </c>
      <c r="H3515" s="7" t="s">
        <v>140</v>
      </c>
      <c r="I3515" s="7" t="s">
        <v>27</v>
      </c>
    </row>
    <row r="3516">
      <c r="A3516" s="7" t="s">
        <v>33</v>
      </c>
      <c r="B3516" s="7" t="s">
        <v>890</v>
      </c>
      <c r="C3516" s="8">
        <f>IFERROR(__xludf.DUMMYFUNCTION("SPLIT(B3516,""RM"")"),450000.0)</f>
        <v>450000</v>
      </c>
      <c r="D3516" s="7">
        <v>3.0</v>
      </c>
      <c r="E3516" s="7">
        <v>2.0</v>
      </c>
      <c r="F3516" s="7">
        <v>1.0</v>
      </c>
      <c r="G3516" s="7" t="s">
        <v>96</v>
      </c>
      <c r="H3516" s="7" t="s">
        <v>2356</v>
      </c>
      <c r="I3516" s="7" t="s">
        <v>22</v>
      </c>
    </row>
    <row r="3517">
      <c r="A3517" s="7" t="s">
        <v>28</v>
      </c>
      <c r="B3517" s="7" t="s">
        <v>2357</v>
      </c>
      <c r="C3517" s="8">
        <f>IFERROR(__xludf.DUMMYFUNCTION("SPLIT(B3517,""RM"")"),519610.0)</f>
        <v>519610</v>
      </c>
      <c r="D3517" s="7">
        <v>2.0</v>
      </c>
      <c r="E3517" s="7">
        <v>2.0</v>
      </c>
      <c r="G3517" s="7" t="s">
        <v>20</v>
      </c>
      <c r="H3517" s="7" t="s">
        <v>2085</v>
      </c>
      <c r="I3517" s="7" t="s">
        <v>103</v>
      </c>
    </row>
    <row r="3518">
      <c r="A3518" s="7" t="s">
        <v>28</v>
      </c>
      <c r="B3518" s="7" t="s">
        <v>2358</v>
      </c>
      <c r="C3518" s="8">
        <f>IFERROR(__xludf.DUMMYFUNCTION("SPLIT(B3518,""RM"")"),728000.0)</f>
        <v>728000</v>
      </c>
      <c r="D3518" s="7">
        <v>1.0</v>
      </c>
      <c r="E3518" s="7">
        <v>1.0</v>
      </c>
      <c r="F3518" s="7">
        <v>1.0</v>
      </c>
      <c r="G3518" s="7" t="s">
        <v>20</v>
      </c>
      <c r="H3518" s="7" t="s">
        <v>1127</v>
      </c>
      <c r="I3518" s="7" t="s">
        <v>22</v>
      </c>
    </row>
    <row r="3519">
      <c r="A3519" s="7" t="s">
        <v>72</v>
      </c>
      <c r="B3519" s="7" t="s">
        <v>18</v>
      </c>
      <c r="C3519" s="8">
        <f>IFERROR(__xludf.DUMMYFUNCTION("SPLIT(B3519,""RM"")"),1250000.0)</f>
        <v>1250000</v>
      </c>
      <c r="D3519" s="7">
        <v>4.0</v>
      </c>
      <c r="E3519" s="7">
        <v>3.0</v>
      </c>
      <c r="F3519" s="7">
        <v>2.0</v>
      </c>
      <c r="G3519" s="7" t="s">
        <v>83</v>
      </c>
      <c r="H3519" s="7" t="s">
        <v>1690</v>
      </c>
      <c r="I3519" s="7" t="s">
        <v>22</v>
      </c>
    </row>
    <row r="3520">
      <c r="A3520" s="7" t="s">
        <v>72</v>
      </c>
      <c r="B3520" s="7" t="s">
        <v>403</v>
      </c>
      <c r="C3520" s="8">
        <f>IFERROR(__xludf.DUMMYFUNCTION("SPLIT(B3520,""RM"")"),1600000.0)</f>
        <v>1600000</v>
      </c>
      <c r="D3520" s="7" t="s">
        <v>57</v>
      </c>
      <c r="E3520" s="7">
        <v>4.0</v>
      </c>
      <c r="F3520" s="7">
        <v>2.0</v>
      </c>
      <c r="G3520" s="7" t="s">
        <v>83</v>
      </c>
      <c r="H3520" s="7" t="s">
        <v>1691</v>
      </c>
      <c r="I3520" s="7" t="s">
        <v>27</v>
      </c>
    </row>
    <row r="3521">
      <c r="A3521" s="7" t="s">
        <v>72</v>
      </c>
      <c r="B3521" s="7" t="s">
        <v>956</v>
      </c>
      <c r="C3521" s="8">
        <f>IFERROR(__xludf.DUMMYFUNCTION("SPLIT(B3521,""RM"")"),860000.0)</f>
        <v>860000</v>
      </c>
      <c r="D3521" s="7">
        <v>3.0</v>
      </c>
      <c r="E3521" s="7">
        <v>2.0</v>
      </c>
      <c r="F3521" s="7">
        <v>1.0</v>
      </c>
      <c r="G3521" s="7" t="s">
        <v>83</v>
      </c>
      <c r="H3521" s="7" t="s">
        <v>2065</v>
      </c>
      <c r="I3521" s="7" t="s">
        <v>22</v>
      </c>
    </row>
    <row r="3522">
      <c r="A3522" s="7" t="s">
        <v>72</v>
      </c>
      <c r="B3522" s="7" t="s">
        <v>327</v>
      </c>
      <c r="C3522" s="8">
        <f>IFERROR(__xludf.DUMMYFUNCTION("SPLIT(B3522,""RM"")"),1300000.0)</f>
        <v>1300000</v>
      </c>
      <c r="D3522" s="7" t="s">
        <v>57</v>
      </c>
      <c r="E3522" s="7">
        <v>3.0</v>
      </c>
      <c r="F3522" s="7">
        <v>2.0</v>
      </c>
      <c r="G3522" s="7" t="s">
        <v>83</v>
      </c>
      <c r="H3522" s="7" t="s">
        <v>1034</v>
      </c>
      <c r="I3522" s="7" t="s">
        <v>22</v>
      </c>
    </row>
    <row r="3523">
      <c r="A3523" s="7" t="s">
        <v>72</v>
      </c>
      <c r="B3523" s="7" t="s">
        <v>144</v>
      </c>
      <c r="C3523" s="8">
        <f>IFERROR(__xludf.DUMMYFUNCTION("SPLIT(B3523,""RM"")"),1800000.0)</f>
        <v>1800000</v>
      </c>
      <c r="D3523" s="7">
        <v>4.0</v>
      </c>
      <c r="E3523" s="7">
        <v>5.0</v>
      </c>
      <c r="F3523" s="7">
        <v>2.0</v>
      </c>
      <c r="G3523" s="7" t="s">
        <v>83</v>
      </c>
      <c r="H3523" s="7" t="s">
        <v>2193</v>
      </c>
      <c r="I3523" s="7" t="s">
        <v>22</v>
      </c>
    </row>
    <row r="3524">
      <c r="A3524" s="7" t="s">
        <v>72</v>
      </c>
      <c r="B3524" s="7" t="s">
        <v>658</v>
      </c>
      <c r="C3524" s="8">
        <f>IFERROR(__xludf.DUMMYFUNCTION("SPLIT(B3524,""RM"")"),2650000.0)</f>
        <v>2650000</v>
      </c>
      <c r="D3524" s="7" t="s">
        <v>35</v>
      </c>
      <c r="E3524" s="7">
        <v>4.0</v>
      </c>
      <c r="F3524" s="7">
        <v>3.0</v>
      </c>
      <c r="G3524" s="7" t="s">
        <v>83</v>
      </c>
      <c r="H3524" s="7" t="s">
        <v>176</v>
      </c>
      <c r="I3524" s="7" t="s">
        <v>27</v>
      </c>
    </row>
    <row r="3525">
      <c r="A3525" s="7" t="s">
        <v>104</v>
      </c>
      <c r="B3525" s="7" t="s">
        <v>1140</v>
      </c>
      <c r="C3525" s="8">
        <f>IFERROR(__xludf.DUMMYFUNCTION("SPLIT(B3525,""RM"")"),330000.0)</f>
        <v>330000</v>
      </c>
      <c r="D3525" s="7">
        <v>3.0</v>
      </c>
      <c r="E3525" s="7">
        <v>2.0</v>
      </c>
      <c r="F3525" s="7">
        <v>1.0</v>
      </c>
      <c r="G3525" s="7" t="s">
        <v>354</v>
      </c>
      <c r="H3525" s="7" t="s">
        <v>1635</v>
      </c>
    </row>
    <row r="3526">
      <c r="A3526" s="7" t="s">
        <v>89</v>
      </c>
      <c r="B3526" s="7" t="s">
        <v>329</v>
      </c>
      <c r="C3526" s="8">
        <f>IFERROR(__xludf.DUMMYFUNCTION("SPLIT(B3526,""RM"")"),1200000.0)</f>
        <v>1200000</v>
      </c>
      <c r="D3526" s="7">
        <v>5.0</v>
      </c>
      <c r="E3526" s="7">
        <v>4.0</v>
      </c>
      <c r="F3526" s="7">
        <v>3.0</v>
      </c>
      <c r="G3526" s="7" t="s">
        <v>90</v>
      </c>
      <c r="H3526" s="7" t="s">
        <v>129</v>
      </c>
      <c r="I3526" s="7" t="s">
        <v>22</v>
      </c>
    </row>
    <row r="3527">
      <c r="A3527" s="7" t="s">
        <v>72</v>
      </c>
      <c r="B3527" s="7" t="s">
        <v>2359</v>
      </c>
      <c r="C3527" s="8">
        <f>IFERROR(__xludf.DUMMYFUNCTION("SPLIT(B3527,""RM"")"),664020.0)</f>
        <v>664020</v>
      </c>
      <c r="D3527" s="7">
        <v>1.0</v>
      </c>
      <c r="E3527" s="7">
        <v>1.0</v>
      </c>
      <c r="F3527" s="7">
        <v>1.0</v>
      </c>
      <c r="G3527" s="7" t="s">
        <v>20</v>
      </c>
      <c r="H3527" s="7" t="s">
        <v>2360</v>
      </c>
      <c r="I3527" s="7" t="s">
        <v>27</v>
      </c>
    </row>
    <row r="3528">
      <c r="A3528" s="7" t="s">
        <v>171</v>
      </c>
      <c r="B3528" s="7" t="s">
        <v>1328</v>
      </c>
      <c r="C3528" s="8">
        <f>IFERROR(__xludf.DUMMYFUNCTION("SPLIT(B3528,""RM"")"),650000.0)</f>
        <v>650000</v>
      </c>
      <c r="D3528" s="7">
        <v>4.0</v>
      </c>
      <c r="E3528" s="7">
        <v>3.0</v>
      </c>
      <c r="F3528" s="7">
        <v>2.0</v>
      </c>
      <c r="G3528" s="7" t="s">
        <v>184</v>
      </c>
      <c r="H3528" s="7" t="s">
        <v>2361</v>
      </c>
      <c r="I3528" s="7" t="s">
        <v>27</v>
      </c>
    </row>
    <row r="3529">
      <c r="A3529" s="7" t="s">
        <v>241</v>
      </c>
      <c r="B3529" s="7" t="s">
        <v>245</v>
      </c>
      <c r="C3529" s="8">
        <f>IFERROR(__xludf.DUMMYFUNCTION("SPLIT(B3529,""RM"")"),800000.0)</f>
        <v>800000</v>
      </c>
      <c r="D3529" s="7" t="s">
        <v>70</v>
      </c>
      <c r="E3529" s="7">
        <v>5.0</v>
      </c>
      <c r="F3529" s="7">
        <v>2.0</v>
      </c>
      <c r="G3529" s="7" t="s">
        <v>83</v>
      </c>
      <c r="H3529" s="7" t="s">
        <v>117</v>
      </c>
      <c r="I3529" s="7" t="s">
        <v>103</v>
      </c>
    </row>
    <row r="3530">
      <c r="A3530" s="7" t="s">
        <v>177</v>
      </c>
      <c r="B3530" s="7" t="s">
        <v>45</v>
      </c>
      <c r="C3530" s="8">
        <f>IFERROR(__xludf.DUMMYFUNCTION("SPLIT(B3530,""RM"")"),1950000.0)</f>
        <v>1950000</v>
      </c>
      <c r="D3530" s="7" t="s">
        <v>35</v>
      </c>
      <c r="E3530" s="7">
        <v>4.0</v>
      </c>
      <c r="G3530" s="7" t="s">
        <v>83</v>
      </c>
      <c r="H3530" s="7" t="s">
        <v>2362</v>
      </c>
    </row>
    <row r="3531">
      <c r="A3531" s="7" t="s">
        <v>33</v>
      </c>
      <c r="B3531" s="7" t="s">
        <v>2363</v>
      </c>
      <c r="C3531" s="8">
        <f>IFERROR(__xludf.DUMMYFUNCTION("SPLIT(B3531,""RM"")"),395000.0)</f>
        <v>395000</v>
      </c>
      <c r="D3531" s="7">
        <v>3.0</v>
      </c>
      <c r="E3531" s="7">
        <v>2.0</v>
      </c>
      <c r="F3531" s="7">
        <v>1.0</v>
      </c>
      <c r="G3531" s="7" t="s">
        <v>2364</v>
      </c>
      <c r="H3531" s="7" t="s">
        <v>1548</v>
      </c>
      <c r="I3531" s="7" t="s">
        <v>22</v>
      </c>
    </row>
    <row r="3532">
      <c r="A3532" s="7" t="s">
        <v>32</v>
      </c>
      <c r="B3532" s="7" t="s">
        <v>191</v>
      </c>
      <c r="C3532" s="8">
        <f>IFERROR(__xludf.DUMMYFUNCTION("SPLIT(B3532,""RM"")"),1000000.0)</f>
        <v>1000000</v>
      </c>
      <c r="D3532" s="7">
        <v>2.0</v>
      </c>
      <c r="E3532" s="7">
        <v>2.0</v>
      </c>
      <c r="F3532" s="7">
        <v>1.0</v>
      </c>
      <c r="G3532" s="7" t="s">
        <v>20</v>
      </c>
      <c r="H3532" s="7" t="s">
        <v>1694</v>
      </c>
    </row>
    <row r="3533">
      <c r="A3533" s="7" t="s">
        <v>48</v>
      </c>
      <c r="B3533" s="7" t="s">
        <v>329</v>
      </c>
      <c r="C3533" s="8">
        <f>IFERROR(__xludf.DUMMYFUNCTION("SPLIT(B3533,""RM"")"),1200000.0)</f>
        <v>1200000</v>
      </c>
      <c r="D3533" s="7">
        <v>5.0</v>
      </c>
      <c r="E3533" s="7">
        <v>4.0</v>
      </c>
      <c r="G3533" s="7" t="s">
        <v>681</v>
      </c>
      <c r="H3533" s="7" t="s">
        <v>211</v>
      </c>
      <c r="I3533" s="7" t="s">
        <v>27</v>
      </c>
    </row>
    <row r="3534">
      <c r="A3534" s="7" t="s">
        <v>48</v>
      </c>
      <c r="B3534" s="7" t="s">
        <v>599</v>
      </c>
      <c r="C3534" s="8">
        <f>IFERROR(__xludf.DUMMYFUNCTION("SPLIT(B3534,""RM"")"),950000.0)</f>
        <v>950000</v>
      </c>
      <c r="D3534" s="7">
        <v>4.0</v>
      </c>
      <c r="E3534" s="7">
        <v>3.0</v>
      </c>
      <c r="G3534" s="7" t="s">
        <v>169</v>
      </c>
      <c r="H3534" s="7" t="s">
        <v>911</v>
      </c>
      <c r="I3534" s="7" t="s">
        <v>22</v>
      </c>
    </row>
    <row r="3535">
      <c r="A3535" s="7" t="s">
        <v>104</v>
      </c>
      <c r="B3535" s="7" t="s">
        <v>168</v>
      </c>
      <c r="C3535" s="8">
        <f>IFERROR(__xludf.DUMMYFUNCTION("SPLIT(B3535,""RM"")"),750000.0)</f>
        <v>750000</v>
      </c>
      <c r="D3535" s="7">
        <v>4.0</v>
      </c>
      <c r="E3535" s="7">
        <v>3.0</v>
      </c>
      <c r="F3535" s="7">
        <v>3.0</v>
      </c>
      <c r="G3535" s="7" t="s">
        <v>169</v>
      </c>
      <c r="H3535" s="7" t="s">
        <v>1632</v>
      </c>
      <c r="I3535" s="7" t="s">
        <v>103</v>
      </c>
    </row>
    <row r="3536">
      <c r="A3536" s="7" t="s">
        <v>72</v>
      </c>
      <c r="B3536" s="7" t="s">
        <v>1248</v>
      </c>
      <c r="C3536" s="8">
        <f>IFERROR(__xludf.DUMMYFUNCTION("SPLIT(B3536,""RM"")"),1285000.0)</f>
        <v>1285000</v>
      </c>
      <c r="D3536" s="7" t="s">
        <v>70</v>
      </c>
      <c r="E3536" s="7">
        <v>5.0</v>
      </c>
      <c r="F3536" s="7">
        <v>3.0</v>
      </c>
      <c r="G3536" s="7" t="s">
        <v>83</v>
      </c>
      <c r="H3536" s="7" t="s">
        <v>406</v>
      </c>
      <c r="I3536" s="7" t="s">
        <v>27</v>
      </c>
    </row>
    <row r="3537">
      <c r="A3537" s="7" t="s">
        <v>72</v>
      </c>
      <c r="B3537" s="7" t="s">
        <v>329</v>
      </c>
      <c r="C3537" s="8">
        <f>IFERROR(__xludf.DUMMYFUNCTION("SPLIT(B3537,""RM"")"),1200000.0)</f>
        <v>1200000</v>
      </c>
      <c r="D3537" s="7">
        <v>4.0</v>
      </c>
      <c r="E3537" s="7">
        <v>4.0</v>
      </c>
      <c r="F3537" s="7">
        <v>2.0</v>
      </c>
      <c r="G3537" s="7" t="s">
        <v>83</v>
      </c>
      <c r="H3537" s="7" t="s">
        <v>1442</v>
      </c>
    </row>
    <row r="3538">
      <c r="A3538" s="7" t="s">
        <v>171</v>
      </c>
      <c r="B3538" s="7" t="s">
        <v>1426</v>
      </c>
      <c r="C3538" s="8">
        <f>IFERROR(__xludf.DUMMYFUNCTION("SPLIT(B3538,""RM"")"),298000.0)</f>
        <v>298000</v>
      </c>
      <c r="D3538" s="7">
        <v>3.0</v>
      </c>
      <c r="E3538" s="7">
        <v>2.0</v>
      </c>
      <c r="F3538" s="7">
        <v>1.0</v>
      </c>
      <c r="G3538" s="7" t="s">
        <v>83</v>
      </c>
      <c r="H3538" s="7" t="s">
        <v>1449</v>
      </c>
      <c r="I3538" s="7" t="s">
        <v>103</v>
      </c>
    </row>
    <row r="3539">
      <c r="A3539" s="7" t="s">
        <v>171</v>
      </c>
      <c r="B3539" s="7" t="s">
        <v>268</v>
      </c>
      <c r="C3539" s="8">
        <f>IFERROR(__xludf.DUMMYFUNCTION("SPLIT(B3539,""RM"")"),500000.0)</f>
        <v>500000</v>
      </c>
      <c r="D3539" s="7">
        <v>4.0</v>
      </c>
      <c r="E3539" s="7">
        <v>2.0</v>
      </c>
      <c r="F3539" s="7">
        <v>2.0</v>
      </c>
      <c r="G3539" s="7" t="s">
        <v>93</v>
      </c>
      <c r="H3539" s="7" t="s">
        <v>192</v>
      </c>
      <c r="I3539" s="7" t="s">
        <v>27</v>
      </c>
    </row>
    <row r="3540">
      <c r="A3540" s="7" t="s">
        <v>171</v>
      </c>
      <c r="B3540" s="7" t="s">
        <v>1448</v>
      </c>
      <c r="C3540" s="8">
        <f>IFERROR(__xludf.DUMMYFUNCTION("SPLIT(B3540,""RM"")"),248000.0)</f>
        <v>248000</v>
      </c>
      <c r="D3540" s="7">
        <v>3.0</v>
      </c>
      <c r="E3540" s="7">
        <v>2.0</v>
      </c>
      <c r="F3540" s="7">
        <v>1.0</v>
      </c>
      <c r="G3540" s="7" t="s">
        <v>83</v>
      </c>
      <c r="H3540" s="7" t="s">
        <v>2319</v>
      </c>
      <c r="I3540" s="7" t="s">
        <v>27</v>
      </c>
    </row>
    <row r="3541">
      <c r="A3541" s="7" t="s">
        <v>171</v>
      </c>
      <c r="B3541" s="7" t="s">
        <v>2365</v>
      </c>
      <c r="C3541" s="8">
        <f>IFERROR(__xludf.DUMMYFUNCTION("SPLIT(B3541,""RM"")"),200000.0)</f>
        <v>200000</v>
      </c>
      <c r="D3541" s="7">
        <v>3.0</v>
      </c>
      <c r="E3541" s="7">
        <v>1.0</v>
      </c>
      <c r="G3541" s="7" t="s">
        <v>354</v>
      </c>
      <c r="H3541" s="7" t="s">
        <v>1447</v>
      </c>
      <c r="I3541" s="7" t="s">
        <v>27</v>
      </c>
    </row>
    <row r="3542">
      <c r="A3542" s="7" t="s">
        <v>171</v>
      </c>
      <c r="B3542" s="7" t="s">
        <v>245</v>
      </c>
      <c r="C3542" s="8">
        <f>IFERROR(__xludf.DUMMYFUNCTION("SPLIT(B3542,""RM"")"),800000.0)</f>
        <v>800000</v>
      </c>
      <c r="D3542" s="7">
        <v>4.0</v>
      </c>
      <c r="E3542" s="7">
        <v>4.0</v>
      </c>
      <c r="F3542" s="7">
        <v>2.0</v>
      </c>
      <c r="G3542" s="7" t="s">
        <v>681</v>
      </c>
      <c r="H3542" s="7" t="s">
        <v>2366</v>
      </c>
      <c r="I3542" s="7" t="s">
        <v>27</v>
      </c>
    </row>
    <row r="3543">
      <c r="A3543" s="7" t="s">
        <v>171</v>
      </c>
      <c r="B3543" s="7" t="s">
        <v>507</v>
      </c>
      <c r="C3543" s="8">
        <f>IFERROR(__xludf.DUMMYFUNCTION("SPLIT(B3543,""RM"")"),590000.0)</f>
        <v>590000</v>
      </c>
      <c r="D3543" s="7">
        <v>3.0</v>
      </c>
      <c r="E3543" s="7">
        <v>2.0</v>
      </c>
      <c r="F3543" s="7">
        <v>1.0</v>
      </c>
      <c r="G3543" s="7" t="s">
        <v>54</v>
      </c>
      <c r="H3543" s="7" t="s">
        <v>106</v>
      </c>
      <c r="I3543" s="7" t="s">
        <v>27</v>
      </c>
    </row>
    <row r="3544">
      <c r="A3544" s="7" t="s">
        <v>171</v>
      </c>
      <c r="B3544" s="7" t="s">
        <v>715</v>
      </c>
      <c r="C3544" s="8">
        <f>IFERROR(__xludf.DUMMYFUNCTION("SPLIT(B3544,""RM"")"),550000.0)</f>
        <v>550000</v>
      </c>
      <c r="D3544" s="7">
        <v>4.0</v>
      </c>
      <c r="E3544" s="7">
        <v>2.0</v>
      </c>
      <c r="F3544" s="7">
        <v>2.0</v>
      </c>
      <c r="G3544" s="7" t="s">
        <v>83</v>
      </c>
      <c r="H3544" s="7" t="s">
        <v>845</v>
      </c>
      <c r="I3544" s="7" t="s">
        <v>27</v>
      </c>
    </row>
    <row r="3545">
      <c r="A3545" s="7" t="s">
        <v>32</v>
      </c>
      <c r="B3545" s="7" t="s">
        <v>1659</v>
      </c>
      <c r="C3545" s="8">
        <f>IFERROR(__xludf.DUMMYFUNCTION("SPLIT(B3545,""RM"")"),540000.0)</f>
        <v>540000</v>
      </c>
      <c r="D3545" s="7">
        <v>4.0</v>
      </c>
      <c r="E3545" s="7">
        <v>3.0</v>
      </c>
      <c r="G3545" s="7" t="s">
        <v>169</v>
      </c>
      <c r="H3545" s="7" t="s">
        <v>2367</v>
      </c>
      <c r="I3545" s="7" t="s">
        <v>27</v>
      </c>
    </row>
    <row r="3546">
      <c r="A3546" s="7" t="s">
        <v>1241</v>
      </c>
      <c r="B3546" s="7" t="s">
        <v>1075</v>
      </c>
      <c r="C3546" s="8">
        <f>IFERROR(__xludf.DUMMYFUNCTION("SPLIT(B3546,""RM"")"),790000.0)</f>
        <v>790000</v>
      </c>
      <c r="D3546" s="7">
        <v>2.0</v>
      </c>
      <c r="E3546" s="7">
        <v>2.0</v>
      </c>
      <c r="F3546" s="7">
        <v>2.0</v>
      </c>
      <c r="G3546" s="7" t="s">
        <v>82</v>
      </c>
      <c r="H3546" s="7" t="s">
        <v>342</v>
      </c>
      <c r="I3546" s="7" t="s">
        <v>22</v>
      </c>
    </row>
    <row r="3547">
      <c r="A3547" s="7" t="s">
        <v>241</v>
      </c>
      <c r="B3547" s="7" t="s">
        <v>890</v>
      </c>
      <c r="C3547" s="8">
        <f>IFERROR(__xludf.DUMMYFUNCTION("SPLIT(B3547,""RM"")"),450000.0)</f>
        <v>450000</v>
      </c>
      <c r="D3547" s="7">
        <v>3.0</v>
      </c>
      <c r="E3547" s="7">
        <v>2.0</v>
      </c>
      <c r="F3547" s="7">
        <v>2.0</v>
      </c>
      <c r="G3547" s="7" t="s">
        <v>30</v>
      </c>
      <c r="H3547" s="7" t="s">
        <v>2368</v>
      </c>
    </row>
    <row r="3548">
      <c r="A3548" s="7" t="s">
        <v>32</v>
      </c>
      <c r="B3548" s="7" t="s">
        <v>955</v>
      </c>
      <c r="C3548" s="8">
        <f>IFERROR(__xludf.DUMMYFUNCTION("SPLIT(B3548,""RM"")"),498000.0)</f>
        <v>498000</v>
      </c>
      <c r="D3548" s="7">
        <v>4.0</v>
      </c>
      <c r="E3548" s="7">
        <v>3.0</v>
      </c>
      <c r="G3548" s="7" t="s">
        <v>169</v>
      </c>
      <c r="H3548" s="7" t="s">
        <v>2276</v>
      </c>
      <c r="I3548" s="7" t="s">
        <v>103</v>
      </c>
    </row>
    <row r="3549">
      <c r="A3549" s="7" t="s">
        <v>109</v>
      </c>
      <c r="B3549" s="7" t="s">
        <v>229</v>
      </c>
      <c r="C3549" s="8">
        <f>IFERROR(__xludf.DUMMYFUNCTION("SPLIT(B3549,""RM"")"),1050000.0)</f>
        <v>1050000</v>
      </c>
      <c r="D3549" s="7" t="s">
        <v>35</v>
      </c>
      <c r="E3549" s="7">
        <v>4.0</v>
      </c>
      <c r="F3549" s="7">
        <v>2.0</v>
      </c>
      <c r="G3549" s="7" t="s">
        <v>30</v>
      </c>
      <c r="H3549" s="7" t="s">
        <v>1613</v>
      </c>
      <c r="I3549" s="7" t="s">
        <v>22</v>
      </c>
    </row>
    <row r="3550">
      <c r="A3550" s="7" t="s">
        <v>72</v>
      </c>
      <c r="B3550" s="7" t="s">
        <v>1289</v>
      </c>
      <c r="C3550" s="8">
        <f>IFERROR(__xludf.DUMMYFUNCTION("SPLIT(B3550,""RM"")"),2730000.0)</f>
        <v>2730000</v>
      </c>
      <c r="D3550" s="7" t="s">
        <v>35</v>
      </c>
      <c r="E3550" s="7">
        <v>5.0</v>
      </c>
      <c r="F3550" s="7">
        <v>3.0</v>
      </c>
      <c r="G3550" s="7" t="s">
        <v>30</v>
      </c>
      <c r="H3550" s="7" t="s">
        <v>767</v>
      </c>
      <c r="I3550" s="7" t="s">
        <v>27</v>
      </c>
    </row>
    <row r="3551">
      <c r="A3551" s="7" t="s">
        <v>17</v>
      </c>
      <c r="B3551" s="7" t="s">
        <v>2369</v>
      </c>
      <c r="C3551" s="8">
        <f>IFERROR(__xludf.DUMMYFUNCTION("SPLIT(B3551,""RM"")"),1149000.0)</f>
        <v>1149000</v>
      </c>
      <c r="D3551" s="7" t="s">
        <v>57</v>
      </c>
      <c r="E3551" s="7">
        <v>3.0</v>
      </c>
      <c r="F3551" s="7">
        <v>2.0</v>
      </c>
      <c r="G3551" s="7" t="s">
        <v>121</v>
      </c>
      <c r="H3551" s="7" t="s">
        <v>1537</v>
      </c>
      <c r="I3551" s="7" t="s">
        <v>27</v>
      </c>
    </row>
    <row r="3552">
      <c r="A3552" s="7" t="s">
        <v>100</v>
      </c>
      <c r="B3552" s="7" t="s">
        <v>1265</v>
      </c>
      <c r="C3552" s="8">
        <f>IFERROR(__xludf.DUMMYFUNCTION("SPLIT(B3552,""RM"")"),338000.0)</f>
        <v>338000</v>
      </c>
      <c r="D3552" s="7">
        <v>3.0</v>
      </c>
      <c r="E3552" s="7">
        <v>2.0</v>
      </c>
      <c r="F3552" s="7">
        <v>2.0</v>
      </c>
      <c r="G3552" s="7" t="s">
        <v>82</v>
      </c>
      <c r="H3552" s="7" t="s">
        <v>491</v>
      </c>
      <c r="I3552" s="7" t="s">
        <v>27</v>
      </c>
    </row>
    <row r="3553">
      <c r="A3553" s="7" t="s">
        <v>109</v>
      </c>
      <c r="B3553" s="7" t="s">
        <v>49</v>
      </c>
      <c r="C3553" s="8">
        <f>IFERROR(__xludf.DUMMYFUNCTION("SPLIT(B3553,""RM"")"),385000.0)</f>
        <v>385000</v>
      </c>
      <c r="D3553" s="7">
        <v>3.0</v>
      </c>
      <c r="E3553" s="7">
        <v>2.0</v>
      </c>
      <c r="F3553" s="7">
        <v>2.0</v>
      </c>
      <c r="G3553" s="7" t="s">
        <v>354</v>
      </c>
      <c r="H3553" s="7" t="s">
        <v>2370</v>
      </c>
      <c r="I3553" s="7" t="s">
        <v>27</v>
      </c>
    </row>
    <row r="3554">
      <c r="A3554" s="7" t="s">
        <v>104</v>
      </c>
      <c r="B3554" s="7" t="s">
        <v>710</v>
      </c>
      <c r="C3554" s="8">
        <f>IFERROR(__xludf.DUMMYFUNCTION("SPLIT(B3554,""RM"")"),570000.0)</f>
        <v>570000</v>
      </c>
      <c r="D3554" s="7">
        <v>4.0</v>
      </c>
      <c r="E3554" s="7">
        <v>3.0</v>
      </c>
      <c r="F3554" s="7">
        <v>3.0</v>
      </c>
      <c r="G3554" s="7" t="s">
        <v>54</v>
      </c>
      <c r="H3554" s="7" t="s">
        <v>1839</v>
      </c>
      <c r="I3554" s="7" t="s">
        <v>27</v>
      </c>
    </row>
    <row r="3555">
      <c r="A3555" s="7" t="s">
        <v>52</v>
      </c>
      <c r="B3555" s="7" t="s">
        <v>42</v>
      </c>
      <c r="C3555" s="8">
        <f>IFERROR(__xludf.DUMMYFUNCTION("SPLIT(B3555,""RM"")"),2600000.0)</f>
        <v>2600000</v>
      </c>
      <c r="D3555" s="7" t="s">
        <v>35</v>
      </c>
      <c r="E3555" s="7">
        <v>5.0</v>
      </c>
      <c r="G3555" s="7" t="s">
        <v>30</v>
      </c>
      <c r="H3555" s="7" t="s">
        <v>1798</v>
      </c>
      <c r="I3555" s="7" t="s">
        <v>27</v>
      </c>
    </row>
    <row r="3556">
      <c r="A3556" s="7" t="s">
        <v>52</v>
      </c>
      <c r="B3556" s="7" t="s">
        <v>349</v>
      </c>
      <c r="C3556" s="8">
        <f>IFERROR(__xludf.DUMMYFUNCTION("SPLIT(B3556,""RM"")"),1400000.0)</f>
        <v>1400000</v>
      </c>
      <c r="D3556" s="7" t="s">
        <v>57</v>
      </c>
      <c r="E3556" s="7">
        <v>4.0</v>
      </c>
      <c r="G3556" s="7" t="s">
        <v>83</v>
      </c>
      <c r="H3556" s="7" t="s">
        <v>2371</v>
      </c>
      <c r="I3556" s="7" t="s">
        <v>27</v>
      </c>
    </row>
    <row r="3557">
      <c r="A3557" s="7" t="s">
        <v>17</v>
      </c>
      <c r="B3557" s="7" t="s">
        <v>206</v>
      </c>
      <c r="C3557" s="8">
        <f>IFERROR(__xludf.DUMMYFUNCTION("SPLIT(B3557,""RM"")"),920000.0)</f>
        <v>920000</v>
      </c>
      <c r="D3557" s="7">
        <v>1.0</v>
      </c>
      <c r="E3557" s="7">
        <v>1.0</v>
      </c>
      <c r="G3557" s="7" t="s">
        <v>20</v>
      </c>
      <c r="H3557" s="7" t="s">
        <v>512</v>
      </c>
      <c r="I3557" s="7" t="s">
        <v>251</v>
      </c>
    </row>
    <row r="3558">
      <c r="A3558" s="7" t="s">
        <v>72</v>
      </c>
      <c r="B3558" s="7" t="s">
        <v>281</v>
      </c>
      <c r="C3558" s="8">
        <f>IFERROR(__xludf.DUMMYFUNCTION("SPLIT(B3558,""RM"")"),2500000.0)</f>
        <v>2500000</v>
      </c>
      <c r="D3558" s="7" t="s">
        <v>70</v>
      </c>
      <c r="E3558" s="7">
        <v>6.0</v>
      </c>
      <c r="G3558" s="7" t="s">
        <v>43</v>
      </c>
      <c r="H3558" s="7" t="s">
        <v>44</v>
      </c>
      <c r="I3558" s="7" t="s">
        <v>27</v>
      </c>
    </row>
    <row r="3559">
      <c r="A3559" s="7" t="s">
        <v>72</v>
      </c>
      <c r="B3559" s="7" t="s">
        <v>2372</v>
      </c>
      <c r="C3559" s="8">
        <f>IFERROR(__xludf.DUMMYFUNCTION("SPLIT(B3559,""RM"")"),2171505.0)</f>
        <v>2171505</v>
      </c>
      <c r="D3559" s="7" t="s">
        <v>57</v>
      </c>
      <c r="E3559" s="7">
        <v>4.0</v>
      </c>
      <c r="G3559" s="7" t="s">
        <v>30</v>
      </c>
      <c r="H3559" s="7" t="s">
        <v>838</v>
      </c>
      <c r="I3559" s="7" t="s">
        <v>103</v>
      </c>
    </row>
    <row r="3560" hidden="1">
      <c r="A3560" s="7" t="s">
        <v>432</v>
      </c>
      <c r="C3560" s="7" t="str">
        <f>IFERROR(__xludf.DUMMYFUNCTION("SPLIT(B3560,""RM"")"),"#VALUE!")</f>
        <v>#VALUE!</v>
      </c>
      <c r="D3560" s="7" t="s">
        <v>57</v>
      </c>
      <c r="E3560" s="7">
        <v>5.0</v>
      </c>
      <c r="G3560" s="7" t="s">
        <v>96</v>
      </c>
      <c r="H3560" s="7" t="s">
        <v>1627</v>
      </c>
      <c r="I3560" s="7" t="s">
        <v>251</v>
      </c>
    </row>
    <row r="3561">
      <c r="A3561" s="7" t="s">
        <v>432</v>
      </c>
      <c r="B3561" s="7" t="s">
        <v>42</v>
      </c>
      <c r="C3561" s="8">
        <f>IFERROR(__xludf.DUMMYFUNCTION("SPLIT(B3561,""RM"")"),2600000.0)</f>
        <v>2600000</v>
      </c>
      <c r="D3561" s="7" t="s">
        <v>35</v>
      </c>
      <c r="E3561" s="7">
        <v>6.0</v>
      </c>
      <c r="G3561" s="7" t="s">
        <v>83</v>
      </c>
      <c r="H3561" s="7" t="s">
        <v>1628</v>
      </c>
      <c r="I3561" s="7" t="s">
        <v>103</v>
      </c>
    </row>
    <row r="3562">
      <c r="A3562" s="7" t="s">
        <v>72</v>
      </c>
      <c r="B3562" s="7" t="s">
        <v>1385</v>
      </c>
      <c r="C3562" s="8">
        <f>IFERROR(__xludf.DUMMYFUNCTION("SPLIT(B3562,""RM"")"),1410000.0)</f>
        <v>1410000</v>
      </c>
      <c r="D3562" s="7" t="s">
        <v>57</v>
      </c>
      <c r="E3562" s="7">
        <v>4.0</v>
      </c>
      <c r="F3562" s="7">
        <v>2.0</v>
      </c>
      <c r="G3562" s="7" t="s">
        <v>30</v>
      </c>
      <c r="H3562" s="7" t="s">
        <v>334</v>
      </c>
      <c r="I3562" s="7" t="s">
        <v>27</v>
      </c>
    </row>
    <row r="3563">
      <c r="A3563" s="7" t="s">
        <v>32</v>
      </c>
      <c r="B3563" s="7" t="s">
        <v>854</v>
      </c>
      <c r="C3563" s="8">
        <f>IFERROR(__xludf.DUMMYFUNCTION("SPLIT(B3563,""RM"")"),690000.0)</f>
        <v>690000</v>
      </c>
      <c r="D3563" s="7">
        <v>4.0</v>
      </c>
      <c r="E3563" s="7">
        <v>2.0</v>
      </c>
      <c r="F3563" s="7">
        <v>2.0</v>
      </c>
      <c r="G3563" s="7" t="s">
        <v>30</v>
      </c>
      <c r="H3563" s="7" t="s">
        <v>449</v>
      </c>
    </row>
    <row r="3564">
      <c r="A3564" s="7" t="s">
        <v>72</v>
      </c>
      <c r="B3564" s="7" t="s">
        <v>720</v>
      </c>
      <c r="C3564" s="8">
        <f>IFERROR(__xludf.DUMMYFUNCTION("SPLIT(B3564,""RM"")"),2790000.0)</f>
        <v>2790000</v>
      </c>
      <c r="D3564" s="7" t="s">
        <v>35</v>
      </c>
      <c r="E3564" s="7">
        <v>5.0</v>
      </c>
      <c r="F3564" s="7">
        <v>3.0</v>
      </c>
      <c r="G3564" s="7" t="s">
        <v>83</v>
      </c>
      <c r="H3564" s="7" t="s">
        <v>113</v>
      </c>
      <c r="I3564" s="7" t="s">
        <v>27</v>
      </c>
    </row>
    <row r="3565">
      <c r="A3565" s="7" t="s">
        <v>188</v>
      </c>
      <c r="B3565" s="7" t="s">
        <v>2373</v>
      </c>
      <c r="C3565" s="8">
        <f>IFERROR(__xludf.DUMMYFUNCTION("SPLIT(B3565,""RM"")"),7397250.0)</f>
        <v>7397250</v>
      </c>
      <c r="D3565" s="7" t="s">
        <v>39</v>
      </c>
      <c r="E3565" s="7">
        <v>5.0</v>
      </c>
      <c r="F3565" s="7">
        <v>2.0</v>
      </c>
      <c r="G3565" s="7" t="s">
        <v>121</v>
      </c>
      <c r="H3565" s="7" t="s">
        <v>2374</v>
      </c>
      <c r="I3565" s="7" t="s">
        <v>27</v>
      </c>
    </row>
    <row r="3566">
      <c r="A3566" s="7" t="s">
        <v>72</v>
      </c>
      <c r="B3566" s="7" t="s">
        <v>125</v>
      </c>
      <c r="C3566" s="8">
        <f>IFERROR(__xludf.DUMMYFUNCTION("SPLIT(B3566,""RM"")"),2300000.0)</f>
        <v>2300000</v>
      </c>
      <c r="D3566" s="7">
        <v>4.0</v>
      </c>
      <c r="E3566" s="7">
        <v>4.0</v>
      </c>
      <c r="F3566" s="7">
        <v>2.0</v>
      </c>
      <c r="G3566" s="7" t="s">
        <v>681</v>
      </c>
      <c r="H3566" s="7" t="s">
        <v>2375</v>
      </c>
    </row>
    <row r="3567">
      <c r="A3567" s="7" t="s">
        <v>72</v>
      </c>
      <c r="B3567" s="7" t="s">
        <v>2376</v>
      </c>
      <c r="C3567" s="8">
        <f>IFERROR(__xludf.DUMMYFUNCTION("SPLIT(B3567,""RM"")"),1401662.0)</f>
        <v>1401662</v>
      </c>
      <c r="D3567" s="7">
        <v>3.0</v>
      </c>
      <c r="E3567" s="7">
        <v>3.0</v>
      </c>
      <c r="F3567" s="7">
        <v>2.0</v>
      </c>
      <c r="G3567" s="7" t="s">
        <v>83</v>
      </c>
      <c r="H3567" s="7" t="s">
        <v>1538</v>
      </c>
      <c r="I3567" s="7" t="s">
        <v>27</v>
      </c>
    </row>
    <row r="3568">
      <c r="A3568" s="7" t="s">
        <v>72</v>
      </c>
      <c r="B3568" s="7" t="s">
        <v>2377</v>
      </c>
      <c r="C3568" s="8">
        <f>IFERROR(__xludf.DUMMYFUNCTION("SPLIT(B3568,""RM"")"),1678225.0)</f>
        <v>1678225</v>
      </c>
      <c r="D3568" s="7" t="s">
        <v>35</v>
      </c>
      <c r="E3568" s="7">
        <v>4.0</v>
      </c>
      <c r="F3568" s="7">
        <v>2.0</v>
      </c>
      <c r="G3568" s="7" t="s">
        <v>83</v>
      </c>
      <c r="H3568" s="7" t="s">
        <v>238</v>
      </c>
      <c r="I3568" s="7" t="s">
        <v>27</v>
      </c>
    </row>
    <row r="3569">
      <c r="A3569" s="7" t="s">
        <v>72</v>
      </c>
      <c r="B3569" s="7" t="s">
        <v>2378</v>
      </c>
      <c r="C3569" s="8">
        <f>IFERROR(__xludf.DUMMYFUNCTION("SPLIT(B3569,""RM"")"),2106463.0)</f>
        <v>2106463</v>
      </c>
      <c r="D3569" s="7" t="s">
        <v>35</v>
      </c>
      <c r="E3569" s="7">
        <v>5.0</v>
      </c>
      <c r="F3569" s="7">
        <v>3.0</v>
      </c>
      <c r="G3569" s="7" t="s">
        <v>83</v>
      </c>
      <c r="H3569" s="7" t="s">
        <v>2097</v>
      </c>
      <c r="I3569" s="7" t="s">
        <v>27</v>
      </c>
    </row>
    <row r="3570">
      <c r="A3570" s="7" t="s">
        <v>72</v>
      </c>
      <c r="B3570" s="7" t="s">
        <v>2379</v>
      </c>
      <c r="C3570" s="8">
        <f>IFERROR(__xludf.DUMMYFUNCTION("SPLIT(B3570,""RM"")"),1790820.0)</f>
        <v>1790820</v>
      </c>
      <c r="D3570" s="7" t="s">
        <v>35</v>
      </c>
      <c r="E3570" s="7">
        <v>4.0</v>
      </c>
      <c r="F3570" s="7">
        <v>3.0</v>
      </c>
      <c r="G3570" s="7" t="s">
        <v>83</v>
      </c>
      <c r="H3570" s="7" t="s">
        <v>84</v>
      </c>
      <c r="I3570" s="7" t="s">
        <v>27</v>
      </c>
    </row>
    <row r="3571">
      <c r="A3571" s="7" t="s">
        <v>72</v>
      </c>
      <c r="B3571" s="7" t="s">
        <v>2380</v>
      </c>
      <c r="C3571" s="8">
        <f>IFERROR(__xludf.DUMMYFUNCTION("SPLIT(B3571,""RM"")"),1719148.0)</f>
        <v>1719148</v>
      </c>
      <c r="D3571" s="7" t="s">
        <v>35</v>
      </c>
      <c r="E3571" s="7">
        <v>4.0</v>
      </c>
      <c r="F3571" s="7">
        <v>3.0</v>
      </c>
      <c r="G3571" s="7" t="s">
        <v>83</v>
      </c>
      <c r="H3571" s="7" t="s">
        <v>84</v>
      </c>
      <c r="I3571" s="7" t="s">
        <v>27</v>
      </c>
    </row>
    <row r="3572">
      <c r="A3572" s="7" t="s">
        <v>72</v>
      </c>
      <c r="B3572" s="7" t="s">
        <v>2381</v>
      </c>
      <c r="C3572" s="8">
        <f>IFERROR(__xludf.DUMMYFUNCTION("SPLIT(B3572,""RM"")"),2188533.0)</f>
        <v>2188533</v>
      </c>
      <c r="D3572" s="7">
        <v>4.0</v>
      </c>
      <c r="E3572" s="7">
        <v>4.0</v>
      </c>
      <c r="F3572" s="7">
        <v>3.0</v>
      </c>
      <c r="G3572" s="7" t="s">
        <v>83</v>
      </c>
      <c r="H3572" s="7" t="s">
        <v>2097</v>
      </c>
      <c r="I3572" s="7" t="s">
        <v>27</v>
      </c>
    </row>
    <row r="3573">
      <c r="A3573" s="7" t="s">
        <v>104</v>
      </c>
      <c r="B3573" s="7" t="s">
        <v>715</v>
      </c>
      <c r="C3573" s="8">
        <f>IFERROR(__xludf.DUMMYFUNCTION("SPLIT(B3573,""RM"")"),550000.0)</f>
        <v>550000</v>
      </c>
      <c r="D3573" s="7">
        <v>4.0</v>
      </c>
      <c r="E3573" s="7">
        <v>2.0</v>
      </c>
      <c r="G3573" s="7" t="s">
        <v>343</v>
      </c>
      <c r="H3573" s="7" t="s">
        <v>1732</v>
      </c>
      <c r="I3573" s="7" t="s">
        <v>103</v>
      </c>
    </row>
    <row r="3574">
      <c r="A3574" s="7" t="s">
        <v>33</v>
      </c>
      <c r="B3574" s="7" t="s">
        <v>132</v>
      </c>
      <c r="C3574" s="8">
        <f>IFERROR(__xludf.DUMMYFUNCTION("SPLIT(B3574,""RM"")"),1080000.0)</f>
        <v>1080000</v>
      </c>
      <c r="D3574" s="7">
        <v>3.0</v>
      </c>
      <c r="E3574" s="7">
        <v>3.0</v>
      </c>
      <c r="F3574" s="7">
        <v>2.0</v>
      </c>
      <c r="G3574" s="7" t="s">
        <v>20</v>
      </c>
      <c r="H3574" s="7" t="s">
        <v>1882</v>
      </c>
      <c r="I3574" s="7" t="s">
        <v>27</v>
      </c>
    </row>
    <row r="3575">
      <c r="A3575" s="7" t="s">
        <v>2307</v>
      </c>
      <c r="B3575" s="7" t="s">
        <v>477</v>
      </c>
      <c r="C3575" s="8">
        <f>IFERROR(__xludf.DUMMYFUNCTION("SPLIT(B3575,""RM"")"),3280000.0)</f>
        <v>3280000</v>
      </c>
      <c r="D3575" s="7" t="s">
        <v>70</v>
      </c>
      <c r="E3575" s="7">
        <v>4.0</v>
      </c>
      <c r="G3575" s="7" t="s">
        <v>67</v>
      </c>
      <c r="H3575" s="7" t="s">
        <v>62</v>
      </c>
      <c r="I3575" s="7" t="s">
        <v>27</v>
      </c>
    </row>
    <row r="3576">
      <c r="A3576" s="7" t="s">
        <v>164</v>
      </c>
      <c r="B3576" s="7" t="s">
        <v>422</v>
      </c>
      <c r="C3576" s="8">
        <f>IFERROR(__xludf.DUMMYFUNCTION("SPLIT(B3576,""RM"")"),2050000.0)</f>
        <v>2050000</v>
      </c>
      <c r="D3576" s="7" t="s">
        <v>39</v>
      </c>
      <c r="E3576" s="7">
        <v>4.0</v>
      </c>
      <c r="F3576" s="7">
        <v>2.0</v>
      </c>
      <c r="G3576" s="7" t="s">
        <v>83</v>
      </c>
      <c r="H3576" s="7" t="s">
        <v>2382</v>
      </c>
      <c r="I3576" s="7" t="s">
        <v>27</v>
      </c>
    </row>
    <row r="3577">
      <c r="A3577" s="7" t="s">
        <v>37</v>
      </c>
      <c r="B3577" s="7" t="s">
        <v>1060</v>
      </c>
      <c r="C3577" s="8">
        <f>IFERROR(__xludf.DUMMYFUNCTION("SPLIT(B3577,""RM"")"),5300000.0)</f>
        <v>5300000</v>
      </c>
      <c r="D3577" s="7">
        <v>6.0</v>
      </c>
      <c r="E3577" s="7">
        <v>4.0</v>
      </c>
      <c r="F3577" s="7">
        <v>4.0</v>
      </c>
      <c r="G3577" s="7" t="s">
        <v>67</v>
      </c>
      <c r="H3577" s="7" t="s">
        <v>2383</v>
      </c>
      <c r="I3577" s="7" t="s">
        <v>27</v>
      </c>
    </row>
    <row r="3578">
      <c r="A3578" s="7" t="s">
        <v>100</v>
      </c>
      <c r="B3578" s="7" t="s">
        <v>1392</v>
      </c>
      <c r="C3578" s="8">
        <f>IFERROR(__xludf.DUMMYFUNCTION("SPLIT(B3578,""RM"")"),518000.0)</f>
        <v>518000</v>
      </c>
      <c r="D3578" s="7">
        <v>4.0</v>
      </c>
      <c r="E3578" s="7">
        <v>4.0</v>
      </c>
      <c r="F3578" s="7">
        <v>3.0</v>
      </c>
      <c r="G3578" s="7" t="s">
        <v>93</v>
      </c>
      <c r="H3578" s="7" t="s">
        <v>1371</v>
      </c>
      <c r="I3578" s="7" t="s">
        <v>103</v>
      </c>
    </row>
    <row r="3579">
      <c r="A3579" s="7" t="s">
        <v>72</v>
      </c>
      <c r="B3579" s="7" t="s">
        <v>165</v>
      </c>
      <c r="C3579" s="8">
        <f>IFERROR(__xludf.DUMMYFUNCTION("SPLIT(B3579,""RM"")"),3500000.0)</f>
        <v>3500000</v>
      </c>
      <c r="D3579" s="7" t="s">
        <v>39</v>
      </c>
      <c r="E3579" s="7">
        <v>5.0</v>
      </c>
      <c r="F3579" s="7">
        <v>3.0</v>
      </c>
      <c r="G3579" s="7" t="s">
        <v>30</v>
      </c>
      <c r="H3579" s="7" t="s">
        <v>147</v>
      </c>
      <c r="I3579" s="7" t="s">
        <v>27</v>
      </c>
    </row>
    <row r="3580">
      <c r="A3580" s="7" t="s">
        <v>432</v>
      </c>
      <c r="B3580" s="7" t="s">
        <v>447</v>
      </c>
      <c r="C3580" s="8">
        <f>IFERROR(__xludf.DUMMYFUNCTION("SPLIT(B3580,""RM"")"),3700000.0)</f>
        <v>3700000</v>
      </c>
      <c r="D3580" s="7" t="s">
        <v>60</v>
      </c>
      <c r="E3580" s="7">
        <v>6.0</v>
      </c>
      <c r="G3580" s="7" t="s">
        <v>43</v>
      </c>
      <c r="H3580" s="7" t="s">
        <v>2384</v>
      </c>
    </row>
    <row r="3581">
      <c r="A3581" s="7" t="s">
        <v>72</v>
      </c>
      <c r="B3581" s="7" t="s">
        <v>2385</v>
      </c>
      <c r="C3581" s="8">
        <f>IFERROR(__xludf.DUMMYFUNCTION("SPLIT(B3581,""RM"")"),1970000.0)</f>
        <v>1970000</v>
      </c>
      <c r="D3581" s="7" t="s">
        <v>57</v>
      </c>
      <c r="G3581" s="7" t="s">
        <v>83</v>
      </c>
      <c r="H3581" s="7" t="s">
        <v>561</v>
      </c>
      <c r="I3581" s="7" t="s">
        <v>27</v>
      </c>
    </row>
    <row r="3582">
      <c r="A3582" s="7" t="s">
        <v>17</v>
      </c>
      <c r="B3582" s="7" t="s">
        <v>712</v>
      </c>
      <c r="C3582" s="8">
        <f>IFERROR(__xludf.DUMMYFUNCTION("SPLIT(B3582,""RM"")"),1880000.0)</f>
        <v>1880000</v>
      </c>
      <c r="D3582" s="7" t="s">
        <v>19</v>
      </c>
      <c r="E3582" s="7">
        <v>2.0</v>
      </c>
      <c r="F3582" s="7">
        <v>1.0</v>
      </c>
      <c r="G3582" s="7" t="s">
        <v>121</v>
      </c>
      <c r="H3582" s="7" t="s">
        <v>1813</v>
      </c>
      <c r="I3582" s="7" t="s">
        <v>22</v>
      </c>
    </row>
    <row r="3583">
      <c r="A3583" s="7" t="s">
        <v>17</v>
      </c>
      <c r="B3583" s="7" t="s">
        <v>189</v>
      </c>
      <c r="C3583" s="8">
        <f>IFERROR(__xludf.DUMMYFUNCTION("SPLIT(B3583,""RM"")"),1820000.0)</f>
        <v>1820000</v>
      </c>
      <c r="D3583" s="7" t="s">
        <v>19</v>
      </c>
      <c r="E3583" s="7">
        <v>2.0</v>
      </c>
      <c r="F3583" s="7">
        <v>1.0</v>
      </c>
      <c r="G3583" s="7" t="s">
        <v>121</v>
      </c>
      <c r="H3583" s="7" t="s">
        <v>2386</v>
      </c>
      <c r="I3583" s="7" t="s">
        <v>22</v>
      </c>
    </row>
    <row r="3584">
      <c r="A3584" s="7" t="s">
        <v>100</v>
      </c>
      <c r="B3584" s="7" t="s">
        <v>236</v>
      </c>
      <c r="C3584" s="8">
        <f>IFERROR(__xludf.DUMMYFUNCTION("SPLIT(B3584,""RM"")"),2000000.0)</f>
        <v>2000000</v>
      </c>
      <c r="D3584" s="7" t="s">
        <v>70</v>
      </c>
      <c r="E3584" s="7">
        <v>5.0</v>
      </c>
      <c r="G3584" s="7" t="s">
        <v>64</v>
      </c>
      <c r="H3584" s="7" t="s">
        <v>2387</v>
      </c>
      <c r="I3584" s="7" t="s">
        <v>103</v>
      </c>
    </row>
    <row r="3585">
      <c r="A3585" s="7" t="s">
        <v>32</v>
      </c>
      <c r="B3585" s="7" t="s">
        <v>2388</v>
      </c>
      <c r="C3585" s="8">
        <f>IFERROR(__xludf.DUMMYFUNCTION("SPLIT(B3585,""RM"")"),368620.0)</f>
        <v>368620</v>
      </c>
      <c r="D3585" s="7" t="s">
        <v>19</v>
      </c>
      <c r="E3585" s="7">
        <v>2.0</v>
      </c>
      <c r="F3585" s="7">
        <v>2.0</v>
      </c>
      <c r="G3585" s="7" t="s">
        <v>20</v>
      </c>
      <c r="H3585" s="7" t="s">
        <v>242</v>
      </c>
      <c r="I3585" s="7" t="s">
        <v>27</v>
      </c>
    </row>
    <row r="3586">
      <c r="A3586" s="7" t="s">
        <v>171</v>
      </c>
      <c r="B3586" s="7" t="s">
        <v>268</v>
      </c>
      <c r="C3586" s="8">
        <f>IFERROR(__xludf.DUMMYFUNCTION("SPLIT(B3586,""RM"")"),500000.0)</f>
        <v>500000</v>
      </c>
      <c r="D3586" s="7">
        <v>3.0</v>
      </c>
      <c r="E3586" s="7">
        <v>2.0</v>
      </c>
      <c r="F3586" s="7">
        <v>2.0</v>
      </c>
      <c r="G3586" s="7" t="s">
        <v>121</v>
      </c>
      <c r="H3586" s="7" t="s">
        <v>2389</v>
      </c>
      <c r="I3586" s="7" t="s">
        <v>27</v>
      </c>
    </row>
    <row r="3587">
      <c r="A3587" s="7" t="s">
        <v>17</v>
      </c>
      <c r="B3587" s="7" t="s">
        <v>329</v>
      </c>
      <c r="C3587" s="8">
        <f>IFERROR(__xludf.DUMMYFUNCTION("SPLIT(B3587,""RM"")"),1200000.0)</f>
        <v>1200000</v>
      </c>
      <c r="D3587" s="7" t="s">
        <v>19</v>
      </c>
      <c r="E3587" s="7">
        <v>2.0</v>
      </c>
      <c r="F3587" s="7">
        <v>1.0</v>
      </c>
      <c r="G3587" s="7" t="s">
        <v>121</v>
      </c>
      <c r="H3587" s="7" t="s">
        <v>505</v>
      </c>
      <c r="I3587" s="7" t="s">
        <v>22</v>
      </c>
    </row>
    <row r="3588">
      <c r="A3588" s="7" t="s">
        <v>17</v>
      </c>
      <c r="B3588" s="7" t="s">
        <v>599</v>
      </c>
      <c r="C3588" s="8">
        <f>IFERROR(__xludf.DUMMYFUNCTION("SPLIT(B3588,""RM"")"),950000.0)</f>
        <v>950000</v>
      </c>
      <c r="D3588" s="7" t="s">
        <v>19</v>
      </c>
      <c r="E3588" s="7">
        <v>1.0</v>
      </c>
      <c r="F3588" s="7">
        <v>1.0</v>
      </c>
      <c r="G3588" s="7" t="s">
        <v>121</v>
      </c>
      <c r="H3588" s="7" t="s">
        <v>242</v>
      </c>
      <c r="I3588" s="7" t="s">
        <v>22</v>
      </c>
    </row>
    <row r="3589">
      <c r="A3589" s="7" t="s">
        <v>72</v>
      </c>
      <c r="B3589" s="7" t="s">
        <v>134</v>
      </c>
      <c r="C3589" s="8">
        <f>IFERROR(__xludf.DUMMYFUNCTION("SPLIT(B3589,""RM"")"),1150000.0)</f>
        <v>1150000</v>
      </c>
      <c r="D3589" s="7">
        <v>3.0</v>
      </c>
      <c r="E3589" s="7">
        <v>3.0</v>
      </c>
      <c r="G3589" s="7" t="s">
        <v>83</v>
      </c>
      <c r="H3589" s="7" t="s">
        <v>1105</v>
      </c>
      <c r="I3589" s="7" t="s">
        <v>22</v>
      </c>
    </row>
    <row r="3590">
      <c r="A3590" s="7" t="s">
        <v>100</v>
      </c>
      <c r="B3590" s="7" t="s">
        <v>2390</v>
      </c>
      <c r="C3590" s="8">
        <f>IFERROR(__xludf.DUMMYFUNCTION("SPLIT(B3590,""RM"")"),398800.0)</f>
        <v>398800</v>
      </c>
      <c r="D3590" s="7">
        <v>1.0</v>
      </c>
      <c r="E3590" s="7">
        <v>2.0</v>
      </c>
      <c r="F3590" s="7">
        <v>1.0</v>
      </c>
      <c r="G3590" s="7" t="s">
        <v>145</v>
      </c>
      <c r="H3590" s="7" t="s">
        <v>786</v>
      </c>
      <c r="I3590" s="7" t="s">
        <v>22</v>
      </c>
    </row>
    <row r="3591">
      <c r="A3591" s="7" t="s">
        <v>37</v>
      </c>
      <c r="B3591" s="7" t="s">
        <v>245</v>
      </c>
      <c r="C3591" s="8">
        <f>IFERROR(__xludf.DUMMYFUNCTION("SPLIT(B3591,""RM"")"),800000.0)</f>
        <v>800000</v>
      </c>
      <c r="D3591" s="7">
        <v>3.0</v>
      </c>
      <c r="E3591" s="7">
        <v>2.0</v>
      </c>
      <c r="F3591" s="7">
        <v>1.0</v>
      </c>
      <c r="G3591" s="7" t="s">
        <v>93</v>
      </c>
      <c r="H3591" s="7" t="s">
        <v>471</v>
      </c>
      <c r="I3591" s="7" t="s">
        <v>27</v>
      </c>
    </row>
    <row r="3592">
      <c r="A3592" s="7" t="s">
        <v>428</v>
      </c>
      <c r="B3592" s="7" t="s">
        <v>349</v>
      </c>
      <c r="C3592" s="8">
        <f>IFERROR(__xludf.DUMMYFUNCTION("SPLIT(B3592,""RM"")"),1400000.0)</f>
        <v>1400000</v>
      </c>
      <c r="D3592" s="7">
        <v>5.0</v>
      </c>
      <c r="E3592" s="7">
        <v>4.0</v>
      </c>
      <c r="F3592" s="7">
        <v>6.0</v>
      </c>
      <c r="G3592" s="7" t="s">
        <v>43</v>
      </c>
      <c r="H3592" s="7" t="s">
        <v>478</v>
      </c>
      <c r="I3592" s="7" t="s">
        <v>27</v>
      </c>
    </row>
    <row r="3593">
      <c r="A3593" s="7" t="s">
        <v>428</v>
      </c>
      <c r="B3593" s="7" t="s">
        <v>691</v>
      </c>
      <c r="C3593" s="8">
        <f>IFERROR(__xludf.DUMMYFUNCTION("SPLIT(B3593,""RM"")"),370000.0)</f>
        <v>370000</v>
      </c>
      <c r="D3593" s="7">
        <v>2.0</v>
      </c>
      <c r="E3593" s="7">
        <v>1.0</v>
      </c>
      <c r="G3593" s="7" t="s">
        <v>169</v>
      </c>
      <c r="H3593" s="7" t="s">
        <v>2391</v>
      </c>
    </row>
    <row r="3594">
      <c r="A3594" s="7" t="s">
        <v>72</v>
      </c>
      <c r="B3594" s="7" t="s">
        <v>2392</v>
      </c>
      <c r="C3594" s="8">
        <f>IFERROR(__xludf.DUMMYFUNCTION("SPLIT(B3594,""RM"")"),1307475.0)</f>
        <v>1307475</v>
      </c>
      <c r="D3594" s="7" t="s">
        <v>39</v>
      </c>
      <c r="E3594" s="7">
        <v>4.0</v>
      </c>
      <c r="F3594" s="7">
        <v>3.0</v>
      </c>
      <c r="G3594" s="7" t="s">
        <v>83</v>
      </c>
      <c r="H3594" s="7" t="s">
        <v>1050</v>
      </c>
      <c r="I3594" s="7" t="s">
        <v>27</v>
      </c>
    </row>
    <row r="3595">
      <c r="A3595" s="7" t="s">
        <v>33</v>
      </c>
      <c r="B3595" s="7" t="s">
        <v>361</v>
      </c>
      <c r="C3595" s="8">
        <f>IFERROR(__xludf.DUMMYFUNCTION("SPLIT(B3595,""RM"")"),530000.0)</f>
        <v>530000</v>
      </c>
      <c r="D3595" s="7">
        <v>3.0</v>
      </c>
      <c r="E3595" s="7">
        <v>3.0</v>
      </c>
      <c r="F3595" s="7">
        <v>2.0</v>
      </c>
      <c r="G3595" s="7" t="s">
        <v>93</v>
      </c>
      <c r="H3595" s="7" t="s">
        <v>1156</v>
      </c>
      <c r="I3595" s="7" t="s">
        <v>103</v>
      </c>
    </row>
    <row r="3596">
      <c r="A3596" s="7" t="s">
        <v>33</v>
      </c>
      <c r="B3596" s="7" t="s">
        <v>677</v>
      </c>
      <c r="C3596" s="8">
        <f>IFERROR(__xludf.DUMMYFUNCTION("SPLIT(B3596,""RM"")"),535000.0)</f>
        <v>535000</v>
      </c>
      <c r="D3596" s="7">
        <v>3.0</v>
      </c>
      <c r="E3596" s="7">
        <v>3.0</v>
      </c>
      <c r="F3596" s="7">
        <v>2.0</v>
      </c>
      <c r="G3596" s="7" t="s">
        <v>93</v>
      </c>
      <c r="H3596" s="7" t="s">
        <v>1156</v>
      </c>
      <c r="I3596" s="7" t="s">
        <v>103</v>
      </c>
    </row>
    <row r="3597">
      <c r="A3597" s="7" t="s">
        <v>100</v>
      </c>
      <c r="B3597" s="7" t="s">
        <v>648</v>
      </c>
      <c r="C3597" s="8">
        <f>IFERROR(__xludf.DUMMYFUNCTION("SPLIT(B3597,""RM"")"),568000.0)</f>
        <v>568000</v>
      </c>
      <c r="D3597" s="7">
        <v>4.0</v>
      </c>
      <c r="E3597" s="7">
        <v>4.0</v>
      </c>
      <c r="F3597" s="7">
        <v>1.0</v>
      </c>
      <c r="G3597" s="7" t="s">
        <v>83</v>
      </c>
      <c r="H3597" s="7" t="s">
        <v>2393</v>
      </c>
      <c r="I3597" s="7" t="s">
        <v>103</v>
      </c>
    </row>
    <row r="3598">
      <c r="A3598" s="7" t="s">
        <v>89</v>
      </c>
      <c r="B3598" s="7" t="s">
        <v>2394</v>
      </c>
      <c r="C3598" s="8">
        <f>IFERROR(__xludf.DUMMYFUNCTION("SPLIT(B3598,""RM"")"),505000.0)</f>
        <v>505000</v>
      </c>
      <c r="D3598" s="7">
        <v>3.0</v>
      </c>
      <c r="E3598" s="7">
        <v>2.0</v>
      </c>
      <c r="F3598" s="7">
        <v>3.0</v>
      </c>
      <c r="G3598" s="7" t="s">
        <v>30</v>
      </c>
      <c r="H3598" s="7" t="s">
        <v>2247</v>
      </c>
      <c r="I3598" s="7" t="s">
        <v>27</v>
      </c>
    </row>
    <row r="3599">
      <c r="A3599" s="7" t="s">
        <v>72</v>
      </c>
      <c r="B3599" s="7" t="s">
        <v>552</v>
      </c>
      <c r="C3599" s="8">
        <f>IFERROR(__xludf.DUMMYFUNCTION("SPLIT(B3599,""RM"")"),618000.0)</f>
        <v>618000</v>
      </c>
      <c r="D3599" s="7">
        <v>2.0</v>
      </c>
      <c r="E3599" s="7">
        <v>2.0</v>
      </c>
      <c r="F3599" s="7">
        <v>1.0</v>
      </c>
      <c r="G3599" s="7" t="s">
        <v>83</v>
      </c>
      <c r="H3599" s="7" t="s">
        <v>1449</v>
      </c>
      <c r="I3599" s="7" t="s">
        <v>22</v>
      </c>
    </row>
    <row r="3600">
      <c r="A3600" s="7" t="s">
        <v>164</v>
      </c>
      <c r="B3600" s="7" t="s">
        <v>2395</v>
      </c>
      <c r="C3600" s="8">
        <f>IFERROR(__xludf.DUMMYFUNCTION("SPLIT(B3600,""RM"")"),1739000.0)</f>
        <v>1739000</v>
      </c>
      <c r="D3600" s="7">
        <v>2.0</v>
      </c>
      <c r="E3600" s="7">
        <v>3.0</v>
      </c>
      <c r="F3600" s="7">
        <v>1.0</v>
      </c>
      <c r="G3600" s="7" t="s">
        <v>121</v>
      </c>
      <c r="H3600" s="7" t="s">
        <v>1971</v>
      </c>
      <c r="I3600" s="7" t="s">
        <v>22</v>
      </c>
    </row>
    <row r="3601">
      <c r="A3601" s="7" t="s">
        <v>164</v>
      </c>
      <c r="B3601" s="7" t="s">
        <v>255</v>
      </c>
      <c r="C3601" s="8">
        <f>IFERROR(__xludf.DUMMYFUNCTION("SPLIT(B3601,""RM"")"),4900000.0)</f>
        <v>4900000</v>
      </c>
      <c r="D3601" s="7" t="s">
        <v>35</v>
      </c>
      <c r="E3601" s="7">
        <v>5.0</v>
      </c>
      <c r="F3601" s="7">
        <v>4.0</v>
      </c>
      <c r="G3601" s="7" t="s">
        <v>121</v>
      </c>
      <c r="H3601" s="7" t="s">
        <v>176</v>
      </c>
      <c r="I3601" s="7" t="s">
        <v>22</v>
      </c>
    </row>
    <row r="3602">
      <c r="A3602" s="7" t="s">
        <v>23</v>
      </c>
      <c r="B3602" s="7" t="s">
        <v>239</v>
      </c>
      <c r="C3602" s="8">
        <f>IFERROR(__xludf.DUMMYFUNCTION("SPLIT(B3602,""RM"")"),1280000.0)</f>
        <v>1280000</v>
      </c>
      <c r="D3602" s="7" t="s">
        <v>57</v>
      </c>
      <c r="E3602" s="7">
        <v>4.0</v>
      </c>
      <c r="G3602" s="7" t="s">
        <v>121</v>
      </c>
      <c r="H3602" s="7" t="s">
        <v>656</v>
      </c>
      <c r="I3602" s="7" t="s">
        <v>27</v>
      </c>
    </row>
    <row r="3603">
      <c r="A3603" s="7" t="s">
        <v>28</v>
      </c>
      <c r="B3603" s="7" t="s">
        <v>29</v>
      </c>
      <c r="C3603" s="8">
        <f>IFERROR(__xludf.DUMMYFUNCTION("SPLIT(B3603,""RM"")"),1030000.0)</f>
        <v>1030000</v>
      </c>
      <c r="D3603" s="7" t="s">
        <v>57</v>
      </c>
      <c r="E3603" s="7">
        <v>5.0</v>
      </c>
      <c r="F3603" s="7">
        <v>2.0</v>
      </c>
      <c r="G3603" s="7" t="s">
        <v>83</v>
      </c>
      <c r="H3603" s="7" t="s">
        <v>97</v>
      </c>
      <c r="I3603" s="7" t="s">
        <v>22</v>
      </c>
    </row>
    <row r="3604">
      <c r="A3604" s="7" t="s">
        <v>358</v>
      </c>
      <c r="B3604" s="7" t="s">
        <v>322</v>
      </c>
      <c r="C3604" s="8">
        <f>IFERROR(__xludf.DUMMYFUNCTION("SPLIT(B3604,""RM"")"),1900000.0)</f>
        <v>1900000</v>
      </c>
      <c r="D3604" s="7">
        <v>7.0</v>
      </c>
      <c r="E3604" s="7">
        <v>6.0</v>
      </c>
      <c r="F3604" s="7">
        <v>5.0</v>
      </c>
      <c r="G3604" s="7" t="s">
        <v>90</v>
      </c>
      <c r="H3604" s="7" t="s">
        <v>2396</v>
      </c>
      <c r="I3604" s="7" t="s">
        <v>103</v>
      </c>
    </row>
    <row r="3605">
      <c r="A3605" s="7" t="s">
        <v>33</v>
      </c>
      <c r="B3605" s="7" t="s">
        <v>1679</v>
      </c>
      <c r="C3605" s="8">
        <f>IFERROR(__xludf.DUMMYFUNCTION("SPLIT(B3605,""RM"")"),828000.0)</f>
        <v>828000</v>
      </c>
      <c r="F3605" s="7">
        <v>2.0</v>
      </c>
      <c r="G3605" s="7" t="s">
        <v>83</v>
      </c>
      <c r="H3605" s="7" t="s">
        <v>21</v>
      </c>
      <c r="I3605" s="7" t="s">
        <v>103</v>
      </c>
    </row>
    <row r="3606">
      <c r="A3606" s="7" t="s">
        <v>33</v>
      </c>
      <c r="B3606" s="7" t="s">
        <v>599</v>
      </c>
      <c r="C3606" s="8">
        <f>IFERROR(__xludf.DUMMYFUNCTION("SPLIT(B3606,""RM"")"),950000.0)</f>
        <v>950000</v>
      </c>
      <c r="D3606" s="7" t="s">
        <v>57</v>
      </c>
      <c r="E3606" s="7">
        <v>3.0</v>
      </c>
      <c r="F3606" s="7">
        <v>2.0</v>
      </c>
      <c r="G3606" s="7" t="s">
        <v>30</v>
      </c>
      <c r="H3606" s="7" t="s">
        <v>36</v>
      </c>
      <c r="I3606" s="7" t="s">
        <v>27</v>
      </c>
    </row>
    <row r="3607">
      <c r="A3607" s="7" t="s">
        <v>23</v>
      </c>
      <c r="B3607" s="7" t="s">
        <v>2297</v>
      </c>
      <c r="C3607" s="8">
        <f>IFERROR(__xludf.DUMMYFUNCTION("SPLIT(B3607,""RM"")"),1.5E7)</f>
        <v>15000000</v>
      </c>
      <c r="D3607" s="7" t="s">
        <v>60</v>
      </c>
      <c r="E3607" s="7">
        <v>8.0</v>
      </c>
      <c r="F3607" s="7">
        <v>6.0</v>
      </c>
      <c r="G3607" s="7" t="s">
        <v>67</v>
      </c>
      <c r="H3607" s="7" t="s">
        <v>1063</v>
      </c>
      <c r="I3607" s="7" t="s">
        <v>27</v>
      </c>
    </row>
    <row r="3608">
      <c r="A3608" s="7" t="s">
        <v>100</v>
      </c>
      <c r="B3608" s="7" t="s">
        <v>1140</v>
      </c>
      <c r="C3608" s="8">
        <f>IFERROR(__xludf.DUMMYFUNCTION("SPLIT(B3608,""RM"")"),330000.0)</f>
        <v>330000</v>
      </c>
      <c r="D3608" s="7">
        <v>3.0</v>
      </c>
      <c r="E3608" s="7">
        <v>2.0</v>
      </c>
      <c r="G3608" s="7" t="s">
        <v>20</v>
      </c>
      <c r="H3608" s="7" t="s">
        <v>491</v>
      </c>
    </row>
    <row r="3609">
      <c r="A3609" s="7" t="s">
        <v>23</v>
      </c>
      <c r="B3609" s="7" t="s">
        <v>616</v>
      </c>
      <c r="C3609" s="8">
        <f>IFERROR(__xludf.DUMMYFUNCTION("SPLIT(B3609,""RM"")"),7500000.0)</f>
        <v>7500000</v>
      </c>
      <c r="D3609" s="7" t="s">
        <v>70</v>
      </c>
      <c r="E3609" s="7">
        <v>5.0</v>
      </c>
      <c r="F3609" s="7">
        <v>4.0</v>
      </c>
      <c r="G3609" s="7" t="s">
        <v>67</v>
      </c>
      <c r="H3609" s="7" t="s">
        <v>2397</v>
      </c>
      <c r="I3609" s="7" t="s">
        <v>27</v>
      </c>
    </row>
    <row r="3610">
      <c r="A3610" s="7" t="s">
        <v>52</v>
      </c>
      <c r="B3610" s="7" t="s">
        <v>2398</v>
      </c>
      <c r="C3610" s="8">
        <f>IFERROR(__xludf.DUMMYFUNCTION("SPLIT(B3610,""RM"")"),606000.0)</f>
        <v>606000</v>
      </c>
      <c r="D3610" s="7">
        <v>3.0</v>
      </c>
      <c r="E3610" s="7">
        <v>3.0</v>
      </c>
      <c r="F3610" s="7">
        <v>2.0</v>
      </c>
      <c r="G3610" s="7" t="s">
        <v>54</v>
      </c>
      <c r="H3610" s="7" t="s">
        <v>711</v>
      </c>
      <c r="I3610" s="7" t="s">
        <v>27</v>
      </c>
    </row>
    <row r="3611">
      <c r="A3611" s="7" t="s">
        <v>37</v>
      </c>
      <c r="B3611" s="7" t="s">
        <v>316</v>
      </c>
      <c r="C3611" s="8">
        <f>IFERROR(__xludf.DUMMYFUNCTION("SPLIT(B3611,""RM"")"),820000.0)</f>
        <v>820000</v>
      </c>
      <c r="D3611" s="7">
        <v>2.0</v>
      </c>
      <c r="E3611" s="7">
        <v>2.0</v>
      </c>
      <c r="G3611" s="7" t="s">
        <v>20</v>
      </c>
      <c r="H3611" s="7" t="s">
        <v>1155</v>
      </c>
    </row>
    <row r="3612">
      <c r="A3612" s="7" t="s">
        <v>72</v>
      </c>
      <c r="B3612" s="7" t="s">
        <v>599</v>
      </c>
      <c r="C3612" s="8">
        <f>IFERROR(__xludf.DUMMYFUNCTION("SPLIT(B3612,""RM"")"),950000.0)</f>
        <v>950000</v>
      </c>
      <c r="D3612" s="7" t="s">
        <v>19</v>
      </c>
      <c r="E3612" s="7">
        <v>3.0</v>
      </c>
      <c r="F3612" s="7">
        <v>2.0</v>
      </c>
      <c r="G3612" s="7" t="s">
        <v>82</v>
      </c>
      <c r="H3612" s="7" t="s">
        <v>1502</v>
      </c>
      <c r="I3612" s="7" t="s">
        <v>27</v>
      </c>
    </row>
    <row r="3613">
      <c r="A3613" s="7" t="s">
        <v>17</v>
      </c>
      <c r="B3613" s="7" t="s">
        <v>214</v>
      </c>
      <c r="C3613" s="8">
        <f>IFERROR(__xludf.DUMMYFUNCTION("SPLIT(B3613,""RM"")"),1180000.0)</f>
        <v>1180000</v>
      </c>
      <c r="D3613" s="7">
        <v>2.0</v>
      </c>
      <c r="E3613" s="7">
        <v>2.0</v>
      </c>
      <c r="F3613" s="7">
        <v>1.0</v>
      </c>
      <c r="G3613" s="7" t="s">
        <v>83</v>
      </c>
      <c r="H3613" s="7" t="s">
        <v>383</v>
      </c>
      <c r="I3613" s="7" t="s">
        <v>22</v>
      </c>
    </row>
    <row r="3614">
      <c r="A3614" s="7" t="s">
        <v>180</v>
      </c>
      <c r="B3614" s="7" t="s">
        <v>499</v>
      </c>
      <c r="C3614" s="8">
        <f>IFERROR(__xludf.DUMMYFUNCTION("SPLIT(B3614,""RM"")"),3900000.0)</f>
        <v>3900000</v>
      </c>
      <c r="D3614" s="7" t="s">
        <v>57</v>
      </c>
      <c r="E3614" s="7">
        <v>4.0</v>
      </c>
      <c r="F3614" s="7">
        <v>2.0</v>
      </c>
      <c r="G3614" s="7" t="s">
        <v>83</v>
      </c>
      <c r="H3614" s="7" t="s">
        <v>1280</v>
      </c>
      <c r="I3614" s="7" t="s">
        <v>27</v>
      </c>
    </row>
    <row r="3615">
      <c r="A3615" s="7" t="s">
        <v>180</v>
      </c>
      <c r="B3615" s="7" t="s">
        <v>1517</v>
      </c>
      <c r="C3615" s="8">
        <f>IFERROR(__xludf.DUMMYFUNCTION("SPLIT(B3615,""RM"")"),910000.0)</f>
        <v>910000</v>
      </c>
      <c r="D3615" s="7" t="s">
        <v>57</v>
      </c>
      <c r="E3615" s="7">
        <v>4.0</v>
      </c>
      <c r="F3615" s="7">
        <v>2.0</v>
      </c>
      <c r="G3615" s="7" t="s">
        <v>83</v>
      </c>
      <c r="H3615" s="7" t="s">
        <v>2064</v>
      </c>
      <c r="I3615" s="7" t="s">
        <v>22</v>
      </c>
    </row>
    <row r="3616">
      <c r="A3616" s="7" t="s">
        <v>17</v>
      </c>
      <c r="B3616" s="7" t="s">
        <v>125</v>
      </c>
      <c r="C3616" s="8">
        <f>IFERROR(__xludf.DUMMYFUNCTION("SPLIT(B3616,""RM"")"),2300000.0)</f>
        <v>2300000</v>
      </c>
      <c r="D3616" s="7" t="s">
        <v>57</v>
      </c>
      <c r="E3616" s="7">
        <v>3.0</v>
      </c>
      <c r="F3616" s="7">
        <v>2.0</v>
      </c>
      <c r="G3616" s="7" t="s">
        <v>20</v>
      </c>
      <c r="H3616" s="7" t="s">
        <v>1029</v>
      </c>
      <c r="I3616" s="7" t="s">
        <v>27</v>
      </c>
    </row>
    <row r="3617">
      <c r="A3617" s="7" t="s">
        <v>17</v>
      </c>
      <c r="B3617" s="7" t="s">
        <v>1146</v>
      </c>
      <c r="C3617" s="8">
        <f>IFERROR(__xludf.DUMMYFUNCTION("SPLIT(B3617,""RM"")"),1490000.0)</f>
        <v>1490000</v>
      </c>
      <c r="D3617" s="7">
        <v>2.0</v>
      </c>
      <c r="E3617" s="7">
        <v>2.0</v>
      </c>
      <c r="F3617" s="7">
        <v>2.0</v>
      </c>
      <c r="G3617" s="7" t="s">
        <v>83</v>
      </c>
      <c r="H3617" s="7" t="s">
        <v>930</v>
      </c>
      <c r="I3617" s="7" t="s">
        <v>22</v>
      </c>
    </row>
    <row r="3618">
      <c r="A3618" s="7" t="s">
        <v>188</v>
      </c>
      <c r="B3618" s="7" t="s">
        <v>790</v>
      </c>
      <c r="C3618" s="8">
        <f>IFERROR(__xludf.DUMMYFUNCTION("SPLIT(B3618,""RM"")"),2680000.0)</f>
        <v>2680000</v>
      </c>
      <c r="D3618" s="7">
        <v>2.0</v>
      </c>
      <c r="E3618" s="7">
        <v>3.0</v>
      </c>
      <c r="F3618" s="7">
        <v>1.0</v>
      </c>
      <c r="G3618" s="7" t="s">
        <v>121</v>
      </c>
      <c r="H3618" s="7" t="s">
        <v>823</v>
      </c>
      <c r="I3618" s="7" t="s">
        <v>22</v>
      </c>
    </row>
    <row r="3619">
      <c r="A3619" s="7" t="s">
        <v>33</v>
      </c>
      <c r="B3619" s="7" t="s">
        <v>56</v>
      </c>
      <c r="C3619" s="8">
        <f>IFERROR(__xludf.DUMMYFUNCTION("SPLIT(B3619,""RM"")"),1700000.0)</f>
        <v>1700000</v>
      </c>
      <c r="D3619" s="7">
        <v>5.0</v>
      </c>
      <c r="E3619" s="7">
        <v>5.0</v>
      </c>
      <c r="G3619" s="7" t="s">
        <v>64</v>
      </c>
      <c r="H3619" s="7" t="s">
        <v>2399</v>
      </c>
    </row>
    <row r="3620">
      <c r="A3620" s="7" t="s">
        <v>48</v>
      </c>
      <c r="B3620" s="7" t="s">
        <v>655</v>
      </c>
      <c r="C3620" s="8">
        <f>IFERROR(__xludf.DUMMYFUNCTION("SPLIT(B3620,""RM"")"),2550000.0)</f>
        <v>2550000</v>
      </c>
      <c r="D3620" s="7" t="s">
        <v>70</v>
      </c>
      <c r="E3620" s="7">
        <v>4.0</v>
      </c>
      <c r="F3620" s="7">
        <v>5.0</v>
      </c>
      <c r="G3620" s="7" t="s">
        <v>43</v>
      </c>
      <c r="H3620" s="7" t="s">
        <v>2400</v>
      </c>
      <c r="I3620" s="7" t="s">
        <v>27</v>
      </c>
    </row>
    <row r="3621">
      <c r="A3621" s="7" t="s">
        <v>72</v>
      </c>
      <c r="B3621" s="7" t="s">
        <v>168</v>
      </c>
      <c r="C3621" s="8">
        <f>IFERROR(__xludf.DUMMYFUNCTION("SPLIT(B3621,""RM"")"),750000.0)</f>
        <v>750000</v>
      </c>
      <c r="D3621" s="7">
        <v>3.0</v>
      </c>
      <c r="E3621" s="7">
        <v>2.0</v>
      </c>
      <c r="F3621" s="7">
        <v>1.0</v>
      </c>
      <c r="G3621" s="7" t="s">
        <v>30</v>
      </c>
      <c r="H3621" s="7" t="s">
        <v>2401</v>
      </c>
      <c r="I3621" s="7" t="s">
        <v>22</v>
      </c>
    </row>
    <row r="3622">
      <c r="A3622" s="7" t="s">
        <v>72</v>
      </c>
      <c r="B3622" s="7" t="s">
        <v>156</v>
      </c>
      <c r="C3622" s="8">
        <f>IFERROR(__xludf.DUMMYFUNCTION("SPLIT(B3622,""RM"")"),850000.0)</f>
        <v>850000</v>
      </c>
      <c r="D3622" s="7" t="s">
        <v>57</v>
      </c>
      <c r="E3622" s="7">
        <v>3.0</v>
      </c>
      <c r="F3622" s="7">
        <v>2.0</v>
      </c>
      <c r="G3622" s="7" t="s">
        <v>30</v>
      </c>
      <c r="H3622" s="7" t="s">
        <v>2065</v>
      </c>
      <c r="I3622" s="7" t="s">
        <v>22</v>
      </c>
    </row>
    <row r="3623">
      <c r="A3623" s="7" t="s">
        <v>17</v>
      </c>
      <c r="B3623" s="7" t="s">
        <v>56</v>
      </c>
      <c r="C3623" s="8">
        <f>IFERROR(__xludf.DUMMYFUNCTION("SPLIT(B3623,""RM"")"),1700000.0)</f>
        <v>1700000</v>
      </c>
      <c r="D3623" s="7" t="s">
        <v>19</v>
      </c>
      <c r="E3623" s="7">
        <v>2.0</v>
      </c>
      <c r="F3623" s="7">
        <v>1.0</v>
      </c>
      <c r="G3623" s="7" t="s">
        <v>83</v>
      </c>
      <c r="H3623" s="7" t="s">
        <v>959</v>
      </c>
      <c r="I3623" s="7" t="s">
        <v>27</v>
      </c>
    </row>
    <row r="3624">
      <c r="A3624" s="7" t="s">
        <v>32</v>
      </c>
      <c r="B3624" s="7" t="s">
        <v>2402</v>
      </c>
      <c r="C3624" s="8">
        <f>IFERROR(__xludf.DUMMYFUNCTION("SPLIT(B3624,""RM"")"),1125000.0)</f>
        <v>1125000</v>
      </c>
      <c r="D3624" s="7">
        <v>3.0</v>
      </c>
      <c r="E3624" s="7">
        <v>2.0</v>
      </c>
      <c r="F3624" s="7">
        <v>2.0</v>
      </c>
      <c r="G3624" s="7" t="s">
        <v>121</v>
      </c>
      <c r="H3624" s="7" t="s">
        <v>2403</v>
      </c>
      <c r="I3624" s="7" t="s">
        <v>22</v>
      </c>
    </row>
    <row r="3625">
      <c r="A3625" s="7" t="s">
        <v>177</v>
      </c>
      <c r="B3625" s="7" t="s">
        <v>130</v>
      </c>
      <c r="C3625" s="8">
        <f>IFERROR(__xludf.DUMMYFUNCTION("SPLIT(B3625,""RM"")"),2700000.0)</f>
        <v>2700000</v>
      </c>
      <c r="D3625" s="7" t="s">
        <v>35</v>
      </c>
      <c r="E3625" s="7">
        <v>5.0</v>
      </c>
      <c r="F3625" s="7">
        <v>3.0</v>
      </c>
      <c r="G3625" s="7" t="s">
        <v>30</v>
      </c>
      <c r="H3625" s="7" t="s">
        <v>2404</v>
      </c>
      <c r="I3625" s="7" t="s">
        <v>22</v>
      </c>
    </row>
    <row r="3626">
      <c r="A3626" s="7" t="s">
        <v>100</v>
      </c>
      <c r="B3626" s="7" t="s">
        <v>1073</v>
      </c>
      <c r="C3626" s="8">
        <f>IFERROR(__xludf.DUMMYFUNCTION("SPLIT(B3626,""RM"")"),588000.0)</f>
        <v>588000</v>
      </c>
      <c r="D3626" s="7">
        <v>2.0</v>
      </c>
      <c r="E3626" s="7">
        <v>2.0</v>
      </c>
      <c r="F3626" s="7">
        <v>1.0</v>
      </c>
      <c r="G3626" s="7" t="s">
        <v>82</v>
      </c>
      <c r="H3626" s="7" t="s">
        <v>1907</v>
      </c>
      <c r="I3626" s="7" t="s">
        <v>27</v>
      </c>
    </row>
    <row r="3627">
      <c r="A3627" s="7" t="s">
        <v>86</v>
      </c>
      <c r="B3627" s="7" t="s">
        <v>1122</v>
      </c>
      <c r="C3627" s="8">
        <f>IFERROR(__xludf.DUMMYFUNCTION("SPLIT(B3627,""RM"")"),1190000.0)</f>
        <v>1190000</v>
      </c>
      <c r="D3627" s="7">
        <v>3.0</v>
      </c>
      <c r="E3627" s="7">
        <v>2.0</v>
      </c>
      <c r="F3627" s="7">
        <v>2.0</v>
      </c>
      <c r="G3627" s="7" t="s">
        <v>83</v>
      </c>
      <c r="H3627" s="7" t="s">
        <v>303</v>
      </c>
    </row>
    <row r="3628">
      <c r="A3628" s="7" t="s">
        <v>17</v>
      </c>
      <c r="B3628" s="7" t="s">
        <v>2405</v>
      </c>
      <c r="C3628" s="8">
        <f>IFERROR(__xludf.DUMMYFUNCTION("SPLIT(B3628,""RM"")"),1359640.0)</f>
        <v>1359640</v>
      </c>
      <c r="D3628" s="7">
        <v>2.0</v>
      </c>
      <c r="E3628" s="7">
        <v>2.0</v>
      </c>
      <c r="F3628" s="7">
        <v>2.0</v>
      </c>
      <c r="G3628" s="7" t="s">
        <v>83</v>
      </c>
      <c r="H3628" s="7" t="s">
        <v>380</v>
      </c>
      <c r="I3628" s="7" t="s">
        <v>27</v>
      </c>
    </row>
    <row r="3629">
      <c r="A3629" s="7" t="s">
        <v>17</v>
      </c>
      <c r="B3629" s="7" t="s">
        <v>81</v>
      </c>
      <c r="C3629" s="8">
        <f>IFERROR(__xludf.DUMMYFUNCTION("SPLIT(B3629,""RM"")"),1550000.0)</f>
        <v>1550000</v>
      </c>
      <c r="D3629" s="7" t="s">
        <v>19</v>
      </c>
      <c r="E3629" s="7">
        <v>3.0</v>
      </c>
      <c r="F3629" s="7">
        <v>2.0</v>
      </c>
      <c r="G3629" s="7" t="s">
        <v>30</v>
      </c>
      <c r="H3629" s="7" t="s">
        <v>124</v>
      </c>
      <c r="I3629" s="7" t="s">
        <v>22</v>
      </c>
    </row>
    <row r="3630">
      <c r="A3630" s="7" t="s">
        <v>89</v>
      </c>
      <c r="B3630" s="7" t="s">
        <v>329</v>
      </c>
      <c r="C3630" s="8">
        <f>IFERROR(__xludf.DUMMYFUNCTION("SPLIT(B3630,""RM"")"),1200000.0)</f>
        <v>1200000</v>
      </c>
      <c r="D3630" s="7">
        <v>5.0</v>
      </c>
      <c r="E3630" s="7">
        <v>4.0</v>
      </c>
      <c r="G3630" s="7" t="s">
        <v>90</v>
      </c>
      <c r="H3630" s="7" t="s">
        <v>91</v>
      </c>
      <c r="I3630" s="7" t="s">
        <v>22</v>
      </c>
    </row>
    <row r="3631">
      <c r="A3631" s="7" t="s">
        <v>428</v>
      </c>
      <c r="B3631" s="7" t="s">
        <v>842</v>
      </c>
      <c r="C3631" s="8">
        <f>IFERROR(__xludf.DUMMYFUNCTION("SPLIT(B3631,""RM"")"),5800000.0)</f>
        <v>5800000</v>
      </c>
      <c r="D3631" s="7" t="s">
        <v>70</v>
      </c>
      <c r="E3631" s="7">
        <v>6.0</v>
      </c>
      <c r="G3631" s="7" t="s">
        <v>25</v>
      </c>
      <c r="H3631" s="7" t="s">
        <v>68</v>
      </c>
      <c r="I3631" s="7" t="s">
        <v>27</v>
      </c>
    </row>
    <row r="3632">
      <c r="A3632" s="7" t="s">
        <v>2307</v>
      </c>
      <c r="B3632" s="7" t="s">
        <v>92</v>
      </c>
      <c r="C3632" s="8">
        <f>IFERROR(__xludf.DUMMYFUNCTION("SPLIT(B3632,""RM"")"),610000.0)</f>
        <v>610000</v>
      </c>
      <c r="D3632" s="7">
        <v>3.0</v>
      </c>
      <c r="E3632" s="7">
        <v>2.0</v>
      </c>
      <c r="F3632" s="7">
        <v>1.0</v>
      </c>
      <c r="G3632" s="7" t="s">
        <v>20</v>
      </c>
      <c r="H3632" s="7" t="s">
        <v>157</v>
      </c>
      <c r="I3632" s="7" t="s">
        <v>27</v>
      </c>
    </row>
    <row r="3633">
      <c r="A3633" s="7" t="s">
        <v>2237</v>
      </c>
      <c r="B3633" s="7" t="s">
        <v>313</v>
      </c>
      <c r="C3633" s="8">
        <f>IFERROR(__xludf.DUMMYFUNCTION("SPLIT(B3633,""RM"")"),2900000.0)</f>
        <v>2900000</v>
      </c>
      <c r="D3633" s="7" t="s">
        <v>70</v>
      </c>
      <c r="E3633" s="7">
        <v>7.0</v>
      </c>
      <c r="F3633" s="7">
        <v>6.0</v>
      </c>
      <c r="G3633" s="7" t="s">
        <v>67</v>
      </c>
      <c r="H3633" s="7" t="s">
        <v>2406</v>
      </c>
      <c r="I3633" s="7" t="s">
        <v>27</v>
      </c>
    </row>
    <row r="3634">
      <c r="A3634" s="7" t="s">
        <v>28</v>
      </c>
      <c r="B3634" s="7" t="s">
        <v>42</v>
      </c>
      <c r="C3634" s="8">
        <f>IFERROR(__xludf.DUMMYFUNCTION("SPLIT(B3634,""RM"")"),2600000.0)</f>
        <v>2600000</v>
      </c>
      <c r="D3634" s="7" t="s">
        <v>35</v>
      </c>
      <c r="E3634" s="7">
        <v>7.0</v>
      </c>
      <c r="G3634" s="7" t="s">
        <v>43</v>
      </c>
      <c r="H3634" s="7" t="s">
        <v>1028</v>
      </c>
    </row>
    <row r="3635">
      <c r="A3635" s="7" t="s">
        <v>28</v>
      </c>
      <c r="B3635" s="7" t="s">
        <v>931</v>
      </c>
      <c r="C3635" s="8">
        <f>IFERROR(__xludf.DUMMYFUNCTION("SPLIT(B3635,""RM"")"),2450000.0)</f>
        <v>2450000</v>
      </c>
      <c r="D3635" s="7" t="s">
        <v>35</v>
      </c>
      <c r="E3635" s="7">
        <v>5.0</v>
      </c>
      <c r="F3635" s="7">
        <v>3.0</v>
      </c>
      <c r="G3635" s="7" t="s">
        <v>43</v>
      </c>
      <c r="H3635" s="7" t="s">
        <v>2407</v>
      </c>
      <c r="I3635" s="7" t="s">
        <v>22</v>
      </c>
    </row>
    <row r="3636">
      <c r="A3636" s="7" t="s">
        <v>28</v>
      </c>
      <c r="B3636" s="7" t="s">
        <v>281</v>
      </c>
      <c r="C3636" s="8">
        <f>IFERROR(__xludf.DUMMYFUNCTION("SPLIT(B3636,""RM"")"),2500000.0)</f>
        <v>2500000</v>
      </c>
      <c r="D3636" s="7" t="s">
        <v>35</v>
      </c>
      <c r="E3636" s="7">
        <v>5.0</v>
      </c>
      <c r="F3636" s="7">
        <v>2.0</v>
      </c>
      <c r="G3636" s="7" t="s">
        <v>43</v>
      </c>
      <c r="H3636" s="7" t="s">
        <v>944</v>
      </c>
      <c r="I3636" s="7" t="s">
        <v>22</v>
      </c>
    </row>
    <row r="3637">
      <c r="A3637" s="7" t="s">
        <v>28</v>
      </c>
      <c r="B3637" s="7" t="s">
        <v>372</v>
      </c>
      <c r="C3637" s="8">
        <f>IFERROR(__xludf.DUMMYFUNCTION("SPLIT(B3637,""RM"")"),700000.0)</f>
        <v>700000</v>
      </c>
      <c r="D3637" s="7">
        <v>1.0</v>
      </c>
      <c r="E3637" s="7">
        <v>1.0</v>
      </c>
      <c r="F3637" s="7">
        <v>2.0</v>
      </c>
      <c r="G3637" s="7" t="s">
        <v>20</v>
      </c>
      <c r="H3637" s="7" t="s">
        <v>1127</v>
      </c>
      <c r="I3637" s="7" t="s">
        <v>22</v>
      </c>
    </row>
    <row r="3638">
      <c r="A3638" s="7" t="s">
        <v>17</v>
      </c>
      <c r="B3638" s="7" t="s">
        <v>386</v>
      </c>
      <c r="C3638" s="8">
        <f>IFERROR(__xludf.DUMMYFUNCTION("SPLIT(B3638,""RM"")"),2380000.0)</f>
        <v>2380000</v>
      </c>
      <c r="D3638" s="7" t="s">
        <v>35</v>
      </c>
      <c r="E3638" s="7">
        <v>3.0</v>
      </c>
      <c r="F3638" s="7">
        <v>1.0</v>
      </c>
      <c r="G3638" s="7" t="s">
        <v>20</v>
      </c>
      <c r="H3638" s="7" t="s">
        <v>2064</v>
      </c>
    </row>
    <row r="3639">
      <c r="A3639" s="7" t="s">
        <v>17</v>
      </c>
      <c r="B3639" s="7" t="s">
        <v>2408</v>
      </c>
      <c r="C3639" s="8">
        <f>IFERROR(__xludf.DUMMYFUNCTION("SPLIT(B3639,""RM"")"),2244000.0)</f>
        <v>2244000</v>
      </c>
      <c r="D3639" s="7" t="s">
        <v>57</v>
      </c>
      <c r="E3639" s="7">
        <v>3.0</v>
      </c>
      <c r="F3639" s="7">
        <v>2.0</v>
      </c>
      <c r="G3639" s="7" t="s">
        <v>20</v>
      </c>
      <c r="H3639" s="7" t="s">
        <v>334</v>
      </c>
      <c r="I3639" s="7" t="s">
        <v>27</v>
      </c>
    </row>
    <row r="3640">
      <c r="A3640" s="7" t="s">
        <v>267</v>
      </c>
      <c r="B3640" s="7" t="s">
        <v>902</v>
      </c>
      <c r="C3640" s="8">
        <f>IFERROR(__xludf.DUMMYFUNCTION("SPLIT(B3640,""RM"")"),710000.0)</f>
        <v>710000</v>
      </c>
      <c r="D3640" s="7" t="s">
        <v>57</v>
      </c>
      <c r="E3640" s="7">
        <v>2.0</v>
      </c>
      <c r="F3640" s="7">
        <v>2.0</v>
      </c>
      <c r="G3640" s="7" t="s">
        <v>93</v>
      </c>
      <c r="H3640" s="7" t="s">
        <v>2409</v>
      </c>
      <c r="I3640" s="7" t="s">
        <v>27</v>
      </c>
    </row>
    <row r="3641">
      <c r="A3641" s="7" t="s">
        <v>72</v>
      </c>
      <c r="B3641" s="7" t="s">
        <v>63</v>
      </c>
      <c r="C3641" s="8">
        <f>IFERROR(__xludf.DUMMYFUNCTION("SPLIT(B3641,""RM"")"),3100000.0)</f>
        <v>3100000</v>
      </c>
      <c r="D3641" s="7" t="s">
        <v>35</v>
      </c>
      <c r="E3641" s="7">
        <v>6.0</v>
      </c>
      <c r="F3641" s="7">
        <v>3.0</v>
      </c>
      <c r="G3641" s="7" t="s">
        <v>83</v>
      </c>
      <c r="H3641" s="7" t="s">
        <v>926</v>
      </c>
    </row>
    <row r="3642">
      <c r="A3642" s="7" t="s">
        <v>72</v>
      </c>
      <c r="B3642" s="7" t="s">
        <v>658</v>
      </c>
      <c r="C3642" s="8">
        <f>IFERROR(__xludf.DUMMYFUNCTION("SPLIT(B3642,""RM"")"),2650000.0)</f>
        <v>2650000</v>
      </c>
      <c r="D3642" s="7" t="s">
        <v>35</v>
      </c>
      <c r="E3642" s="7">
        <v>6.0</v>
      </c>
      <c r="F3642" s="7">
        <v>2.0</v>
      </c>
      <c r="G3642" s="7" t="s">
        <v>83</v>
      </c>
      <c r="H3642" s="7" t="s">
        <v>926</v>
      </c>
      <c r="I3642" s="7" t="s">
        <v>27</v>
      </c>
    </row>
    <row r="3643">
      <c r="A3643" s="7" t="s">
        <v>72</v>
      </c>
      <c r="B3643" s="7" t="s">
        <v>174</v>
      </c>
      <c r="C3643" s="8">
        <f>IFERROR(__xludf.DUMMYFUNCTION("SPLIT(B3643,""RM"")"),3000000.0)</f>
        <v>3000000</v>
      </c>
      <c r="D3643" s="7">
        <v>5.0</v>
      </c>
      <c r="E3643" s="7">
        <v>6.0</v>
      </c>
      <c r="G3643" s="7" t="s">
        <v>83</v>
      </c>
      <c r="H3643" s="7" t="s">
        <v>1501</v>
      </c>
    </row>
    <row r="3644">
      <c r="A3644" s="7" t="s">
        <v>171</v>
      </c>
      <c r="B3644" s="7" t="s">
        <v>2410</v>
      </c>
      <c r="C3644" s="8">
        <f>IFERROR(__xludf.DUMMYFUNCTION("SPLIT(B3644,""RM"")"),1150.0)</f>
        <v>1150</v>
      </c>
      <c r="D3644" s="7">
        <v>3.0</v>
      </c>
      <c r="E3644" s="7">
        <v>2.0</v>
      </c>
      <c r="F3644" s="7">
        <v>1.0</v>
      </c>
      <c r="G3644" s="7" t="s">
        <v>83</v>
      </c>
      <c r="H3644" s="7" t="s">
        <v>2411</v>
      </c>
    </row>
    <row r="3645">
      <c r="A3645" s="7" t="s">
        <v>709</v>
      </c>
      <c r="B3645" s="7" t="s">
        <v>1307</v>
      </c>
      <c r="C3645" s="8">
        <f>IFERROR(__xludf.DUMMYFUNCTION("SPLIT(B3645,""RM"")"),270000.0)</f>
        <v>270000</v>
      </c>
      <c r="D3645" s="7">
        <v>3.0</v>
      </c>
      <c r="E3645" s="7">
        <v>2.0</v>
      </c>
      <c r="G3645" s="7" t="s">
        <v>1566</v>
      </c>
      <c r="H3645" s="7" t="s">
        <v>1964</v>
      </c>
    </row>
    <row r="3646">
      <c r="A3646" s="7" t="s">
        <v>171</v>
      </c>
      <c r="B3646" s="7" t="s">
        <v>510</v>
      </c>
      <c r="C3646" s="8">
        <f>IFERROR(__xludf.DUMMYFUNCTION("SPLIT(B3646,""RM"")"),380000.0)</f>
        <v>380000</v>
      </c>
      <c r="D3646" s="7" t="s">
        <v>57</v>
      </c>
      <c r="E3646" s="7">
        <v>2.0</v>
      </c>
      <c r="F3646" s="7">
        <v>2.0</v>
      </c>
      <c r="G3646" s="7" t="s">
        <v>83</v>
      </c>
      <c r="H3646" s="7" t="s">
        <v>491</v>
      </c>
      <c r="I3646" s="7" t="s">
        <v>103</v>
      </c>
    </row>
    <row r="3647">
      <c r="A3647" s="7" t="s">
        <v>23</v>
      </c>
      <c r="B3647" s="7" t="s">
        <v>1038</v>
      </c>
      <c r="C3647" s="8">
        <f>IFERROR(__xludf.DUMMYFUNCTION("SPLIT(B3647,""RM"")"),6200000.0)</f>
        <v>6200000</v>
      </c>
      <c r="D3647" s="7" t="s">
        <v>60</v>
      </c>
      <c r="E3647" s="7">
        <v>8.0</v>
      </c>
      <c r="F3647" s="7">
        <v>4.0</v>
      </c>
      <c r="G3647" s="7" t="s">
        <v>67</v>
      </c>
      <c r="H3647" s="7" t="s">
        <v>2412</v>
      </c>
      <c r="I3647" s="7" t="s">
        <v>27</v>
      </c>
    </row>
    <row r="3648">
      <c r="A3648" s="7" t="s">
        <v>37</v>
      </c>
      <c r="B3648" s="7" t="s">
        <v>81</v>
      </c>
      <c r="C3648" s="8">
        <f>IFERROR(__xludf.DUMMYFUNCTION("SPLIT(B3648,""RM"")"),1550000.0)</f>
        <v>1550000</v>
      </c>
      <c r="D3648" s="7" t="s">
        <v>19</v>
      </c>
      <c r="E3648" s="7">
        <v>3.0</v>
      </c>
      <c r="F3648" s="7">
        <v>2.0</v>
      </c>
      <c r="G3648" s="7" t="s">
        <v>20</v>
      </c>
      <c r="H3648" s="7" t="s">
        <v>216</v>
      </c>
    </row>
    <row r="3649">
      <c r="A3649" s="7" t="s">
        <v>37</v>
      </c>
      <c r="B3649" s="7" t="s">
        <v>2413</v>
      </c>
      <c r="C3649" s="8">
        <f>IFERROR(__xludf.DUMMYFUNCTION("SPLIT(B3649,""RM"")"),2740000.0)</f>
        <v>2740000</v>
      </c>
      <c r="D3649" s="7" t="s">
        <v>57</v>
      </c>
      <c r="E3649" s="7">
        <v>4.0</v>
      </c>
      <c r="F3649" s="7">
        <v>2.0</v>
      </c>
      <c r="G3649" s="7" t="s">
        <v>20</v>
      </c>
      <c r="H3649" s="7" t="s">
        <v>624</v>
      </c>
      <c r="I3649" s="7" t="s">
        <v>27</v>
      </c>
    </row>
    <row r="3650">
      <c r="A3650" s="7" t="s">
        <v>37</v>
      </c>
      <c r="B3650" s="7" t="s">
        <v>900</v>
      </c>
      <c r="C3650" s="8">
        <f>IFERROR(__xludf.DUMMYFUNCTION("SPLIT(B3650,""RM"")"),3550000.0)</f>
        <v>3550000</v>
      </c>
      <c r="D3650" s="7" t="s">
        <v>57</v>
      </c>
      <c r="E3650" s="7">
        <v>5.0</v>
      </c>
      <c r="F3650" s="7">
        <v>3.0</v>
      </c>
      <c r="G3650" s="7" t="s">
        <v>20</v>
      </c>
      <c r="H3650" s="7" t="s">
        <v>2414</v>
      </c>
      <c r="I3650" s="7" t="s">
        <v>27</v>
      </c>
    </row>
    <row r="3651">
      <c r="A3651" s="7" t="s">
        <v>37</v>
      </c>
      <c r="B3651" s="7" t="s">
        <v>63</v>
      </c>
      <c r="C3651" s="8">
        <f>IFERROR(__xludf.DUMMYFUNCTION("SPLIT(B3651,""RM"")"),3100000.0)</f>
        <v>3100000</v>
      </c>
      <c r="D3651" s="7" t="s">
        <v>57</v>
      </c>
      <c r="E3651" s="7">
        <v>4.0</v>
      </c>
      <c r="F3651" s="7">
        <v>2.0</v>
      </c>
      <c r="G3651" s="7" t="s">
        <v>20</v>
      </c>
      <c r="H3651" s="7" t="s">
        <v>624</v>
      </c>
      <c r="I3651" s="7" t="s">
        <v>27</v>
      </c>
    </row>
    <row r="3652">
      <c r="A3652" s="7" t="s">
        <v>104</v>
      </c>
      <c r="B3652" s="7" t="s">
        <v>2415</v>
      </c>
      <c r="C3652" s="8">
        <f>IFERROR(__xludf.DUMMYFUNCTION("SPLIT(B3652,""RM"")"),1149999.0)</f>
        <v>1149999</v>
      </c>
      <c r="D3652" s="7" t="s">
        <v>218</v>
      </c>
      <c r="E3652" s="7">
        <v>5.0</v>
      </c>
      <c r="F3652" s="7">
        <v>4.0</v>
      </c>
      <c r="G3652" s="7" t="s">
        <v>90</v>
      </c>
      <c r="H3652" s="7" t="s">
        <v>283</v>
      </c>
      <c r="I3652" s="7" t="s">
        <v>27</v>
      </c>
    </row>
    <row r="3653">
      <c r="A3653" s="7" t="s">
        <v>72</v>
      </c>
      <c r="B3653" s="7" t="s">
        <v>78</v>
      </c>
      <c r="C3653" s="8">
        <f>IFERROR(__xludf.DUMMYFUNCTION("SPLIT(B3653,""RM"")"),1500000.0)</f>
        <v>1500000</v>
      </c>
      <c r="D3653" s="7" t="s">
        <v>70</v>
      </c>
      <c r="E3653" s="7">
        <v>4.0</v>
      </c>
      <c r="F3653" s="7">
        <v>2.0</v>
      </c>
      <c r="G3653" s="7" t="s">
        <v>83</v>
      </c>
      <c r="H3653" s="7" t="s">
        <v>176</v>
      </c>
      <c r="I3653" s="7" t="s">
        <v>22</v>
      </c>
    </row>
    <row r="3654">
      <c r="A3654" s="7" t="s">
        <v>692</v>
      </c>
      <c r="B3654" s="7" t="s">
        <v>75</v>
      </c>
      <c r="C3654" s="8">
        <f>IFERROR(__xludf.DUMMYFUNCTION("SPLIT(B3654,""RM"")"),3450000.0)</f>
        <v>3450000</v>
      </c>
      <c r="D3654" s="7" t="s">
        <v>70</v>
      </c>
      <c r="E3654" s="7">
        <v>5.0</v>
      </c>
      <c r="F3654" s="7">
        <v>2.0</v>
      </c>
      <c r="G3654" s="7" t="s">
        <v>64</v>
      </c>
      <c r="H3654" s="7" t="s">
        <v>1747</v>
      </c>
      <c r="I3654" s="7" t="s">
        <v>27</v>
      </c>
    </row>
    <row r="3655">
      <c r="A3655" s="7" t="s">
        <v>1241</v>
      </c>
      <c r="B3655" s="7" t="s">
        <v>329</v>
      </c>
      <c r="C3655" s="8">
        <f>IFERROR(__xludf.DUMMYFUNCTION("SPLIT(B3655,""RM"")"),1200000.0)</f>
        <v>1200000</v>
      </c>
      <c r="D3655" s="7" t="s">
        <v>19</v>
      </c>
      <c r="E3655" s="7">
        <v>2.0</v>
      </c>
      <c r="F3655" s="7">
        <v>2.0</v>
      </c>
      <c r="G3655" s="7" t="s">
        <v>20</v>
      </c>
      <c r="H3655" s="7" t="s">
        <v>1024</v>
      </c>
      <c r="I3655" s="7" t="s">
        <v>103</v>
      </c>
    </row>
    <row r="3656">
      <c r="A3656" s="7" t="s">
        <v>1241</v>
      </c>
      <c r="B3656" s="7" t="s">
        <v>134</v>
      </c>
      <c r="C3656" s="8">
        <f>IFERROR(__xludf.DUMMYFUNCTION("SPLIT(B3656,""RM"")"),1150000.0)</f>
        <v>1150000</v>
      </c>
      <c r="D3656" s="7" t="s">
        <v>57</v>
      </c>
      <c r="E3656" s="7">
        <v>2.0</v>
      </c>
      <c r="F3656" s="7">
        <v>2.0</v>
      </c>
      <c r="G3656" s="7" t="s">
        <v>121</v>
      </c>
      <c r="H3656" s="7" t="s">
        <v>1578</v>
      </c>
      <c r="I3656" s="7" t="s">
        <v>27</v>
      </c>
    </row>
    <row r="3657">
      <c r="A3657" s="7" t="s">
        <v>77</v>
      </c>
      <c r="B3657" s="7" t="s">
        <v>2015</v>
      </c>
      <c r="C3657" s="8">
        <f>IFERROR(__xludf.DUMMYFUNCTION("SPLIT(B3657,""RM"")"),4990000.0)</f>
        <v>4990000</v>
      </c>
      <c r="D3657" s="7" t="s">
        <v>299</v>
      </c>
      <c r="E3657" s="7">
        <v>8.0</v>
      </c>
      <c r="F3657" s="7">
        <v>4.0</v>
      </c>
      <c r="G3657" s="7" t="s">
        <v>1036</v>
      </c>
      <c r="H3657" s="7" t="s">
        <v>2416</v>
      </c>
      <c r="I3657" s="7" t="s">
        <v>27</v>
      </c>
    </row>
    <row r="3658">
      <c r="A3658" s="7" t="s">
        <v>33</v>
      </c>
      <c r="B3658" s="7" t="s">
        <v>45</v>
      </c>
      <c r="C3658" s="8">
        <f>IFERROR(__xludf.DUMMYFUNCTION("SPLIT(B3658,""RM"")"),1950000.0)</f>
        <v>1950000</v>
      </c>
      <c r="D3658" s="7">
        <v>5.0</v>
      </c>
      <c r="E3658" s="7">
        <v>4.0</v>
      </c>
      <c r="G3658" s="7" t="s">
        <v>562</v>
      </c>
      <c r="H3658" s="7" t="s">
        <v>2417</v>
      </c>
      <c r="I3658" s="7" t="s">
        <v>27</v>
      </c>
    </row>
    <row r="3659">
      <c r="A3659" s="7" t="s">
        <v>33</v>
      </c>
      <c r="B3659" s="7" t="s">
        <v>399</v>
      </c>
      <c r="C3659" s="8">
        <f>IFERROR(__xludf.DUMMYFUNCTION("SPLIT(B3659,""RM"")"),1750000.0)</f>
        <v>1750000</v>
      </c>
      <c r="D3659" s="7">
        <v>5.0</v>
      </c>
      <c r="E3659" s="7">
        <v>4.0</v>
      </c>
      <c r="G3659" s="7" t="s">
        <v>562</v>
      </c>
      <c r="H3659" s="7" t="s">
        <v>1194</v>
      </c>
      <c r="I3659" s="7" t="s">
        <v>27</v>
      </c>
    </row>
    <row r="3660">
      <c r="A3660" s="7" t="s">
        <v>33</v>
      </c>
      <c r="B3660" s="7" t="s">
        <v>158</v>
      </c>
      <c r="C3660" s="8">
        <f>IFERROR(__xludf.DUMMYFUNCTION("SPLIT(B3660,""RM"")"),1850000.0)</f>
        <v>1850000</v>
      </c>
      <c r="D3660" s="7">
        <v>5.0</v>
      </c>
      <c r="E3660" s="7">
        <v>4.0</v>
      </c>
      <c r="G3660" s="7" t="s">
        <v>562</v>
      </c>
      <c r="H3660" s="7" t="s">
        <v>2417</v>
      </c>
      <c r="I3660" s="7" t="s">
        <v>27</v>
      </c>
    </row>
    <row r="3661">
      <c r="A3661" s="7" t="s">
        <v>33</v>
      </c>
      <c r="B3661" s="7" t="s">
        <v>356</v>
      </c>
      <c r="C3661" s="8">
        <f>IFERROR(__xludf.DUMMYFUNCTION("SPLIT(B3661,""RM"")"),1790000.0)</f>
        <v>1790000</v>
      </c>
      <c r="D3661" s="7">
        <v>4.0</v>
      </c>
      <c r="E3661" s="7">
        <v>4.0</v>
      </c>
      <c r="F3661" s="7">
        <v>2.0</v>
      </c>
      <c r="G3661" s="7" t="s">
        <v>562</v>
      </c>
      <c r="H3661" s="7" t="s">
        <v>1193</v>
      </c>
      <c r="I3661" s="7" t="s">
        <v>27</v>
      </c>
    </row>
    <row r="3662">
      <c r="A3662" s="7" t="s">
        <v>33</v>
      </c>
      <c r="B3662" s="7" t="s">
        <v>125</v>
      </c>
      <c r="C3662" s="8">
        <f>IFERROR(__xludf.DUMMYFUNCTION("SPLIT(B3662,""RM"")"),2300000.0)</f>
        <v>2300000</v>
      </c>
      <c r="D3662" s="7" t="s">
        <v>70</v>
      </c>
      <c r="E3662" s="7">
        <v>6.0</v>
      </c>
      <c r="G3662" s="7" t="s">
        <v>562</v>
      </c>
      <c r="H3662" s="7" t="s">
        <v>1774</v>
      </c>
      <c r="I3662" s="7" t="s">
        <v>27</v>
      </c>
    </row>
    <row r="3663">
      <c r="A3663" s="7" t="s">
        <v>33</v>
      </c>
      <c r="B3663" s="7" t="s">
        <v>144</v>
      </c>
      <c r="C3663" s="8">
        <f>IFERROR(__xludf.DUMMYFUNCTION("SPLIT(B3663,""RM"")"),1800000.0)</f>
        <v>1800000</v>
      </c>
      <c r="D3663" s="7">
        <v>5.0</v>
      </c>
      <c r="E3663" s="7">
        <v>4.0</v>
      </c>
      <c r="G3663" s="7" t="s">
        <v>562</v>
      </c>
      <c r="H3663" s="7" t="s">
        <v>2417</v>
      </c>
      <c r="I3663" s="7" t="s">
        <v>27</v>
      </c>
    </row>
    <row r="3664">
      <c r="A3664" s="7" t="s">
        <v>177</v>
      </c>
      <c r="B3664" s="7" t="s">
        <v>281</v>
      </c>
      <c r="C3664" s="8">
        <f>IFERROR(__xludf.DUMMYFUNCTION("SPLIT(B3664,""RM"")"),2500000.0)</f>
        <v>2500000</v>
      </c>
      <c r="D3664" s="7">
        <v>5.0</v>
      </c>
      <c r="E3664" s="7">
        <v>4.0</v>
      </c>
      <c r="G3664" s="7" t="s">
        <v>169</v>
      </c>
      <c r="H3664" s="7" t="s">
        <v>2418</v>
      </c>
      <c r="I3664" s="7" t="s">
        <v>27</v>
      </c>
    </row>
    <row r="3665">
      <c r="A3665" s="7" t="s">
        <v>86</v>
      </c>
      <c r="B3665" s="7" t="s">
        <v>2419</v>
      </c>
      <c r="C3665" s="8">
        <f>IFERROR(__xludf.DUMMYFUNCTION("SPLIT(B3665,""RM"")"),1290800.0)</f>
        <v>1290800</v>
      </c>
      <c r="D3665" s="7" t="s">
        <v>57</v>
      </c>
      <c r="E3665" s="7">
        <v>2.0</v>
      </c>
      <c r="F3665" s="7">
        <v>1.0</v>
      </c>
      <c r="G3665" s="7" t="s">
        <v>20</v>
      </c>
      <c r="H3665" s="7" t="s">
        <v>471</v>
      </c>
      <c r="I3665" s="7" t="s">
        <v>27</v>
      </c>
    </row>
    <row r="3666">
      <c r="A3666" s="7" t="s">
        <v>65</v>
      </c>
      <c r="B3666" s="7" t="s">
        <v>281</v>
      </c>
      <c r="C3666" s="8">
        <f>IFERROR(__xludf.DUMMYFUNCTION("SPLIT(B3666,""RM"")"),2500000.0)</f>
        <v>2500000</v>
      </c>
      <c r="D3666" s="7">
        <v>4.0</v>
      </c>
      <c r="E3666" s="7">
        <v>4.0</v>
      </c>
      <c r="F3666" s="7">
        <v>3.0</v>
      </c>
      <c r="G3666" s="7" t="s">
        <v>30</v>
      </c>
      <c r="H3666" s="7" t="s">
        <v>2420</v>
      </c>
      <c r="I3666" s="7" t="s">
        <v>27</v>
      </c>
    </row>
    <row r="3667">
      <c r="A3667" s="7" t="s">
        <v>65</v>
      </c>
      <c r="B3667" s="7" t="s">
        <v>1553</v>
      </c>
      <c r="C3667" s="8">
        <f>IFERROR(__xludf.DUMMYFUNCTION("SPLIT(B3667,""RM"")"),1.1E7)</f>
        <v>11000000</v>
      </c>
      <c r="D3667" s="7" t="s">
        <v>60</v>
      </c>
      <c r="E3667" s="7">
        <v>6.0</v>
      </c>
      <c r="F3667" s="7">
        <v>4.0</v>
      </c>
      <c r="G3667" s="7" t="s">
        <v>67</v>
      </c>
      <c r="H3667" s="7" t="s">
        <v>2421</v>
      </c>
      <c r="I3667" s="7" t="s">
        <v>103</v>
      </c>
    </row>
    <row r="3668">
      <c r="A3668" s="7" t="s">
        <v>17</v>
      </c>
      <c r="B3668" s="7" t="s">
        <v>536</v>
      </c>
      <c r="C3668" s="8">
        <f>IFERROR(__xludf.DUMMYFUNCTION("SPLIT(B3668,""RM"")"),495000.0)</f>
        <v>495000</v>
      </c>
      <c r="D3668" s="7">
        <v>1.0</v>
      </c>
      <c r="E3668" s="7">
        <v>1.0</v>
      </c>
      <c r="G3668" s="7" t="s">
        <v>121</v>
      </c>
      <c r="H3668" s="7" t="s">
        <v>2251</v>
      </c>
      <c r="I3668" s="7" t="s">
        <v>27</v>
      </c>
    </row>
    <row r="3669">
      <c r="A3669" s="7" t="s">
        <v>188</v>
      </c>
      <c r="B3669" s="7" t="s">
        <v>573</v>
      </c>
      <c r="C3669" s="8">
        <f>IFERROR(__xludf.DUMMYFUNCTION("SPLIT(B3669,""RM"")"),6900000.0)</f>
        <v>6900000</v>
      </c>
      <c r="D3669" s="7" t="s">
        <v>35</v>
      </c>
      <c r="E3669" s="7">
        <v>6.0</v>
      </c>
      <c r="F3669" s="7">
        <v>2.0</v>
      </c>
      <c r="G3669" s="7" t="s">
        <v>121</v>
      </c>
      <c r="H3669" s="7" t="s">
        <v>2374</v>
      </c>
      <c r="I3669" s="7" t="s">
        <v>22</v>
      </c>
    </row>
    <row r="3670">
      <c r="A3670" s="7" t="s">
        <v>17</v>
      </c>
      <c r="B3670" s="7" t="s">
        <v>2422</v>
      </c>
      <c r="C3670" s="8">
        <f>IFERROR(__xludf.DUMMYFUNCTION("SPLIT(B3670,""RM"")"),865000.0)</f>
        <v>865000</v>
      </c>
      <c r="D3670" s="7" t="s">
        <v>288</v>
      </c>
      <c r="E3670" s="7">
        <v>2.0</v>
      </c>
      <c r="G3670" s="7" t="s">
        <v>121</v>
      </c>
      <c r="H3670" s="7" t="s">
        <v>2423</v>
      </c>
      <c r="I3670" s="7" t="s">
        <v>27</v>
      </c>
    </row>
    <row r="3671">
      <c r="A3671" s="7" t="s">
        <v>33</v>
      </c>
      <c r="B3671" s="7" t="s">
        <v>1603</v>
      </c>
      <c r="C3671" s="8">
        <f>IFERROR(__xludf.DUMMYFUNCTION("SPLIT(B3671,""RM"")"),288000.0)</f>
        <v>288000</v>
      </c>
      <c r="D3671" s="7" t="s">
        <v>197</v>
      </c>
      <c r="E3671" s="7">
        <v>1.0</v>
      </c>
      <c r="F3671" s="7">
        <v>1.0</v>
      </c>
      <c r="G3671" s="7" t="s">
        <v>354</v>
      </c>
      <c r="H3671" s="7" t="s">
        <v>1210</v>
      </c>
      <c r="I3671" s="7" t="s">
        <v>27</v>
      </c>
    </row>
    <row r="3672">
      <c r="A3672" s="7" t="s">
        <v>177</v>
      </c>
      <c r="B3672" s="7" t="s">
        <v>1736</v>
      </c>
      <c r="C3672" s="8">
        <f>IFERROR(__xludf.DUMMYFUNCTION("SPLIT(B3672,""RM"")"),1.6E7)</f>
        <v>16000000</v>
      </c>
      <c r="D3672" s="7" t="s">
        <v>60</v>
      </c>
      <c r="E3672" s="7">
        <v>8.0</v>
      </c>
      <c r="G3672" s="7" t="s">
        <v>25</v>
      </c>
      <c r="H3672" s="7" t="s">
        <v>514</v>
      </c>
      <c r="I3672" s="7" t="s">
        <v>27</v>
      </c>
    </row>
    <row r="3673">
      <c r="A3673" s="7" t="s">
        <v>72</v>
      </c>
      <c r="B3673" s="7" t="s">
        <v>433</v>
      </c>
      <c r="C3673" s="8">
        <f>IFERROR(__xludf.DUMMYFUNCTION("SPLIT(B3673,""RM"")"),1.48E7)</f>
        <v>14800000</v>
      </c>
      <c r="D3673" s="7" t="s">
        <v>39</v>
      </c>
      <c r="E3673" s="7">
        <v>6.0</v>
      </c>
      <c r="F3673" s="7">
        <v>4.0</v>
      </c>
      <c r="G3673" s="7" t="s">
        <v>25</v>
      </c>
      <c r="H3673" s="7" t="s">
        <v>434</v>
      </c>
      <c r="I3673" s="7" t="s">
        <v>22</v>
      </c>
    </row>
    <row r="3674">
      <c r="A3674" s="7" t="s">
        <v>23</v>
      </c>
      <c r="B3674" s="7" t="s">
        <v>298</v>
      </c>
      <c r="C3674" s="8">
        <f>IFERROR(__xludf.DUMMYFUNCTION("SPLIT(B3674,""RM"")"),5600000.0)</f>
        <v>5600000</v>
      </c>
      <c r="D3674" s="7" t="s">
        <v>70</v>
      </c>
      <c r="E3674" s="7">
        <v>6.0</v>
      </c>
      <c r="G3674" s="7" t="s">
        <v>25</v>
      </c>
      <c r="H3674" s="7" t="s">
        <v>2424</v>
      </c>
      <c r="I3674" s="7" t="s">
        <v>27</v>
      </c>
    </row>
    <row r="3675">
      <c r="A3675" s="7" t="s">
        <v>177</v>
      </c>
      <c r="B3675" s="7" t="s">
        <v>1983</v>
      </c>
      <c r="C3675" s="8">
        <f>IFERROR(__xludf.DUMMYFUNCTION("SPLIT(B3675,""RM"")"),4380000.0)</f>
        <v>4380000</v>
      </c>
      <c r="D3675" s="7" t="s">
        <v>60</v>
      </c>
      <c r="E3675" s="7">
        <v>5.0</v>
      </c>
      <c r="G3675" s="7" t="s">
        <v>25</v>
      </c>
      <c r="H3675" s="7" t="s">
        <v>2425</v>
      </c>
      <c r="I3675" s="7" t="s">
        <v>27</v>
      </c>
    </row>
    <row r="3676">
      <c r="A3676" s="7" t="s">
        <v>72</v>
      </c>
      <c r="B3676" s="7" t="s">
        <v>532</v>
      </c>
      <c r="C3676" s="8">
        <f>IFERROR(__xludf.DUMMYFUNCTION("SPLIT(B3676,""RM"")"),7300000.0)</f>
        <v>7300000</v>
      </c>
      <c r="D3676" s="7" t="s">
        <v>60</v>
      </c>
      <c r="E3676" s="7">
        <v>6.0</v>
      </c>
      <c r="G3676" s="7" t="s">
        <v>25</v>
      </c>
      <c r="H3676" s="7" t="s">
        <v>219</v>
      </c>
      <c r="I3676" s="7" t="s">
        <v>27</v>
      </c>
    </row>
    <row r="3677">
      <c r="A3677" s="7" t="s">
        <v>155</v>
      </c>
      <c r="B3677" s="7" t="s">
        <v>1894</v>
      </c>
      <c r="C3677" s="8">
        <f>IFERROR(__xludf.DUMMYFUNCTION("SPLIT(B3677,""RM"")"),988000.0)</f>
        <v>988000</v>
      </c>
      <c r="D3677" s="7" t="s">
        <v>57</v>
      </c>
      <c r="E3677" s="7">
        <v>3.0</v>
      </c>
      <c r="F3677" s="7">
        <v>2.0</v>
      </c>
      <c r="G3677" s="7" t="s">
        <v>83</v>
      </c>
      <c r="H3677" s="7" t="s">
        <v>1072</v>
      </c>
      <c r="I3677" s="7" t="s">
        <v>27</v>
      </c>
    </row>
    <row r="3678">
      <c r="A3678" s="7" t="s">
        <v>188</v>
      </c>
      <c r="B3678" s="7" t="s">
        <v>156</v>
      </c>
      <c r="C3678" s="8">
        <f>IFERROR(__xludf.DUMMYFUNCTION("SPLIT(B3678,""RM"")"),850000.0)</f>
        <v>850000</v>
      </c>
      <c r="D3678" s="7">
        <v>2.0</v>
      </c>
      <c r="E3678" s="7">
        <v>2.0</v>
      </c>
      <c r="F3678" s="7">
        <v>1.0</v>
      </c>
      <c r="G3678" s="7" t="s">
        <v>121</v>
      </c>
      <c r="H3678" s="7" t="s">
        <v>2426</v>
      </c>
    </row>
    <row r="3679">
      <c r="A3679" s="7" t="s">
        <v>33</v>
      </c>
      <c r="B3679" s="7" t="s">
        <v>1011</v>
      </c>
      <c r="C3679" s="8">
        <f>IFERROR(__xludf.DUMMYFUNCTION("SPLIT(B3679,""RM"")"),398000.0)</f>
        <v>398000</v>
      </c>
      <c r="D3679" s="7">
        <v>3.0</v>
      </c>
      <c r="E3679" s="7">
        <v>2.0</v>
      </c>
      <c r="F3679" s="7">
        <v>1.0</v>
      </c>
      <c r="G3679" s="7" t="s">
        <v>503</v>
      </c>
      <c r="H3679" s="7" t="s">
        <v>2427</v>
      </c>
      <c r="I3679" s="7" t="s">
        <v>27</v>
      </c>
    </row>
    <row r="3680">
      <c r="A3680" s="7" t="s">
        <v>33</v>
      </c>
      <c r="B3680" s="7" t="s">
        <v>507</v>
      </c>
      <c r="C3680" s="8">
        <f>IFERROR(__xludf.DUMMYFUNCTION("SPLIT(B3680,""RM"")"),590000.0)</f>
        <v>590000</v>
      </c>
      <c r="D3680" s="7">
        <v>4.0</v>
      </c>
      <c r="E3680" s="7">
        <v>2.0</v>
      </c>
      <c r="F3680" s="7">
        <v>1.0</v>
      </c>
      <c r="G3680" s="7" t="s">
        <v>96</v>
      </c>
      <c r="H3680" s="7" t="s">
        <v>1777</v>
      </c>
      <c r="I3680" s="7" t="s">
        <v>22</v>
      </c>
    </row>
    <row r="3681">
      <c r="A3681" s="7" t="s">
        <v>104</v>
      </c>
      <c r="B3681" s="7" t="s">
        <v>361</v>
      </c>
      <c r="C3681" s="8">
        <f>IFERROR(__xludf.DUMMYFUNCTION("SPLIT(B3681,""RM"")"),530000.0)</f>
        <v>530000</v>
      </c>
      <c r="D3681" s="7">
        <v>3.0</v>
      </c>
      <c r="E3681" s="7">
        <v>2.0</v>
      </c>
      <c r="F3681" s="7">
        <v>2.0</v>
      </c>
      <c r="G3681" s="7" t="s">
        <v>385</v>
      </c>
      <c r="H3681" s="7" t="s">
        <v>1012</v>
      </c>
      <c r="I3681" s="7" t="s">
        <v>103</v>
      </c>
    </row>
    <row r="3682">
      <c r="A3682" s="7" t="s">
        <v>104</v>
      </c>
      <c r="B3682" s="7" t="s">
        <v>239</v>
      </c>
      <c r="C3682" s="8">
        <f>IFERROR(__xludf.DUMMYFUNCTION("SPLIT(B3682,""RM"")"),1280000.0)</f>
        <v>1280000</v>
      </c>
      <c r="D3682" s="7" t="s">
        <v>57</v>
      </c>
      <c r="E3682" s="7">
        <v>4.0</v>
      </c>
      <c r="F3682" s="7">
        <v>2.0</v>
      </c>
      <c r="G3682" s="7" t="s">
        <v>470</v>
      </c>
      <c r="H3682" s="7" t="s">
        <v>1077</v>
      </c>
      <c r="I3682" s="7" t="s">
        <v>27</v>
      </c>
    </row>
    <row r="3683">
      <c r="A3683" s="7" t="s">
        <v>52</v>
      </c>
      <c r="B3683" s="7" t="s">
        <v>277</v>
      </c>
      <c r="C3683" s="8">
        <f>IFERROR(__xludf.DUMMYFUNCTION("SPLIT(B3683,""RM"")"),2200000.0)</f>
        <v>2200000</v>
      </c>
      <c r="D3683" s="7" t="s">
        <v>57</v>
      </c>
      <c r="E3683" s="7">
        <v>4.0</v>
      </c>
      <c r="F3683" s="7">
        <v>3.0</v>
      </c>
      <c r="G3683" s="7" t="s">
        <v>93</v>
      </c>
      <c r="H3683" s="7" t="s">
        <v>2428</v>
      </c>
      <c r="I3683" s="7" t="s">
        <v>22</v>
      </c>
    </row>
    <row r="3684">
      <c r="A3684" s="7" t="s">
        <v>33</v>
      </c>
      <c r="B3684" s="7" t="s">
        <v>229</v>
      </c>
      <c r="C3684" s="8">
        <f>IFERROR(__xludf.DUMMYFUNCTION("SPLIT(B3684,""RM"")"),1050000.0)</f>
        <v>1050000</v>
      </c>
      <c r="D3684" s="7">
        <v>3.0</v>
      </c>
      <c r="E3684" s="7">
        <v>3.0</v>
      </c>
      <c r="F3684" s="7">
        <v>2.0</v>
      </c>
      <c r="G3684" s="7" t="s">
        <v>20</v>
      </c>
      <c r="H3684" s="7" t="s">
        <v>2074</v>
      </c>
      <c r="I3684" s="7" t="s">
        <v>27</v>
      </c>
    </row>
    <row r="3685">
      <c r="A3685" s="7" t="s">
        <v>23</v>
      </c>
      <c r="B3685" s="7" t="s">
        <v>313</v>
      </c>
      <c r="C3685" s="8">
        <f>IFERROR(__xludf.DUMMYFUNCTION("SPLIT(B3685,""RM"")"),2900000.0)</f>
        <v>2900000</v>
      </c>
      <c r="D3685" s="7" t="s">
        <v>35</v>
      </c>
      <c r="E3685" s="7">
        <v>3.0</v>
      </c>
      <c r="G3685" s="7" t="s">
        <v>169</v>
      </c>
      <c r="H3685" s="7" t="s">
        <v>2429</v>
      </c>
      <c r="I3685" s="7" t="s">
        <v>27</v>
      </c>
    </row>
    <row r="3686">
      <c r="A3686" s="7" t="s">
        <v>33</v>
      </c>
      <c r="B3686" s="7" t="s">
        <v>174</v>
      </c>
      <c r="C3686" s="8">
        <f>IFERROR(__xludf.DUMMYFUNCTION("SPLIT(B3686,""RM"")"),3000000.0)</f>
        <v>3000000</v>
      </c>
      <c r="D3686" s="7" t="s">
        <v>60</v>
      </c>
      <c r="E3686" s="7">
        <v>6.0</v>
      </c>
      <c r="G3686" s="7" t="s">
        <v>43</v>
      </c>
      <c r="H3686" s="7" t="s">
        <v>2430</v>
      </c>
      <c r="I3686" s="7" t="s">
        <v>103</v>
      </c>
    </row>
    <row r="3687">
      <c r="A3687" s="7" t="s">
        <v>33</v>
      </c>
      <c r="B3687" s="7" t="s">
        <v>227</v>
      </c>
      <c r="C3687" s="8">
        <f>IFERROR(__xludf.DUMMYFUNCTION("SPLIT(B3687,""RM"")"),2850000.0)</f>
        <v>2850000</v>
      </c>
      <c r="D3687" s="7">
        <v>5.0</v>
      </c>
      <c r="E3687" s="7">
        <v>4.0</v>
      </c>
      <c r="G3687" s="7" t="s">
        <v>562</v>
      </c>
      <c r="H3687" s="7" t="s">
        <v>2145</v>
      </c>
      <c r="I3687" s="7" t="s">
        <v>27</v>
      </c>
    </row>
    <row r="3688">
      <c r="A3688" s="7" t="s">
        <v>33</v>
      </c>
      <c r="B3688" s="7" t="s">
        <v>144</v>
      </c>
      <c r="C3688" s="8">
        <f>IFERROR(__xludf.DUMMYFUNCTION("SPLIT(B3688,""RM"")"),1800000.0)</f>
        <v>1800000</v>
      </c>
      <c r="D3688" s="7">
        <v>5.0</v>
      </c>
      <c r="E3688" s="7">
        <v>4.0</v>
      </c>
      <c r="G3688" s="7" t="s">
        <v>562</v>
      </c>
      <c r="H3688" s="7" t="s">
        <v>2417</v>
      </c>
      <c r="I3688" s="7" t="s">
        <v>27</v>
      </c>
    </row>
    <row r="3689">
      <c r="A3689" s="7" t="s">
        <v>33</v>
      </c>
      <c r="B3689" s="7" t="s">
        <v>281</v>
      </c>
      <c r="C3689" s="8">
        <f>IFERROR(__xludf.DUMMYFUNCTION("SPLIT(B3689,""RM"")"),2500000.0)</f>
        <v>2500000</v>
      </c>
      <c r="D3689" s="7">
        <v>5.0</v>
      </c>
      <c r="E3689" s="7">
        <v>4.0</v>
      </c>
      <c r="G3689" s="7" t="s">
        <v>273</v>
      </c>
      <c r="H3689" s="7" t="s">
        <v>2431</v>
      </c>
      <c r="I3689" s="7" t="s">
        <v>27</v>
      </c>
    </row>
    <row r="3690">
      <c r="A3690" s="7" t="s">
        <v>32</v>
      </c>
      <c r="B3690" s="7" t="s">
        <v>967</v>
      </c>
      <c r="C3690" s="8">
        <f>IFERROR(__xludf.DUMMYFUNCTION("SPLIT(B3690,""RM"")"),680000.0)</f>
        <v>680000</v>
      </c>
      <c r="D3690" s="7">
        <v>4.0</v>
      </c>
      <c r="E3690" s="7">
        <v>3.0</v>
      </c>
      <c r="G3690" s="7" t="s">
        <v>54</v>
      </c>
      <c r="H3690" s="7" t="s">
        <v>1119</v>
      </c>
      <c r="I3690" s="7" t="s">
        <v>103</v>
      </c>
    </row>
    <row r="3691">
      <c r="A3691" s="7" t="s">
        <v>33</v>
      </c>
      <c r="B3691" s="7" t="s">
        <v>712</v>
      </c>
      <c r="C3691" s="8">
        <f>IFERROR(__xludf.DUMMYFUNCTION("SPLIT(B3691,""RM"")"),1880000.0)</f>
        <v>1880000</v>
      </c>
      <c r="D3691" s="7" t="s">
        <v>57</v>
      </c>
      <c r="E3691" s="7">
        <v>5.0</v>
      </c>
      <c r="F3691" s="7">
        <v>3.0</v>
      </c>
      <c r="G3691" s="7" t="s">
        <v>83</v>
      </c>
      <c r="H3691" s="7" t="s">
        <v>2432</v>
      </c>
      <c r="I3691" s="7" t="s">
        <v>27</v>
      </c>
    </row>
    <row r="3692">
      <c r="A3692" s="7" t="s">
        <v>33</v>
      </c>
      <c r="B3692" s="7" t="s">
        <v>236</v>
      </c>
      <c r="C3692" s="8">
        <f>IFERROR(__xludf.DUMMYFUNCTION("SPLIT(B3692,""RM"")"),2000000.0)</f>
        <v>2000000</v>
      </c>
      <c r="D3692" s="7" t="s">
        <v>57</v>
      </c>
      <c r="E3692" s="7">
        <v>4.0</v>
      </c>
      <c r="F3692" s="7">
        <v>3.0</v>
      </c>
      <c r="G3692" s="7" t="s">
        <v>83</v>
      </c>
      <c r="H3692" s="7" t="s">
        <v>2432</v>
      </c>
      <c r="I3692" s="7" t="s">
        <v>27</v>
      </c>
    </row>
    <row r="3693">
      <c r="A3693" s="7" t="s">
        <v>33</v>
      </c>
      <c r="B3693" s="7" t="s">
        <v>279</v>
      </c>
      <c r="C3693" s="8">
        <f>IFERROR(__xludf.DUMMYFUNCTION("SPLIT(B3693,""RM"")"),1380000.0)</f>
        <v>1380000</v>
      </c>
      <c r="D3693" s="7" t="s">
        <v>57</v>
      </c>
      <c r="E3693" s="7">
        <v>4.0</v>
      </c>
      <c r="F3693" s="7">
        <v>3.0</v>
      </c>
      <c r="G3693" s="7" t="s">
        <v>83</v>
      </c>
      <c r="H3693" s="7" t="s">
        <v>404</v>
      </c>
      <c r="I3693" s="7" t="s">
        <v>27</v>
      </c>
    </row>
    <row r="3694">
      <c r="A3694" s="7" t="s">
        <v>33</v>
      </c>
      <c r="B3694" s="7" t="s">
        <v>243</v>
      </c>
      <c r="C3694" s="8">
        <f>IFERROR(__xludf.DUMMYFUNCTION("SPLIT(B3694,""RM"")"),1350000.0)</f>
        <v>1350000</v>
      </c>
      <c r="D3694" s="7" t="s">
        <v>57</v>
      </c>
      <c r="E3694" s="7">
        <v>4.0</v>
      </c>
      <c r="F3694" s="7">
        <v>3.0</v>
      </c>
      <c r="G3694" s="7" t="s">
        <v>83</v>
      </c>
      <c r="H3694" s="7" t="s">
        <v>404</v>
      </c>
      <c r="I3694" s="7" t="s">
        <v>27</v>
      </c>
    </row>
    <row r="3695">
      <c r="A3695" s="7" t="s">
        <v>33</v>
      </c>
      <c r="B3695" s="7" t="s">
        <v>53</v>
      </c>
      <c r="C3695" s="8">
        <f>IFERROR(__xludf.DUMMYFUNCTION("SPLIT(B3695,""RM"")"),1680000.0)</f>
        <v>1680000</v>
      </c>
      <c r="D3695" s="7" t="s">
        <v>57</v>
      </c>
      <c r="E3695" s="7">
        <v>4.0</v>
      </c>
      <c r="F3695" s="7">
        <v>3.0</v>
      </c>
      <c r="G3695" s="7" t="s">
        <v>83</v>
      </c>
      <c r="H3695" s="7" t="s">
        <v>2252</v>
      </c>
      <c r="I3695" s="7" t="s">
        <v>27</v>
      </c>
    </row>
    <row r="3696">
      <c r="A3696" s="7" t="s">
        <v>33</v>
      </c>
      <c r="B3696" s="7" t="s">
        <v>156</v>
      </c>
      <c r="C3696" s="8">
        <f>IFERROR(__xludf.DUMMYFUNCTION("SPLIT(B3696,""RM"")"),850000.0)</f>
        <v>850000</v>
      </c>
      <c r="D3696" s="7" t="s">
        <v>57</v>
      </c>
      <c r="E3696" s="7">
        <v>3.0</v>
      </c>
      <c r="F3696" s="7">
        <v>2.0</v>
      </c>
      <c r="G3696" s="7" t="s">
        <v>83</v>
      </c>
      <c r="H3696" s="7" t="s">
        <v>21</v>
      </c>
      <c r="I3696" s="7" t="s">
        <v>22</v>
      </c>
    </row>
    <row r="3697">
      <c r="A3697" s="7" t="s">
        <v>33</v>
      </c>
      <c r="B3697" s="7" t="s">
        <v>191</v>
      </c>
      <c r="C3697" s="8">
        <f>IFERROR(__xludf.DUMMYFUNCTION("SPLIT(B3697,""RM"")"),1000000.0)</f>
        <v>1000000</v>
      </c>
      <c r="D3697" s="7" t="s">
        <v>57</v>
      </c>
      <c r="E3697" s="7">
        <v>3.0</v>
      </c>
      <c r="F3697" s="7">
        <v>2.0</v>
      </c>
      <c r="G3697" s="7" t="s">
        <v>83</v>
      </c>
      <c r="H3697" s="7" t="s">
        <v>760</v>
      </c>
      <c r="I3697" s="7" t="s">
        <v>22</v>
      </c>
    </row>
    <row r="3698">
      <c r="A3698" s="7" t="s">
        <v>33</v>
      </c>
      <c r="B3698" s="7" t="s">
        <v>138</v>
      </c>
      <c r="C3698" s="8">
        <f>IFERROR(__xludf.DUMMYFUNCTION("SPLIT(B3698,""RM"")"),930000.0)</f>
        <v>930000</v>
      </c>
      <c r="D3698" s="7" t="s">
        <v>57</v>
      </c>
      <c r="E3698" s="7">
        <v>3.0</v>
      </c>
      <c r="F3698" s="7">
        <v>2.0</v>
      </c>
      <c r="G3698" s="7" t="s">
        <v>83</v>
      </c>
      <c r="H3698" s="7" t="s">
        <v>1324</v>
      </c>
      <c r="I3698" s="7" t="s">
        <v>103</v>
      </c>
    </row>
    <row r="3699">
      <c r="A3699" s="7" t="s">
        <v>33</v>
      </c>
      <c r="B3699" s="7" t="s">
        <v>229</v>
      </c>
      <c r="C3699" s="8">
        <f>IFERROR(__xludf.DUMMYFUNCTION("SPLIT(B3699,""RM"")"),1050000.0)</f>
        <v>1050000</v>
      </c>
      <c r="D3699" s="7" t="s">
        <v>57</v>
      </c>
      <c r="E3699" s="7">
        <v>3.0</v>
      </c>
      <c r="F3699" s="7">
        <v>2.0</v>
      </c>
      <c r="G3699" s="7" t="s">
        <v>83</v>
      </c>
      <c r="H3699" s="7" t="s">
        <v>1324</v>
      </c>
      <c r="I3699" s="7" t="s">
        <v>22</v>
      </c>
    </row>
    <row r="3700">
      <c r="A3700" s="7" t="s">
        <v>33</v>
      </c>
      <c r="B3700" s="7" t="s">
        <v>191</v>
      </c>
      <c r="C3700" s="8">
        <f>IFERROR(__xludf.DUMMYFUNCTION("SPLIT(B3700,""RM"")"),1000000.0)</f>
        <v>1000000</v>
      </c>
      <c r="D3700" s="7" t="s">
        <v>57</v>
      </c>
      <c r="E3700" s="7">
        <v>3.0</v>
      </c>
      <c r="F3700" s="7">
        <v>2.0</v>
      </c>
      <c r="G3700" s="7" t="s">
        <v>83</v>
      </c>
      <c r="H3700" s="7" t="s">
        <v>1324</v>
      </c>
      <c r="I3700" s="7" t="s">
        <v>22</v>
      </c>
    </row>
    <row r="3701">
      <c r="A3701" s="7" t="s">
        <v>164</v>
      </c>
      <c r="B3701" s="7" t="s">
        <v>567</v>
      </c>
      <c r="C3701" s="8">
        <f>IFERROR(__xludf.DUMMYFUNCTION("SPLIT(B3701,""RM"")"),5149700.0)</f>
        <v>5149700</v>
      </c>
      <c r="D3701" s="7" t="s">
        <v>35</v>
      </c>
      <c r="E3701" s="7">
        <v>6.0</v>
      </c>
      <c r="F3701" s="7">
        <v>1.0</v>
      </c>
      <c r="G3701" s="7" t="s">
        <v>20</v>
      </c>
      <c r="H3701" s="7" t="s">
        <v>568</v>
      </c>
      <c r="I3701" s="7" t="s">
        <v>22</v>
      </c>
    </row>
    <row r="3702">
      <c r="A3702" s="7" t="s">
        <v>1014</v>
      </c>
      <c r="B3702" s="7" t="s">
        <v>92</v>
      </c>
      <c r="C3702" s="8">
        <f>IFERROR(__xludf.DUMMYFUNCTION("SPLIT(B3702,""RM"")"),610000.0)</f>
        <v>610000</v>
      </c>
      <c r="D3702" s="7">
        <v>3.0</v>
      </c>
      <c r="E3702" s="7">
        <v>2.0</v>
      </c>
      <c r="G3702" s="7" t="s">
        <v>83</v>
      </c>
      <c r="H3702" s="7" t="s">
        <v>2202</v>
      </c>
    </row>
    <row r="3703">
      <c r="A3703" s="7" t="s">
        <v>2433</v>
      </c>
      <c r="B3703" s="7" t="s">
        <v>78</v>
      </c>
      <c r="C3703" s="8">
        <f>IFERROR(__xludf.DUMMYFUNCTION("SPLIT(B3703,""RM"")"),1500000.0)</f>
        <v>1500000</v>
      </c>
      <c r="D3703" s="7" t="s">
        <v>35</v>
      </c>
      <c r="E3703" s="7">
        <v>3.0</v>
      </c>
      <c r="F3703" s="7">
        <v>4.0</v>
      </c>
      <c r="G3703" s="7" t="s">
        <v>54</v>
      </c>
      <c r="H3703" s="7" t="s">
        <v>344</v>
      </c>
      <c r="I3703" s="7" t="s">
        <v>103</v>
      </c>
    </row>
    <row r="3704">
      <c r="A3704" s="7" t="s">
        <v>177</v>
      </c>
      <c r="B3704" s="7" t="s">
        <v>953</v>
      </c>
      <c r="C3704" s="8">
        <f>IFERROR(__xludf.DUMMYFUNCTION("SPLIT(B3704,""RM"")"),730000.0)</f>
        <v>730000</v>
      </c>
      <c r="D3704" s="7" t="s">
        <v>197</v>
      </c>
      <c r="E3704" s="7">
        <v>1.0</v>
      </c>
      <c r="F3704" s="7">
        <v>1.0</v>
      </c>
      <c r="G3704" s="7" t="s">
        <v>83</v>
      </c>
      <c r="H3704" s="7" t="s">
        <v>408</v>
      </c>
      <c r="I3704" s="7" t="s">
        <v>22</v>
      </c>
    </row>
    <row r="3705">
      <c r="A3705" s="7" t="s">
        <v>148</v>
      </c>
      <c r="B3705" s="7" t="s">
        <v>193</v>
      </c>
      <c r="C3705" s="8">
        <f>IFERROR(__xludf.DUMMYFUNCTION("SPLIT(B3705,""RM"")"),1650000.0)</f>
        <v>1650000</v>
      </c>
      <c r="D3705" s="7">
        <v>6.0</v>
      </c>
      <c r="E3705" s="7">
        <v>6.0</v>
      </c>
      <c r="F3705" s="7">
        <v>3.0</v>
      </c>
      <c r="G3705" s="7" t="s">
        <v>2434</v>
      </c>
      <c r="H3705" s="7" t="s">
        <v>1121</v>
      </c>
      <c r="I3705" s="7" t="s">
        <v>27</v>
      </c>
    </row>
    <row r="3706">
      <c r="A3706" s="7" t="s">
        <v>428</v>
      </c>
      <c r="B3706" s="7" t="s">
        <v>931</v>
      </c>
      <c r="C3706" s="8">
        <f>IFERROR(__xludf.DUMMYFUNCTION("SPLIT(B3706,""RM"")"),2450000.0)</f>
        <v>2450000</v>
      </c>
      <c r="D3706" s="7">
        <v>6.0</v>
      </c>
      <c r="E3706" s="7">
        <v>4.0</v>
      </c>
      <c r="F3706" s="7">
        <v>5.0</v>
      </c>
      <c r="G3706" s="7" t="s">
        <v>282</v>
      </c>
      <c r="H3706" s="7" t="s">
        <v>2435</v>
      </c>
      <c r="I3706" s="7" t="s">
        <v>27</v>
      </c>
    </row>
    <row r="3707">
      <c r="A3707" s="7" t="s">
        <v>428</v>
      </c>
      <c r="B3707" s="7" t="s">
        <v>327</v>
      </c>
      <c r="C3707" s="8">
        <f>IFERROR(__xludf.DUMMYFUNCTION("SPLIT(B3707,""RM"")"),1300000.0)</f>
        <v>1300000</v>
      </c>
      <c r="D3707" s="7" t="s">
        <v>35</v>
      </c>
      <c r="E3707" s="7">
        <v>4.0</v>
      </c>
      <c r="G3707" s="7" t="s">
        <v>54</v>
      </c>
      <c r="H3707" s="7" t="s">
        <v>344</v>
      </c>
      <c r="I3707" s="7" t="s">
        <v>103</v>
      </c>
    </row>
    <row r="3708">
      <c r="A3708" s="7" t="s">
        <v>23</v>
      </c>
      <c r="B3708" s="7" t="s">
        <v>2436</v>
      </c>
      <c r="C3708" s="8">
        <f>IFERROR(__xludf.DUMMYFUNCTION("SPLIT(B3708,""RM"")"),1.0081E7)</f>
        <v>10081000</v>
      </c>
      <c r="D3708" s="7" t="s">
        <v>70</v>
      </c>
      <c r="E3708" s="7">
        <v>7.0</v>
      </c>
      <c r="F3708" s="7">
        <v>4.0</v>
      </c>
      <c r="G3708" s="7" t="s">
        <v>67</v>
      </c>
      <c r="H3708" s="7" t="s">
        <v>1828</v>
      </c>
      <c r="I3708" s="7" t="s">
        <v>103</v>
      </c>
    </row>
    <row r="3709">
      <c r="A3709" s="7" t="s">
        <v>23</v>
      </c>
      <c r="B3709" s="7" t="s">
        <v>1096</v>
      </c>
      <c r="C3709" s="8">
        <f>IFERROR(__xludf.DUMMYFUNCTION("SPLIT(B3709,""RM"")"),8800000.0)</f>
        <v>8800000</v>
      </c>
      <c r="D3709" s="7" t="s">
        <v>70</v>
      </c>
      <c r="E3709" s="7">
        <v>5.0</v>
      </c>
      <c r="F3709" s="7">
        <v>6.0</v>
      </c>
      <c r="G3709" s="7" t="s">
        <v>25</v>
      </c>
      <c r="H3709" s="7" t="s">
        <v>264</v>
      </c>
      <c r="I3709" s="7" t="s">
        <v>27</v>
      </c>
    </row>
    <row r="3710">
      <c r="A3710" s="7" t="s">
        <v>432</v>
      </c>
      <c r="B3710" s="7" t="s">
        <v>149</v>
      </c>
      <c r="C3710" s="8">
        <f>IFERROR(__xludf.DUMMYFUNCTION("SPLIT(B3710,""RM"")"),4000000.0)</f>
        <v>4000000</v>
      </c>
      <c r="D3710" s="7">
        <v>5.0</v>
      </c>
      <c r="E3710" s="7">
        <v>5.0</v>
      </c>
      <c r="G3710" s="7" t="s">
        <v>1036</v>
      </c>
      <c r="H3710" s="7" t="s">
        <v>721</v>
      </c>
    </row>
    <row r="3711">
      <c r="A3711" s="7" t="s">
        <v>432</v>
      </c>
      <c r="B3711" s="7" t="s">
        <v>165</v>
      </c>
      <c r="C3711" s="8">
        <f>IFERROR(__xludf.DUMMYFUNCTION("SPLIT(B3711,""RM"")"),3500000.0)</f>
        <v>3500000</v>
      </c>
      <c r="D3711" s="7">
        <v>4.0</v>
      </c>
      <c r="E3711" s="7">
        <v>4.0</v>
      </c>
      <c r="G3711" s="7" t="s">
        <v>25</v>
      </c>
      <c r="H3711" s="7" t="s">
        <v>2437</v>
      </c>
      <c r="I3711" s="7" t="s">
        <v>22</v>
      </c>
    </row>
    <row r="3712">
      <c r="A3712" s="7" t="s">
        <v>177</v>
      </c>
      <c r="B3712" s="7" t="s">
        <v>2438</v>
      </c>
      <c r="C3712" s="8">
        <f>IFERROR(__xludf.DUMMYFUNCTION("SPLIT(B3712,""RM"")"),4249350.0)</f>
        <v>4249350</v>
      </c>
      <c r="G3712" s="7" t="s">
        <v>667</v>
      </c>
      <c r="H3712" s="7" t="s">
        <v>2439</v>
      </c>
    </row>
    <row r="3713">
      <c r="A3713" s="7" t="s">
        <v>23</v>
      </c>
      <c r="B3713" s="7" t="s">
        <v>292</v>
      </c>
      <c r="C3713" s="8">
        <f>IFERROR(__xludf.DUMMYFUNCTION("SPLIT(B3713,""RM"")"),3400000.0)</f>
        <v>3400000</v>
      </c>
      <c r="G3713" s="7" t="s">
        <v>1453</v>
      </c>
      <c r="H3713" s="7" t="s">
        <v>2440</v>
      </c>
    </row>
    <row r="3714">
      <c r="A3714" s="7" t="s">
        <v>23</v>
      </c>
      <c r="B3714" s="7" t="s">
        <v>2441</v>
      </c>
      <c r="C3714" s="8">
        <f>IFERROR(__xludf.DUMMYFUNCTION("SPLIT(B3714,""RM"")"),7700000.0)</f>
        <v>7700000</v>
      </c>
      <c r="D3714" s="7" t="s">
        <v>70</v>
      </c>
      <c r="E3714" s="7">
        <v>6.0</v>
      </c>
      <c r="F3714" s="7">
        <v>6.0</v>
      </c>
      <c r="G3714" s="7" t="s">
        <v>312</v>
      </c>
      <c r="H3714" s="7" t="s">
        <v>2442</v>
      </c>
      <c r="I3714" s="7" t="s">
        <v>27</v>
      </c>
    </row>
    <row r="3715">
      <c r="A3715" s="7" t="s">
        <v>188</v>
      </c>
      <c r="B3715" s="7" t="s">
        <v>245</v>
      </c>
      <c r="C3715" s="8">
        <f>IFERROR(__xludf.DUMMYFUNCTION("SPLIT(B3715,""RM"")"),800000.0)</f>
        <v>800000</v>
      </c>
      <c r="D3715" s="7">
        <v>1.0</v>
      </c>
      <c r="E3715" s="7">
        <v>1.0</v>
      </c>
      <c r="F3715" s="7">
        <v>1.0</v>
      </c>
      <c r="G3715" s="7" t="s">
        <v>83</v>
      </c>
      <c r="H3715" s="7" t="s">
        <v>1569</v>
      </c>
      <c r="I3715" s="7" t="s">
        <v>103</v>
      </c>
    </row>
    <row r="3716">
      <c r="A3716" s="7" t="s">
        <v>428</v>
      </c>
      <c r="B3716" s="7" t="s">
        <v>1124</v>
      </c>
      <c r="C3716" s="8">
        <f>IFERROR(__xludf.DUMMYFUNCTION("SPLIT(B3716,""RM"")"),2080000.0)</f>
        <v>2080000</v>
      </c>
      <c r="D3716" s="7">
        <v>3.0</v>
      </c>
      <c r="E3716" s="7">
        <v>2.0</v>
      </c>
      <c r="F3716" s="7">
        <v>2.0</v>
      </c>
      <c r="G3716" s="7" t="s">
        <v>83</v>
      </c>
      <c r="H3716" s="7" t="s">
        <v>2443</v>
      </c>
      <c r="I3716" s="7" t="s">
        <v>22</v>
      </c>
    </row>
    <row r="3717">
      <c r="A3717" s="7" t="s">
        <v>709</v>
      </c>
      <c r="B3717" s="7" t="s">
        <v>733</v>
      </c>
      <c r="C3717" s="8">
        <f>IFERROR(__xludf.DUMMYFUNCTION("SPLIT(B3717,""RM"")"),565000.0)</f>
        <v>565000</v>
      </c>
      <c r="D3717" s="7">
        <v>3.0</v>
      </c>
      <c r="E3717" s="7">
        <v>2.0</v>
      </c>
      <c r="F3717" s="7">
        <v>1.0</v>
      </c>
      <c r="G3717" s="7" t="s">
        <v>30</v>
      </c>
      <c r="H3717" s="7" t="s">
        <v>471</v>
      </c>
      <c r="I3717" s="7" t="s">
        <v>27</v>
      </c>
    </row>
    <row r="3718">
      <c r="A3718" s="7" t="s">
        <v>709</v>
      </c>
      <c r="B3718" s="7" t="s">
        <v>563</v>
      </c>
      <c r="C3718" s="8">
        <f>IFERROR(__xludf.DUMMYFUNCTION("SPLIT(B3718,""RM"")"),600000.0)</f>
        <v>600000</v>
      </c>
      <c r="D3718" s="7">
        <v>2.0</v>
      </c>
      <c r="E3718" s="7">
        <v>2.0</v>
      </c>
      <c r="F3718" s="7">
        <v>1.0</v>
      </c>
      <c r="G3718" s="7" t="s">
        <v>30</v>
      </c>
      <c r="H3718" s="7" t="s">
        <v>1688</v>
      </c>
      <c r="I3718" s="7" t="s">
        <v>27</v>
      </c>
    </row>
    <row r="3719">
      <c r="A3719" s="7" t="s">
        <v>33</v>
      </c>
      <c r="B3719" s="7" t="s">
        <v>1551</v>
      </c>
      <c r="C3719" s="8">
        <f>IFERROR(__xludf.DUMMYFUNCTION("SPLIT(B3719,""RM"")"),399000.0)</f>
        <v>399000</v>
      </c>
      <c r="D3719" s="7">
        <v>3.0</v>
      </c>
      <c r="E3719" s="7">
        <v>2.0</v>
      </c>
      <c r="F3719" s="7">
        <v>1.0</v>
      </c>
      <c r="G3719" s="7" t="s">
        <v>354</v>
      </c>
      <c r="H3719" s="7" t="s">
        <v>892</v>
      </c>
      <c r="I3719" s="7" t="s">
        <v>27</v>
      </c>
    </row>
    <row r="3720">
      <c r="A3720" s="7" t="s">
        <v>188</v>
      </c>
      <c r="B3720" s="7" t="s">
        <v>349</v>
      </c>
      <c r="C3720" s="8">
        <f>IFERROR(__xludf.DUMMYFUNCTION("SPLIT(B3720,""RM"")"),1400000.0)</f>
        <v>1400000</v>
      </c>
      <c r="D3720" s="7">
        <v>2.0</v>
      </c>
      <c r="E3720" s="7">
        <v>2.0</v>
      </c>
      <c r="F3720" s="7">
        <v>2.0</v>
      </c>
      <c r="G3720" s="7" t="s">
        <v>83</v>
      </c>
      <c r="H3720" s="7" t="s">
        <v>1245</v>
      </c>
      <c r="I3720" s="7" t="s">
        <v>22</v>
      </c>
    </row>
    <row r="3721">
      <c r="A3721" s="7" t="s">
        <v>188</v>
      </c>
      <c r="B3721" s="7" t="s">
        <v>641</v>
      </c>
      <c r="C3721" s="8">
        <f>IFERROR(__xludf.DUMMYFUNCTION("SPLIT(B3721,""RM"")"),830000.0)</f>
        <v>830000</v>
      </c>
      <c r="D3721" s="7">
        <v>1.0</v>
      </c>
      <c r="E3721" s="7">
        <v>1.0</v>
      </c>
      <c r="F3721" s="7">
        <v>1.0</v>
      </c>
      <c r="G3721" s="7" t="s">
        <v>93</v>
      </c>
    </row>
    <row r="3722">
      <c r="A3722" s="7" t="s">
        <v>188</v>
      </c>
      <c r="B3722" s="7" t="s">
        <v>134</v>
      </c>
      <c r="C3722" s="8">
        <f>IFERROR(__xludf.DUMMYFUNCTION("SPLIT(B3722,""RM"")"),1150000.0)</f>
        <v>1150000</v>
      </c>
      <c r="D3722" s="7" t="s">
        <v>197</v>
      </c>
      <c r="E3722" s="7">
        <v>1.0</v>
      </c>
      <c r="F3722" s="7">
        <v>1.0</v>
      </c>
      <c r="G3722" s="7" t="s">
        <v>83</v>
      </c>
      <c r="H3722" s="7" t="s">
        <v>2444</v>
      </c>
      <c r="I3722" s="7" t="s">
        <v>27</v>
      </c>
    </row>
    <row r="3723">
      <c r="A3723" s="7" t="s">
        <v>188</v>
      </c>
      <c r="B3723" s="7" t="s">
        <v>284</v>
      </c>
      <c r="C3723" s="8">
        <f>IFERROR(__xludf.DUMMYFUNCTION("SPLIT(B3723,""RM"")"),1060000.0)</f>
        <v>1060000</v>
      </c>
      <c r="D3723" s="7">
        <v>1.0</v>
      </c>
      <c r="E3723" s="7">
        <v>1.0</v>
      </c>
      <c r="F3723" s="7">
        <v>1.0</v>
      </c>
      <c r="G3723" s="7" t="s">
        <v>93</v>
      </c>
      <c r="H3723" s="7" t="s">
        <v>929</v>
      </c>
      <c r="I3723" s="7" t="s">
        <v>27</v>
      </c>
    </row>
    <row r="3724">
      <c r="A3724" s="7" t="s">
        <v>143</v>
      </c>
      <c r="B3724" s="7" t="s">
        <v>2363</v>
      </c>
      <c r="C3724" s="8">
        <f>IFERROR(__xludf.DUMMYFUNCTION("SPLIT(B3724,""RM"")"),395000.0)</f>
        <v>395000</v>
      </c>
      <c r="D3724" s="7">
        <v>3.0</v>
      </c>
      <c r="E3724" s="7">
        <v>2.0</v>
      </c>
      <c r="F3724" s="7">
        <v>1.0</v>
      </c>
      <c r="G3724" s="7" t="s">
        <v>83</v>
      </c>
      <c r="H3724" s="7" t="s">
        <v>2445</v>
      </c>
      <c r="I3724" s="7" t="s">
        <v>27</v>
      </c>
    </row>
    <row r="3725">
      <c r="A3725" s="7" t="s">
        <v>32</v>
      </c>
      <c r="B3725" s="7" t="s">
        <v>967</v>
      </c>
      <c r="C3725" s="8">
        <f>IFERROR(__xludf.DUMMYFUNCTION("SPLIT(B3725,""RM"")"),680000.0)</f>
        <v>680000</v>
      </c>
      <c r="D3725" s="7">
        <v>2.0</v>
      </c>
      <c r="E3725" s="7">
        <v>2.0</v>
      </c>
      <c r="G3725" s="7" t="s">
        <v>93</v>
      </c>
      <c r="H3725" s="7" t="s">
        <v>2030</v>
      </c>
    </row>
    <row r="3726">
      <c r="A3726" s="7" t="s">
        <v>100</v>
      </c>
      <c r="B3726" s="7" t="s">
        <v>639</v>
      </c>
      <c r="C3726" s="8">
        <f>IFERROR(__xludf.DUMMYFUNCTION("SPLIT(B3726,""RM"")"),360000.0)</f>
        <v>360000</v>
      </c>
      <c r="D3726" s="7">
        <v>3.0</v>
      </c>
      <c r="E3726" s="7">
        <v>2.0</v>
      </c>
      <c r="F3726" s="7">
        <v>2.0</v>
      </c>
      <c r="G3726" s="7" t="s">
        <v>20</v>
      </c>
      <c r="H3726" s="7" t="s">
        <v>491</v>
      </c>
      <c r="I3726" s="7" t="s">
        <v>27</v>
      </c>
    </row>
    <row r="3727">
      <c r="A3727" s="7" t="s">
        <v>709</v>
      </c>
      <c r="B3727" s="7" t="s">
        <v>139</v>
      </c>
      <c r="C3727" s="8">
        <f>IFERROR(__xludf.DUMMYFUNCTION("SPLIT(B3727,""RM"")"),780000.0)</f>
        <v>780000</v>
      </c>
      <c r="D3727" s="7">
        <v>3.0</v>
      </c>
      <c r="E3727" s="7">
        <v>2.0</v>
      </c>
      <c r="F3727" s="7">
        <v>2.0</v>
      </c>
      <c r="G3727" s="7" t="s">
        <v>93</v>
      </c>
      <c r="H3727" s="7" t="s">
        <v>2351</v>
      </c>
      <c r="I3727" s="7" t="s">
        <v>22</v>
      </c>
    </row>
    <row r="3728">
      <c r="A3728" s="7" t="s">
        <v>143</v>
      </c>
      <c r="B3728" s="7" t="s">
        <v>2446</v>
      </c>
      <c r="C3728" s="8">
        <f>IFERROR(__xludf.DUMMYFUNCTION("SPLIT(B3728,""RM"")"),985000.0)</f>
        <v>985000</v>
      </c>
      <c r="D3728" s="7" t="s">
        <v>197</v>
      </c>
      <c r="E3728" s="7">
        <v>1.0</v>
      </c>
      <c r="G3728" s="7" t="s">
        <v>20</v>
      </c>
      <c r="I3728" s="7" t="s">
        <v>27</v>
      </c>
    </row>
    <row r="3729">
      <c r="A3729" s="7" t="s">
        <v>432</v>
      </c>
      <c r="B3729" s="7" t="s">
        <v>120</v>
      </c>
      <c r="C3729" s="8">
        <f>IFERROR(__xludf.DUMMYFUNCTION("SPLIT(B3729,""RM"")"),3600000.0)</f>
        <v>3600000</v>
      </c>
      <c r="D3729" s="7">
        <v>5.0</v>
      </c>
      <c r="E3729" s="7">
        <v>5.0</v>
      </c>
      <c r="G3729" s="7" t="s">
        <v>43</v>
      </c>
      <c r="H3729" s="7" t="s">
        <v>498</v>
      </c>
      <c r="I3729" s="7" t="s">
        <v>27</v>
      </c>
    </row>
    <row r="3730">
      <c r="A3730" s="7" t="s">
        <v>23</v>
      </c>
      <c r="B3730" s="7" t="s">
        <v>243</v>
      </c>
      <c r="C3730" s="8">
        <f>IFERROR(__xludf.DUMMYFUNCTION("SPLIT(B3730,""RM"")"),1350000.0)</f>
        <v>1350000</v>
      </c>
      <c r="D3730" s="7" t="s">
        <v>57</v>
      </c>
      <c r="E3730" s="7">
        <v>4.0</v>
      </c>
      <c r="F3730" s="7">
        <v>2.0</v>
      </c>
      <c r="G3730" s="7" t="s">
        <v>121</v>
      </c>
      <c r="H3730" s="7" t="s">
        <v>656</v>
      </c>
      <c r="I3730" s="7" t="s">
        <v>27</v>
      </c>
    </row>
    <row r="3731">
      <c r="A3731" s="7" t="s">
        <v>28</v>
      </c>
      <c r="B3731" s="7" t="s">
        <v>132</v>
      </c>
      <c r="C3731" s="8">
        <f>IFERROR(__xludf.DUMMYFUNCTION("SPLIT(B3731,""RM"")"),1080000.0)</f>
        <v>1080000</v>
      </c>
      <c r="D3731" s="7" t="s">
        <v>57</v>
      </c>
      <c r="E3731" s="7">
        <v>4.0</v>
      </c>
      <c r="F3731" s="7">
        <v>2.0</v>
      </c>
      <c r="G3731" s="7" t="s">
        <v>30</v>
      </c>
      <c r="H3731" s="7" t="s">
        <v>1190</v>
      </c>
      <c r="I3731" s="7" t="s">
        <v>27</v>
      </c>
    </row>
    <row r="3732">
      <c r="A3732" s="7" t="s">
        <v>72</v>
      </c>
      <c r="B3732" s="7" t="s">
        <v>63</v>
      </c>
      <c r="C3732" s="8">
        <f>IFERROR(__xludf.DUMMYFUNCTION("SPLIT(B3732,""RM"")"),3100000.0)</f>
        <v>3100000</v>
      </c>
      <c r="D3732" s="7" t="s">
        <v>70</v>
      </c>
      <c r="E3732" s="7">
        <v>6.0</v>
      </c>
      <c r="G3732" s="7" t="s">
        <v>562</v>
      </c>
      <c r="H3732" s="7" t="s">
        <v>2447</v>
      </c>
      <c r="I3732" s="7" t="s">
        <v>27</v>
      </c>
    </row>
    <row r="3733">
      <c r="A3733" s="7" t="s">
        <v>33</v>
      </c>
      <c r="B3733" s="7" t="s">
        <v>620</v>
      </c>
      <c r="C3733" s="8">
        <f>IFERROR(__xludf.DUMMYFUNCTION("SPLIT(B3733,""RM"")"),840000.0)</f>
        <v>840000</v>
      </c>
      <c r="D3733" s="7" t="s">
        <v>57</v>
      </c>
      <c r="E3733" s="7">
        <v>2.0</v>
      </c>
      <c r="G3733" s="7" t="s">
        <v>83</v>
      </c>
      <c r="H3733" s="7" t="s">
        <v>21</v>
      </c>
      <c r="I3733" s="7" t="s">
        <v>27</v>
      </c>
    </row>
    <row r="3734">
      <c r="A3734" s="7" t="s">
        <v>33</v>
      </c>
      <c r="B3734" s="7" t="s">
        <v>329</v>
      </c>
      <c r="C3734" s="8">
        <f>IFERROR(__xludf.DUMMYFUNCTION("SPLIT(B3734,""RM"")"),1200000.0)</f>
        <v>1200000</v>
      </c>
      <c r="D3734" s="7" t="s">
        <v>57</v>
      </c>
      <c r="E3734" s="7">
        <v>3.0</v>
      </c>
      <c r="F3734" s="7">
        <v>2.0</v>
      </c>
      <c r="G3734" s="7" t="s">
        <v>83</v>
      </c>
      <c r="H3734" s="7" t="s">
        <v>1324</v>
      </c>
      <c r="I3734" s="7" t="s">
        <v>27</v>
      </c>
    </row>
    <row r="3735">
      <c r="A3735" s="7" t="s">
        <v>17</v>
      </c>
      <c r="B3735" s="7" t="s">
        <v>38</v>
      </c>
      <c r="C3735" s="8">
        <f>IFERROR(__xludf.DUMMYFUNCTION("SPLIT(B3735,""RM"")"),5350000.0)</f>
        <v>5350000</v>
      </c>
      <c r="D3735" s="7" t="s">
        <v>70</v>
      </c>
      <c r="E3735" s="7">
        <v>6.0</v>
      </c>
      <c r="G3735" s="7" t="s">
        <v>30</v>
      </c>
      <c r="H3735" s="7" t="s">
        <v>2448</v>
      </c>
      <c r="I3735" s="7" t="s">
        <v>27</v>
      </c>
    </row>
    <row r="3736">
      <c r="A3736" s="7" t="s">
        <v>23</v>
      </c>
      <c r="B3736" s="7" t="s">
        <v>842</v>
      </c>
      <c r="C3736" s="8">
        <f>IFERROR(__xludf.DUMMYFUNCTION("SPLIT(B3736,""RM"")"),5800000.0)</f>
        <v>5800000</v>
      </c>
      <c r="D3736" s="7" t="s">
        <v>218</v>
      </c>
      <c r="E3736" s="7">
        <v>7.0</v>
      </c>
      <c r="F3736" s="7">
        <v>8.0</v>
      </c>
      <c r="G3736" s="7" t="s">
        <v>25</v>
      </c>
      <c r="H3736" s="7" t="s">
        <v>219</v>
      </c>
      <c r="I3736" s="7" t="s">
        <v>27</v>
      </c>
    </row>
    <row r="3737">
      <c r="A3737" s="7" t="s">
        <v>89</v>
      </c>
      <c r="B3737" s="7" t="s">
        <v>221</v>
      </c>
      <c r="C3737" s="8">
        <f>IFERROR(__xludf.DUMMYFUNCTION("SPLIT(B3737,""RM"")"),630000.0)</f>
        <v>630000</v>
      </c>
      <c r="D3737" s="7" t="s">
        <v>19</v>
      </c>
      <c r="E3737" s="7">
        <v>2.0</v>
      </c>
      <c r="F3737" s="7">
        <v>2.0</v>
      </c>
      <c r="G3737" s="7" t="s">
        <v>20</v>
      </c>
      <c r="H3737" s="7" t="s">
        <v>764</v>
      </c>
      <c r="I3737" s="7" t="s">
        <v>27</v>
      </c>
    </row>
    <row r="3738">
      <c r="A3738" s="7" t="s">
        <v>262</v>
      </c>
      <c r="B3738" s="7" t="s">
        <v>2449</v>
      </c>
      <c r="C3738" s="8">
        <f>IFERROR(__xludf.DUMMYFUNCTION("SPLIT(B3738,""RM"")"),8180000.0)</f>
        <v>8180000</v>
      </c>
      <c r="D3738" s="7" t="s">
        <v>60</v>
      </c>
      <c r="E3738" s="7">
        <v>6.0</v>
      </c>
      <c r="F3738" s="7">
        <v>4.0</v>
      </c>
      <c r="G3738" s="7" t="s">
        <v>25</v>
      </c>
      <c r="H3738" s="7" t="s">
        <v>2450</v>
      </c>
      <c r="I3738" s="7" t="s">
        <v>27</v>
      </c>
    </row>
    <row r="3739">
      <c r="A3739" s="7" t="s">
        <v>32</v>
      </c>
      <c r="B3739" s="7" t="s">
        <v>2285</v>
      </c>
      <c r="C3739" s="8">
        <f>IFERROR(__xludf.DUMMYFUNCTION("SPLIT(B3739,""RM"")"),685000.0)</f>
        <v>685000</v>
      </c>
      <c r="D3739" s="7" t="s">
        <v>57</v>
      </c>
      <c r="E3739" s="7">
        <v>3.0</v>
      </c>
      <c r="F3739" s="7">
        <v>2.0</v>
      </c>
      <c r="G3739" s="7" t="s">
        <v>20</v>
      </c>
      <c r="H3739" s="7" t="s">
        <v>1384</v>
      </c>
      <c r="I3739" s="7" t="s">
        <v>103</v>
      </c>
    </row>
    <row r="3740">
      <c r="A3740" s="7" t="s">
        <v>148</v>
      </c>
      <c r="B3740" s="7" t="s">
        <v>712</v>
      </c>
      <c r="C3740" s="8">
        <f>IFERROR(__xludf.DUMMYFUNCTION("SPLIT(B3740,""RM"")"),1880000.0)</f>
        <v>1880000</v>
      </c>
      <c r="D3740" s="7">
        <v>3.0</v>
      </c>
      <c r="E3740" s="7">
        <v>3.0</v>
      </c>
      <c r="F3740" s="7">
        <v>2.0</v>
      </c>
      <c r="G3740" s="7" t="s">
        <v>470</v>
      </c>
      <c r="H3740" s="7" t="s">
        <v>1999</v>
      </c>
      <c r="I3740" s="7" t="s">
        <v>27</v>
      </c>
    </row>
    <row r="3741">
      <c r="A3741" s="7" t="s">
        <v>28</v>
      </c>
      <c r="B3741" s="7" t="s">
        <v>1266</v>
      </c>
      <c r="C3741" s="8">
        <f>IFERROR(__xludf.DUMMYFUNCTION("SPLIT(B3741,""RM"")"),740000.0)</f>
        <v>740000</v>
      </c>
      <c r="D3741" s="7">
        <v>3.0</v>
      </c>
      <c r="E3741" s="7">
        <v>3.0</v>
      </c>
      <c r="F3741" s="7">
        <v>2.0</v>
      </c>
      <c r="G3741" s="7" t="s">
        <v>93</v>
      </c>
      <c r="H3741" s="7" t="s">
        <v>490</v>
      </c>
      <c r="I3741" s="7" t="s">
        <v>22</v>
      </c>
    </row>
    <row r="3742">
      <c r="A3742" s="7" t="s">
        <v>28</v>
      </c>
      <c r="B3742" s="7" t="s">
        <v>953</v>
      </c>
      <c r="C3742" s="8">
        <f>IFERROR(__xludf.DUMMYFUNCTION("SPLIT(B3742,""RM"")"),730000.0)</f>
        <v>730000</v>
      </c>
      <c r="D3742" s="7" t="s">
        <v>57</v>
      </c>
      <c r="E3742" s="7">
        <v>2.0</v>
      </c>
      <c r="F3742" s="7">
        <v>2.0</v>
      </c>
      <c r="G3742" s="7" t="s">
        <v>93</v>
      </c>
      <c r="H3742" s="7" t="s">
        <v>1153</v>
      </c>
      <c r="I3742" s="7" t="s">
        <v>27</v>
      </c>
    </row>
    <row r="3743">
      <c r="A3743" s="7" t="s">
        <v>23</v>
      </c>
      <c r="B3743" s="7" t="s">
        <v>2451</v>
      </c>
      <c r="C3743" s="8">
        <f>IFERROR(__xludf.DUMMYFUNCTION("SPLIT(B3743,""RM"")"),5850000.0)</f>
        <v>5850000</v>
      </c>
      <c r="D3743" s="7" t="s">
        <v>218</v>
      </c>
      <c r="E3743" s="7">
        <v>7.0</v>
      </c>
      <c r="F3743" s="7">
        <v>4.0</v>
      </c>
      <c r="G3743" s="7" t="s">
        <v>61</v>
      </c>
      <c r="H3743" s="7" t="s">
        <v>1738</v>
      </c>
      <c r="I3743" s="7" t="s">
        <v>27</v>
      </c>
    </row>
    <row r="3744">
      <c r="A3744" s="7" t="s">
        <v>23</v>
      </c>
      <c r="B3744" s="7" t="s">
        <v>151</v>
      </c>
      <c r="C3744" s="8">
        <f>IFERROR(__xludf.DUMMYFUNCTION("SPLIT(B3744,""RM"")"),4800000.0)</f>
        <v>4800000</v>
      </c>
      <c r="D3744" s="7" t="s">
        <v>39</v>
      </c>
      <c r="E3744" s="7">
        <v>5.0</v>
      </c>
      <c r="F3744" s="7">
        <v>4.0</v>
      </c>
      <c r="G3744" s="7" t="s">
        <v>61</v>
      </c>
      <c r="H3744" s="7" t="s">
        <v>1314</v>
      </c>
      <c r="I3744" s="7" t="s">
        <v>27</v>
      </c>
    </row>
    <row r="3745">
      <c r="A3745" s="7" t="s">
        <v>1661</v>
      </c>
      <c r="B3745" s="7" t="s">
        <v>2452</v>
      </c>
      <c r="C3745" s="8">
        <f>IFERROR(__xludf.DUMMYFUNCTION("SPLIT(B3745,""RM"")"),1.58E7)</f>
        <v>15800000</v>
      </c>
      <c r="D3745" s="7" t="s">
        <v>299</v>
      </c>
      <c r="E3745" s="7">
        <v>6.0</v>
      </c>
      <c r="G3745" s="7" t="s">
        <v>25</v>
      </c>
      <c r="H3745" s="7" t="s">
        <v>2453</v>
      </c>
    </row>
    <row r="3746">
      <c r="A3746" s="7" t="s">
        <v>72</v>
      </c>
      <c r="B3746" s="7" t="s">
        <v>329</v>
      </c>
      <c r="C3746" s="8">
        <f>IFERROR(__xludf.DUMMYFUNCTION("SPLIT(B3746,""RM"")"),1200000.0)</f>
        <v>1200000</v>
      </c>
      <c r="D3746" s="7">
        <v>3.0</v>
      </c>
      <c r="E3746" s="7">
        <v>2.0</v>
      </c>
      <c r="F3746" s="7">
        <v>1.0</v>
      </c>
      <c r="G3746" s="7" t="s">
        <v>30</v>
      </c>
      <c r="H3746" s="7" t="s">
        <v>135</v>
      </c>
      <c r="I3746" s="7" t="s">
        <v>27</v>
      </c>
    </row>
    <row r="3747">
      <c r="A3747" s="7" t="s">
        <v>65</v>
      </c>
      <c r="B3747" s="7" t="s">
        <v>1240</v>
      </c>
      <c r="C3747" s="8">
        <f>IFERROR(__xludf.DUMMYFUNCTION("SPLIT(B3747,""RM"")"),1.25E7)</f>
        <v>12500000</v>
      </c>
      <c r="G3747" s="7" t="s">
        <v>667</v>
      </c>
      <c r="H3747" s="7" t="s">
        <v>2454</v>
      </c>
    </row>
    <row r="3748">
      <c r="A3748" s="7" t="s">
        <v>428</v>
      </c>
      <c r="B3748" s="7" t="s">
        <v>221</v>
      </c>
      <c r="C3748" s="8">
        <f>IFERROR(__xludf.DUMMYFUNCTION("SPLIT(B3748,""RM"")"),630000.0)</f>
        <v>630000</v>
      </c>
      <c r="D3748" s="7" t="s">
        <v>19</v>
      </c>
      <c r="E3748" s="7">
        <v>2.0</v>
      </c>
      <c r="G3748" s="7" t="s">
        <v>20</v>
      </c>
      <c r="H3748" s="7" t="s">
        <v>1759</v>
      </c>
      <c r="I3748" s="7" t="s">
        <v>27</v>
      </c>
    </row>
    <row r="3749">
      <c r="A3749" s="7" t="s">
        <v>177</v>
      </c>
      <c r="B3749" s="7" t="s">
        <v>2455</v>
      </c>
      <c r="C3749" s="8">
        <f>IFERROR(__xludf.DUMMYFUNCTION("SPLIT(B3749,""RM"")"),6999888.0)</f>
        <v>6999888</v>
      </c>
      <c r="D3749" s="7" t="s">
        <v>218</v>
      </c>
      <c r="E3749" s="7">
        <v>6.0</v>
      </c>
      <c r="F3749" s="7">
        <v>5.0</v>
      </c>
      <c r="G3749" s="7" t="s">
        <v>25</v>
      </c>
      <c r="H3749" s="7" t="s">
        <v>696</v>
      </c>
    </row>
    <row r="3750">
      <c r="A3750" s="7" t="s">
        <v>188</v>
      </c>
      <c r="B3750" s="7" t="s">
        <v>499</v>
      </c>
      <c r="C3750" s="8">
        <f>IFERROR(__xludf.DUMMYFUNCTION("SPLIT(B3750,""RM"")"),3900000.0)</f>
        <v>3900000</v>
      </c>
      <c r="D3750" s="7" t="s">
        <v>79</v>
      </c>
      <c r="E3750" s="7">
        <v>5.0</v>
      </c>
      <c r="G3750" s="7" t="s">
        <v>121</v>
      </c>
      <c r="H3750" s="7" t="s">
        <v>2456</v>
      </c>
      <c r="I3750" s="7" t="s">
        <v>27</v>
      </c>
    </row>
    <row r="3751">
      <c r="A3751" s="7" t="s">
        <v>89</v>
      </c>
      <c r="B3751" s="7" t="s">
        <v>761</v>
      </c>
      <c r="C3751" s="8">
        <f>IFERROR(__xludf.DUMMYFUNCTION("SPLIT(B3751,""RM"")"),480000.0)</f>
        <v>480000</v>
      </c>
      <c r="D3751" s="7">
        <v>3.0</v>
      </c>
      <c r="E3751" s="7">
        <v>2.0</v>
      </c>
      <c r="F3751" s="7">
        <v>1.0</v>
      </c>
      <c r="G3751" s="7" t="s">
        <v>93</v>
      </c>
      <c r="H3751" s="7" t="s">
        <v>1271</v>
      </c>
      <c r="I3751" s="7" t="s">
        <v>27</v>
      </c>
    </row>
    <row r="3752">
      <c r="A3752" s="7" t="s">
        <v>104</v>
      </c>
      <c r="B3752" s="7" t="s">
        <v>149</v>
      </c>
      <c r="C3752" s="8">
        <f>IFERROR(__xludf.DUMMYFUNCTION("SPLIT(B3752,""RM"")"),4000000.0)</f>
        <v>4000000</v>
      </c>
      <c r="D3752" s="7" t="s">
        <v>70</v>
      </c>
      <c r="E3752" s="7">
        <v>6.0</v>
      </c>
      <c r="F3752" s="7">
        <v>4.0</v>
      </c>
      <c r="G3752" s="7" t="s">
        <v>736</v>
      </c>
      <c r="H3752" s="7" t="s">
        <v>1631</v>
      </c>
      <c r="I3752" s="7" t="s">
        <v>22</v>
      </c>
    </row>
    <row r="3753">
      <c r="A3753" s="7" t="s">
        <v>37</v>
      </c>
      <c r="B3753" s="7" t="s">
        <v>807</v>
      </c>
      <c r="C3753" s="8">
        <f>IFERROR(__xludf.DUMMYFUNCTION("SPLIT(B3753,""RM"")"),1430000.0)</f>
        <v>1430000</v>
      </c>
      <c r="D3753" s="7">
        <v>2.0</v>
      </c>
      <c r="E3753" s="7">
        <v>2.0</v>
      </c>
      <c r="F3753" s="7">
        <v>1.0</v>
      </c>
      <c r="G3753" s="7" t="s">
        <v>30</v>
      </c>
      <c r="H3753" s="7" t="s">
        <v>2457</v>
      </c>
      <c r="I3753" s="7" t="s">
        <v>27</v>
      </c>
    </row>
    <row r="3754">
      <c r="A3754" s="7" t="s">
        <v>368</v>
      </c>
      <c r="B3754" s="7" t="s">
        <v>172</v>
      </c>
      <c r="C3754" s="8">
        <f>IFERROR(__xludf.DUMMYFUNCTION("SPLIT(B3754,""RM"")"),580000.0)</f>
        <v>580000</v>
      </c>
      <c r="D3754" s="7">
        <v>2.0</v>
      </c>
      <c r="E3754" s="7">
        <v>2.0</v>
      </c>
      <c r="F3754" s="7">
        <v>1.0</v>
      </c>
      <c r="G3754" s="7" t="s">
        <v>20</v>
      </c>
      <c r="H3754" s="7" t="s">
        <v>1567</v>
      </c>
      <c r="I3754" s="7" t="s">
        <v>27</v>
      </c>
    </row>
    <row r="3755">
      <c r="A3755" s="7" t="s">
        <v>171</v>
      </c>
      <c r="B3755" s="7" t="s">
        <v>156</v>
      </c>
      <c r="C3755" s="8">
        <f>IFERROR(__xludf.DUMMYFUNCTION("SPLIT(B3755,""RM"")"),850000.0)</f>
        <v>850000</v>
      </c>
      <c r="D3755" s="7">
        <v>4.0</v>
      </c>
      <c r="E3755" s="7">
        <v>4.0</v>
      </c>
      <c r="G3755" s="7" t="s">
        <v>54</v>
      </c>
      <c r="H3755" s="7" t="s">
        <v>211</v>
      </c>
      <c r="I3755" s="7" t="s">
        <v>27</v>
      </c>
    </row>
    <row r="3756">
      <c r="A3756" s="7" t="s">
        <v>267</v>
      </c>
      <c r="B3756" s="7" t="s">
        <v>78</v>
      </c>
      <c r="C3756" s="8">
        <f>IFERROR(__xludf.DUMMYFUNCTION("SPLIT(B3756,""RM"")"),1500000.0)</f>
        <v>1500000</v>
      </c>
      <c r="D3756" s="7">
        <v>4.0</v>
      </c>
      <c r="E3756" s="7">
        <v>5.0</v>
      </c>
      <c r="G3756" s="7" t="s">
        <v>83</v>
      </c>
      <c r="H3756" s="7" t="s">
        <v>307</v>
      </c>
      <c r="I3756" s="7" t="s">
        <v>22</v>
      </c>
    </row>
    <row r="3757">
      <c r="A3757" s="7" t="s">
        <v>177</v>
      </c>
      <c r="B3757" s="7" t="s">
        <v>78</v>
      </c>
      <c r="C3757" s="8">
        <f>IFERROR(__xludf.DUMMYFUNCTION("SPLIT(B3757,""RM"")"),1500000.0)</f>
        <v>1500000</v>
      </c>
      <c r="D3757" s="7">
        <v>3.0</v>
      </c>
      <c r="E3757" s="7">
        <v>3.0</v>
      </c>
      <c r="F3757" s="7">
        <v>2.0</v>
      </c>
      <c r="G3757" s="7" t="s">
        <v>470</v>
      </c>
      <c r="H3757" s="7" t="s">
        <v>1132</v>
      </c>
    </row>
    <row r="3758">
      <c r="A3758" s="7" t="s">
        <v>86</v>
      </c>
      <c r="B3758" s="7" t="s">
        <v>2458</v>
      </c>
      <c r="C3758" s="8">
        <f>IFERROR(__xludf.DUMMYFUNCTION("SPLIT(B3758,""RM"")"),836100.0)</f>
        <v>836100</v>
      </c>
      <c r="D3758" s="7">
        <v>2.0</v>
      </c>
      <c r="E3758" s="7">
        <v>2.0</v>
      </c>
      <c r="F3758" s="7">
        <v>1.0</v>
      </c>
      <c r="G3758" s="7" t="s">
        <v>20</v>
      </c>
      <c r="H3758" s="7" t="s">
        <v>416</v>
      </c>
      <c r="I3758" s="7" t="s">
        <v>27</v>
      </c>
    </row>
    <row r="3759">
      <c r="A3759" s="7" t="s">
        <v>41</v>
      </c>
      <c r="B3759" s="7" t="s">
        <v>1328</v>
      </c>
      <c r="C3759" s="8">
        <f>IFERROR(__xludf.DUMMYFUNCTION("SPLIT(B3759,""RM"")"),650000.0)</f>
        <v>650000</v>
      </c>
      <c r="D3759" s="7">
        <v>3.0</v>
      </c>
      <c r="E3759" s="7">
        <v>2.0</v>
      </c>
      <c r="F3759" s="7">
        <v>1.0</v>
      </c>
      <c r="G3759" s="7" t="s">
        <v>83</v>
      </c>
      <c r="I3759" s="7" t="s">
        <v>22</v>
      </c>
    </row>
    <row r="3760">
      <c r="A3760" s="7" t="s">
        <v>17</v>
      </c>
      <c r="B3760" s="7" t="s">
        <v>53</v>
      </c>
      <c r="C3760" s="8">
        <f>IFERROR(__xludf.DUMMYFUNCTION("SPLIT(B3760,""RM"")"),1680000.0)</f>
        <v>1680000</v>
      </c>
      <c r="D3760" s="7" t="s">
        <v>79</v>
      </c>
      <c r="E3760" s="7">
        <v>4.0</v>
      </c>
      <c r="F3760" s="7">
        <v>2.0</v>
      </c>
      <c r="G3760" s="7" t="s">
        <v>30</v>
      </c>
      <c r="H3760" s="7" t="s">
        <v>829</v>
      </c>
      <c r="I3760" s="7" t="s">
        <v>27</v>
      </c>
    </row>
    <row r="3761">
      <c r="A3761" s="7" t="s">
        <v>100</v>
      </c>
      <c r="B3761" s="7" t="s">
        <v>1032</v>
      </c>
      <c r="C3761" s="8">
        <f>IFERROR(__xludf.DUMMYFUNCTION("SPLIT(B3761,""RM"")"),3880000.0)</f>
        <v>3880000</v>
      </c>
      <c r="D3761" s="7">
        <v>7.0</v>
      </c>
      <c r="E3761" s="7">
        <v>5.0</v>
      </c>
      <c r="G3761" s="7" t="s">
        <v>67</v>
      </c>
      <c r="H3761" s="7" t="s">
        <v>62</v>
      </c>
      <c r="I3761" s="7" t="s">
        <v>27</v>
      </c>
    </row>
    <row r="3762">
      <c r="A3762" s="7" t="s">
        <v>100</v>
      </c>
      <c r="B3762" s="7" t="s">
        <v>2459</v>
      </c>
      <c r="C3762" s="8">
        <f>IFERROR(__xludf.DUMMYFUNCTION("SPLIT(B3762,""RM"")"),4.826448E7)</f>
        <v>48264480</v>
      </c>
      <c r="G3762" s="7" t="s">
        <v>667</v>
      </c>
      <c r="H3762" s="7" t="s">
        <v>2460</v>
      </c>
    </row>
    <row r="3763">
      <c r="A3763" s="7" t="s">
        <v>432</v>
      </c>
      <c r="B3763" s="7" t="s">
        <v>165</v>
      </c>
      <c r="C3763" s="8">
        <f>IFERROR(__xludf.DUMMYFUNCTION("SPLIT(B3763,""RM"")"),3500000.0)</f>
        <v>3500000</v>
      </c>
      <c r="D3763" s="7" t="s">
        <v>35</v>
      </c>
      <c r="E3763" s="7">
        <v>5.0</v>
      </c>
      <c r="F3763" s="7">
        <v>2.0</v>
      </c>
      <c r="G3763" s="7" t="s">
        <v>443</v>
      </c>
      <c r="H3763" s="7" t="s">
        <v>2066</v>
      </c>
      <c r="I3763" s="7" t="s">
        <v>103</v>
      </c>
    </row>
    <row r="3764">
      <c r="A3764" s="7" t="s">
        <v>109</v>
      </c>
      <c r="B3764" s="7" t="s">
        <v>890</v>
      </c>
      <c r="C3764" s="8">
        <f>IFERROR(__xludf.DUMMYFUNCTION("SPLIT(B3764,""RM"")"),450000.0)</f>
        <v>450000</v>
      </c>
      <c r="D3764" s="7">
        <v>3.0</v>
      </c>
      <c r="E3764" s="7">
        <v>2.0</v>
      </c>
      <c r="G3764" s="7" t="s">
        <v>83</v>
      </c>
      <c r="H3764" s="7" t="s">
        <v>734</v>
      </c>
      <c r="I3764" s="7" t="s">
        <v>27</v>
      </c>
    </row>
    <row r="3765">
      <c r="A3765" s="7" t="s">
        <v>33</v>
      </c>
      <c r="B3765" s="7" t="s">
        <v>1073</v>
      </c>
      <c r="C3765" s="8">
        <f>IFERROR(__xludf.DUMMYFUNCTION("SPLIT(B3765,""RM"")"),588000.0)</f>
        <v>588000</v>
      </c>
      <c r="D3765" s="7">
        <v>3.0</v>
      </c>
      <c r="E3765" s="7">
        <v>2.0</v>
      </c>
      <c r="F3765" s="7">
        <v>2.0</v>
      </c>
      <c r="G3765" s="7" t="s">
        <v>93</v>
      </c>
      <c r="H3765" s="7" t="s">
        <v>734</v>
      </c>
      <c r="I3765" s="7" t="s">
        <v>103</v>
      </c>
    </row>
    <row r="3766">
      <c r="A3766" s="7" t="s">
        <v>267</v>
      </c>
      <c r="B3766" s="7" t="s">
        <v>85</v>
      </c>
      <c r="C3766" s="8">
        <f>IFERROR(__xludf.DUMMYFUNCTION("SPLIT(B3766,""RM"")"),1450000.0)</f>
        <v>1450000</v>
      </c>
      <c r="D3766" s="7">
        <v>5.0</v>
      </c>
      <c r="E3766" s="7">
        <v>3.0</v>
      </c>
      <c r="F3766" s="7">
        <v>2.0</v>
      </c>
      <c r="G3766" s="7" t="s">
        <v>169</v>
      </c>
      <c r="H3766" s="7" t="s">
        <v>2461</v>
      </c>
      <c r="I3766" s="7" t="s">
        <v>103</v>
      </c>
    </row>
    <row r="3767">
      <c r="A3767" s="7" t="s">
        <v>23</v>
      </c>
      <c r="B3767" s="7" t="s">
        <v>350</v>
      </c>
      <c r="C3767" s="8">
        <f>IFERROR(__xludf.DUMMYFUNCTION("SPLIT(B3767,""RM"")"),6500000.0)</f>
        <v>6500000</v>
      </c>
      <c r="D3767" s="7" t="s">
        <v>60</v>
      </c>
      <c r="E3767" s="7">
        <v>7.0</v>
      </c>
      <c r="G3767" s="7" t="s">
        <v>25</v>
      </c>
      <c r="H3767" s="7" t="s">
        <v>430</v>
      </c>
      <c r="I3767" s="7" t="s">
        <v>27</v>
      </c>
    </row>
    <row r="3768">
      <c r="A3768" s="7" t="s">
        <v>23</v>
      </c>
      <c r="B3768" s="7" t="s">
        <v>2174</v>
      </c>
      <c r="C3768" s="8">
        <f>IFERROR(__xludf.DUMMYFUNCTION("SPLIT(B3768,""RM"")"),7800000.0)</f>
        <v>7800000</v>
      </c>
      <c r="D3768" s="7" t="s">
        <v>299</v>
      </c>
      <c r="E3768" s="7">
        <v>10.0</v>
      </c>
      <c r="G3768" s="7" t="s">
        <v>25</v>
      </c>
      <c r="H3768" s="7" t="s">
        <v>745</v>
      </c>
    </row>
    <row r="3769">
      <c r="A3769" s="7" t="s">
        <v>262</v>
      </c>
      <c r="B3769" s="7" t="s">
        <v>151</v>
      </c>
      <c r="C3769" s="8">
        <f>IFERROR(__xludf.DUMMYFUNCTION("SPLIT(B3769,""RM"")"),4800000.0)</f>
        <v>4800000</v>
      </c>
      <c r="G3769" s="7" t="s">
        <v>667</v>
      </c>
      <c r="H3769" s="7" t="s">
        <v>1089</v>
      </c>
    </row>
    <row r="3770">
      <c r="A3770" s="7" t="s">
        <v>17</v>
      </c>
      <c r="B3770" s="7" t="s">
        <v>193</v>
      </c>
      <c r="C3770" s="8">
        <f>IFERROR(__xludf.DUMMYFUNCTION("SPLIT(B3770,""RM"")"),1650000.0)</f>
        <v>1650000</v>
      </c>
      <c r="D3770" s="7">
        <v>2.0</v>
      </c>
      <c r="E3770" s="7">
        <v>2.0</v>
      </c>
      <c r="F3770" s="7">
        <v>1.0</v>
      </c>
      <c r="G3770" s="7" t="s">
        <v>121</v>
      </c>
      <c r="H3770" s="7" t="s">
        <v>373</v>
      </c>
      <c r="I3770" s="7" t="s">
        <v>22</v>
      </c>
    </row>
    <row r="3771">
      <c r="A3771" s="7" t="s">
        <v>72</v>
      </c>
      <c r="B3771" s="7" t="s">
        <v>120</v>
      </c>
      <c r="C3771" s="8">
        <f>IFERROR(__xludf.DUMMYFUNCTION("SPLIT(B3771,""RM"")"),3600000.0)</f>
        <v>3600000</v>
      </c>
      <c r="D3771" s="7" t="s">
        <v>70</v>
      </c>
      <c r="E3771" s="7">
        <v>5.0</v>
      </c>
      <c r="F3771" s="7">
        <v>3.0</v>
      </c>
      <c r="G3771" s="7" t="s">
        <v>83</v>
      </c>
      <c r="H3771" s="7" t="s">
        <v>1083</v>
      </c>
      <c r="I3771" s="7" t="s">
        <v>22</v>
      </c>
    </row>
    <row r="3772">
      <c r="A3772" s="7" t="s">
        <v>33</v>
      </c>
      <c r="B3772" s="7" t="s">
        <v>42</v>
      </c>
      <c r="C3772" s="8">
        <f>IFERROR(__xludf.DUMMYFUNCTION("SPLIT(B3772,""RM"")"),2600000.0)</f>
        <v>2600000</v>
      </c>
      <c r="D3772" s="7">
        <v>4.0</v>
      </c>
      <c r="E3772" s="7">
        <v>4.0</v>
      </c>
      <c r="F3772" s="7">
        <v>3.0</v>
      </c>
      <c r="G3772" s="7" t="s">
        <v>83</v>
      </c>
      <c r="H3772" s="7" t="s">
        <v>1408</v>
      </c>
      <c r="I3772" s="7" t="s">
        <v>27</v>
      </c>
    </row>
    <row r="3773">
      <c r="A3773" s="7" t="s">
        <v>72</v>
      </c>
      <c r="B3773" s="7" t="s">
        <v>590</v>
      </c>
      <c r="C3773" s="8">
        <f>IFERROR(__xludf.DUMMYFUNCTION("SPLIT(B3773,""RM"")"),1.28E7)</f>
        <v>12800000</v>
      </c>
      <c r="D3773" s="7" t="s">
        <v>1754</v>
      </c>
      <c r="E3773" s="7">
        <v>10.0</v>
      </c>
      <c r="F3773" s="7">
        <v>6.0</v>
      </c>
      <c r="G3773" s="7" t="s">
        <v>25</v>
      </c>
      <c r="H3773" s="7" t="s">
        <v>2462</v>
      </c>
      <c r="I3773" s="7" t="s">
        <v>27</v>
      </c>
    </row>
    <row r="3774">
      <c r="A3774" s="7" t="s">
        <v>1476</v>
      </c>
      <c r="B3774" s="7" t="s">
        <v>639</v>
      </c>
      <c r="C3774" s="8">
        <f>IFERROR(__xludf.DUMMYFUNCTION("SPLIT(B3774,""RM"")"),360000.0)</f>
        <v>360000</v>
      </c>
      <c r="D3774" s="7">
        <v>3.0</v>
      </c>
      <c r="E3774" s="7">
        <v>2.0</v>
      </c>
      <c r="F3774" s="7">
        <v>1.0</v>
      </c>
      <c r="G3774" s="7" t="s">
        <v>83</v>
      </c>
      <c r="H3774" s="7" t="s">
        <v>2354</v>
      </c>
    </row>
    <row r="3775">
      <c r="A3775" s="7" t="s">
        <v>72</v>
      </c>
      <c r="B3775" s="7" t="s">
        <v>403</v>
      </c>
      <c r="C3775" s="8">
        <f>IFERROR(__xludf.DUMMYFUNCTION("SPLIT(B3775,""RM"")"),1600000.0)</f>
        <v>1600000</v>
      </c>
      <c r="D3775" s="7" t="s">
        <v>57</v>
      </c>
      <c r="E3775" s="7">
        <v>5.0</v>
      </c>
      <c r="F3775" s="7">
        <v>2.0</v>
      </c>
      <c r="G3775" s="7" t="s">
        <v>83</v>
      </c>
      <c r="H3775" s="7" t="s">
        <v>1729</v>
      </c>
      <c r="I3775" s="7" t="s">
        <v>27</v>
      </c>
    </row>
    <row r="3776">
      <c r="A3776" s="7" t="s">
        <v>72</v>
      </c>
      <c r="B3776" s="7" t="s">
        <v>174</v>
      </c>
      <c r="C3776" s="8">
        <f>IFERROR(__xludf.DUMMYFUNCTION("SPLIT(B3776,""RM"")"),3000000.0)</f>
        <v>3000000</v>
      </c>
      <c r="D3776" s="7" t="s">
        <v>70</v>
      </c>
      <c r="E3776" s="7">
        <v>6.0</v>
      </c>
      <c r="F3776" s="7">
        <v>4.0</v>
      </c>
      <c r="G3776" s="7" t="s">
        <v>793</v>
      </c>
      <c r="H3776" s="7" t="s">
        <v>2463</v>
      </c>
      <c r="I3776" s="7" t="s">
        <v>27</v>
      </c>
    </row>
    <row r="3777">
      <c r="A3777" s="7" t="s">
        <v>72</v>
      </c>
      <c r="B3777" s="7" t="s">
        <v>110</v>
      </c>
      <c r="C3777" s="8">
        <f>IFERROR(__xludf.DUMMYFUNCTION("SPLIT(B3777,""RM"")"),2400000.0)</f>
        <v>2400000</v>
      </c>
      <c r="D3777" s="7" t="s">
        <v>35</v>
      </c>
      <c r="E3777" s="7">
        <v>6.0</v>
      </c>
      <c r="G3777" s="7" t="s">
        <v>83</v>
      </c>
      <c r="H3777" s="7" t="s">
        <v>2464</v>
      </c>
      <c r="I3777" s="7" t="s">
        <v>27</v>
      </c>
    </row>
    <row r="3778">
      <c r="A3778" s="7" t="s">
        <v>188</v>
      </c>
      <c r="B3778" s="7" t="s">
        <v>2297</v>
      </c>
      <c r="C3778" s="8">
        <f>IFERROR(__xludf.DUMMYFUNCTION("SPLIT(B3778,""RM"")"),1.5E7)</f>
        <v>15000000</v>
      </c>
      <c r="D3778" s="7" t="s">
        <v>39</v>
      </c>
      <c r="E3778" s="7">
        <v>5.0</v>
      </c>
      <c r="G3778" s="7" t="s">
        <v>121</v>
      </c>
      <c r="H3778" s="7" t="s">
        <v>2465</v>
      </c>
      <c r="I3778" s="7" t="s">
        <v>103</v>
      </c>
    </row>
    <row r="3779">
      <c r="A3779" s="7" t="s">
        <v>32</v>
      </c>
      <c r="B3779" s="7" t="s">
        <v>2466</v>
      </c>
      <c r="C3779" s="8">
        <f>IFERROR(__xludf.DUMMYFUNCTION("SPLIT(B3779,""RM"")"),412000.0)</f>
        <v>412000</v>
      </c>
      <c r="D3779" s="7">
        <v>3.0</v>
      </c>
      <c r="E3779" s="7">
        <v>2.0</v>
      </c>
      <c r="F3779" s="7">
        <v>1.0</v>
      </c>
      <c r="G3779" s="7" t="s">
        <v>83</v>
      </c>
      <c r="H3779" s="7" t="s">
        <v>2467</v>
      </c>
    </row>
    <row r="3780">
      <c r="A3780" s="7" t="s">
        <v>100</v>
      </c>
      <c r="B3780" s="7" t="s">
        <v>2468</v>
      </c>
      <c r="C3780" s="8">
        <f>IFERROR(__xludf.DUMMYFUNCTION("SPLIT(B3780,""RM"")"),504000.0)</f>
        <v>504000</v>
      </c>
      <c r="D3780" s="7">
        <v>3.0</v>
      </c>
      <c r="E3780" s="7">
        <v>3.0</v>
      </c>
      <c r="F3780" s="7">
        <v>2.0</v>
      </c>
      <c r="G3780" s="7" t="s">
        <v>83</v>
      </c>
      <c r="H3780" s="7" t="s">
        <v>1688</v>
      </c>
    </row>
    <row r="3781">
      <c r="A3781" s="7" t="s">
        <v>100</v>
      </c>
      <c r="B3781" s="7" t="s">
        <v>268</v>
      </c>
      <c r="C3781" s="8">
        <f>IFERROR(__xludf.DUMMYFUNCTION("SPLIT(B3781,""RM"")"),500000.0)</f>
        <v>500000</v>
      </c>
      <c r="D3781" s="7">
        <v>3.0</v>
      </c>
      <c r="E3781" s="7">
        <v>3.0</v>
      </c>
      <c r="F3781" s="7">
        <v>2.0</v>
      </c>
      <c r="G3781" s="7" t="s">
        <v>83</v>
      </c>
      <c r="H3781" s="7" t="s">
        <v>1688</v>
      </c>
    </row>
    <row r="3782">
      <c r="A3782" s="7" t="s">
        <v>262</v>
      </c>
      <c r="B3782" s="7" t="s">
        <v>263</v>
      </c>
      <c r="C3782" s="8">
        <f>IFERROR(__xludf.DUMMYFUNCTION("SPLIT(B3782,""RM"")"),9500000.0)</f>
        <v>9500000</v>
      </c>
      <c r="D3782" s="7" t="s">
        <v>70</v>
      </c>
      <c r="E3782" s="7">
        <v>5.0</v>
      </c>
      <c r="G3782" s="7" t="s">
        <v>61</v>
      </c>
      <c r="H3782" s="7" t="s">
        <v>2469</v>
      </c>
      <c r="I3782" s="7" t="s">
        <v>27</v>
      </c>
    </row>
    <row r="3783">
      <c r="A3783" s="7" t="s">
        <v>72</v>
      </c>
      <c r="B3783" s="7" t="s">
        <v>610</v>
      </c>
      <c r="C3783" s="8">
        <f>IFERROR(__xludf.DUMMYFUNCTION("SPLIT(B3783,""RM"")"),2250000.0)</f>
        <v>2250000</v>
      </c>
      <c r="D3783" s="7" t="s">
        <v>57</v>
      </c>
      <c r="E3783" s="7">
        <v>4.0</v>
      </c>
      <c r="F3783" s="7">
        <v>4.0</v>
      </c>
      <c r="G3783" s="7" t="s">
        <v>83</v>
      </c>
      <c r="H3783" s="7" t="s">
        <v>2228</v>
      </c>
      <c r="I3783" s="7" t="s">
        <v>27</v>
      </c>
    </row>
    <row r="3784">
      <c r="A3784" s="7" t="s">
        <v>17</v>
      </c>
      <c r="B3784" s="7" t="s">
        <v>359</v>
      </c>
      <c r="C3784" s="8">
        <f>IFERROR(__xludf.DUMMYFUNCTION("SPLIT(B3784,""RM"")"),635000.0)</f>
        <v>635000</v>
      </c>
      <c r="D3784" s="7">
        <v>1.0</v>
      </c>
      <c r="E3784" s="7">
        <v>1.0</v>
      </c>
      <c r="F3784" s="7">
        <v>1.0</v>
      </c>
      <c r="G3784" s="7" t="s">
        <v>83</v>
      </c>
      <c r="H3784" s="7" t="s">
        <v>1582</v>
      </c>
      <c r="I3784" s="7" t="s">
        <v>22</v>
      </c>
    </row>
    <row r="3785">
      <c r="A3785" s="7" t="s">
        <v>17</v>
      </c>
      <c r="B3785" s="7" t="s">
        <v>120</v>
      </c>
      <c r="C3785" s="8">
        <f>IFERROR(__xludf.DUMMYFUNCTION("SPLIT(B3785,""RM"")"),3600000.0)</f>
        <v>3600000</v>
      </c>
      <c r="D3785" s="7" t="s">
        <v>57</v>
      </c>
      <c r="E3785" s="7">
        <v>5.0</v>
      </c>
      <c r="F3785" s="7">
        <v>2.0</v>
      </c>
      <c r="G3785" s="7" t="s">
        <v>20</v>
      </c>
      <c r="H3785" s="7" t="s">
        <v>122</v>
      </c>
      <c r="I3785" s="7" t="s">
        <v>27</v>
      </c>
    </row>
    <row r="3786">
      <c r="A3786" s="7" t="s">
        <v>17</v>
      </c>
      <c r="B3786" s="7" t="s">
        <v>110</v>
      </c>
      <c r="C3786" s="8">
        <f>IFERROR(__xludf.DUMMYFUNCTION("SPLIT(B3786,""RM"")"),2400000.0)</f>
        <v>2400000</v>
      </c>
      <c r="D3786" s="7">
        <v>2.0</v>
      </c>
      <c r="E3786" s="7">
        <v>2.0</v>
      </c>
      <c r="G3786" s="7" t="s">
        <v>83</v>
      </c>
      <c r="H3786" s="7" t="s">
        <v>323</v>
      </c>
      <c r="I3786" s="7" t="s">
        <v>22</v>
      </c>
    </row>
    <row r="3787">
      <c r="A3787" s="7" t="s">
        <v>177</v>
      </c>
      <c r="B3787" s="7" t="s">
        <v>530</v>
      </c>
      <c r="C3787" s="8">
        <f>IFERROR(__xludf.DUMMYFUNCTION("SPLIT(B3787,""RM"")"),5000000.0)</f>
        <v>5000000</v>
      </c>
      <c r="D3787" s="7" t="s">
        <v>299</v>
      </c>
      <c r="E3787" s="7">
        <v>6.0</v>
      </c>
      <c r="F3787" s="7">
        <v>5.0</v>
      </c>
      <c r="G3787" s="7" t="s">
        <v>25</v>
      </c>
      <c r="H3787" s="7" t="s">
        <v>2470</v>
      </c>
      <c r="I3787" s="7" t="s">
        <v>27</v>
      </c>
    </row>
    <row r="3788">
      <c r="A3788" s="7" t="s">
        <v>23</v>
      </c>
      <c r="B3788" s="7" t="s">
        <v>127</v>
      </c>
      <c r="C3788" s="8">
        <f>IFERROR(__xludf.DUMMYFUNCTION("SPLIT(B3788,""RM"")"),4200000.0)</f>
        <v>4200000</v>
      </c>
      <c r="D3788" s="7" t="s">
        <v>35</v>
      </c>
      <c r="E3788" s="7">
        <v>5.0</v>
      </c>
      <c r="G3788" s="7" t="s">
        <v>25</v>
      </c>
      <c r="H3788" s="7" t="s">
        <v>2471</v>
      </c>
      <c r="I3788" s="7" t="s">
        <v>27</v>
      </c>
    </row>
    <row r="3789">
      <c r="A3789" s="7" t="s">
        <v>72</v>
      </c>
      <c r="B3789" s="7" t="s">
        <v>967</v>
      </c>
      <c r="C3789" s="8">
        <f>IFERROR(__xludf.DUMMYFUNCTION("SPLIT(B3789,""RM"")"),680000.0)</f>
        <v>680000</v>
      </c>
      <c r="D3789" s="7">
        <v>1.0</v>
      </c>
      <c r="E3789" s="7">
        <v>1.0</v>
      </c>
      <c r="F3789" s="7">
        <v>1.0</v>
      </c>
      <c r="G3789" s="7" t="s">
        <v>20</v>
      </c>
      <c r="H3789" s="7" t="s">
        <v>753</v>
      </c>
      <c r="I3789" s="7" t="s">
        <v>22</v>
      </c>
    </row>
    <row r="3790">
      <c r="A3790" s="7" t="s">
        <v>109</v>
      </c>
      <c r="B3790" s="7" t="s">
        <v>967</v>
      </c>
      <c r="C3790" s="8">
        <f>IFERROR(__xludf.DUMMYFUNCTION("SPLIT(B3790,""RM"")"),680000.0)</f>
        <v>680000</v>
      </c>
      <c r="D3790" s="7">
        <v>3.0</v>
      </c>
      <c r="E3790" s="7">
        <v>2.0</v>
      </c>
      <c r="F3790" s="7">
        <v>2.0</v>
      </c>
      <c r="G3790" s="7" t="s">
        <v>30</v>
      </c>
      <c r="H3790" s="7" t="s">
        <v>471</v>
      </c>
    </row>
    <row r="3791">
      <c r="A3791" s="7" t="s">
        <v>432</v>
      </c>
      <c r="B3791" s="7" t="s">
        <v>1825</v>
      </c>
      <c r="C3791" s="8">
        <f>IFERROR(__xludf.DUMMYFUNCTION("SPLIT(B3791,""RM"")"),3750000.0)</f>
        <v>3750000</v>
      </c>
      <c r="D3791" s="7">
        <v>6.0</v>
      </c>
      <c r="E3791" s="7">
        <v>6.0</v>
      </c>
      <c r="G3791" s="7" t="s">
        <v>67</v>
      </c>
      <c r="H3791" s="7" t="s">
        <v>2472</v>
      </c>
      <c r="I3791" s="7" t="s">
        <v>27</v>
      </c>
    </row>
    <row r="3792">
      <c r="A3792" s="7" t="s">
        <v>155</v>
      </c>
      <c r="B3792" s="7" t="s">
        <v>755</v>
      </c>
      <c r="C3792" s="8">
        <f>IFERROR(__xludf.DUMMYFUNCTION("SPLIT(B3792,""RM"")"),970000.0)</f>
        <v>970000</v>
      </c>
      <c r="D3792" s="7" t="s">
        <v>57</v>
      </c>
      <c r="E3792" s="7">
        <v>3.0</v>
      </c>
      <c r="F3792" s="7">
        <v>2.0</v>
      </c>
      <c r="G3792" s="7" t="s">
        <v>93</v>
      </c>
      <c r="H3792" s="7" t="s">
        <v>1651</v>
      </c>
      <c r="I3792" s="7" t="s">
        <v>27</v>
      </c>
    </row>
    <row r="3793">
      <c r="A3793" s="7" t="s">
        <v>155</v>
      </c>
      <c r="B3793" s="7" t="s">
        <v>620</v>
      </c>
      <c r="C3793" s="8">
        <f>IFERROR(__xludf.DUMMYFUNCTION("SPLIT(B3793,""RM"")"),840000.0)</f>
        <v>840000</v>
      </c>
      <c r="D3793" s="7">
        <v>3.0</v>
      </c>
      <c r="E3793" s="7">
        <v>3.0</v>
      </c>
      <c r="F3793" s="7">
        <v>2.0</v>
      </c>
      <c r="G3793" s="7" t="s">
        <v>30</v>
      </c>
      <c r="H3793" s="7" t="s">
        <v>630</v>
      </c>
      <c r="I3793" s="7" t="s">
        <v>27</v>
      </c>
    </row>
    <row r="3794">
      <c r="A3794" s="7" t="s">
        <v>1315</v>
      </c>
      <c r="B3794" s="7" t="s">
        <v>1479</v>
      </c>
      <c r="C3794" s="8">
        <f>IFERROR(__xludf.DUMMYFUNCTION("SPLIT(B3794,""RM"")"),130000.0)</f>
        <v>130000</v>
      </c>
      <c r="G3794" s="7" t="s">
        <v>2473</v>
      </c>
      <c r="H3794" s="7" t="s">
        <v>2474</v>
      </c>
    </row>
    <row r="3795">
      <c r="A3795" s="7" t="s">
        <v>177</v>
      </c>
      <c r="B3795" s="7" t="s">
        <v>158</v>
      </c>
      <c r="C3795" s="8">
        <f>IFERROR(__xludf.DUMMYFUNCTION("SPLIT(B3795,""RM"")"),1850000.0)</f>
        <v>1850000</v>
      </c>
      <c r="D3795" s="7">
        <v>4.0</v>
      </c>
      <c r="E3795" s="7">
        <v>3.0</v>
      </c>
      <c r="G3795" s="7" t="s">
        <v>169</v>
      </c>
      <c r="H3795" s="7" t="s">
        <v>719</v>
      </c>
      <c r="I3795" s="7" t="s">
        <v>27</v>
      </c>
    </row>
    <row r="3796">
      <c r="A3796" s="7" t="s">
        <v>100</v>
      </c>
      <c r="B3796" s="7" t="s">
        <v>206</v>
      </c>
      <c r="C3796" s="8">
        <f>IFERROR(__xludf.DUMMYFUNCTION("SPLIT(B3796,""RM"")"),920000.0)</f>
        <v>920000</v>
      </c>
      <c r="D3796" s="7" t="s">
        <v>79</v>
      </c>
      <c r="E3796" s="7">
        <v>4.0</v>
      </c>
      <c r="F3796" s="7">
        <v>2.0</v>
      </c>
      <c r="G3796" s="7" t="s">
        <v>93</v>
      </c>
      <c r="H3796" s="7" t="s">
        <v>1190</v>
      </c>
      <c r="I3796" s="7" t="s">
        <v>27</v>
      </c>
    </row>
    <row r="3797">
      <c r="A3797" s="7" t="s">
        <v>72</v>
      </c>
      <c r="B3797" s="7" t="s">
        <v>42</v>
      </c>
      <c r="C3797" s="8">
        <f>IFERROR(__xludf.DUMMYFUNCTION("SPLIT(B3797,""RM"")"),2600000.0)</f>
        <v>2600000</v>
      </c>
      <c r="D3797" s="7" t="s">
        <v>35</v>
      </c>
      <c r="E3797" s="7">
        <v>5.0</v>
      </c>
      <c r="F3797" s="7">
        <v>3.0</v>
      </c>
      <c r="G3797" s="7" t="s">
        <v>30</v>
      </c>
      <c r="H3797" s="7" t="s">
        <v>115</v>
      </c>
      <c r="I3797" s="7" t="s">
        <v>27</v>
      </c>
    </row>
    <row r="3798">
      <c r="A3798" s="7" t="s">
        <v>72</v>
      </c>
      <c r="B3798" s="7" t="s">
        <v>422</v>
      </c>
      <c r="C3798" s="8">
        <f>IFERROR(__xludf.DUMMYFUNCTION("SPLIT(B3798,""RM"")"),2050000.0)</f>
        <v>2050000</v>
      </c>
      <c r="D3798" s="7" t="s">
        <v>57</v>
      </c>
      <c r="E3798" s="7">
        <v>4.0</v>
      </c>
      <c r="F3798" s="7">
        <v>3.0</v>
      </c>
      <c r="G3798" s="7" t="s">
        <v>121</v>
      </c>
      <c r="H3798" s="7" t="s">
        <v>1295</v>
      </c>
    </row>
    <row r="3799">
      <c r="A3799" s="7" t="s">
        <v>28</v>
      </c>
      <c r="B3799" s="7" t="s">
        <v>563</v>
      </c>
      <c r="C3799" s="8">
        <f>IFERROR(__xludf.DUMMYFUNCTION("SPLIT(B3799,""RM"")"),600000.0)</f>
        <v>600000</v>
      </c>
      <c r="D3799" s="7">
        <v>3.0</v>
      </c>
      <c r="E3799" s="7">
        <v>2.0</v>
      </c>
      <c r="F3799" s="7">
        <v>2.0</v>
      </c>
      <c r="G3799" s="7" t="s">
        <v>30</v>
      </c>
      <c r="H3799" s="7" t="s">
        <v>892</v>
      </c>
      <c r="I3799" s="7" t="s">
        <v>22</v>
      </c>
    </row>
    <row r="3800">
      <c r="A3800" s="7" t="s">
        <v>72</v>
      </c>
      <c r="B3800" s="7" t="s">
        <v>399</v>
      </c>
      <c r="C3800" s="8">
        <f>IFERROR(__xludf.DUMMYFUNCTION("SPLIT(B3800,""RM"")"),1750000.0)</f>
        <v>1750000</v>
      </c>
      <c r="D3800" s="7" t="s">
        <v>57</v>
      </c>
      <c r="E3800" s="7">
        <v>4.0</v>
      </c>
      <c r="F3800" s="7">
        <v>2.0</v>
      </c>
      <c r="G3800" s="7" t="s">
        <v>83</v>
      </c>
      <c r="H3800" s="7" t="s">
        <v>119</v>
      </c>
    </row>
    <row r="3801">
      <c r="A3801" s="7" t="s">
        <v>100</v>
      </c>
      <c r="B3801" s="7" t="s">
        <v>951</v>
      </c>
      <c r="C3801" s="8">
        <f>IFERROR(__xludf.DUMMYFUNCTION("SPLIT(B3801,""RM"")"),415000.0)</f>
        <v>415000</v>
      </c>
      <c r="D3801" s="7">
        <v>3.0</v>
      </c>
      <c r="E3801" s="7">
        <v>2.0</v>
      </c>
      <c r="F3801" s="7">
        <v>1.0</v>
      </c>
      <c r="G3801" s="7" t="s">
        <v>93</v>
      </c>
      <c r="H3801" s="7" t="s">
        <v>2475</v>
      </c>
    </row>
    <row r="3802">
      <c r="A3802" s="7" t="s">
        <v>2476</v>
      </c>
      <c r="B3802" s="7" t="s">
        <v>2477</v>
      </c>
      <c r="C3802" s="8">
        <f>IFERROR(__xludf.DUMMYFUNCTION("SPLIT(B3802,""RM"")"),180000.0)</f>
        <v>180000</v>
      </c>
      <c r="G3802" s="7" t="s">
        <v>2473</v>
      </c>
      <c r="H3802" s="7" t="s">
        <v>252</v>
      </c>
    </row>
    <row r="3803">
      <c r="A3803" s="7" t="s">
        <v>72</v>
      </c>
      <c r="B3803" s="7" t="s">
        <v>255</v>
      </c>
      <c r="C3803" s="8">
        <f>IFERROR(__xludf.DUMMYFUNCTION("SPLIT(B3803,""RM"")"),4900000.0)</f>
        <v>4900000</v>
      </c>
      <c r="D3803" s="7" t="s">
        <v>70</v>
      </c>
      <c r="E3803" s="7">
        <v>6.0</v>
      </c>
      <c r="G3803" s="7" t="s">
        <v>25</v>
      </c>
      <c r="H3803" s="7" t="s">
        <v>1644</v>
      </c>
      <c r="I3803" s="7" t="s">
        <v>27</v>
      </c>
    </row>
    <row r="3804">
      <c r="A3804" s="7" t="s">
        <v>86</v>
      </c>
      <c r="B3804" s="7" t="s">
        <v>1349</v>
      </c>
      <c r="C3804" s="8">
        <f>IFERROR(__xludf.DUMMYFUNCTION("SPLIT(B3804,""RM"")"),1220000.0)</f>
        <v>1220000</v>
      </c>
      <c r="D3804" s="7">
        <v>3.0</v>
      </c>
      <c r="E3804" s="7">
        <v>2.0</v>
      </c>
      <c r="F3804" s="7">
        <v>2.0</v>
      </c>
      <c r="G3804" s="7" t="s">
        <v>93</v>
      </c>
      <c r="H3804" s="7" t="s">
        <v>303</v>
      </c>
      <c r="I3804" s="7" t="s">
        <v>22</v>
      </c>
    </row>
    <row r="3805">
      <c r="A3805" s="7" t="s">
        <v>17</v>
      </c>
      <c r="B3805" s="7" t="s">
        <v>2478</v>
      </c>
      <c r="C3805" s="8">
        <f>IFERROR(__xludf.DUMMYFUNCTION("SPLIT(B3805,""RM"")"),3250000.0)</f>
        <v>3250000</v>
      </c>
      <c r="D3805" s="7">
        <v>3.0</v>
      </c>
      <c r="E3805" s="7">
        <v>3.0</v>
      </c>
      <c r="F3805" s="7">
        <v>2.0</v>
      </c>
      <c r="G3805" s="7" t="s">
        <v>121</v>
      </c>
      <c r="H3805" s="7" t="s">
        <v>1136</v>
      </c>
      <c r="I3805" s="7" t="s">
        <v>27</v>
      </c>
    </row>
    <row r="3806">
      <c r="A3806" s="7" t="s">
        <v>171</v>
      </c>
      <c r="B3806" s="7" t="s">
        <v>969</v>
      </c>
      <c r="C3806" s="8">
        <f>IFERROR(__xludf.DUMMYFUNCTION("SPLIT(B3806,""RM"")"),430000.0)</f>
        <v>430000</v>
      </c>
      <c r="D3806" s="7">
        <v>4.0</v>
      </c>
      <c r="E3806" s="7">
        <v>2.0</v>
      </c>
      <c r="F3806" s="7">
        <v>2.0</v>
      </c>
      <c r="G3806" s="7" t="s">
        <v>30</v>
      </c>
      <c r="H3806" s="7" t="s">
        <v>1681</v>
      </c>
      <c r="I3806" s="7" t="s">
        <v>27</v>
      </c>
    </row>
    <row r="3807">
      <c r="A3807" s="7" t="s">
        <v>89</v>
      </c>
      <c r="B3807" s="7" t="s">
        <v>2479</v>
      </c>
      <c r="C3807" s="8">
        <f>IFERROR(__xludf.DUMMYFUNCTION("SPLIT(B3807,""RM"")"),664470.0)</f>
        <v>664470</v>
      </c>
      <c r="D3807" s="7">
        <v>3.0</v>
      </c>
      <c r="E3807" s="7">
        <v>2.0</v>
      </c>
      <c r="F3807" s="7">
        <v>2.0</v>
      </c>
      <c r="G3807" s="7" t="s">
        <v>83</v>
      </c>
      <c r="H3807" s="7" t="s">
        <v>884</v>
      </c>
      <c r="I3807" s="7" t="s">
        <v>27</v>
      </c>
    </row>
    <row r="3808">
      <c r="A3808" s="7" t="s">
        <v>32</v>
      </c>
      <c r="B3808" s="7" t="s">
        <v>1601</v>
      </c>
      <c r="C3808" s="8">
        <f>IFERROR(__xludf.DUMMYFUNCTION("SPLIT(B3808,""RM"")"),315000.0)</f>
        <v>315000</v>
      </c>
      <c r="D3808" s="7">
        <v>3.0</v>
      </c>
      <c r="E3808" s="7">
        <v>2.0</v>
      </c>
      <c r="F3808" s="7">
        <v>1.0</v>
      </c>
      <c r="G3808" s="7" t="s">
        <v>503</v>
      </c>
      <c r="H3808" s="7" t="s">
        <v>1759</v>
      </c>
      <c r="I3808" s="7" t="s">
        <v>27</v>
      </c>
    </row>
    <row r="3809">
      <c r="A3809" s="7" t="s">
        <v>48</v>
      </c>
      <c r="B3809" s="7" t="s">
        <v>281</v>
      </c>
      <c r="C3809" s="8">
        <f>IFERROR(__xludf.DUMMYFUNCTION("SPLIT(B3809,""RM"")"),2500000.0)</f>
        <v>2500000</v>
      </c>
      <c r="D3809" s="7">
        <v>6.0</v>
      </c>
      <c r="E3809" s="7">
        <v>6.0</v>
      </c>
      <c r="G3809" s="7" t="s">
        <v>64</v>
      </c>
      <c r="H3809" s="7" t="s">
        <v>2480</v>
      </c>
      <c r="I3809" s="7" t="s">
        <v>27</v>
      </c>
    </row>
    <row r="3810">
      <c r="A3810" s="7" t="s">
        <v>432</v>
      </c>
      <c r="B3810" s="7" t="s">
        <v>351</v>
      </c>
      <c r="C3810" s="8">
        <f>IFERROR(__xludf.DUMMYFUNCTION("SPLIT(B3810,""RM"")"),3800000.0)</f>
        <v>3800000</v>
      </c>
      <c r="D3810" s="7" t="s">
        <v>35</v>
      </c>
      <c r="E3810" s="7">
        <v>6.0</v>
      </c>
      <c r="F3810" s="7">
        <v>3.0</v>
      </c>
      <c r="G3810" s="7" t="s">
        <v>83</v>
      </c>
      <c r="H3810" s="7" t="s">
        <v>1626</v>
      </c>
    </row>
    <row r="3811">
      <c r="A3811" s="7" t="s">
        <v>432</v>
      </c>
      <c r="B3811" s="7" t="s">
        <v>534</v>
      </c>
      <c r="C3811" s="8">
        <f>IFERROR(__xludf.DUMMYFUNCTION("SPLIT(B3811,""RM"")"),3200000.0)</f>
        <v>3200000</v>
      </c>
      <c r="D3811" s="7" t="s">
        <v>35</v>
      </c>
      <c r="E3811" s="7">
        <v>6.0</v>
      </c>
      <c r="F3811" s="7">
        <v>3.0</v>
      </c>
      <c r="G3811" s="7" t="s">
        <v>83</v>
      </c>
      <c r="H3811" s="7" t="s">
        <v>1626</v>
      </c>
    </row>
    <row r="3812">
      <c r="A3812" s="7" t="s">
        <v>65</v>
      </c>
      <c r="B3812" s="7" t="s">
        <v>407</v>
      </c>
      <c r="C3812" s="8">
        <f>IFERROR(__xludf.DUMMYFUNCTION("SPLIT(B3812,""RM"")"),880000.0)</f>
        <v>880000</v>
      </c>
      <c r="D3812" s="7">
        <v>2.0</v>
      </c>
      <c r="E3812" s="7">
        <v>2.0</v>
      </c>
      <c r="F3812" s="7">
        <v>2.0</v>
      </c>
      <c r="G3812" s="7" t="s">
        <v>83</v>
      </c>
      <c r="H3812" s="7" t="s">
        <v>2481</v>
      </c>
      <c r="I3812" s="7" t="s">
        <v>22</v>
      </c>
    </row>
    <row r="3813">
      <c r="A3813" s="7" t="s">
        <v>52</v>
      </c>
      <c r="B3813" s="7" t="s">
        <v>2482</v>
      </c>
      <c r="C3813" s="8">
        <f>IFERROR(__xludf.DUMMYFUNCTION("SPLIT(B3813,""RM"")"),5.0E7)</f>
        <v>50000000</v>
      </c>
      <c r="D3813" s="7" t="s">
        <v>1754</v>
      </c>
      <c r="E3813" s="7">
        <v>10.0</v>
      </c>
      <c r="F3813" s="7">
        <v>6.0</v>
      </c>
      <c r="G3813" s="7" t="s">
        <v>67</v>
      </c>
      <c r="H3813" s="7" t="s">
        <v>2483</v>
      </c>
      <c r="I3813" s="7" t="s">
        <v>22</v>
      </c>
    </row>
    <row r="3814">
      <c r="A3814" s="7" t="s">
        <v>72</v>
      </c>
      <c r="B3814" s="7" t="s">
        <v>526</v>
      </c>
      <c r="C3814" s="8">
        <f>IFERROR(__xludf.DUMMYFUNCTION("SPLIT(B3814,""RM"")"),1330000.0)</f>
        <v>1330000</v>
      </c>
      <c r="D3814" s="7" t="s">
        <v>57</v>
      </c>
      <c r="E3814" s="7">
        <v>3.0</v>
      </c>
      <c r="F3814" s="7">
        <v>3.0</v>
      </c>
      <c r="G3814" s="7" t="s">
        <v>83</v>
      </c>
      <c r="H3814" s="7" t="s">
        <v>2484</v>
      </c>
      <c r="I3814" s="7" t="s">
        <v>27</v>
      </c>
    </row>
    <row r="3815">
      <c r="A3815" s="7" t="s">
        <v>72</v>
      </c>
      <c r="B3815" s="7" t="s">
        <v>1135</v>
      </c>
      <c r="C3815" s="8">
        <f>IFERROR(__xludf.DUMMYFUNCTION("SPLIT(B3815,""RM"")"),1270000.0)</f>
        <v>1270000</v>
      </c>
      <c r="D3815" s="7" t="s">
        <v>57</v>
      </c>
      <c r="E3815" s="7">
        <v>3.0</v>
      </c>
      <c r="F3815" s="7">
        <v>2.0</v>
      </c>
      <c r="G3815" s="7" t="s">
        <v>83</v>
      </c>
      <c r="H3815" s="7" t="s">
        <v>2484</v>
      </c>
      <c r="I3815" s="7" t="s">
        <v>27</v>
      </c>
    </row>
    <row r="3816">
      <c r="A3816" s="7" t="s">
        <v>72</v>
      </c>
      <c r="B3816" s="7" t="s">
        <v>1328</v>
      </c>
      <c r="C3816" s="8">
        <f>IFERROR(__xludf.DUMMYFUNCTION("SPLIT(B3816,""RM"")"),650000.0)</f>
        <v>650000</v>
      </c>
      <c r="D3816" s="7" t="s">
        <v>19</v>
      </c>
      <c r="E3816" s="7">
        <v>2.0</v>
      </c>
      <c r="F3816" s="7">
        <v>2.0</v>
      </c>
      <c r="G3816" s="7" t="s">
        <v>93</v>
      </c>
      <c r="H3816" s="7" t="s">
        <v>2485</v>
      </c>
      <c r="I3816" s="7" t="s">
        <v>103</v>
      </c>
    </row>
    <row r="3817">
      <c r="A3817" s="7" t="s">
        <v>267</v>
      </c>
      <c r="B3817" s="7" t="s">
        <v>1318</v>
      </c>
      <c r="C3817" s="8">
        <f>IFERROR(__xludf.DUMMYFUNCTION("SPLIT(B3817,""RM"")"),470000.0)</f>
        <v>470000</v>
      </c>
      <c r="D3817" s="7">
        <v>1.0</v>
      </c>
      <c r="E3817" s="7">
        <v>1.0</v>
      </c>
      <c r="F3817" s="7">
        <v>1.0</v>
      </c>
      <c r="G3817" s="7" t="s">
        <v>20</v>
      </c>
      <c r="H3817" s="7" t="s">
        <v>1207</v>
      </c>
      <c r="I3817" s="7" t="s">
        <v>22</v>
      </c>
    </row>
    <row r="3818">
      <c r="A3818" s="7" t="s">
        <v>171</v>
      </c>
      <c r="B3818" s="7" t="s">
        <v>174</v>
      </c>
      <c r="C3818" s="8">
        <f>IFERROR(__xludf.DUMMYFUNCTION("SPLIT(B3818,""RM"")"),3000000.0)</f>
        <v>3000000</v>
      </c>
      <c r="D3818" s="7">
        <v>5.0</v>
      </c>
      <c r="E3818" s="7">
        <v>4.0</v>
      </c>
      <c r="F3818" s="7">
        <v>4.0</v>
      </c>
      <c r="G3818" s="7" t="s">
        <v>25</v>
      </c>
      <c r="H3818" s="7" t="s">
        <v>696</v>
      </c>
      <c r="I3818" s="7" t="s">
        <v>27</v>
      </c>
    </row>
    <row r="3819">
      <c r="A3819" s="7" t="s">
        <v>17</v>
      </c>
      <c r="B3819" s="7" t="s">
        <v>277</v>
      </c>
      <c r="C3819" s="8">
        <f>IFERROR(__xludf.DUMMYFUNCTION("SPLIT(B3819,""RM"")"),2200000.0)</f>
        <v>2200000</v>
      </c>
      <c r="D3819" s="7">
        <v>3.0</v>
      </c>
      <c r="E3819" s="7">
        <v>2.0</v>
      </c>
      <c r="F3819" s="7">
        <v>1.0</v>
      </c>
      <c r="G3819" s="7" t="s">
        <v>20</v>
      </c>
      <c r="H3819" s="7" t="s">
        <v>1500</v>
      </c>
      <c r="I3819" s="7" t="s">
        <v>27</v>
      </c>
    </row>
    <row r="3820">
      <c r="A3820" s="7" t="s">
        <v>171</v>
      </c>
      <c r="B3820" s="7" t="s">
        <v>691</v>
      </c>
      <c r="C3820" s="8">
        <f>IFERROR(__xludf.DUMMYFUNCTION("SPLIT(B3820,""RM"")"),370000.0)</f>
        <v>370000</v>
      </c>
      <c r="D3820" s="7">
        <v>3.0</v>
      </c>
      <c r="E3820" s="7">
        <v>2.0</v>
      </c>
      <c r="F3820" s="7">
        <v>1.0</v>
      </c>
      <c r="G3820" s="7" t="s">
        <v>20</v>
      </c>
      <c r="H3820" s="7" t="s">
        <v>1319</v>
      </c>
      <c r="I3820" s="7" t="s">
        <v>103</v>
      </c>
    </row>
    <row r="3821">
      <c r="A3821" s="7" t="s">
        <v>506</v>
      </c>
      <c r="B3821" s="7" t="s">
        <v>92</v>
      </c>
      <c r="C3821" s="8">
        <f>IFERROR(__xludf.DUMMYFUNCTION("SPLIT(B3821,""RM"")"),610000.0)</f>
        <v>610000</v>
      </c>
      <c r="D3821" s="7">
        <v>3.0</v>
      </c>
      <c r="E3821" s="7">
        <v>2.0</v>
      </c>
      <c r="F3821" s="7">
        <v>2.0</v>
      </c>
      <c r="G3821" s="7" t="s">
        <v>83</v>
      </c>
      <c r="H3821" s="7" t="s">
        <v>508</v>
      </c>
      <c r="I3821" s="7" t="s">
        <v>27</v>
      </c>
    </row>
    <row r="3822">
      <c r="A3822" s="7" t="s">
        <v>1960</v>
      </c>
      <c r="B3822" s="7" t="s">
        <v>1307</v>
      </c>
      <c r="C3822" s="8">
        <f>IFERROR(__xludf.DUMMYFUNCTION("SPLIT(B3822,""RM"")"),270000.0)</f>
        <v>270000</v>
      </c>
      <c r="D3822" s="7">
        <v>1.0</v>
      </c>
      <c r="E3822" s="7">
        <v>1.0</v>
      </c>
      <c r="F3822" s="7">
        <v>1.0</v>
      </c>
      <c r="G3822" s="7" t="s">
        <v>2486</v>
      </c>
      <c r="H3822" s="7" t="s">
        <v>1524</v>
      </c>
      <c r="I3822" s="7" t="s">
        <v>27</v>
      </c>
    </row>
    <row r="3823">
      <c r="A3823" s="7" t="s">
        <v>2307</v>
      </c>
      <c r="B3823" s="7" t="s">
        <v>221</v>
      </c>
      <c r="C3823" s="8">
        <f>IFERROR(__xludf.DUMMYFUNCTION("SPLIT(B3823,""RM"")"),630000.0)</f>
        <v>630000</v>
      </c>
      <c r="D3823" s="7">
        <v>3.0</v>
      </c>
      <c r="E3823" s="7">
        <v>2.0</v>
      </c>
      <c r="F3823" s="7">
        <v>1.0</v>
      </c>
      <c r="G3823" s="7" t="s">
        <v>20</v>
      </c>
      <c r="H3823" s="7" t="s">
        <v>734</v>
      </c>
      <c r="I3823" s="7" t="s">
        <v>22</v>
      </c>
    </row>
    <row r="3824">
      <c r="A3824" s="7" t="s">
        <v>2307</v>
      </c>
      <c r="B3824" s="7" t="s">
        <v>563</v>
      </c>
      <c r="C3824" s="8">
        <f>IFERROR(__xludf.DUMMYFUNCTION("SPLIT(B3824,""RM"")"),600000.0)</f>
        <v>600000</v>
      </c>
      <c r="D3824" s="7">
        <v>3.0</v>
      </c>
      <c r="E3824" s="7">
        <v>2.0</v>
      </c>
      <c r="G3824" s="7" t="s">
        <v>20</v>
      </c>
      <c r="H3824" s="7" t="s">
        <v>734</v>
      </c>
      <c r="I3824" s="7" t="s">
        <v>22</v>
      </c>
    </row>
    <row r="3825">
      <c r="A3825" s="7" t="s">
        <v>506</v>
      </c>
      <c r="B3825" s="7" t="s">
        <v>1753</v>
      </c>
      <c r="C3825" s="8">
        <f>IFERROR(__xludf.DUMMYFUNCTION("SPLIT(B3825,""RM"")"),8500000.0)</f>
        <v>8500000</v>
      </c>
      <c r="D3825" s="7">
        <v>10.0</v>
      </c>
      <c r="E3825" s="7">
        <v>9.0</v>
      </c>
      <c r="G3825" s="7" t="s">
        <v>203</v>
      </c>
      <c r="H3825" s="7" t="s">
        <v>696</v>
      </c>
      <c r="I3825" s="7" t="s">
        <v>27</v>
      </c>
    </row>
    <row r="3826">
      <c r="A3826" s="7" t="s">
        <v>17</v>
      </c>
      <c r="B3826" s="7" t="s">
        <v>575</v>
      </c>
      <c r="C3826" s="8">
        <f>IFERROR(__xludf.DUMMYFUNCTION("SPLIT(B3826,""RM"")"),660000.0)</f>
        <v>660000</v>
      </c>
      <c r="D3826" s="7" t="s">
        <v>325</v>
      </c>
      <c r="E3826" s="7">
        <v>1.0</v>
      </c>
      <c r="G3826" s="7" t="s">
        <v>20</v>
      </c>
      <c r="H3826" s="7" t="s">
        <v>1524</v>
      </c>
      <c r="I3826" s="7" t="s">
        <v>27</v>
      </c>
    </row>
    <row r="3827">
      <c r="A3827" s="7" t="s">
        <v>177</v>
      </c>
      <c r="B3827" s="7" t="s">
        <v>239</v>
      </c>
      <c r="C3827" s="8">
        <f>IFERROR(__xludf.DUMMYFUNCTION("SPLIT(B3827,""RM"")"),1280000.0)</f>
        <v>1280000</v>
      </c>
      <c r="D3827" s="7">
        <v>3.0</v>
      </c>
      <c r="E3827" s="7">
        <v>2.0</v>
      </c>
      <c r="G3827" s="7" t="s">
        <v>1185</v>
      </c>
      <c r="H3827" s="7" t="s">
        <v>211</v>
      </c>
    </row>
    <row r="3828">
      <c r="A3828" s="7" t="s">
        <v>177</v>
      </c>
      <c r="B3828" s="7" t="s">
        <v>277</v>
      </c>
      <c r="C3828" s="8">
        <f>IFERROR(__xludf.DUMMYFUNCTION("SPLIT(B3828,""RM"")"),2200000.0)</f>
        <v>2200000</v>
      </c>
      <c r="D3828" s="7" t="s">
        <v>57</v>
      </c>
      <c r="E3828" s="7">
        <v>4.0</v>
      </c>
      <c r="G3828" s="7" t="s">
        <v>169</v>
      </c>
      <c r="H3828" s="7" t="s">
        <v>719</v>
      </c>
      <c r="I3828" s="7" t="s">
        <v>27</v>
      </c>
    </row>
    <row r="3829">
      <c r="A3829" s="7" t="s">
        <v>171</v>
      </c>
      <c r="B3829" s="7" t="s">
        <v>1911</v>
      </c>
      <c r="C3829" s="8">
        <f>IFERROR(__xludf.DUMMYFUNCTION("SPLIT(B3829,""RM"")"),325000.0)</f>
        <v>325000</v>
      </c>
      <c r="D3829" s="7">
        <v>3.0</v>
      </c>
      <c r="E3829" s="7">
        <v>2.0</v>
      </c>
      <c r="F3829" s="7">
        <v>1.0</v>
      </c>
      <c r="G3829" s="7" t="s">
        <v>83</v>
      </c>
      <c r="H3829" s="7" t="s">
        <v>2319</v>
      </c>
      <c r="I3829" s="7" t="s">
        <v>22</v>
      </c>
    </row>
    <row r="3830">
      <c r="A3830" s="7" t="s">
        <v>241</v>
      </c>
      <c r="B3830" s="7" t="s">
        <v>563</v>
      </c>
      <c r="C3830" s="8">
        <f>IFERROR(__xludf.DUMMYFUNCTION("SPLIT(B3830,""RM"")"),600000.0)</f>
        <v>600000</v>
      </c>
      <c r="D3830" s="7" t="s">
        <v>79</v>
      </c>
      <c r="E3830" s="7">
        <v>2.0</v>
      </c>
      <c r="G3830" s="7" t="s">
        <v>343</v>
      </c>
      <c r="H3830" s="7" t="s">
        <v>1518</v>
      </c>
      <c r="I3830" s="7" t="s">
        <v>27</v>
      </c>
    </row>
    <row r="3831">
      <c r="A3831" s="7" t="s">
        <v>143</v>
      </c>
      <c r="B3831" s="7" t="s">
        <v>191</v>
      </c>
      <c r="C3831" s="8">
        <f>IFERROR(__xludf.DUMMYFUNCTION("SPLIT(B3831,""RM"")"),1000000.0)</f>
        <v>1000000</v>
      </c>
      <c r="D3831" s="7">
        <v>3.0</v>
      </c>
      <c r="E3831" s="7">
        <v>3.0</v>
      </c>
      <c r="F3831" s="7">
        <v>2.0</v>
      </c>
      <c r="G3831" s="7" t="s">
        <v>20</v>
      </c>
      <c r="H3831" s="7" t="s">
        <v>2487</v>
      </c>
      <c r="I3831" s="7" t="s">
        <v>27</v>
      </c>
    </row>
    <row r="3832">
      <c r="A3832" s="7" t="s">
        <v>32</v>
      </c>
      <c r="B3832" s="7" t="s">
        <v>361</v>
      </c>
      <c r="C3832" s="8">
        <f>IFERROR(__xludf.DUMMYFUNCTION("SPLIT(B3832,""RM"")"),530000.0)</f>
        <v>530000</v>
      </c>
      <c r="D3832" s="7">
        <v>4.0</v>
      </c>
      <c r="E3832" s="7">
        <v>3.0</v>
      </c>
      <c r="F3832" s="7">
        <v>2.0</v>
      </c>
      <c r="G3832" s="7" t="s">
        <v>20</v>
      </c>
      <c r="H3832" s="7" t="s">
        <v>1449</v>
      </c>
      <c r="I3832" s="7" t="s">
        <v>27</v>
      </c>
    </row>
    <row r="3833">
      <c r="A3833" s="7" t="s">
        <v>2307</v>
      </c>
      <c r="B3833" s="7" t="s">
        <v>201</v>
      </c>
      <c r="C3833" s="8">
        <f>IFERROR(__xludf.DUMMYFUNCTION("SPLIT(B3833,""RM"")"),620000.0)</f>
        <v>620000</v>
      </c>
      <c r="D3833" s="7">
        <v>3.0</v>
      </c>
      <c r="E3833" s="7">
        <v>2.0</v>
      </c>
      <c r="F3833" s="7">
        <v>1.0</v>
      </c>
      <c r="G3833" s="7" t="s">
        <v>20</v>
      </c>
      <c r="H3833" s="7" t="s">
        <v>734</v>
      </c>
      <c r="I3833" s="7" t="s">
        <v>27</v>
      </c>
    </row>
    <row r="3834">
      <c r="A3834" s="7" t="s">
        <v>72</v>
      </c>
      <c r="B3834" s="7" t="s">
        <v>1328</v>
      </c>
      <c r="C3834" s="8">
        <f>IFERROR(__xludf.DUMMYFUNCTION("SPLIT(B3834,""RM"")"),650000.0)</f>
        <v>650000</v>
      </c>
      <c r="D3834" s="7" t="s">
        <v>325</v>
      </c>
      <c r="E3834" s="7">
        <v>1.0</v>
      </c>
      <c r="F3834" s="7">
        <v>1.0</v>
      </c>
      <c r="G3834" s="7" t="s">
        <v>82</v>
      </c>
      <c r="H3834" s="7" t="s">
        <v>810</v>
      </c>
      <c r="I3834" s="7" t="s">
        <v>22</v>
      </c>
    </row>
    <row r="3835">
      <c r="A3835" s="7" t="s">
        <v>17</v>
      </c>
      <c r="B3835" s="7" t="s">
        <v>349</v>
      </c>
      <c r="C3835" s="8">
        <f>IFERROR(__xludf.DUMMYFUNCTION("SPLIT(B3835,""RM"")"),1400000.0)</f>
        <v>1400000</v>
      </c>
      <c r="D3835" s="7">
        <v>3.0</v>
      </c>
      <c r="E3835" s="7">
        <v>2.0</v>
      </c>
      <c r="F3835" s="7">
        <v>2.0</v>
      </c>
      <c r="G3835" s="7" t="s">
        <v>82</v>
      </c>
      <c r="H3835" s="7" t="s">
        <v>1381</v>
      </c>
      <c r="I3835" s="7" t="s">
        <v>22</v>
      </c>
    </row>
    <row r="3836">
      <c r="A3836" s="7" t="s">
        <v>104</v>
      </c>
      <c r="B3836" s="7" t="s">
        <v>120</v>
      </c>
      <c r="C3836" s="8">
        <f>IFERROR(__xludf.DUMMYFUNCTION("SPLIT(B3836,""RM"")"),3600000.0)</f>
        <v>3600000</v>
      </c>
      <c r="D3836" s="7" t="s">
        <v>70</v>
      </c>
      <c r="E3836" s="7">
        <v>6.0</v>
      </c>
      <c r="F3836" s="7">
        <v>7.0</v>
      </c>
      <c r="G3836" s="7" t="s">
        <v>64</v>
      </c>
      <c r="H3836" s="7" t="s">
        <v>1202</v>
      </c>
      <c r="I3836" s="7" t="s">
        <v>27</v>
      </c>
    </row>
    <row r="3837">
      <c r="A3837" s="7" t="s">
        <v>17</v>
      </c>
      <c r="B3837" s="7" t="s">
        <v>2488</v>
      </c>
      <c r="C3837" s="8">
        <f>IFERROR(__xludf.DUMMYFUNCTION("SPLIT(B3837,""RM"")"),2904300.0)</f>
        <v>2904300</v>
      </c>
      <c r="D3837" s="7" t="s">
        <v>57</v>
      </c>
      <c r="E3837" s="7">
        <v>5.0</v>
      </c>
      <c r="G3837" s="7" t="s">
        <v>121</v>
      </c>
      <c r="H3837" s="7" t="s">
        <v>2097</v>
      </c>
      <c r="I3837" s="7" t="s">
        <v>22</v>
      </c>
    </row>
    <row r="3838">
      <c r="A3838" s="7" t="s">
        <v>432</v>
      </c>
      <c r="B3838" s="7" t="s">
        <v>130</v>
      </c>
      <c r="C3838" s="8">
        <f>IFERROR(__xludf.DUMMYFUNCTION("SPLIT(B3838,""RM"")"),2700000.0)</f>
        <v>2700000</v>
      </c>
      <c r="D3838" s="7" t="s">
        <v>35</v>
      </c>
      <c r="E3838" s="7">
        <v>5.0</v>
      </c>
      <c r="F3838" s="7">
        <v>3.0</v>
      </c>
      <c r="G3838" s="7" t="s">
        <v>83</v>
      </c>
      <c r="H3838" s="7" t="s">
        <v>1628</v>
      </c>
      <c r="I3838" s="7" t="s">
        <v>27</v>
      </c>
    </row>
    <row r="3839">
      <c r="A3839" s="7" t="s">
        <v>104</v>
      </c>
      <c r="B3839" s="7" t="s">
        <v>329</v>
      </c>
      <c r="C3839" s="8">
        <f>IFERROR(__xludf.DUMMYFUNCTION("SPLIT(B3839,""RM"")"),1200000.0)</f>
        <v>1200000</v>
      </c>
      <c r="D3839" s="7">
        <v>4.0</v>
      </c>
      <c r="E3839" s="7">
        <v>3.0</v>
      </c>
      <c r="F3839" s="7">
        <v>4.0</v>
      </c>
      <c r="G3839" s="7" t="s">
        <v>184</v>
      </c>
      <c r="H3839" s="7" t="s">
        <v>2489</v>
      </c>
      <c r="I3839" s="7" t="s">
        <v>27</v>
      </c>
    </row>
    <row r="3840">
      <c r="A3840" s="7" t="s">
        <v>428</v>
      </c>
      <c r="B3840" s="7" t="s">
        <v>168</v>
      </c>
      <c r="C3840" s="8">
        <f>IFERROR(__xludf.DUMMYFUNCTION("SPLIT(B3840,""RM"")"),750000.0)</f>
        <v>750000</v>
      </c>
      <c r="D3840" s="7">
        <v>2.0</v>
      </c>
      <c r="E3840" s="7">
        <v>2.0</v>
      </c>
      <c r="F3840" s="7">
        <v>1.0</v>
      </c>
      <c r="G3840" s="7" t="s">
        <v>82</v>
      </c>
      <c r="H3840" s="7" t="s">
        <v>1820</v>
      </c>
      <c r="I3840" s="7" t="s">
        <v>27</v>
      </c>
    </row>
    <row r="3841">
      <c r="A3841" s="7" t="s">
        <v>506</v>
      </c>
      <c r="B3841" s="7" t="s">
        <v>1259</v>
      </c>
      <c r="C3841" s="8">
        <f>IFERROR(__xludf.DUMMYFUNCTION("SPLIT(B3841,""RM"")"),3180000.0)</f>
        <v>3180000</v>
      </c>
      <c r="D3841" s="7" t="s">
        <v>35</v>
      </c>
      <c r="E3841" s="7">
        <v>3.0</v>
      </c>
      <c r="F3841" s="7">
        <v>3.0</v>
      </c>
      <c r="G3841" s="7" t="s">
        <v>184</v>
      </c>
      <c r="H3841" s="7" t="s">
        <v>44</v>
      </c>
      <c r="I3841" s="7" t="s">
        <v>27</v>
      </c>
    </row>
    <row r="3842">
      <c r="A3842" s="7" t="s">
        <v>41</v>
      </c>
      <c r="B3842" s="7" t="s">
        <v>105</v>
      </c>
      <c r="C3842" s="8">
        <f>IFERROR(__xludf.DUMMYFUNCTION("SPLIT(B3842,""RM"")"),560000.0)</f>
        <v>560000</v>
      </c>
      <c r="D3842" s="7" t="s">
        <v>197</v>
      </c>
      <c r="E3842" s="7">
        <v>2.0</v>
      </c>
      <c r="F3842" s="7">
        <v>1.0</v>
      </c>
      <c r="G3842" s="7" t="s">
        <v>83</v>
      </c>
      <c r="H3842" s="7" t="s">
        <v>2490</v>
      </c>
      <c r="I3842" s="7" t="s">
        <v>27</v>
      </c>
    </row>
    <row r="3843">
      <c r="A3843" s="7" t="s">
        <v>164</v>
      </c>
      <c r="B3843" s="7" t="s">
        <v>329</v>
      </c>
      <c r="C3843" s="8">
        <f>IFERROR(__xludf.DUMMYFUNCTION("SPLIT(B3843,""RM"")"),1200000.0)</f>
        <v>1200000</v>
      </c>
      <c r="D3843" s="7" t="s">
        <v>197</v>
      </c>
      <c r="E3843" s="7">
        <v>1.0</v>
      </c>
      <c r="F3843" s="7">
        <v>1.0</v>
      </c>
      <c r="G3843" s="7" t="s">
        <v>93</v>
      </c>
      <c r="H3843" s="7" t="s">
        <v>2491</v>
      </c>
      <c r="I3843" s="7" t="s">
        <v>22</v>
      </c>
    </row>
    <row r="3844">
      <c r="A3844" s="7" t="s">
        <v>171</v>
      </c>
      <c r="B3844" s="7" t="s">
        <v>191</v>
      </c>
      <c r="C3844" s="8">
        <f>IFERROR(__xludf.DUMMYFUNCTION("SPLIT(B3844,""RM"")"),1000000.0)</f>
        <v>1000000</v>
      </c>
      <c r="D3844" s="7">
        <v>4.0</v>
      </c>
      <c r="E3844" s="7">
        <v>3.0</v>
      </c>
      <c r="G3844" s="7" t="s">
        <v>54</v>
      </c>
      <c r="H3844" s="7" t="s">
        <v>211</v>
      </c>
      <c r="I3844" s="7" t="s">
        <v>103</v>
      </c>
    </row>
    <row r="3845">
      <c r="A3845" s="7" t="s">
        <v>32</v>
      </c>
      <c r="B3845" s="7" t="s">
        <v>144</v>
      </c>
      <c r="C3845" s="8">
        <f>IFERROR(__xludf.DUMMYFUNCTION("SPLIT(B3845,""RM"")"),1800000.0)</f>
        <v>1800000</v>
      </c>
      <c r="D3845" s="7">
        <v>5.0</v>
      </c>
      <c r="E3845" s="7">
        <v>6.0</v>
      </c>
      <c r="G3845" s="7" t="s">
        <v>64</v>
      </c>
      <c r="H3845" s="7" t="s">
        <v>2492</v>
      </c>
      <c r="I3845" s="7" t="s">
        <v>27</v>
      </c>
    </row>
    <row r="3846">
      <c r="A3846" s="7" t="s">
        <v>32</v>
      </c>
      <c r="B3846" s="7" t="s">
        <v>18</v>
      </c>
      <c r="C3846" s="8">
        <f>IFERROR(__xludf.DUMMYFUNCTION("SPLIT(B3846,""RM"")"),1250000.0)</f>
        <v>1250000</v>
      </c>
      <c r="D3846" s="7" t="s">
        <v>70</v>
      </c>
      <c r="E3846" s="7">
        <v>5.0</v>
      </c>
      <c r="G3846" s="7" t="s">
        <v>64</v>
      </c>
      <c r="H3846" s="7" t="s">
        <v>2493</v>
      </c>
      <c r="I3846" s="7" t="s">
        <v>103</v>
      </c>
    </row>
    <row r="3847">
      <c r="A3847" s="7" t="s">
        <v>32</v>
      </c>
      <c r="B3847" s="7" t="s">
        <v>403</v>
      </c>
      <c r="C3847" s="8">
        <f>IFERROR(__xludf.DUMMYFUNCTION("SPLIT(B3847,""RM"")"),1600000.0)</f>
        <v>1600000</v>
      </c>
      <c r="D3847" s="7" t="s">
        <v>60</v>
      </c>
      <c r="E3847" s="7">
        <v>5.0</v>
      </c>
      <c r="G3847" s="7" t="s">
        <v>487</v>
      </c>
      <c r="H3847" s="7" t="s">
        <v>2494</v>
      </c>
      <c r="I3847" s="7" t="s">
        <v>27</v>
      </c>
    </row>
    <row r="3848">
      <c r="A3848" s="7" t="s">
        <v>432</v>
      </c>
      <c r="B3848" s="7" t="s">
        <v>513</v>
      </c>
      <c r="C3848" s="8">
        <f>IFERROR(__xludf.DUMMYFUNCTION("SPLIT(B3848,""RM"")"),1.2E7)</f>
        <v>12000000</v>
      </c>
      <c r="D3848" s="7" t="s">
        <v>70</v>
      </c>
      <c r="E3848" s="7">
        <v>7.0</v>
      </c>
      <c r="G3848" s="7" t="s">
        <v>25</v>
      </c>
      <c r="H3848" s="7" t="s">
        <v>219</v>
      </c>
      <c r="I3848" s="7" t="s">
        <v>27</v>
      </c>
    </row>
    <row r="3849">
      <c r="A3849" s="7" t="s">
        <v>692</v>
      </c>
      <c r="B3849" s="7" t="s">
        <v>399</v>
      </c>
      <c r="C3849" s="8">
        <f>IFERROR(__xludf.DUMMYFUNCTION("SPLIT(B3849,""RM"")"),1750000.0)</f>
        <v>1750000</v>
      </c>
      <c r="D3849" s="7" t="s">
        <v>70</v>
      </c>
      <c r="E3849" s="7">
        <v>5.0</v>
      </c>
      <c r="G3849" s="7" t="s">
        <v>804</v>
      </c>
      <c r="H3849" s="7" t="s">
        <v>1129</v>
      </c>
      <c r="I3849" s="7" t="s">
        <v>27</v>
      </c>
    </row>
    <row r="3850">
      <c r="A3850" s="7" t="s">
        <v>432</v>
      </c>
      <c r="B3850" s="7" t="s">
        <v>322</v>
      </c>
      <c r="C3850" s="8">
        <f>IFERROR(__xludf.DUMMYFUNCTION("SPLIT(B3850,""RM"")"),1900000.0)</f>
        <v>1900000</v>
      </c>
      <c r="D3850" s="7" t="s">
        <v>57</v>
      </c>
      <c r="E3850" s="7">
        <v>5.0</v>
      </c>
      <c r="G3850" s="7" t="s">
        <v>83</v>
      </c>
      <c r="H3850" s="7" t="s">
        <v>1627</v>
      </c>
      <c r="I3850" s="7" t="s">
        <v>103</v>
      </c>
    </row>
    <row r="3851">
      <c r="A3851" s="7" t="s">
        <v>89</v>
      </c>
      <c r="B3851" s="7" t="s">
        <v>134</v>
      </c>
      <c r="C3851" s="8">
        <f>IFERROR(__xludf.DUMMYFUNCTION("SPLIT(B3851,""RM"")"),1150000.0)</f>
        <v>1150000</v>
      </c>
      <c r="D3851" s="7">
        <v>5.0</v>
      </c>
      <c r="E3851" s="7">
        <v>4.0</v>
      </c>
      <c r="G3851" s="7" t="s">
        <v>90</v>
      </c>
      <c r="H3851" s="7" t="s">
        <v>91</v>
      </c>
      <c r="I3851" s="7" t="s">
        <v>22</v>
      </c>
    </row>
    <row r="3852">
      <c r="A3852" s="7" t="s">
        <v>89</v>
      </c>
      <c r="B3852" s="7" t="s">
        <v>710</v>
      </c>
      <c r="C3852" s="8">
        <f>IFERROR(__xludf.DUMMYFUNCTION("SPLIT(B3852,""RM"")"),570000.0)</f>
        <v>570000</v>
      </c>
      <c r="D3852" s="7">
        <v>3.0</v>
      </c>
      <c r="E3852" s="7">
        <v>2.0</v>
      </c>
      <c r="F3852" s="7">
        <v>2.0</v>
      </c>
      <c r="G3852" s="7" t="s">
        <v>83</v>
      </c>
      <c r="H3852" s="7" t="s">
        <v>1532</v>
      </c>
      <c r="I3852" s="7" t="s">
        <v>27</v>
      </c>
    </row>
    <row r="3853">
      <c r="A3853" s="7" t="s">
        <v>89</v>
      </c>
      <c r="B3853" s="7" t="s">
        <v>92</v>
      </c>
      <c r="C3853" s="8">
        <f>IFERROR(__xludf.DUMMYFUNCTION("SPLIT(B3853,""RM"")"),610000.0)</f>
        <v>610000</v>
      </c>
      <c r="D3853" s="7">
        <v>3.0</v>
      </c>
      <c r="E3853" s="7">
        <v>2.0</v>
      </c>
      <c r="F3853" s="7">
        <v>1.0</v>
      </c>
      <c r="G3853" s="7" t="s">
        <v>83</v>
      </c>
      <c r="H3853" s="7" t="s">
        <v>1343</v>
      </c>
      <c r="I3853" s="7" t="s">
        <v>27</v>
      </c>
    </row>
    <row r="3854">
      <c r="A3854" s="7" t="s">
        <v>89</v>
      </c>
      <c r="B3854" s="7" t="s">
        <v>105</v>
      </c>
      <c r="C3854" s="8">
        <f>IFERROR(__xludf.DUMMYFUNCTION("SPLIT(B3854,""RM"")"),560000.0)</f>
        <v>560000</v>
      </c>
      <c r="D3854" s="7">
        <v>3.0</v>
      </c>
      <c r="E3854" s="7">
        <v>2.0</v>
      </c>
      <c r="F3854" s="7">
        <v>1.0</v>
      </c>
      <c r="G3854" s="7" t="s">
        <v>83</v>
      </c>
      <c r="H3854" s="7" t="s">
        <v>2495</v>
      </c>
      <c r="I3854" s="7" t="s">
        <v>27</v>
      </c>
    </row>
    <row r="3855">
      <c r="A3855" s="7" t="s">
        <v>32</v>
      </c>
      <c r="B3855" s="7" t="s">
        <v>156</v>
      </c>
      <c r="C3855" s="8">
        <f>IFERROR(__xludf.DUMMYFUNCTION("SPLIT(B3855,""RM"")"),850000.0)</f>
        <v>850000</v>
      </c>
      <c r="D3855" s="7">
        <v>4.0</v>
      </c>
      <c r="E3855" s="7">
        <v>3.0</v>
      </c>
      <c r="F3855" s="7">
        <v>2.0</v>
      </c>
      <c r="G3855" s="7" t="s">
        <v>169</v>
      </c>
      <c r="H3855" s="7" t="s">
        <v>2496</v>
      </c>
      <c r="I3855" s="7" t="s">
        <v>27</v>
      </c>
    </row>
    <row r="3856">
      <c r="A3856" s="7" t="s">
        <v>100</v>
      </c>
      <c r="B3856" s="7" t="s">
        <v>2497</v>
      </c>
      <c r="C3856" s="8">
        <f>IFERROR(__xludf.DUMMYFUNCTION("SPLIT(B3856,""RM"")"),510300.0)</f>
        <v>510300</v>
      </c>
      <c r="D3856" s="7" t="s">
        <v>57</v>
      </c>
      <c r="G3856" s="7" t="s">
        <v>30</v>
      </c>
      <c r="H3856" s="7" t="s">
        <v>21</v>
      </c>
    </row>
    <row r="3857">
      <c r="A3857" s="7" t="s">
        <v>148</v>
      </c>
      <c r="B3857" s="7" t="s">
        <v>715</v>
      </c>
      <c r="C3857" s="8">
        <f>IFERROR(__xludf.DUMMYFUNCTION("SPLIT(B3857,""RM"")"),550000.0)</f>
        <v>550000</v>
      </c>
      <c r="D3857" s="7">
        <v>3.0</v>
      </c>
      <c r="E3857" s="7">
        <v>2.0</v>
      </c>
      <c r="G3857" s="7" t="s">
        <v>343</v>
      </c>
      <c r="H3857" s="7" t="s">
        <v>2498</v>
      </c>
      <c r="I3857" s="7" t="s">
        <v>27</v>
      </c>
    </row>
    <row r="3858">
      <c r="A3858" s="7" t="s">
        <v>28</v>
      </c>
      <c r="B3858" s="7" t="s">
        <v>245</v>
      </c>
      <c r="C3858" s="8">
        <f>IFERROR(__xludf.DUMMYFUNCTION("SPLIT(B3858,""RM"")"),800000.0)</f>
        <v>800000</v>
      </c>
      <c r="D3858" s="7" t="s">
        <v>57</v>
      </c>
      <c r="E3858" s="7">
        <v>3.0</v>
      </c>
      <c r="G3858" s="7" t="s">
        <v>93</v>
      </c>
      <c r="H3858" s="7" t="s">
        <v>1195</v>
      </c>
    </row>
    <row r="3859">
      <c r="A3859" s="7" t="s">
        <v>28</v>
      </c>
      <c r="B3859" s="7" t="s">
        <v>168</v>
      </c>
      <c r="C3859" s="8">
        <f>IFERROR(__xludf.DUMMYFUNCTION("SPLIT(B3859,""RM"")"),750000.0)</f>
        <v>750000</v>
      </c>
      <c r="D3859" s="7">
        <v>3.0</v>
      </c>
      <c r="E3859" s="7">
        <v>2.0</v>
      </c>
      <c r="G3859" s="7" t="s">
        <v>83</v>
      </c>
      <c r="H3859" s="7" t="s">
        <v>1514</v>
      </c>
    </row>
    <row r="3860">
      <c r="A3860" s="7" t="s">
        <v>32</v>
      </c>
      <c r="B3860" s="7" t="s">
        <v>606</v>
      </c>
      <c r="C3860" s="8">
        <f>IFERROR(__xludf.DUMMYFUNCTION("SPLIT(B3860,""RM"")"),428000.0)</f>
        <v>428000</v>
      </c>
      <c r="D3860" s="7">
        <v>3.0</v>
      </c>
      <c r="E3860" s="7">
        <v>2.0</v>
      </c>
      <c r="F3860" s="7">
        <v>3.0</v>
      </c>
      <c r="G3860" s="7" t="s">
        <v>93</v>
      </c>
      <c r="H3860" s="7" t="s">
        <v>505</v>
      </c>
      <c r="I3860" s="7" t="s">
        <v>27</v>
      </c>
    </row>
    <row r="3861">
      <c r="A3861" s="7" t="s">
        <v>28</v>
      </c>
      <c r="B3861" s="7" t="s">
        <v>134</v>
      </c>
      <c r="C3861" s="8">
        <f>IFERROR(__xludf.DUMMYFUNCTION("SPLIT(B3861,""RM"")"),1150000.0)</f>
        <v>1150000</v>
      </c>
      <c r="D3861" s="7" t="s">
        <v>35</v>
      </c>
      <c r="E3861" s="7">
        <v>4.0</v>
      </c>
      <c r="G3861" s="7" t="s">
        <v>93</v>
      </c>
      <c r="H3861" s="7" t="s">
        <v>1898</v>
      </c>
      <c r="I3861" s="7" t="s">
        <v>22</v>
      </c>
    </row>
    <row r="3862">
      <c r="A3862" s="7" t="s">
        <v>28</v>
      </c>
      <c r="B3862" s="7" t="s">
        <v>820</v>
      </c>
      <c r="C3862" s="8">
        <f>IFERROR(__xludf.DUMMYFUNCTION("SPLIT(B3862,""RM"")"),938000.0)</f>
        <v>938000</v>
      </c>
      <c r="D3862" s="7" t="s">
        <v>35</v>
      </c>
      <c r="E3862" s="7">
        <v>4.0</v>
      </c>
      <c r="G3862" s="7" t="s">
        <v>30</v>
      </c>
      <c r="H3862" s="7" t="s">
        <v>2499</v>
      </c>
      <c r="I3862" s="7" t="s">
        <v>22</v>
      </c>
    </row>
    <row r="3863">
      <c r="A3863" s="7" t="s">
        <v>28</v>
      </c>
      <c r="B3863" s="7" t="s">
        <v>81</v>
      </c>
      <c r="C3863" s="8">
        <f>IFERROR(__xludf.DUMMYFUNCTION("SPLIT(B3863,""RM"")"),1550000.0)</f>
        <v>1550000</v>
      </c>
      <c r="D3863" s="7" t="s">
        <v>39</v>
      </c>
      <c r="E3863" s="7">
        <v>6.0</v>
      </c>
      <c r="F3863" s="7">
        <v>3.0</v>
      </c>
      <c r="G3863" s="7" t="s">
        <v>30</v>
      </c>
      <c r="H3863" s="7" t="s">
        <v>2500</v>
      </c>
      <c r="I3863" s="7" t="s">
        <v>27</v>
      </c>
    </row>
    <row r="3864">
      <c r="A3864" s="7" t="s">
        <v>28</v>
      </c>
      <c r="B3864" s="7" t="s">
        <v>132</v>
      </c>
      <c r="C3864" s="8">
        <f>IFERROR(__xludf.DUMMYFUNCTION("SPLIT(B3864,""RM"")"),1080000.0)</f>
        <v>1080000</v>
      </c>
      <c r="D3864" s="7" t="s">
        <v>57</v>
      </c>
      <c r="E3864" s="7">
        <v>4.0</v>
      </c>
      <c r="G3864" s="7" t="s">
        <v>30</v>
      </c>
      <c r="H3864" s="7" t="s">
        <v>1430</v>
      </c>
      <c r="I3864" s="7" t="s">
        <v>27</v>
      </c>
    </row>
    <row r="3865">
      <c r="A3865" s="7" t="s">
        <v>28</v>
      </c>
      <c r="B3865" s="7" t="s">
        <v>712</v>
      </c>
      <c r="C3865" s="8">
        <f>IFERROR(__xludf.DUMMYFUNCTION("SPLIT(B3865,""RM"")"),1880000.0)</f>
        <v>1880000</v>
      </c>
      <c r="D3865" s="7" t="s">
        <v>35</v>
      </c>
      <c r="E3865" s="7">
        <v>4.0</v>
      </c>
      <c r="G3865" s="7" t="s">
        <v>30</v>
      </c>
      <c r="H3865" s="7" t="s">
        <v>2501</v>
      </c>
      <c r="I3865" s="7" t="s">
        <v>22</v>
      </c>
    </row>
    <row r="3866">
      <c r="A3866" s="7" t="s">
        <v>28</v>
      </c>
      <c r="B3866" s="7" t="s">
        <v>78</v>
      </c>
      <c r="C3866" s="8">
        <f>IFERROR(__xludf.DUMMYFUNCTION("SPLIT(B3866,""RM"")"),1500000.0)</f>
        <v>1500000</v>
      </c>
      <c r="D3866" s="7">
        <v>6.0</v>
      </c>
      <c r="E3866" s="7">
        <v>5.0</v>
      </c>
      <c r="G3866" s="7" t="s">
        <v>30</v>
      </c>
      <c r="H3866" s="7" t="s">
        <v>176</v>
      </c>
      <c r="I3866" s="7" t="s">
        <v>22</v>
      </c>
    </row>
    <row r="3867">
      <c r="A3867" s="7" t="s">
        <v>28</v>
      </c>
      <c r="B3867" s="7" t="s">
        <v>1075</v>
      </c>
      <c r="C3867" s="8">
        <f>IFERROR(__xludf.DUMMYFUNCTION("SPLIT(B3867,""RM"")"),790000.0)</f>
        <v>790000</v>
      </c>
      <c r="D3867" s="7" t="s">
        <v>57</v>
      </c>
      <c r="E3867" s="7">
        <v>3.0</v>
      </c>
      <c r="G3867" s="7" t="s">
        <v>83</v>
      </c>
      <c r="H3867" s="7" t="s">
        <v>1153</v>
      </c>
    </row>
    <row r="3868">
      <c r="A3868" s="7" t="s">
        <v>28</v>
      </c>
      <c r="B3868" s="7" t="s">
        <v>878</v>
      </c>
      <c r="C3868" s="8">
        <f>IFERROR(__xludf.DUMMYFUNCTION("SPLIT(B3868,""RM"")"),908000.0)</f>
        <v>908000</v>
      </c>
      <c r="D3868" s="7" t="s">
        <v>57</v>
      </c>
      <c r="E3868" s="7">
        <v>2.0</v>
      </c>
      <c r="F3868" s="7">
        <v>2.0</v>
      </c>
      <c r="G3868" s="7" t="s">
        <v>83</v>
      </c>
      <c r="H3868" s="7" t="s">
        <v>1294</v>
      </c>
    </row>
    <row r="3869">
      <c r="A3869" s="7" t="s">
        <v>143</v>
      </c>
      <c r="B3869" s="7" t="s">
        <v>407</v>
      </c>
      <c r="C3869" s="8">
        <f>IFERROR(__xludf.DUMMYFUNCTION("SPLIT(B3869,""RM"")"),880000.0)</f>
        <v>880000</v>
      </c>
      <c r="D3869" s="7">
        <v>2.0</v>
      </c>
      <c r="E3869" s="7">
        <v>2.0</v>
      </c>
      <c r="F3869" s="7">
        <v>1.0</v>
      </c>
      <c r="G3869" s="7" t="s">
        <v>30</v>
      </c>
      <c r="H3869" s="7" t="s">
        <v>1597</v>
      </c>
      <c r="I3869" s="7" t="s">
        <v>22</v>
      </c>
    </row>
    <row r="3870">
      <c r="A3870" s="7" t="s">
        <v>28</v>
      </c>
      <c r="B3870" s="7" t="s">
        <v>641</v>
      </c>
      <c r="C3870" s="8">
        <f>IFERROR(__xludf.DUMMYFUNCTION("SPLIT(B3870,""RM"")"),830000.0)</f>
        <v>830000</v>
      </c>
      <c r="D3870" s="7" t="s">
        <v>57</v>
      </c>
      <c r="E3870" s="7">
        <v>4.0</v>
      </c>
      <c r="G3870" s="7" t="s">
        <v>30</v>
      </c>
      <c r="H3870" s="7" t="s">
        <v>1132</v>
      </c>
      <c r="I3870" s="7" t="s">
        <v>27</v>
      </c>
    </row>
    <row r="3871">
      <c r="A3871" s="7" t="s">
        <v>28</v>
      </c>
      <c r="B3871" s="7" t="s">
        <v>953</v>
      </c>
      <c r="C3871" s="8">
        <f>IFERROR(__xludf.DUMMYFUNCTION("SPLIT(B3871,""RM"")"),730000.0)</f>
        <v>730000</v>
      </c>
      <c r="D3871" s="7" t="s">
        <v>57</v>
      </c>
      <c r="E3871" s="7">
        <v>3.0</v>
      </c>
      <c r="F3871" s="7">
        <v>2.0</v>
      </c>
      <c r="G3871" s="7" t="s">
        <v>83</v>
      </c>
      <c r="H3871" s="7" t="s">
        <v>1153</v>
      </c>
    </row>
    <row r="3872">
      <c r="A3872" s="7" t="s">
        <v>28</v>
      </c>
      <c r="B3872" s="7" t="s">
        <v>599</v>
      </c>
      <c r="C3872" s="8">
        <f>IFERROR(__xludf.DUMMYFUNCTION("SPLIT(B3872,""RM"")"),950000.0)</f>
        <v>950000</v>
      </c>
      <c r="D3872" s="7" t="s">
        <v>35</v>
      </c>
      <c r="E3872" s="7">
        <v>4.0</v>
      </c>
      <c r="G3872" s="7" t="s">
        <v>83</v>
      </c>
      <c r="H3872" s="7" t="s">
        <v>2502</v>
      </c>
      <c r="I3872" s="7" t="s">
        <v>22</v>
      </c>
    </row>
    <row r="3873">
      <c r="A3873" s="7" t="s">
        <v>28</v>
      </c>
      <c r="B3873" s="7" t="s">
        <v>1266</v>
      </c>
      <c r="C3873" s="8">
        <f>IFERROR(__xludf.DUMMYFUNCTION("SPLIT(B3873,""RM"")"),740000.0)</f>
        <v>740000</v>
      </c>
      <c r="D3873" s="7" t="s">
        <v>57</v>
      </c>
      <c r="E3873" s="7">
        <v>3.0</v>
      </c>
      <c r="G3873" s="7" t="s">
        <v>93</v>
      </c>
      <c r="H3873" s="7" t="s">
        <v>2503</v>
      </c>
      <c r="I3873" s="7" t="s">
        <v>22</v>
      </c>
    </row>
    <row r="3874">
      <c r="A3874" s="7" t="s">
        <v>28</v>
      </c>
      <c r="B3874" s="7" t="s">
        <v>56</v>
      </c>
      <c r="C3874" s="8">
        <f>IFERROR(__xludf.DUMMYFUNCTION("SPLIT(B3874,""RM"")"),1700000.0)</f>
        <v>1700000</v>
      </c>
      <c r="D3874" s="7" t="s">
        <v>60</v>
      </c>
      <c r="E3874" s="7">
        <v>6.0</v>
      </c>
      <c r="F3874" s="7">
        <v>3.0</v>
      </c>
      <c r="G3874" s="7" t="s">
        <v>30</v>
      </c>
      <c r="H3874" s="7" t="s">
        <v>44</v>
      </c>
      <c r="I3874" s="7" t="s">
        <v>22</v>
      </c>
    </row>
    <row r="3875">
      <c r="A3875" s="7" t="s">
        <v>28</v>
      </c>
      <c r="B3875" s="7" t="s">
        <v>139</v>
      </c>
      <c r="C3875" s="8">
        <f>IFERROR(__xludf.DUMMYFUNCTION("SPLIT(B3875,""RM"")"),780000.0)</f>
        <v>780000</v>
      </c>
      <c r="D3875" s="7">
        <v>3.0</v>
      </c>
      <c r="E3875" s="7">
        <v>2.0</v>
      </c>
      <c r="G3875" s="7" t="s">
        <v>83</v>
      </c>
      <c r="H3875" s="7" t="s">
        <v>1514</v>
      </c>
    </row>
    <row r="3876">
      <c r="A3876" s="7" t="s">
        <v>515</v>
      </c>
      <c r="B3876" s="7" t="s">
        <v>1166</v>
      </c>
      <c r="C3876" s="8">
        <f>IFERROR(__xludf.DUMMYFUNCTION("SPLIT(B3876,""RM"")"),760000.0)</f>
        <v>760000</v>
      </c>
      <c r="D3876" s="7">
        <v>4.0</v>
      </c>
      <c r="E3876" s="7">
        <v>3.0</v>
      </c>
      <c r="G3876" s="7" t="s">
        <v>54</v>
      </c>
      <c r="H3876" s="7" t="s">
        <v>2504</v>
      </c>
      <c r="I3876" s="7" t="s">
        <v>27</v>
      </c>
    </row>
    <row r="3877">
      <c r="A3877" s="7" t="s">
        <v>100</v>
      </c>
      <c r="B3877" s="7" t="s">
        <v>2505</v>
      </c>
      <c r="C3877" s="8">
        <f>IFERROR(__xludf.DUMMYFUNCTION("SPLIT(B3877,""RM"")"),951000.0)</f>
        <v>951000</v>
      </c>
      <c r="D3877" s="7">
        <v>4.0</v>
      </c>
      <c r="E3877" s="7">
        <v>3.0</v>
      </c>
      <c r="G3877" s="7" t="s">
        <v>54</v>
      </c>
      <c r="H3877" s="7" t="s">
        <v>1863</v>
      </c>
      <c r="I3877" s="7" t="s">
        <v>27</v>
      </c>
    </row>
    <row r="3878">
      <c r="A3878" s="7" t="s">
        <v>28</v>
      </c>
      <c r="B3878" s="7" t="s">
        <v>1318</v>
      </c>
      <c r="C3878" s="8">
        <f>IFERROR(__xludf.DUMMYFUNCTION("SPLIT(B3878,""RM"")"),470000.0)</f>
        <v>470000</v>
      </c>
      <c r="D3878" s="7" t="s">
        <v>57</v>
      </c>
      <c r="E3878" s="7">
        <v>2.0</v>
      </c>
      <c r="F3878" s="7">
        <v>1.0</v>
      </c>
      <c r="G3878" s="7" t="s">
        <v>30</v>
      </c>
      <c r="H3878" s="7" t="s">
        <v>1850</v>
      </c>
      <c r="I3878" s="7" t="s">
        <v>27</v>
      </c>
    </row>
    <row r="3879">
      <c r="A3879" s="7" t="s">
        <v>28</v>
      </c>
      <c r="B3879" s="7" t="s">
        <v>477</v>
      </c>
      <c r="C3879" s="8">
        <f>IFERROR(__xludf.DUMMYFUNCTION("SPLIT(B3879,""RM"")"),3280000.0)</f>
        <v>3280000</v>
      </c>
      <c r="D3879" s="7" t="s">
        <v>70</v>
      </c>
      <c r="E3879" s="7">
        <v>6.0</v>
      </c>
      <c r="F3879" s="7">
        <v>2.0</v>
      </c>
      <c r="G3879" s="7" t="s">
        <v>43</v>
      </c>
      <c r="H3879" s="7" t="s">
        <v>2506</v>
      </c>
      <c r="I3879" s="7" t="s">
        <v>27</v>
      </c>
    </row>
    <row r="3880">
      <c r="A3880" s="7" t="s">
        <v>188</v>
      </c>
      <c r="B3880" s="7" t="s">
        <v>475</v>
      </c>
      <c r="C3880" s="8">
        <f>IFERROR(__xludf.DUMMYFUNCTION("SPLIT(B3880,""RM"")"),2800000.0)</f>
        <v>2800000</v>
      </c>
      <c r="D3880" s="7">
        <v>2.0</v>
      </c>
      <c r="E3880" s="7">
        <v>2.0</v>
      </c>
      <c r="F3880" s="7">
        <v>1.0</v>
      </c>
      <c r="G3880" s="7" t="s">
        <v>20</v>
      </c>
      <c r="H3880" s="7" t="s">
        <v>1776</v>
      </c>
      <c r="I3880" s="7" t="s">
        <v>22</v>
      </c>
    </row>
    <row r="3881">
      <c r="A3881" s="7" t="s">
        <v>164</v>
      </c>
      <c r="B3881" s="7" t="s">
        <v>2000</v>
      </c>
      <c r="C3881" s="8">
        <f>IFERROR(__xludf.DUMMYFUNCTION("SPLIT(B3881,""RM"")"),1640000.0)</f>
        <v>1640000</v>
      </c>
      <c r="D3881" s="7" t="s">
        <v>197</v>
      </c>
      <c r="E3881" s="7">
        <v>2.0</v>
      </c>
      <c r="F3881" s="7">
        <v>1.0</v>
      </c>
      <c r="G3881" s="7" t="s">
        <v>385</v>
      </c>
      <c r="H3881" s="7" t="s">
        <v>959</v>
      </c>
      <c r="I3881" s="7" t="s">
        <v>22</v>
      </c>
    </row>
    <row r="3882">
      <c r="A3882" s="7" t="s">
        <v>104</v>
      </c>
      <c r="B3882" s="7" t="s">
        <v>118</v>
      </c>
      <c r="C3882" s="8">
        <f>IFERROR(__xludf.DUMMYFUNCTION("SPLIT(B3882,""RM"")"),1720000.0)</f>
        <v>1720000</v>
      </c>
      <c r="D3882" s="7">
        <v>6.0</v>
      </c>
      <c r="E3882" s="7">
        <v>4.0</v>
      </c>
      <c r="G3882" s="7" t="s">
        <v>184</v>
      </c>
      <c r="H3882" s="7" t="s">
        <v>638</v>
      </c>
      <c r="I3882" s="7" t="s">
        <v>22</v>
      </c>
    </row>
    <row r="3883">
      <c r="A3883" s="7" t="s">
        <v>241</v>
      </c>
      <c r="B3883" s="7" t="s">
        <v>227</v>
      </c>
      <c r="C3883" s="8">
        <f>IFERROR(__xludf.DUMMYFUNCTION("SPLIT(B3883,""RM"")"),2850000.0)</f>
        <v>2850000</v>
      </c>
      <c r="D3883" s="7" t="s">
        <v>35</v>
      </c>
      <c r="E3883" s="7">
        <v>5.0</v>
      </c>
      <c r="G3883" s="7" t="s">
        <v>487</v>
      </c>
      <c r="H3883" s="7" t="s">
        <v>430</v>
      </c>
      <c r="I3883" s="7" t="s">
        <v>27</v>
      </c>
    </row>
    <row r="3884">
      <c r="A3884" s="7" t="s">
        <v>148</v>
      </c>
      <c r="B3884" s="7" t="s">
        <v>165</v>
      </c>
      <c r="C3884" s="8">
        <f>IFERROR(__xludf.DUMMYFUNCTION("SPLIT(B3884,""RM"")"),3500000.0)</f>
        <v>3500000</v>
      </c>
      <c r="D3884" s="7">
        <v>6.0</v>
      </c>
      <c r="E3884" s="7">
        <v>6.0</v>
      </c>
      <c r="G3884" s="7" t="s">
        <v>67</v>
      </c>
      <c r="H3884" s="7" t="s">
        <v>2507</v>
      </c>
      <c r="I3884" s="7" t="s">
        <v>22</v>
      </c>
    </row>
    <row r="3885">
      <c r="A3885" s="7" t="s">
        <v>33</v>
      </c>
      <c r="B3885" s="7" t="s">
        <v>824</v>
      </c>
      <c r="C3885" s="8">
        <f>IFERROR(__xludf.DUMMYFUNCTION("SPLIT(B3885,""RM"")"),1377000.0)</f>
        <v>1377000</v>
      </c>
      <c r="G3885" s="7" t="s">
        <v>667</v>
      </c>
      <c r="H3885" s="7" t="s">
        <v>2508</v>
      </c>
    </row>
    <row r="3886">
      <c r="A3886" s="7" t="s">
        <v>432</v>
      </c>
      <c r="B3886" s="7" t="s">
        <v>534</v>
      </c>
      <c r="C3886" s="8">
        <f>IFERROR(__xludf.DUMMYFUNCTION("SPLIT(B3886,""RM"")"),3200000.0)</f>
        <v>3200000</v>
      </c>
      <c r="D3886" s="7" t="s">
        <v>70</v>
      </c>
      <c r="E3886" s="7">
        <v>5.0</v>
      </c>
      <c r="F3886" s="7">
        <v>2.0</v>
      </c>
      <c r="G3886" s="7" t="s">
        <v>43</v>
      </c>
      <c r="H3886" s="7" t="s">
        <v>44</v>
      </c>
      <c r="I3886" s="7" t="s">
        <v>27</v>
      </c>
    </row>
    <row r="3887">
      <c r="A3887" s="7" t="s">
        <v>432</v>
      </c>
      <c r="B3887" s="7" t="s">
        <v>534</v>
      </c>
      <c r="C3887" s="8">
        <f>IFERROR(__xludf.DUMMYFUNCTION("SPLIT(B3887,""RM"")"),3200000.0)</f>
        <v>3200000</v>
      </c>
      <c r="D3887" s="7" t="s">
        <v>35</v>
      </c>
      <c r="E3887" s="7">
        <v>5.0</v>
      </c>
      <c r="F3887" s="7">
        <v>2.0</v>
      </c>
      <c r="G3887" s="7" t="s">
        <v>43</v>
      </c>
      <c r="H3887" s="7" t="s">
        <v>2140</v>
      </c>
    </row>
    <row r="3888">
      <c r="A3888" s="7" t="s">
        <v>89</v>
      </c>
      <c r="B3888" s="7" t="s">
        <v>316</v>
      </c>
      <c r="C3888" s="8">
        <f>IFERROR(__xludf.DUMMYFUNCTION("SPLIT(B3888,""RM"")"),820000.0)</f>
        <v>820000</v>
      </c>
      <c r="D3888" s="7">
        <v>2.0</v>
      </c>
      <c r="E3888" s="7">
        <v>2.0</v>
      </c>
      <c r="F3888" s="7">
        <v>2.0</v>
      </c>
      <c r="G3888" s="7" t="s">
        <v>145</v>
      </c>
      <c r="H3888" s="7" t="s">
        <v>959</v>
      </c>
      <c r="I3888" s="7" t="s">
        <v>27</v>
      </c>
    </row>
    <row r="3889">
      <c r="A3889" s="7" t="s">
        <v>17</v>
      </c>
      <c r="B3889" s="7" t="s">
        <v>2509</v>
      </c>
      <c r="C3889" s="8">
        <f>IFERROR(__xludf.DUMMYFUNCTION("SPLIT(B3889,""RM"")"),1297500.0)</f>
        <v>1297500</v>
      </c>
      <c r="D3889" s="7" t="s">
        <v>197</v>
      </c>
      <c r="E3889" s="7">
        <v>1.0</v>
      </c>
      <c r="F3889" s="7">
        <v>2.0</v>
      </c>
      <c r="G3889" s="7" t="s">
        <v>82</v>
      </c>
      <c r="H3889" s="7" t="s">
        <v>328</v>
      </c>
      <c r="I3889" s="7" t="s">
        <v>27</v>
      </c>
    </row>
    <row r="3890">
      <c r="A3890" s="7" t="s">
        <v>17</v>
      </c>
      <c r="B3890" s="7" t="s">
        <v>349</v>
      </c>
      <c r="C3890" s="8">
        <f>IFERROR(__xludf.DUMMYFUNCTION("SPLIT(B3890,""RM"")"),1400000.0)</f>
        <v>1400000</v>
      </c>
      <c r="D3890" s="7" t="s">
        <v>19</v>
      </c>
      <c r="E3890" s="7">
        <v>2.0</v>
      </c>
      <c r="F3890" s="7">
        <v>2.0</v>
      </c>
      <c r="G3890" s="7" t="s">
        <v>83</v>
      </c>
      <c r="H3890" s="7" t="s">
        <v>959</v>
      </c>
      <c r="I3890" s="7" t="s">
        <v>27</v>
      </c>
    </row>
    <row r="3891">
      <c r="A3891" s="7" t="s">
        <v>432</v>
      </c>
      <c r="B3891" s="7" t="s">
        <v>475</v>
      </c>
      <c r="C3891" s="8">
        <f>IFERROR(__xludf.DUMMYFUNCTION("SPLIT(B3891,""RM"")"),2800000.0)</f>
        <v>2800000</v>
      </c>
      <c r="D3891" s="7" t="s">
        <v>35</v>
      </c>
      <c r="E3891" s="7">
        <v>4.0</v>
      </c>
      <c r="F3891" s="7">
        <v>3.0</v>
      </c>
      <c r="G3891" s="7" t="s">
        <v>83</v>
      </c>
      <c r="H3891" s="7" t="s">
        <v>1674</v>
      </c>
      <c r="I3891" s="7" t="s">
        <v>22</v>
      </c>
    </row>
    <row r="3892">
      <c r="A3892" s="7" t="s">
        <v>241</v>
      </c>
      <c r="B3892" s="7" t="s">
        <v>92</v>
      </c>
      <c r="C3892" s="8">
        <f>IFERROR(__xludf.DUMMYFUNCTION("SPLIT(B3892,""RM"")"),610000.0)</f>
        <v>610000</v>
      </c>
      <c r="D3892" s="7">
        <v>3.0</v>
      </c>
      <c r="E3892" s="7">
        <v>2.0</v>
      </c>
      <c r="F3892" s="7">
        <v>2.0</v>
      </c>
      <c r="G3892" s="7" t="s">
        <v>30</v>
      </c>
      <c r="H3892" s="7" t="s">
        <v>1619</v>
      </c>
      <c r="I3892" s="7" t="s">
        <v>27</v>
      </c>
    </row>
    <row r="3893">
      <c r="A3893" s="7" t="s">
        <v>1158</v>
      </c>
      <c r="B3893" s="7" t="s">
        <v>563</v>
      </c>
      <c r="C3893" s="8">
        <f>IFERROR(__xludf.DUMMYFUNCTION("SPLIT(B3893,""RM"")"),600000.0)</f>
        <v>600000</v>
      </c>
      <c r="D3893" s="7" t="s">
        <v>325</v>
      </c>
      <c r="E3893" s="7">
        <v>1.0</v>
      </c>
      <c r="G3893" s="7" t="s">
        <v>20</v>
      </c>
      <c r="H3893" s="7" t="s">
        <v>1279</v>
      </c>
      <c r="I3893" s="7" t="s">
        <v>22</v>
      </c>
    </row>
    <row r="3894">
      <c r="A3894" s="7" t="s">
        <v>1158</v>
      </c>
      <c r="B3894" s="7" t="s">
        <v>34</v>
      </c>
      <c r="C3894" s="8">
        <f>IFERROR(__xludf.DUMMYFUNCTION("SPLIT(B3894,""RM"")"),900000.0)</f>
        <v>900000</v>
      </c>
      <c r="D3894" s="7" t="s">
        <v>19</v>
      </c>
      <c r="E3894" s="7">
        <v>2.0</v>
      </c>
      <c r="G3894" s="7" t="s">
        <v>82</v>
      </c>
      <c r="H3894" s="7" t="s">
        <v>2173</v>
      </c>
      <c r="I3894" s="7" t="s">
        <v>22</v>
      </c>
    </row>
    <row r="3895">
      <c r="A3895" s="7" t="s">
        <v>1158</v>
      </c>
      <c r="B3895" s="7" t="s">
        <v>138</v>
      </c>
      <c r="C3895" s="8">
        <f>IFERROR(__xludf.DUMMYFUNCTION("SPLIT(B3895,""RM"")"),930000.0)</f>
        <v>930000</v>
      </c>
      <c r="D3895" s="7" t="s">
        <v>19</v>
      </c>
      <c r="E3895" s="7">
        <v>2.0</v>
      </c>
      <c r="G3895" s="7" t="s">
        <v>20</v>
      </c>
      <c r="H3895" s="7" t="s">
        <v>2173</v>
      </c>
      <c r="I3895" s="7" t="s">
        <v>22</v>
      </c>
    </row>
    <row r="3896">
      <c r="A3896" s="7" t="s">
        <v>1158</v>
      </c>
      <c r="B3896" s="7" t="s">
        <v>1390</v>
      </c>
      <c r="C3896" s="8">
        <f>IFERROR(__xludf.DUMMYFUNCTION("SPLIT(B3896,""RM"")"),615000.0)</f>
        <v>615000</v>
      </c>
      <c r="D3896" s="7" t="s">
        <v>325</v>
      </c>
      <c r="E3896" s="7">
        <v>1.0</v>
      </c>
      <c r="G3896" s="7" t="s">
        <v>20</v>
      </c>
      <c r="H3896" s="7" t="s">
        <v>1279</v>
      </c>
      <c r="I3896" s="7" t="s">
        <v>22</v>
      </c>
    </row>
    <row r="3897">
      <c r="A3897" s="7" t="s">
        <v>72</v>
      </c>
      <c r="B3897" s="7" t="s">
        <v>1328</v>
      </c>
      <c r="C3897" s="8">
        <f>IFERROR(__xludf.DUMMYFUNCTION("SPLIT(B3897,""RM"")"),650000.0)</f>
        <v>650000</v>
      </c>
      <c r="D3897" s="7" t="s">
        <v>57</v>
      </c>
      <c r="E3897" s="7">
        <v>3.0</v>
      </c>
      <c r="F3897" s="7">
        <v>2.0</v>
      </c>
      <c r="G3897" s="7" t="s">
        <v>93</v>
      </c>
      <c r="H3897" s="7" t="s">
        <v>1494</v>
      </c>
      <c r="I3897" s="7" t="s">
        <v>22</v>
      </c>
    </row>
    <row r="3898">
      <c r="A3898" s="7" t="s">
        <v>100</v>
      </c>
      <c r="B3898" s="7" t="s">
        <v>381</v>
      </c>
      <c r="C3898" s="8">
        <f>IFERROR(__xludf.DUMMYFUNCTION("SPLIT(B3898,""RM"")"),960000.0)</f>
        <v>960000</v>
      </c>
      <c r="D3898" s="7" t="s">
        <v>57</v>
      </c>
      <c r="E3898" s="7">
        <v>3.0</v>
      </c>
      <c r="F3898" s="7">
        <v>2.0</v>
      </c>
      <c r="G3898" s="7" t="s">
        <v>30</v>
      </c>
      <c r="H3898" s="7" t="s">
        <v>1072</v>
      </c>
      <c r="I3898" s="7" t="s">
        <v>27</v>
      </c>
    </row>
    <row r="3899">
      <c r="A3899" s="7" t="s">
        <v>72</v>
      </c>
      <c r="B3899" s="7" t="s">
        <v>477</v>
      </c>
      <c r="C3899" s="8">
        <f>IFERROR(__xludf.DUMMYFUNCTION("SPLIT(B3899,""RM"")"),3280000.0)</f>
        <v>3280000</v>
      </c>
      <c r="D3899" s="7" t="s">
        <v>39</v>
      </c>
      <c r="E3899" s="7">
        <v>6.0</v>
      </c>
      <c r="F3899" s="7">
        <v>3.0</v>
      </c>
      <c r="G3899" s="7" t="s">
        <v>83</v>
      </c>
      <c r="H3899" s="7" t="s">
        <v>989</v>
      </c>
      <c r="I3899" s="7" t="s">
        <v>27</v>
      </c>
    </row>
    <row r="3900">
      <c r="A3900" s="7" t="s">
        <v>72</v>
      </c>
      <c r="B3900" s="7" t="s">
        <v>468</v>
      </c>
      <c r="C3900" s="8">
        <f>IFERROR(__xludf.DUMMYFUNCTION("SPLIT(B3900,""RM"")"),2750000.0)</f>
        <v>2750000</v>
      </c>
      <c r="D3900" s="7" t="s">
        <v>35</v>
      </c>
      <c r="E3900" s="7">
        <v>6.0</v>
      </c>
      <c r="F3900" s="7">
        <v>3.0</v>
      </c>
      <c r="G3900" s="7" t="s">
        <v>83</v>
      </c>
      <c r="H3900" s="7" t="s">
        <v>1230</v>
      </c>
      <c r="I3900" s="7" t="s">
        <v>27</v>
      </c>
    </row>
    <row r="3901">
      <c r="A3901" s="7" t="s">
        <v>32</v>
      </c>
      <c r="B3901" s="7" t="s">
        <v>329</v>
      </c>
      <c r="C3901" s="8">
        <f>IFERROR(__xludf.DUMMYFUNCTION("SPLIT(B3901,""RM"")"),1200000.0)</f>
        <v>1200000</v>
      </c>
      <c r="D3901" s="7" t="s">
        <v>70</v>
      </c>
      <c r="E3901" s="7">
        <v>4.0</v>
      </c>
      <c r="G3901" s="7" t="s">
        <v>46</v>
      </c>
      <c r="H3901" s="7" t="s">
        <v>2382</v>
      </c>
      <c r="I3901" s="7" t="s">
        <v>27</v>
      </c>
    </row>
    <row r="3902">
      <c r="A3902" s="7" t="s">
        <v>143</v>
      </c>
      <c r="B3902" s="7" t="s">
        <v>311</v>
      </c>
      <c r="C3902" s="8">
        <f>IFERROR(__xludf.DUMMYFUNCTION("SPLIT(B3902,""RM"")"),1100000.0)</f>
        <v>1100000</v>
      </c>
      <c r="D3902" s="7" t="s">
        <v>197</v>
      </c>
      <c r="E3902" s="7">
        <v>1.0</v>
      </c>
      <c r="F3902" s="7">
        <v>1.0</v>
      </c>
      <c r="G3902" s="7" t="s">
        <v>20</v>
      </c>
      <c r="H3902" s="7" t="s">
        <v>1537</v>
      </c>
      <c r="I3902" s="7" t="s">
        <v>22</v>
      </c>
    </row>
    <row r="3903">
      <c r="A3903" s="7" t="s">
        <v>72</v>
      </c>
      <c r="B3903" s="7" t="s">
        <v>790</v>
      </c>
      <c r="C3903" s="8">
        <f>IFERROR(__xludf.DUMMYFUNCTION("SPLIT(B3903,""RM"")"),2680000.0)</f>
        <v>2680000</v>
      </c>
      <c r="D3903" s="7" t="s">
        <v>35</v>
      </c>
      <c r="E3903" s="7">
        <v>6.0</v>
      </c>
      <c r="F3903" s="7">
        <v>2.0</v>
      </c>
      <c r="G3903" s="7" t="s">
        <v>83</v>
      </c>
      <c r="H3903" s="7" t="s">
        <v>1284</v>
      </c>
      <c r="I3903" s="7" t="s">
        <v>27</v>
      </c>
    </row>
    <row r="3904">
      <c r="A3904" s="7" t="s">
        <v>143</v>
      </c>
      <c r="B3904" s="7" t="s">
        <v>329</v>
      </c>
      <c r="C3904" s="8">
        <f>IFERROR(__xludf.DUMMYFUNCTION("SPLIT(B3904,""RM"")"),1200000.0)</f>
        <v>1200000</v>
      </c>
      <c r="D3904" s="7">
        <v>3.0</v>
      </c>
      <c r="E3904" s="7">
        <v>2.0</v>
      </c>
      <c r="F3904" s="7">
        <v>1.0</v>
      </c>
      <c r="G3904" s="7" t="s">
        <v>82</v>
      </c>
      <c r="H3904" s="7" t="s">
        <v>1505</v>
      </c>
      <c r="I3904" s="7" t="s">
        <v>27</v>
      </c>
    </row>
    <row r="3905">
      <c r="A3905" s="7" t="s">
        <v>32</v>
      </c>
      <c r="B3905" s="7" t="s">
        <v>1673</v>
      </c>
      <c r="C3905" s="8">
        <f>IFERROR(__xludf.DUMMYFUNCTION("SPLIT(B3905,""RM"")"),345000.0)</f>
        <v>345000</v>
      </c>
      <c r="D3905" s="7">
        <v>3.0</v>
      </c>
      <c r="E3905" s="7">
        <v>2.0</v>
      </c>
      <c r="F3905" s="7">
        <v>1.0</v>
      </c>
      <c r="G3905" s="7" t="s">
        <v>503</v>
      </c>
      <c r="H3905" s="7" t="s">
        <v>1270</v>
      </c>
      <c r="I3905" s="7" t="s">
        <v>27</v>
      </c>
    </row>
    <row r="3906">
      <c r="A3906" s="7" t="s">
        <v>86</v>
      </c>
      <c r="B3906" s="7" t="s">
        <v>1915</v>
      </c>
      <c r="C3906" s="8">
        <f>IFERROR(__xludf.DUMMYFUNCTION("SPLIT(B3906,""RM"")"),598000.0)</f>
        <v>598000</v>
      </c>
      <c r="D3906" s="7">
        <v>1.0</v>
      </c>
      <c r="E3906" s="7">
        <v>1.0</v>
      </c>
      <c r="G3906" s="7" t="s">
        <v>82</v>
      </c>
      <c r="H3906" s="7" t="s">
        <v>673</v>
      </c>
      <c r="I3906" s="7" t="s">
        <v>22</v>
      </c>
    </row>
    <row r="3907">
      <c r="A3907" s="7" t="s">
        <v>143</v>
      </c>
      <c r="B3907" s="7" t="s">
        <v>852</v>
      </c>
      <c r="C3907" s="8">
        <f>IFERROR(__xludf.DUMMYFUNCTION("SPLIT(B3907,""RM"")"),318000.0)</f>
        <v>318000</v>
      </c>
      <c r="D3907" s="7" t="s">
        <v>325</v>
      </c>
      <c r="E3907" s="7">
        <v>1.0</v>
      </c>
      <c r="G3907" s="7" t="s">
        <v>20</v>
      </c>
      <c r="H3907" s="7" t="s">
        <v>2510</v>
      </c>
      <c r="I3907" s="7" t="s">
        <v>22</v>
      </c>
    </row>
    <row r="3908">
      <c r="A3908" s="7" t="s">
        <v>89</v>
      </c>
      <c r="B3908" s="7" t="s">
        <v>311</v>
      </c>
      <c r="C3908" s="8">
        <f>IFERROR(__xludf.DUMMYFUNCTION("SPLIT(B3908,""RM"")"),1100000.0)</f>
        <v>1100000</v>
      </c>
      <c r="D3908" s="7">
        <v>5.0</v>
      </c>
      <c r="E3908" s="7">
        <v>4.0</v>
      </c>
      <c r="F3908" s="7">
        <v>2.0</v>
      </c>
      <c r="G3908" s="7" t="s">
        <v>90</v>
      </c>
      <c r="H3908" s="7" t="s">
        <v>1119</v>
      </c>
      <c r="I3908" s="7" t="s">
        <v>27</v>
      </c>
    </row>
    <row r="3909">
      <c r="A3909" s="7" t="s">
        <v>72</v>
      </c>
      <c r="B3909" s="7" t="s">
        <v>322</v>
      </c>
      <c r="C3909" s="8">
        <f>IFERROR(__xludf.DUMMYFUNCTION("SPLIT(B3909,""RM"")"),1900000.0)</f>
        <v>1900000</v>
      </c>
      <c r="D3909" s="7" t="s">
        <v>57</v>
      </c>
      <c r="E3909" s="7">
        <v>4.0</v>
      </c>
      <c r="F3909" s="7">
        <v>2.0</v>
      </c>
      <c r="G3909" s="7" t="s">
        <v>83</v>
      </c>
      <c r="H3909" s="7" t="s">
        <v>708</v>
      </c>
      <c r="I3909" s="7" t="s">
        <v>27</v>
      </c>
    </row>
    <row r="3910">
      <c r="A3910" s="7" t="s">
        <v>48</v>
      </c>
      <c r="B3910" s="7" t="s">
        <v>165</v>
      </c>
      <c r="C3910" s="8">
        <f>IFERROR(__xludf.DUMMYFUNCTION("SPLIT(B3910,""RM"")"),3500000.0)</f>
        <v>3500000</v>
      </c>
      <c r="D3910" s="7">
        <v>7.0</v>
      </c>
      <c r="E3910" s="7">
        <v>7.0</v>
      </c>
      <c r="F3910" s="7">
        <v>4.0</v>
      </c>
      <c r="G3910" s="7" t="s">
        <v>61</v>
      </c>
      <c r="H3910" s="7" t="s">
        <v>1314</v>
      </c>
      <c r="I3910" s="7" t="s">
        <v>22</v>
      </c>
    </row>
    <row r="3911">
      <c r="A3911" s="7" t="s">
        <v>177</v>
      </c>
      <c r="B3911" s="7" t="s">
        <v>970</v>
      </c>
      <c r="C3911" s="8">
        <f>IFERROR(__xludf.DUMMYFUNCTION("SPLIT(B3911,""RM"")"),5200000.0)</f>
        <v>5200000</v>
      </c>
      <c r="D3911" s="7">
        <v>5.0</v>
      </c>
      <c r="E3911" s="7">
        <v>5.0</v>
      </c>
      <c r="F3911" s="7">
        <v>4.0</v>
      </c>
      <c r="G3911" s="7" t="s">
        <v>61</v>
      </c>
      <c r="H3911" s="7" t="s">
        <v>498</v>
      </c>
      <c r="I3911" s="7" t="s">
        <v>27</v>
      </c>
    </row>
    <row r="3912">
      <c r="A3912" s="7" t="s">
        <v>188</v>
      </c>
      <c r="B3912" s="7" t="s">
        <v>2511</v>
      </c>
      <c r="C3912" s="8">
        <f>IFERROR(__xludf.DUMMYFUNCTION("SPLIT(B3912,""RM"")"),1396000.0)</f>
        <v>1396000</v>
      </c>
      <c r="D3912" s="7">
        <v>1.0</v>
      </c>
      <c r="E3912" s="7">
        <v>1.0</v>
      </c>
      <c r="F3912" s="7">
        <v>1.0</v>
      </c>
      <c r="G3912" s="7" t="s">
        <v>20</v>
      </c>
      <c r="H3912" s="7" t="s">
        <v>2512</v>
      </c>
      <c r="I3912" s="7" t="s">
        <v>22</v>
      </c>
    </row>
    <row r="3913">
      <c r="A3913" s="7" t="s">
        <v>72</v>
      </c>
      <c r="B3913" s="7" t="s">
        <v>1831</v>
      </c>
      <c r="C3913" s="8">
        <f>IFERROR(__xludf.DUMMYFUNCTION("SPLIT(B3913,""RM"")"),2688000.0)</f>
        <v>2688000</v>
      </c>
      <c r="D3913" s="7" t="s">
        <v>35</v>
      </c>
      <c r="E3913" s="7">
        <v>6.0</v>
      </c>
      <c r="F3913" s="7">
        <v>3.0</v>
      </c>
      <c r="G3913" s="7" t="s">
        <v>83</v>
      </c>
      <c r="H3913" s="7" t="s">
        <v>1037</v>
      </c>
      <c r="I3913" s="7" t="s">
        <v>22</v>
      </c>
    </row>
    <row r="3914">
      <c r="A3914" s="7" t="s">
        <v>428</v>
      </c>
      <c r="B3914" s="7" t="s">
        <v>327</v>
      </c>
      <c r="C3914" s="8">
        <f>IFERROR(__xludf.DUMMYFUNCTION("SPLIT(B3914,""RM"")"),1300000.0)</f>
        <v>1300000</v>
      </c>
      <c r="D3914" s="7" t="s">
        <v>57</v>
      </c>
      <c r="E3914" s="7">
        <v>4.0</v>
      </c>
      <c r="G3914" s="7" t="s">
        <v>82</v>
      </c>
      <c r="H3914" s="7" t="s">
        <v>2513</v>
      </c>
      <c r="I3914" s="7" t="s">
        <v>27</v>
      </c>
    </row>
    <row r="3915">
      <c r="A3915" s="7" t="s">
        <v>32</v>
      </c>
      <c r="B3915" s="7" t="s">
        <v>2514</v>
      </c>
      <c r="C3915" s="8">
        <f>IFERROR(__xludf.DUMMYFUNCTION("SPLIT(B3915,""RM"")"),229000.0)</f>
        <v>229000</v>
      </c>
      <c r="D3915" s="7">
        <v>3.0</v>
      </c>
      <c r="E3915" s="7">
        <v>2.0</v>
      </c>
      <c r="F3915" s="7">
        <v>1.0</v>
      </c>
      <c r="G3915" s="7" t="s">
        <v>354</v>
      </c>
      <c r="H3915" s="7" t="s">
        <v>1270</v>
      </c>
      <c r="I3915" s="7" t="s">
        <v>27</v>
      </c>
    </row>
    <row r="3916">
      <c r="A3916" s="7" t="s">
        <v>143</v>
      </c>
      <c r="B3916" s="7" t="s">
        <v>329</v>
      </c>
      <c r="C3916" s="8">
        <f>IFERROR(__xludf.DUMMYFUNCTION("SPLIT(B3916,""RM"")"),1200000.0)</f>
        <v>1200000</v>
      </c>
      <c r="D3916" s="7">
        <v>3.0</v>
      </c>
      <c r="E3916" s="7">
        <v>2.0</v>
      </c>
      <c r="F3916" s="7">
        <v>1.0</v>
      </c>
      <c r="G3916" s="7" t="s">
        <v>82</v>
      </c>
      <c r="H3916" s="7" t="s">
        <v>1505</v>
      </c>
      <c r="I3916" s="7" t="s">
        <v>27</v>
      </c>
    </row>
    <row r="3917">
      <c r="A3917" s="7" t="s">
        <v>109</v>
      </c>
      <c r="B3917" s="7" t="s">
        <v>1200</v>
      </c>
      <c r="C3917" s="8">
        <f>IFERROR(__xludf.DUMMYFUNCTION("SPLIT(B3917,""RM"")"),599000.0)</f>
        <v>599000</v>
      </c>
      <c r="D3917" s="7">
        <v>3.0</v>
      </c>
      <c r="E3917" s="7">
        <v>2.0</v>
      </c>
      <c r="F3917" s="7">
        <v>1.0</v>
      </c>
      <c r="G3917" s="7" t="s">
        <v>93</v>
      </c>
      <c r="H3917" s="7" t="s">
        <v>157</v>
      </c>
      <c r="I3917" s="7" t="s">
        <v>22</v>
      </c>
    </row>
    <row r="3918">
      <c r="A3918" s="7" t="s">
        <v>32</v>
      </c>
      <c r="B3918" s="7" t="s">
        <v>398</v>
      </c>
      <c r="C3918" s="8">
        <f>IFERROR(__xludf.DUMMYFUNCTION("SPLIT(B3918,""RM"")"),2280000.0)</f>
        <v>2280000</v>
      </c>
      <c r="D3918" s="7">
        <v>5.0</v>
      </c>
      <c r="E3918" s="7">
        <v>7.0</v>
      </c>
      <c r="F3918" s="7">
        <v>4.0</v>
      </c>
      <c r="G3918" s="7" t="s">
        <v>487</v>
      </c>
      <c r="H3918" s="7" t="s">
        <v>2515</v>
      </c>
      <c r="I3918" s="7" t="s">
        <v>27</v>
      </c>
    </row>
    <row r="3919">
      <c r="A3919" s="7" t="s">
        <v>143</v>
      </c>
      <c r="B3919" s="7" t="s">
        <v>322</v>
      </c>
      <c r="C3919" s="8">
        <f>IFERROR(__xludf.DUMMYFUNCTION("SPLIT(B3919,""RM"")"),1900000.0)</f>
        <v>1900000</v>
      </c>
      <c r="D3919" s="7" t="s">
        <v>57</v>
      </c>
      <c r="E3919" s="7">
        <v>4.0</v>
      </c>
      <c r="F3919" s="7">
        <v>2.0</v>
      </c>
      <c r="G3919" s="7" t="s">
        <v>83</v>
      </c>
      <c r="H3919" s="7" t="s">
        <v>2516</v>
      </c>
    </row>
    <row r="3920">
      <c r="A3920" s="7" t="s">
        <v>72</v>
      </c>
      <c r="B3920" s="7" t="s">
        <v>530</v>
      </c>
      <c r="C3920" s="8">
        <f>IFERROR(__xludf.DUMMYFUNCTION("SPLIT(B3920,""RM"")"),5000000.0)</f>
        <v>5000000</v>
      </c>
      <c r="D3920" s="7" t="s">
        <v>35</v>
      </c>
      <c r="E3920" s="7">
        <v>4.0</v>
      </c>
      <c r="G3920" s="7" t="s">
        <v>30</v>
      </c>
      <c r="H3920" s="7" t="s">
        <v>2517</v>
      </c>
      <c r="I3920" s="7" t="s">
        <v>27</v>
      </c>
    </row>
    <row r="3921">
      <c r="A3921" s="7" t="s">
        <v>177</v>
      </c>
      <c r="B3921" s="7" t="s">
        <v>1753</v>
      </c>
      <c r="C3921" s="8">
        <f>IFERROR(__xludf.DUMMYFUNCTION("SPLIT(B3921,""RM"")"),8500000.0)</f>
        <v>8500000</v>
      </c>
      <c r="D3921" s="7" t="s">
        <v>35</v>
      </c>
      <c r="E3921" s="7">
        <v>6.0</v>
      </c>
      <c r="F3921" s="7">
        <v>4.0</v>
      </c>
      <c r="G3921" s="7" t="s">
        <v>30</v>
      </c>
      <c r="H3921" s="7" t="s">
        <v>550</v>
      </c>
      <c r="I3921" s="7" t="s">
        <v>27</v>
      </c>
    </row>
    <row r="3922">
      <c r="A3922" s="7" t="s">
        <v>17</v>
      </c>
      <c r="B3922" s="7" t="s">
        <v>2518</v>
      </c>
      <c r="C3922" s="8">
        <f>IFERROR(__xludf.DUMMYFUNCTION("SPLIT(B3922,""RM"")"),2257000.0)</f>
        <v>2257000</v>
      </c>
      <c r="D3922" s="7" t="s">
        <v>19</v>
      </c>
      <c r="E3922" s="7">
        <v>2.0</v>
      </c>
      <c r="F3922" s="7">
        <v>2.0</v>
      </c>
      <c r="G3922" s="7" t="s">
        <v>83</v>
      </c>
      <c r="H3922" s="7" t="s">
        <v>2519</v>
      </c>
      <c r="I3922" s="7" t="s">
        <v>27</v>
      </c>
    </row>
    <row r="3923">
      <c r="A3923" s="7" t="s">
        <v>428</v>
      </c>
      <c r="B3923" s="7" t="s">
        <v>134</v>
      </c>
      <c r="C3923" s="8">
        <f>IFERROR(__xludf.DUMMYFUNCTION("SPLIT(B3923,""RM"")"),1150000.0)</f>
        <v>1150000</v>
      </c>
      <c r="D3923" s="7" t="s">
        <v>19</v>
      </c>
      <c r="E3923" s="7">
        <v>3.0</v>
      </c>
      <c r="F3923" s="7">
        <v>2.0</v>
      </c>
      <c r="G3923" s="7" t="s">
        <v>20</v>
      </c>
      <c r="H3923" s="7" t="s">
        <v>2513</v>
      </c>
      <c r="I3923" s="7" t="s">
        <v>22</v>
      </c>
    </row>
    <row r="3924">
      <c r="A3924" s="7" t="s">
        <v>177</v>
      </c>
      <c r="B3924" s="7" t="s">
        <v>132</v>
      </c>
      <c r="C3924" s="8">
        <f>IFERROR(__xludf.DUMMYFUNCTION("SPLIT(B3924,""RM"")"),1080000.0)</f>
        <v>1080000</v>
      </c>
      <c r="D3924" s="7">
        <v>3.0</v>
      </c>
      <c r="E3924" s="7">
        <v>2.0</v>
      </c>
      <c r="F3924" s="7">
        <v>1.0</v>
      </c>
      <c r="G3924" s="7" t="s">
        <v>93</v>
      </c>
      <c r="H3924" s="7" t="s">
        <v>551</v>
      </c>
      <c r="I3924" s="7" t="s">
        <v>22</v>
      </c>
    </row>
    <row r="3925">
      <c r="A3925" s="7" t="s">
        <v>86</v>
      </c>
      <c r="B3925" s="7" t="s">
        <v>1074</v>
      </c>
      <c r="C3925" s="8">
        <f>IFERROR(__xludf.DUMMYFUNCTION("SPLIT(B3925,""RM"")"),1130000.0)</f>
        <v>1130000</v>
      </c>
      <c r="D3925" s="7">
        <v>3.0</v>
      </c>
      <c r="E3925" s="7">
        <v>2.0</v>
      </c>
      <c r="F3925" s="7">
        <v>2.0</v>
      </c>
      <c r="G3925" s="7" t="s">
        <v>93</v>
      </c>
      <c r="H3925" s="7" t="s">
        <v>303</v>
      </c>
      <c r="I3925" s="7" t="s">
        <v>22</v>
      </c>
    </row>
    <row r="3926">
      <c r="A3926" s="7" t="s">
        <v>177</v>
      </c>
      <c r="B3926" s="7" t="s">
        <v>18</v>
      </c>
      <c r="C3926" s="8">
        <f>IFERROR(__xludf.DUMMYFUNCTION("SPLIT(B3926,""RM"")"),1250000.0)</f>
        <v>1250000</v>
      </c>
      <c r="D3926" s="7">
        <v>3.0</v>
      </c>
      <c r="E3926" s="7">
        <v>2.0</v>
      </c>
      <c r="F3926" s="7">
        <v>2.0</v>
      </c>
      <c r="G3926" s="7" t="s">
        <v>30</v>
      </c>
      <c r="H3926" s="7" t="s">
        <v>551</v>
      </c>
      <c r="I3926" s="7" t="s">
        <v>22</v>
      </c>
    </row>
    <row r="3927">
      <c r="A3927" s="7" t="s">
        <v>177</v>
      </c>
      <c r="B3927" s="7" t="s">
        <v>530</v>
      </c>
      <c r="C3927" s="8">
        <f>IFERROR(__xludf.DUMMYFUNCTION("SPLIT(B3927,""RM"")"),5000000.0)</f>
        <v>5000000</v>
      </c>
      <c r="D3927" s="7" t="s">
        <v>70</v>
      </c>
      <c r="E3927" s="7">
        <v>5.0</v>
      </c>
      <c r="F3927" s="7">
        <v>6.0</v>
      </c>
      <c r="G3927" s="7" t="s">
        <v>25</v>
      </c>
      <c r="H3927" s="7" t="s">
        <v>1087</v>
      </c>
      <c r="I3927" s="7" t="s">
        <v>27</v>
      </c>
    </row>
    <row r="3928">
      <c r="A3928" s="7" t="s">
        <v>177</v>
      </c>
      <c r="B3928" s="7" t="s">
        <v>42</v>
      </c>
      <c r="C3928" s="8">
        <f>IFERROR(__xludf.DUMMYFUNCTION("SPLIT(B3928,""RM"")"),2600000.0)</f>
        <v>2600000</v>
      </c>
      <c r="D3928" s="7">
        <v>4.0</v>
      </c>
      <c r="E3928" s="7">
        <v>3.0</v>
      </c>
      <c r="F3928" s="7">
        <v>5.0</v>
      </c>
      <c r="G3928" s="7" t="s">
        <v>184</v>
      </c>
      <c r="H3928" s="7" t="s">
        <v>2520</v>
      </c>
      <c r="I3928" s="7" t="s">
        <v>22</v>
      </c>
    </row>
    <row r="3929">
      <c r="A3929" s="7" t="s">
        <v>177</v>
      </c>
      <c r="B3929" s="7" t="s">
        <v>1351</v>
      </c>
      <c r="C3929" s="8">
        <f>IFERROR(__xludf.DUMMYFUNCTION("SPLIT(B3929,""RM"")"),1040000.0)</f>
        <v>1040000</v>
      </c>
      <c r="D3929" s="7">
        <v>3.0</v>
      </c>
      <c r="E3929" s="7">
        <v>3.0</v>
      </c>
      <c r="F3929" s="7">
        <v>1.0</v>
      </c>
      <c r="G3929" s="7" t="s">
        <v>83</v>
      </c>
      <c r="H3929" s="7" t="s">
        <v>1585</v>
      </c>
      <c r="I3929" s="7" t="s">
        <v>22</v>
      </c>
    </row>
    <row r="3930">
      <c r="A3930" s="7" t="s">
        <v>72</v>
      </c>
      <c r="B3930" s="7" t="s">
        <v>1836</v>
      </c>
      <c r="C3930" s="8">
        <f>IFERROR(__xludf.DUMMYFUNCTION("SPLIT(B3930,""RM"")"),675000.0)</f>
        <v>675000</v>
      </c>
      <c r="D3930" s="7">
        <v>2.0</v>
      </c>
      <c r="E3930" s="7">
        <v>2.0</v>
      </c>
      <c r="F3930" s="7">
        <v>1.0</v>
      </c>
      <c r="G3930" s="7" t="s">
        <v>20</v>
      </c>
      <c r="H3930" s="7" t="s">
        <v>1891</v>
      </c>
      <c r="I3930" s="7" t="s">
        <v>22</v>
      </c>
    </row>
    <row r="3931">
      <c r="A3931" s="7" t="s">
        <v>428</v>
      </c>
      <c r="B3931" s="7" t="s">
        <v>1328</v>
      </c>
      <c r="C3931" s="8">
        <f>IFERROR(__xludf.DUMMYFUNCTION("SPLIT(B3931,""RM"")"),650000.0)</f>
        <v>650000</v>
      </c>
      <c r="F3931" s="7">
        <v>1.0</v>
      </c>
      <c r="G3931" s="7" t="s">
        <v>20</v>
      </c>
      <c r="H3931" s="7" t="s">
        <v>1391</v>
      </c>
      <c r="I3931" s="7" t="s">
        <v>22</v>
      </c>
    </row>
    <row r="3932">
      <c r="A3932" s="7" t="s">
        <v>1014</v>
      </c>
      <c r="B3932" s="7" t="s">
        <v>671</v>
      </c>
      <c r="C3932" s="8">
        <f>IFERROR(__xludf.DUMMYFUNCTION("SPLIT(B3932,""RM"")"),2780000.0)</f>
        <v>2780000</v>
      </c>
      <c r="D3932" s="7" t="s">
        <v>60</v>
      </c>
      <c r="E3932" s="7">
        <v>7.0</v>
      </c>
      <c r="G3932" s="7" t="s">
        <v>43</v>
      </c>
      <c r="H3932" s="7" t="s">
        <v>2521</v>
      </c>
      <c r="I3932" s="7" t="s">
        <v>22</v>
      </c>
    </row>
    <row r="3933">
      <c r="A3933" s="7" t="s">
        <v>177</v>
      </c>
      <c r="B3933" s="7" t="s">
        <v>2446</v>
      </c>
      <c r="C3933" s="8">
        <f>IFERROR(__xludf.DUMMYFUNCTION("SPLIT(B3933,""RM"")"),985000.0)</f>
        <v>985000</v>
      </c>
      <c r="D3933" s="7">
        <v>3.0</v>
      </c>
      <c r="E3933" s="7">
        <v>2.0</v>
      </c>
      <c r="F3933" s="7">
        <v>2.0</v>
      </c>
      <c r="G3933" s="7" t="s">
        <v>93</v>
      </c>
      <c r="H3933" s="7" t="s">
        <v>551</v>
      </c>
      <c r="I3933" s="7" t="s">
        <v>103</v>
      </c>
    </row>
    <row r="3934">
      <c r="A3934" s="7" t="s">
        <v>17</v>
      </c>
      <c r="B3934" s="7" t="s">
        <v>526</v>
      </c>
      <c r="C3934" s="8">
        <f>IFERROR(__xludf.DUMMYFUNCTION("SPLIT(B3934,""RM"")"),1330000.0)</f>
        <v>1330000</v>
      </c>
      <c r="D3934" s="7">
        <v>2.0</v>
      </c>
      <c r="E3934" s="7">
        <v>2.0</v>
      </c>
      <c r="F3934" s="7">
        <v>1.0</v>
      </c>
      <c r="G3934" s="7" t="s">
        <v>30</v>
      </c>
      <c r="H3934" s="7" t="s">
        <v>1153</v>
      </c>
      <c r="I3934" s="7" t="s">
        <v>22</v>
      </c>
    </row>
    <row r="3935">
      <c r="A3935" s="7" t="s">
        <v>17</v>
      </c>
      <c r="B3935" s="7" t="s">
        <v>1152</v>
      </c>
      <c r="C3935" s="8">
        <f>IFERROR(__xludf.DUMMYFUNCTION("SPLIT(B3935,""RM"")"),1390000.0)</f>
        <v>1390000</v>
      </c>
      <c r="D3935" s="7">
        <v>2.0</v>
      </c>
      <c r="E3935" s="7">
        <v>2.0</v>
      </c>
      <c r="F3935" s="7">
        <v>1.0</v>
      </c>
      <c r="G3935" s="7" t="s">
        <v>30</v>
      </c>
      <c r="H3935" s="7" t="s">
        <v>335</v>
      </c>
      <c r="I3935" s="7" t="s">
        <v>22</v>
      </c>
    </row>
    <row r="3936">
      <c r="A3936" s="7" t="s">
        <v>33</v>
      </c>
      <c r="B3936" s="7" t="s">
        <v>314</v>
      </c>
      <c r="C3936" s="8">
        <f>IFERROR(__xludf.DUMMYFUNCTION("SPLIT(B3936,""RM"")"),670000.0)</f>
        <v>670000</v>
      </c>
      <c r="D3936" s="7">
        <v>3.0</v>
      </c>
      <c r="E3936" s="7">
        <v>2.0</v>
      </c>
      <c r="F3936" s="7">
        <v>2.0</v>
      </c>
      <c r="G3936" s="7" t="s">
        <v>93</v>
      </c>
      <c r="H3936" s="7" t="s">
        <v>2522</v>
      </c>
      <c r="I3936" s="7" t="s">
        <v>27</v>
      </c>
    </row>
    <row r="3937">
      <c r="A3937" s="7" t="s">
        <v>17</v>
      </c>
      <c r="B3937" s="7" t="s">
        <v>311</v>
      </c>
      <c r="C3937" s="8">
        <f>IFERROR(__xludf.DUMMYFUNCTION("SPLIT(B3937,""RM"")"),1100000.0)</f>
        <v>1100000</v>
      </c>
      <c r="D3937" s="7">
        <v>1.0</v>
      </c>
      <c r="E3937" s="7">
        <v>1.0</v>
      </c>
      <c r="F3937" s="7">
        <v>1.0</v>
      </c>
      <c r="G3937" s="7" t="s">
        <v>20</v>
      </c>
      <c r="H3937" s="7" t="s">
        <v>836</v>
      </c>
      <c r="I3937" s="7" t="s">
        <v>22</v>
      </c>
    </row>
    <row r="3938">
      <c r="A3938" s="7" t="s">
        <v>32</v>
      </c>
      <c r="B3938" s="7" t="s">
        <v>2523</v>
      </c>
      <c r="C3938" s="8">
        <f>IFERROR(__xludf.DUMMYFUNCTION("SPLIT(B3938,""RM"")"),158000.0)</f>
        <v>158000</v>
      </c>
      <c r="D3938" s="7">
        <v>3.0</v>
      </c>
      <c r="E3938" s="7">
        <v>2.0</v>
      </c>
      <c r="G3938" s="7" t="s">
        <v>2473</v>
      </c>
      <c r="H3938" s="7" t="s">
        <v>242</v>
      </c>
      <c r="I3938" s="7" t="s">
        <v>103</v>
      </c>
    </row>
    <row r="3939">
      <c r="A3939" s="7" t="s">
        <v>77</v>
      </c>
      <c r="B3939" s="7" t="s">
        <v>386</v>
      </c>
      <c r="C3939" s="8">
        <f>IFERROR(__xludf.DUMMYFUNCTION("SPLIT(B3939,""RM"")"),2380000.0)</f>
        <v>2380000</v>
      </c>
      <c r="D3939" s="7" t="s">
        <v>35</v>
      </c>
      <c r="E3939" s="7">
        <v>5.0</v>
      </c>
      <c r="F3939" s="7">
        <v>4.0</v>
      </c>
      <c r="G3939" s="7" t="s">
        <v>83</v>
      </c>
      <c r="H3939" s="7" t="s">
        <v>2524</v>
      </c>
      <c r="I3939" s="7" t="s">
        <v>22</v>
      </c>
    </row>
    <row r="3940">
      <c r="A3940" s="7" t="s">
        <v>104</v>
      </c>
      <c r="B3940" s="7" t="s">
        <v>239</v>
      </c>
      <c r="C3940" s="8">
        <f>IFERROR(__xludf.DUMMYFUNCTION("SPLIT(B3940,""RM"")"),1280000.0)</f>
        <v>1280000</v>
      </c>
      <c r="D3940" s="7">
        <v>6.0</v>
      </c>
      <c r="E3940" s="7">
        <v>4.0</v>
      </c>
      <c r="G3940" s="7" t="s">
        <v>562</v>
      </c>
    </row>
    <row r="3941">
      <c r="A3941" s="7" t="s">
        <v>104</v>
      </c>
      <c r="B3941" s="7" t="s">
        <v>761</v>
      </c>
      <c r="C3941" s="8">
        <f>IFERROR(__xludf.DUMMYFUNCTION("SPLIT(B3941,""RM"")"),480000.0)</f>
        <v>480000</v>
      </c>
      <c r="D3941" s="7">
        <v>3.0</v>
      </c>
      <c r="E3941" s="7">
        <v>2.0</v>
      </c>
      <c r="F3941" s="7">
        <v>1.0</v>
      </c>
      <c r="G3941" s="7" t="s">
        <v>20</v>
      </c>
      <c r="H3941" s="7" t="s">
        <v>190</v>
      </c>
    </row>
    <row r="3942">
      <c r="A3942" s="7" t="s">
        <v>104</v>
      </c>
      <c r="B3942" s="7" t="s">
        <v>372</v>
      </c>
      <c r="C3942" s="8">
        <f>IFERROR(__xludf.DUMMYFUNCTION("SPLIT(B3942,""RM"")"),700000.0)</f>
        <v>700000</v>
      </c>
      <c r="D3942" s="7">
        <v>4.0</v>
      </c>
      <c r="E3942" s="7">
        <v>2.0</v>
      </c>
      <c r="F3942" s="7">
        <v>2.0</v>
      </c>
      <c r="G3942" s="7" t="s">
        <v>83</v>
      </c>
      <c r="H3942" s="7" t="s">
        <v>2525</v>
      </c>
      <c r="I3942" s="7" t="s">
        <v>22</v>
      </c>
    </row>
    <row r="3943">
      <c r="A3943" s="7" t="s">
        <v>580</v>
      </c>
      <c r="B3943" s="7" t="s">
        <v>1133</v>
      </c>
      <c r="C3943" s="8">
        <f>IFERROR(__xludf.DUMMYFUNCTION("SPLIT(B3943,""RM"")"),358000.0)</f>
        <v>358000</v>
      </c>
      <c r="D3943" s="7" t="s">
        <v>57</v>
      </c>
      <c r="E3943" s="7">
        <v>2.0</v>
      </c>
      <c r="F3943" s="7">
        <v>1.0</v>
      </c>
      <c r="G3943" s="7" t="s">
        <v>20</v>
      </c>
    </row>
    <row r="3944">
      <c r="A3944" s="7" t="s">
        <v>432</v>
      </c>
      <c r="B3944" s="7" t="s">
        <v>890</v>
      </c>
      <c r="C3944" s="8">
        <f>IFERROR(__xludf.DUMMYFUNCTION("SPLIT(B3944,""RM"")"),450000.0)</f>
        <v>450000</v>
      </c>
      <c r="D3944" s="7" t="s">
        <v>325</v>
      </c>
      <c r="E3944" s="7">
        <v>1.0</v>
      </c>
      <c r="G3944" s="7" t="s">
        <v>20</v>
      </c>
      <c r="H3944" s="7" t="s">
        <v>2526</v>
      </c>
    </row>
    <row r="3945">
      <c r="A3945" s="7" t="s">
        <v>358</v>
      </c>
      <c r="B3945" s="7" t="s">
        <v>639</v>
      </c>
      <c r="C3945" s="8">
        <f>IFERROR(__xludf.DUMMYFUNCTION("SPLIT(B3945,""RM"")"),360000.0)</f>
        <v>360000</v>
      </c>
      <c r="D3945" s="7">
        <v>3.0</v>
      </c>
      <c r="E3945" s="7">
        <v>2.0</v>
      </c>
      <c r="F3945" s="7">
        <v>1.0</v>
      </c>
      <c r="G3945" s="7" t="s">
        <v>354</v>
      </c>
      <c r="H3945" s="7" t="s">
        <v>607</v>
      </c>
    </row>
    <row r="3946">
      <c r="A3946" s="7" t="s">
        <v>28</v>
      </c>
      <c r="B3946" s="7" t="s">
        <v>407</v>
      </c>
      <c r="C3946" s="8">
        <f>IFERROR(__xludf.DUMMYFUNCTION("SPLIT(B3946,""RM"")"),880000.0)</f>
        <v>880000</v>
      </c>
      <c r="D3946" s="7">
        <v>1.0</v>
      </c>
      <c r="E3946" s="7">
        <v>1.0</v>
      </c>
      <c r="F3946" s="7">
        <v>1.0</v>
      </c>
      <c r="G3946" s="7" t="s">
        <v>93</v>
      </c>
      <c r="H3946" s="7" t="s">
        <v>2527</v>
      </c>
      <c r="I3946" s="7" t="s">
        <v>22</v>
      </c>
    </row>
    <row r="3947">
      <c r="A3947" s="7" t="s">
        <v>17</v>
      </c>
      <c r="B3947" s="7" t="s">
        <v>2528</v>
      </c>
      <c r="C3947" s="8">
        <f>IFERROR(__xludf.DUMMYFUNCTION("SPLIT(B3947,""RM"")"),2478600.0)</f>
        <v>2478600</v>
      </c>
      <c r="D3947" s="7" t="s">
        <v>35</v>
      </c>
      <c r="E3947" s="7">
        <v>4.0</v>
      </c>
      <c r="G3947" s="7" t="s">
        <v>30</v>
      </c>
      <c r="H3947" s="7" t="s">
        <v>840</v>
      </c>
      <c r="I3947" s="7" t="s">
        <v>27</v>
      </c>
    </row>
    <row r="3948">
      <c r="A3948" s="7" t="s">
        <v>32</v>
      </c>
      <c r="B3948" s="7" t="s">
        <v>2514</v>
      </c>
      <c r="C3948" s="8">
        <f>IFERROR(__xludf.DUMMYFUNCTION("SPLIT(B3948,""RM"")"),229000.0)</f>
        <v>229000</v>
      </c>
      <c r="D3948" s="7">
        <v>3.0</v>
      </c>
      <c r="E3948" s="7">
        <v>2.0</v>
      </c>
      <c r="F3948" s="7">
        <v>1.0</v>
      </c>
      <c r="G3948" s="7" t="s">
        <v>354</v>
      </c>
      <c r="H3948" s="7" t="s">
        <v>1270</v>
      </c>
      <c r="I3948" s="7" t="s">
        <v>27</v>
      </c>
    </row>
    <row r="3949">
      <c r="A3949" s="7" t="s">
        <v>143</v>
      </c>
      <c r="B3949" s="7" t="s">
        <v>953</v>
      </c>
      <c r="C3949" s="8">
        <f>IFERROR(__xludf.DUMMYFUNCTION("SPLIT(B3949,""RM"")"),730000.0)</f>
        <v>730000</v>
      </c>
      <c r="D3949" s="7">
        <v>1.0</v>
      </c>
      <c r="E3949" s="7">
        <v>1.0</v>
      </c>
      <c r="F3949" s="7">
        <v>1.0</v>
      </c>
      <c r="G3949" s="7" t="s">
        <v>20</v>
      </c>
      <c r="H3949" s="7" t="s">
        <v>1270</v>
      </c>
    </row>
    <row r="3950">
      <c r="A3950" s="7" t="s">
        <v>143</v>
      </c>
      <c r="B3950" s="7" t="s">
        <v>329</v>
      </c>
      <c r="C3950" s="8">
        <f>IFERROR(__xludf.DUMMYFUNCTION("SPLIT(B3950,""RM"")"),1200000.0)</f>
        <v>1200000</v>
      </c>
      <c r="D3950" s="7">
        <v>3.0</v>
      </c>
      <c r="E3950" s="7">
        <v>2.0</v>
      </c>
      <c r="F3950" s="7">
        <v>1.0</v>
      </c>
      <c r="G3950" s="7" t="s">
        <v>82</v>
      </c>
      <c r="H3950" s="7" t="s">
        <v>1505</v>
      </c>
      <c r="I3950" s="7" t="s">
        <v>27</v>
      </c>
    </row>
    <row r="3951">
      <c r="A3951" s="7" t="s">
        <v>32</v>
      </c>
      <c r="B3951" s="7" t="s">
        <v>599</v>
      </c>
      <c r="C3951" s="8">
        <f>IFERROR(__xludf.DUMMYFUNCTION("SPLIT(B3951,""RM"")"),950000.0)</f>
        <v>950000</v>
      </c>
      <c r="D3951" s="7">
        <v>4.0</v>
      </c>
      <c r="E3951" s="7">
        <v>3.0</v>
      </c>
      <c r="F3951" s="7">
        <v>2.0</v>
      </c>
      <c r="G3951" s="7" t="s">
        <v>169</v>
      </c>
    </row>
    <row r="3952">
      <c r="A3952" s="7" t="s">
        <v>100</v>
      </c>
      <c r="B3952" s="7" t="s">
        <v>1328</v>
      </c>
      <c r="C3952" s="8">
        <f>IFERROR(__xludf.DUMMYFUNCTION("SPLIT(B3952,""RM"")"),650000.0)</f>
        <v>650000</v>
      </c>
      <c r="D3952" s="7" t="s">
        <v>57</v>
      </c>
      <c r="E3952" s="7">
        <v>4.0</v>
      </c>
      <c r="F3952" s="7">
        <v>2.0</v>
      </c>
      <c r="G3952" s="7" t="s">
        <v>93</v>
      </c>
      <c r="H3952" s="7" t="s">
        <v>2529</v>
      </c>
      <c r="I3952" s="7" t="s">
        <v>27</v>
      </c>
    </row>
    <row r="3953">
      <c r="A3953" s="7" t="s">
        <v>72</v>
      </c>
      <c r="B3953" s="7" t="s">
        <v>42</v>
      </c>
      <c r="C3953" s="8">
        <f>IFERROR(__xludf.DUMMYFUNCTION("SPLIT(B3953,""RM"")"),2600000.0)</f>
        <v>2600000</v>
      </c>
      <c r="D3953" s="7" t="s">
        <v>35</v>
      </c>
      <c r="F3953" s="7">
        <v>3.0</v>
      </c>
      <c r="G3953" s="7" t="s">
        <v>83</v>
      </c>
      <c r="H3953" s="7" t="s">
        <v>2280</v>
      </c>
      <c r="I3953" s="7" t="s">
        <v>27</v>
      </c>
    </row>
    <row r="3954">
      <c r="A3954" s="7" t="s">
        <v>72</v>
      </c>
      <c r="B3954" s="7" t="s">
        <v>120</v>
      </c>
      <c r="C3954" s="8">
        <f>IFERROR(__xludf.DUMMYFUNCTION("SPLIT(B3954,""RM"")"),3600000.0)</f>
        <v>3600000</v>
      </c>
      <c r="D3954" s="7" t="s">
        <v>35</v>
      </c>
      <c r="F3954" s="7">
        <v>3.0</v>
      </c>
      <c r="G3954" s="7" t="s">
        <v>793</v>
      </c>
      <c r="H3954" s="7" t="s">
        <v>2530</v>
      </c>
      <c r="I3954" s="7" t="s">
        <v>27</v>
      </c>
    </row>
    <row r="3955">
      <c r="A3955" s="7" t="s">
        <v>72</v>
      </c>
      <c r="B3955" s="7" t="s">
        <v>871</v>
      </c>
      <c r="C3955" s="8">
        <f>IFERROR(__xludf.DUMMYFUNCTION("SPLIT(B3955,""RM"")"),669000.0)</f>
        <v>669000</v>
      </c>
      <c r="D3955" s="7" t="s">
        <v>19</v>
      </c>
      <c r="E3955" s="7">
        <v>2.0</v>
      </c>
      <c r="F3955" s="7">
        <v>2.0</v>
      </c>
      <c r="G3955" s="7" t="s">
        <v>83</v>
      </c>
      <c r="H3955" s="7" t="s">
        <v>2531</v>
      </c>
      <c r="I3955" s="7" t="s">
        <v>27</v>
      </c>
    </row>
    <row r="3956">
      <c r="A3956" s="7" t="s">
        <v>33</v>
      </c>
      <c r="B3956" s="7" t="s">
        <v>599</v>
      </c>
      <c r="C3956" s="8">
        <f>IFERROR(__xludf.DUMMYFUNCTION("SPLIT(B3956,""RM"")"),950000.0)</f>
        <v>950000</v>
      </c>
      <c r="D3956" s="7" t="s">
        <v>35</v>
      </c>
      <c r="E3956" s="7">
        <v>3.0</v>
      </c>
      <c r="F3956" s="7">
        <v>2.0</v>
      </c>
      <c r="G3956" s="7" t="s">
        <v>93</v>
      </c>
      <c r="H3956" s="7" t="s">
        <v>36</v>
      </c>
      <c r="I3956" s="7" t="s">
        <v>27</v>
      </c>
    </row>
    <row r="3957">
      <c r="A3957" s="7" t="s">
        <v>33</v>
      </c>
      <c r="B3957" s="7" t="s">
        <v>134</v>
      </c>
      <c r="C3957" s="8">
        <f>IFERROR(__xludf.DUMMYFUNCTION("SPLIT(B3957,""RM"")"),1150000.0)</f>
        <v>1150000</v>
      </c>
      <c r="D3957" s="7" t="s">
        <v>35</v>
      </c>
      <c r="E3957" s="7">
        <v>4.0</v>
      </c>
      <c r="F3957" s="7">
        <v>4.0</v>
      </c>
      <c r="G3957" s="7" t="s">
        <v>93</v>
      </c>
      <c r="H3957" s="7" t="s">
        <v>137</v>
      </c>
      <c r="I3957" s="7" t="s">
        <v>27</v>
      </c>
    </row>
    <row r="3958">
      <c r="A3958" s="7" t="s">
        <v>72</v>
      </c>
      <c r="B3958" s="7" t="s">
        <v>1267</v>
      </c>
      <c r="C3958" s="8">
        <f>IFERROR(__xludf.DUMMYFUNCTION("SPLIT(B3958,""RM"")"),648000.0)</f>
        <v>648000</v>
      </c>
      <c r="D3958" s="7" t="s">
        <v>19</v>
      </c>
      <c r="E3958" s="7">
        <v>2.0</v>
      </c>
      <c r="F3958" s="7">
        <v>2.0</v>
      </c>
      <c r="G3958" s="7" t="s">
        <v>83</v>
      </c>
      <c r="H3958" s="7" t="s">
        <v>2531</v>
      </c>
      <c r="I3958" s="7" t="s">
        <v>27</v>
      </c>
    </row>
    <row r="3959">
      <c r="A3959" s="7" t="s">
        <v>33</v>
      </c>
      <c r="B3959" s="7" t="s">
        <v>1152</v>
      </c>
      <c r="C3959" s="8">
        <f>IFERROR(__xludf.DUMMYFUNCTION("SPLIT(B3959,""RM"")"),1390000.0)</f>
        <v>1390000</v>
      </c>
      <c r="D3959" s="7" t="s">
        <v>70</v>
      </c>
      <c r="E3959" s="7">
        <v>4.0</v>
      </c>
      <c r="F3959" s="7">
        <v>4.0</v>
      </c>
      <c r="G3959" s="7" t="s">
        <v>93</v>
      </c>
      <c r="H3959" s="7" t="s">
        <v>330</v>
      </c>
      <c r="I3959" s="7" t="s">
        <v>27</v>
      </c>
    </row>
    <row r="3960">
      <c r="A3960" s="7" t="s">
        <v>33</v>
      </c>
      <c r="B3960" s="7" t="s">
        <v>2532</v>
      </c>
      <c r="C3960" s="8">
        <f>IFERROR(__xludf.DUMMYFUNCTION("SPLIT(B3960,""RM"")"),3300.0)</f>
        <v>3300</v>
      </c>
      <c r="D3960" s="7" t="s">
        <v>35</v>
      </c>
      <c r="E3960" s="7">
        <v>4.0</v>
      </c>
      <c r="F3960" s="7">
        <v>4.0</v>
      </c>
      <c r="G3960" s="7" t="s">
        <v>93</v>
      </c>
      <c r="H3960" s="7" t="s">
        <v>137</v>
      </c>
      <c r="I3960" s="7" t="s">
        <v>27</v>
      </c>
    </row>
    <row r="3961">
      <c r="A3961" s="7" t="s">
        <v>72</v>
      </c>
      <c r="B3961" s="7" t="s">
        <v>956</v>
      </c>
      <c r="C3961" s="8">
        <f>IFERROR(__xludf.DUMMYFUNCTION("SPLIT(B3961,""RM"")"),860000.0)</f>
        <v>860000</v>
      </c>
      <c r="D3961" s="7">
        <v>3.0</v>
      </c>
      <c r="E3961" s="7">
        <v>3.0</v>
      </c>
      <c r="F3961" s="7">
        <v>2.0</v>
      </c>
      <c r="G3961" s="7" t="s">
        <v>20</v>
      </c>
      <c r="H3961" s="7" t="s">
        <v>2401</v>
      </c>
      <c r="I3961" s="7" t="s">
        <v>22</v>
      </c>
    </row>
    <row r="3962">
      <c r="A3962" s="7" t="s">
        <v>33</v>
      </c>
      <c r="B3962" s="7" t="s">
        <v>372</v>
      </c>
      <c r="C3962" s="8">
        <f>IFERROR(__xludf.DUMMYFUNCTION("SPLIT(B3962,""RM"")"),700000.0)</f>
        <v>700000</v>
      </c>
      <c r="E3962" s="7">
        <v>2.0</v>
      </c>
      <c r="F3962" s="7">
        <v>2.0</v>
      </c>
      <c r="G3962" s="7" t="s">
        <v>30</v>
      </c>
      <c r="H3962" s="7" t="s">
        <v>2533</v>
      </c>
      <c r="I3962" s="7" t="s">
        <v>27</v>
      </c>
    </row>
    <row r="3963">
      <c r="A3963" s="7" t="s">
        <v>41</v>
      </c>
      <c r="B3963" s="7" t="s">
        <v>2534</v>
      </c>
      <c r="C3963" s="8">
        <f>IFERROR(__xludf.DUMMYFUNCTION("SPLIT(B3963,""RM"")"),5450000.0)</f>
        <v>5450000</v>
      </c>
      <c r="D3963" s="7" t="s">
        <v>39</v>
      </c>
      <c r="E3963" s="7">
        <v>6.0</v>
      </c>
      <c r="G3963" s="7" t="s">
        <v>25</v>
      </c>
      <c r="H3963" s="7" t="s">
        <v>2535</v>
      </c>
      <c r="I3963" s="7" t="s">
        <v>27</v>
      </c>
    </row>
    <row r="3964">
      <c r="A3964" s="7" t="s">
        <v>171</v>
      </c>
      <c r="B3964" s="7" t="s">
        <v>2016</v>
      </c>
      <c r="C3964" s="8">
        <f>IFERROR(__xludf.DUMMYFUNCTION("SPLIT(B3964,""RM"")"),435000.0)</f>
        <v>435000</v>
      </c>
      <c r="D3964" s="7" t="s">
        <v>57</v>
      </c>
      <c r="E3964" s="7">
        <v>2.0</v>
      </c>
      <c r="F3964" s="7">
        <v>2.0</v>
      </c>
      <c r="G3964" s="7" t="s">
        <v>82</v>
      </c>
      <c r="H3964" s="7" t="s">
        <v>607</v>
      </c>
      <c r="I3964" s="7" t="s">
        <v>103</v>
      </c>
    </row>
    <row r="3965">
      <c r="A3965" s="7" t="s">
        <v>33</v>
      </c>
      <c r="B3965" s="7" t="s">
        <v>139</v>
      </c>
      <c r="C3965" s="8">
        <f>IFERROR(__xludf.DUMMYFUNCTION("SPLIT(B3965,""RM"")"),780000.0)</f>
        <v>780000</v>
      </c>
      <c r="G3965" s="7" t="s">
        <v>82</v>
      </c>
      <c r="H3965" s="7" t="s">
        <v>2403</v>
      </c>
      <c r="I3965" s="7" t="s">
        <v>27</v>
      </c>
    </row>
    <row r="3966">
      <c r="A3966" s="7" t="s">
        <v>223</v>
      </c>
      <c r="B3966" s="7" t="s">
        <v>138</v>
      </c>
      <c r="C3966" s="8">
        <f>IFERROR(__xludf.DUMMYFUNCTION("SPLIT(B3966,""RM"")"),930000.0)</f>
        <v>930000</v>
      </c>
      <c r="D3966" s="7" t="s">
        <v>19</v>
      </c>
      <c r="E3966" s="7">
        <v>2.0</v>
      </c>
      <c r="F3966" s="7">
        <v>1.0</v>
      </c>
      <c r="G3966" s="7" t="s">
        <v>82</v>
      </c>
      <c r="H3966" s="7" t="s">
        <v>1004</v>
      </c>
      <c r="I3966" s="7" t="s">
        <v>22</v>
      </c>
    </row>
    <row r="3967">
      <c r="A3967" s="7" t="s">
        <v>223</v>
      </c>
      <c r="B3967" s="7" t="s">
        <v>1892</v>
      </c>
      <c r="C3967" s="8">
        <f>IFERROR(__xludf.DUMMYFUNCTION("SPLIT(B3967,""RM"")"),515000.0)</f>
        <v>515000</v>
      </c>
      <c r="D3967" s="7">
        <v>1.0</v>
      </c>
      <c r="E3967" s="7">
        <v>1.0</v>
      </c>
      <c r="G3967" s="7" t="s">
        <v>82</v>
      </c>
      <c r="H3967" s="7" t="s">
        <v>537</v>
      </c>
      <c r="I3967" s="7" t="s">
        <v>22</v>
      </c>
    </row>
    <row r="3968">
      <c r="A3968" s="7" t="s">
        <v>48</v>
      </c>
      <c r="B3968" s="7" t="s">
        <v>245</v>
      </c>
      <c r="C3968" s="8">
        <f>IFERROR(__xludf.DUMMYFUNCTION("SPLIT(B3968,""RM"")"),800000.0)</f>
        <v>800000</v>
      </c>
      <c r="D3968" s="7" t="s">
        <v>57</v>
      </c>
      <c r="E3968" s="7">
        <v>3.0</v>
      </c>
      <c r="G3968" s="7" t="s">
        <v>717</v>
      </c>
      <c r="H3968" s="7" t="s">
        <v>911</v>
      </c>
      <c r="I3968" s="7" t="s">
        <v>22</v>
      </c>
    </row>
    <row r="3969">
      <c r="A3969" s="7" t="s">
        <v>223</v>
      </c>
      <c r="B3969" s="7" t="s">
        <v>983</v>
      </c>
      <c r="C3969" s="8">
        <f>IFERROR(__xludf.DUMMYFUNCTION("SPLIT(B3969,""RM"")"),440000.0)</f>
        <v>440000</v>
      </c>
      <c r="D3969" s="7" t="s">
        <v>325</v>
      </c>
      <c r="E3969" s="7">
        <v>1.0</v>
      </c>
      <c r="G3969" s="7" t="s">
        <v>20</v>
      </c>
      <c r="I3969" s="7" t="s">
        <v>27</v>
      </c>
    </row>
    <row r="3970">
      <c r="A3970" s="7" t="s">
        <v>17</v>
      </c>
      <c r="B3970" s="7" t="s">
        <v>2536</v>
      </c>
      <c r="C3970" s="8">
        <f>IFERROR(__xludf.DUMMYFUNCTION("SPLIT(B3970,""RM"")"),1937320.0)</f>
        <v>1937320</v>
      </c>
      <c r="D3970" s="7">
        <v>3.0</v>
      </c>
      <c r="E3970" s="7">
        <v>2.0</v>
      </c>
      <c r="F3970" s="7">
        <v>1.0</v>
      </c>
      <c r="G3970" s="7" t="s">
        <v>20</v>
      </c>
      <c r="H3970" s="7" t="s">
        <v>2386</v>
      </c>
      <c r="I3970" s="7" t="s">
        <v>22</v>
      </c>
    </row>
    <row r="3971">
      <c r="A3971" s="7" t="s">
        <v>32</v>
      </c>
      <c r="B3971" s="7" t="s">
        <v>1267</v>
      </c>
      <c r="C3971" s="8">
        <f>IFERROR(__xludf.DUMMYFUNCTION("SPLIT(B3971,""RM"")"),648000.0)</f>
        <v>648000</v>
      </c>
      <c r="D3971" s="7">
        <v>4.0</v>
      </c>
      <c r="E3971" s="7">
        <v>3.0</v>
      </c>
      <c r="F3971" s="7">
        <v>4.0</v>
      </c>
      <c r="G3971" s="7" t="s">
        <v>46</v>
      </c>
      <c r="H3971" s="7" t="s">
        <v>248</v>
      </c>
      <c r="I3971" s="7" t="s">
        <v>27</v>
      </c>
    </row>
    <row r="3972">
      <c r="A3972" s="7" t="s">
        <v>223</v>
      </c>
      <c r="B3972" s="7" t="s">
        <v>969</v>
      </c>
      <c r="C3972" s="8">
        <f>IFERROR(__xludf.DUMMYFUNCTION("SPLIT(B3972,""RM"")"),430000.0)</f>
        <v>430000</v>
      </c>
      <c r="D3972" s="7" t="s">
        <v>325</v>
      </c>
      <c r="E3972" s="7">
        <v>1.0</v>
      </c>
      <c r="G3972" s="7" t="s">
        <v>82</v>
      </c>
      <c r="H3972" s="7" t="s">
        <v>244</v>
      </c>
      <c r="I3972" s="7" t="s">
        <v>27</v>
      </c>
    </row>
    <row r="3973">
      <c r="A3973" s="7" t="s">
        <v>2433</v>
      </c>
      <c r="B3973" s="7" t="s">
        <v>2537</v>
      </c>
      <c r="C3973" s="8">
        <f>IFERROR(__xludf.DUMMYFUNCTION("SPLIT(B3973,""RM"")"),9700000.0)</f>
        <v>9700000</v>
      </c>
      <c r="D3973" s="7">
        <v>6.0</v>
      </c>
      <c r="E3973" s="7">
        <v>6.0</v>
      </c>
      <c r="F3973" s="7">
        <v>10.0</v>
      </c>
      <c r="G3973" s="7" t="s">
        <v>25</v>
      </c>
      <c r="H3973" s="7" t="s">
        <v>2538</v>
      </c>
      <c r="I3973" s="7" t="s">
        <v>27</v>
      </c>
    </row>
    <row r="3974">
      <c r="A3974" s="7" t="s">
        <v>32</v>
      </c>
      <c r="B3974" s="7" t="s">
        <v>507</v>
      </c>
      <c r="C3974" s="8">
        <f>IFERROR(__xludf.DUMMYFUNCTION("SPLIT(B3974,""RM"")"),590000.0)</f>
        <v>590000</v>
      </c>
      <c r="D3974" s="7">
        <v>4.0</v>
      </c>
      <c r="E3974" s="7">
        <v>2.0</v>
      </c>
      <c r="F3974" s="7">
        <v>1.0</v>
      </c>
      <c r="G3974" s="7" t="s">
        <v>83</v>
      </c>
      <c r="H3974" s="7" t="s">
        <v>2539</v>
      </c>
      <c r="I3974" s="7" t="s">
        <v>27</v>
      </c>
    </row>
    <row r="3975">
      <c r="A3975" s="7" t="s">
        <v>33</v>
      </c>
      <c r="B3975" s="7" t="s">
        <v>1423</v>
      </c>
      <c r="C3975" s="8">
        <f>IFERROR(__xludf.DUMMYFUNCTION("SPLIT(B3975,""RM"")"),420000.0)</f>
        <v>420000</v>
      </c>
      <c r="D3975" s="7">
        <v>3.0</v>
      </c>
      <c r="E3975" s="7">
        <v>2.0</v>
      </c>
      <c r="F3975" s="7">
        <v>1.0</v>
      </c>
      <c r="G3975" s="7" t="s">
        <v>354</v>
      </c>
      <c r="H3975" s="7" t="s">
        <v>2540</v>
      </c>
      <c r="I3975" s="7" t="s">
        <v>27</v>
      </c>
    </row>
    <row r="3976">
      <c r="A3976" s="7" t="s">
        <v>28</v>
      </c>
      <c r="B3976" s="7" t="s">
        <v>2358</v>
      </c>
      <c r="C3976" s="8">
        <f>IFERROR(__xludf.DUMMYFUNCTION("SPLIT(B3976,""RM"")"),728000.0)</f>
        <v>728000</v>
      </c>
      <c r="D3976" s="7">
        <v>3.0</v>
      </c>
      <c r="E3976" s="7">
        <v>2.0</v>
      </c>
      <c r="G3976" s="7" t="s">
        <v>83</v>
      </c>
      <c r="H3976" s="7" t="s">
        <v>1604</v>
      </c>
      <c r="I3976" s="7" t="s">
        <v>27</v>
      </c>
    </row>
    <row r="3977">
      <c r="A3977" s="7" t="s">
        <v>241</v>
      </c>
      <c r="B3977" s="7" t="s">
        <v>1735</v>
      </c>
      <c r="C3977" s="8">
        <f>IFERROR(__xludf.DUMMYFUNCTION("SPLIT(B3977,""RM"")"),308000.0)</f>
        <v>308000</v>
      </c>
      <c r="D3977" s="7">
        <v>3.0</v>
      </c>
      <c r="E3977" s="7">
        <v>2.0</v>
      </c>
      <c r="F3977" s="7">
        <v>1.0</v>
      </c>
      <c r="G3977" s="7" t="s">
        <v>83</v>
      </c>
      <c r="H3977" s="7" t="s">
        <v>2541</v>
      </c>
    </row>
    <row r="3978">
      <c r="A3978" s="7" t="s">
        <v>89</v>
      </c>
      <c r="B3978" s="7" t="s">
        <v>563</v>
      </c>
      <c r="C3978" s="8">
        <f>IFERROR(__xludf.DUMMYFUNCTION("SPLIT(B3978,""RM"")"),600000.0)</f>
        <v>600000</v>
      </c>
      <c r="D3978" s="7">
        <v>3.0</v>
      </c>
      <c r="E3978" s="7">
        <v>2.0</v>
      </c>
      <c r="F3978" s="7">
        <v>2.0</v>
      </c>
      <c r="G3978" s="7" t="s">
        <v>20</v>
      </c>
      <c r="H3978" s="7" t="s">
        <v>764</v>
      </c>
      <c r="I3978" s="7" t="s">
        <v>27</v>
      </c>
    </row>
    <row r="3979">
      <c r="A3979" s="7" t="s">
        <v>1014</v>
      </c>
      <c r="B3979" s="7" t="s">
        <v>2542</v>
      </c>
      <c r="C3979" s="8">
        <f>IFERROR(__xludf.DUMMYFUNCTION("SPLIT(B3979,""RM"")"),558000.0)</f>
        <v>558000</v>
      </c>
      <c r="D3979" s="7">
        <v>3.0</v>
      </c>
      <c r="E3979" s="7">
        <v>2.0</v>
      </c>
      <c r="F3979" s="7">
        <v>3.0</v>
      </c>
      <c r="G3979" s="7" t="s">
        <v>83</v>
      </c>
      <c r="H3979" s="7" t="s">
        <v>2188</v>
      </c>
      <c r="I3979" s="7" t="s">
        <v>27</v>
      </c>
    </row>
    <row r="3980">
      <c r="A3980" s="7" t="s">
        <v>33</v>
      </c>
      <c r="B3980" s="7" t="s">
        <v>563</v>
      </c>
      <c r="C3980" s="8">
        <f>IFERROR(__xludf.DUMMYFUNCTION("SPLIT(B3980,""RM"")"),600000.0)</f>
        <v>600000</v>
      </c>
      <c r="D3980" s="7">
        <v>3.0</v>
      </c>
      <c r="E3980" s="7">
        <v>2.0</v>
      </c>
      <c r="F3980" s="7">
        <v>2.0</v>
      </c>
      <c r="G3980" s="7" t="s">
        <v>93</v>
      </c>
      <c r="H3980" s="7" t="s">
        <v>1688</v>
      </c>
      <c r="I3980" s="7" t="s">
        <v>27</v>
      </c>
    </row>
    <row r="3981">
      <c r="A3981" s="7" t="s">
        <v>33</v>
      </c>
      <c r="B3981" s="7" t="s">
        <v>1199</v>
      </c>
      <c r="C3981" s="8">
        <f>IFERROR(__xludf.DUMMYFUNCTION("SPLIT(B3981,""RM"")"),855000.0)</f>
        <v>855000</v>
      </c>
      <c r="D3981" s="7" t="s">
        <v>57</v>
      </c>
      <c r="E3981" s="7">
        <v>3.0</v>
      </c>
      <c r="G3981" s="7" t="s">
        <v>83</v>
      </c>
      <c r="H3981" s="7" t="s">
        <v>2543</v>
      </c>
      <c r="I3981" s="7" t="s">
        <v>103</v>
      </c>
    </row>
    <row r="3982">
      <c r="A3982" s="7" t="s">
        <v>32</v>
      </c>
      <c r="B3982" s="7" t="s">
        <v>2358</v>
      </c>
      <c r="C3982" s="8">
        <f>IFERROR(__xludf.DUMMYFUNCTION("SPLIT(B3982,""RM"")"),728000.0)</f>
        <v>728000</v>
      </c>
      <c r="D3982" s="7">
        <v>4.0</v>
      </c>
      <c r="E3982" s="7">
        <v>3.0</v>
      </c>
      <c r="G3982" s="7" t="s">
        <v>54</v>
      </c>
      <c r="H3982" s="7" t="s">
        <v>2544</v>
      </c>
      <c r="I3982" s="7" t="s">
        <v>27</v>
      </c>
    </row>
    <row r="3983">
      <c r="A3983" s="7" t="s">
        <v>371</v>
      </c>
      <c r="B3983" s="7" t="s">
        <v>2545</v>
      </c>
      <c r="C3983" s="8">
        <f>IFERROR(__xludf.DUMMYFUNCTION("SPLIT(B3983,""RM"")"),383820.0)</f>
        <v>383820</v>
      </c>
      <c r="D3983" s="7">
        <v>3.0</v>
      </c>
      <c r="E3983" s="7">
        <v>2.0</v>
      </c>
      <c r="G3983" s="7" t="s">
        <v>93</v>
      </c>
      <c r="H3983" s="7" t="s">
        <v>2546</v>
      </c>
      <c r="I3983" s="7" t="s">
        <v>103</v>
      </c>
    </row>
    <row r="3984">
      <c r="A3984" s="7" t="s">
        <v>164</v>
      </c>
      <c r="B3984" s="7" t="s">
        <v>322</v>
      </c>
      <c r="C3984" s="8">
        <f>IFERROR(__xludf.DUMMYFUNCTION("SPLIT(B3984,""RM"")"),1900000.0)</f>
        <v>1900000</v>
      </c>
      <c r="D3984" s="7">
        <v>2.0</v>
      </c>
      <c r="E3984" s="7">
        <v>2.0</v>
      </c>
      <c r="F3984" s="7">
        <v>1.0</v>
      </c>
      <c r="G3984" s="7" t="s">
        <v>20</v>
      </c>
      <c r="H3984" s="7" t="s">
        <v>234</v>
      </c>
      <c r="I3984" s="7" t="s">
        <v>22</v>
      </c>
    </row>
    <row r="3985">
      <c r="A3985" s="7" t="s">
        <v>177</v>
      </c>
      <c r="B3985" s="7" t="s">
        <v>302</v>
      </c>
      <c r="C3985" s="8">
        <f>IFERROR(__xludf.DUMMYFUNCTION("SPLIT(B3985,""RM"")"),1260000.0)</f>
        <v>1260000</v>
      </c>
      <c r="D3985" s="7">
        <v>2.0</v>
      </c>
      <c r="E3985" s="7">
        <v>2.0</v>
      </c>
      <c r="F3985" s="7">
        <v>1.0</v>
      </c>
      <c r="G3985" s="7" t="s">
        <v>121</v>
      </c>
      <c r="H3985" s="7" t="s">
        <v>2547</v>
      </c>
      <c r="I3985" s="7" t="s">
        <v>22</v>
      </c>
    </row>
    <row r="3986">
      <c r="A3986" s="7" t="s">
        <v>164</v>
      </c>
      <c r="B3986" s="7" t="s">
        <v>569</v>
      </c>
      <c r="C3986" s="8">
        <f>IFERROR(__xludf.DUMMYFUNCTION("SPLIT(B3986,""RM"")"),5129000.0)</f>
        <v>5129000</v>
      </c>
      <c r="D3986" s="7">
        <v>4.0</v>
      </c>
      <c r="E3986" s="7">
        <v>4.0</v>
      </c>
      <c r="F3986" s="7">
        <v>3.0</v>
      </c>
      <c r="G3986" s="7" t="s">
        <v>312</v>
      </c>
      <c r="H3986" s="7" t="s">
        <v>570</v>
      </c>
    </row>
    <row r="3987">
      <c r="A3987" s="7" t="s">
        <v>164</v>
      </c>
      <c r="B3987" s="7" t="s">
        <v>2548</v>
      </c>
      <c r="C3987" s="8">
        <f>IFERROR(__xludf.DUMMYFUNCTION("SPLIT(B3987,""RM"")"),4753000.0)</f>
        <v>4753000</v>
      </c>
      <c r="D3987" s="7">
        <v>4.0</v>
      </c>
      <c r="E3987" s="7">
        <v>4.0</v>
      </c>
      <c r="F3987" s="7">
        <v>3.0</v>
      </c>
      <c r="G3987" s="7" t="s">
        <v>20</v>
      </c>
      <c r="H3987" s="7" t="s">
        <v>2549</v>
      </c>
      <c r="I3987" s="7" t="s">
        <v>27</v>
      </c>
    </row>
    <row r="3988">
      <c r="A3988" s="7" t="s">
        <v>164</v>
      </c>
      <c r="B3988" s="7" t="s">
        <v>2550</v>
      </c>
      <c r="C3988" s="8">
        <f>IFERROR(__xludf.DUMMYFUNCTION("SPLIT(B3988,""RM"")"),1455000.0)</f>
        <v>1455000</v>
      </c>
      <c r="D3988" s="7">
        <v>1.0</v>
      </c>
      <c r="E3988" s="7">
        <v>2.0</v>
      </c>
      <c r="F3988" s="7">
        <v>1.0</v>
      </c>
      <c r="G3988" s="7" t="s">
        <v>20</v>
      </c>
      <c r="H3988" s="7" t="s">
        <v>621</v>
      </c>
      <c r="I3988" s="7" t="s">
        <v>27</v>
      </c>
    </row>
    <row r="3989">
      <c r="A3989" s="7" t="s">
        <v>164</v>
      </c>
      <c r="B3989" s="7" t="s">
        <v>2551</v>
      </c>
      <c r="C3989" s="8">
        <f>IFERROR(__xludf.DUMMYFUNCTION("SPLIT(B3989,""RM"")"),4718000.0)</f>
        <v>4718000</v>
      </c>
      <c r="D3989" s="7">
        <v>4.0</v>
      </c>
      <c r="E3989" s="7">
        <v>4.0</v>
      </c>
      <c r="F3989" s="7">
        <v>3.0</v>
      </c>
      <c r="G3989" s="7" t="s">
        <v>20</v>
      </c>
      <c r="H3989" s="7" t="s">
        <v>570</v>
      </c>
      <c r="I3989" s="7" t="s">
        <v>27</v>
      </c>
    </row>
    <row r="3990">
      <c r="A3990" s="7" t="s">
        <v>164</v>
      </c>
      <c r="B3990" s="7" t="s">
        <v>1827</v>
      </c>
      <c r="C3990" s="8">
        <f>IFERROR(__xludf.DUMMYFUNCTION("SPLIT(B3990,""RM"")"),4400000.0)</f>
        <v>4400000</v>
      </c>
      <c r="D3990" s="7">
        <v>4.0</v>
      </c>
      <c r="E3990" s="7">
        <v>4.0</v>
      </c>
      <c r="F3990" s="7">
        <v>3.0</v>
      </c>
      <c r="G3990" s="7" t="s">
        <v>20</v>
      </c>
      <c r="H3990" s="7" t="s">
        <v>2552</v>
      </c>
      <c r="I3990" s="7" t="s">
        <v>27</v>
      </c>
    </row>
    <row r="3991">
      <c r="A3991" s="7" t="s">
        <v>32</v>
      </c>
      <c r="B3991" s="7" t="s">
        <v>951</v>
      </c>
      <c r="C3991" s="8">
        <f>IFERROR(__xludf.DUMMYFUNCTION("SPLIT(B3991,""RM"")"),415000.0)</f>
        <v>415000</v>
      </c>
      <c r="D3991" s="7">
        <v>3.0</v>
      </c>
      <c r="E3991" s="7">
        <v>2.0</v>
      </c>
      <c r="F3991" s="7">
        <v>1.0</v>
      </c>
      <c r="G3991" s="7" t="s">
        <v>30</v>
      </c>
      <c r="H3991" s="7" t="s">
        <v>976</v>
      </c>
      <c r="I3991" s="7" t="s">
        <v>22</v>
      </c>
    </row>
    <row r="3992">
      <c r="A3992" s="7" t="s">
        <v>41</v>
      </c>
      <c r="B3992" s="7" t="s">
        <v>2553</v>
      </c>
      <c r="C3992" s="8">
        <f>IFERROR(__xludf.DUMMYFUNCTION("SPLIT(B3992,""RM"")"),898380.0)</f>
        <v>898380</v>
      </c>
      <c r="D3992" s="7">
        <v>3.0</v>
      </c>
      <c r="E3992" s="7">
        <v>2.0</v>
      </c>
      <c r="F3992" s="7">
        <v>2.0</v>
      </c>
      <c r="G3992" s="7" t="s">
        <v>30</v>
      </c>
      <c r="H3992" s="7" t="s">
        <v>237</v>
      </c>
      <c r="I3992" s="7" t="s">
        <v>27</v>
      </c>
    </row>
    <row r="3993">
      <c r="A3993" s="7" t="s">
        <v>41</v>
      </c>
      <c r="B3993" s="7" t="s">
        <v>2554</v>
      </c>
      <c r="C3993" s="8">
        <f>IFERROR(__xludf.DUMMYFUNCTION("SPLIT(B3993,""RM"")"),765390.0)</f>
        <v>765390</v>
      </c>
      <c r="D3993" s="7">
        <v>1.0</v>
      </c>
      <c r="E3993" s="7">
        <v>1.0</v>
      </c>
      <c r="F3993" s="7">
        <v>1.0</v>
      </c>
      <c r="G3993" s="7" t="s">
        <v>30</v>
      </c>
      <c r="H3993" s="7" t="s">
        <v>392</v>
      </c>
      <c r="I3993" s="7" t="s">
        <v>27</v>
      </c>
    </row>
    <row r="3994">
      <c r="A3994" s="7" t="s">
        <v>41</v>
      </c>
      <c r="B3994" s="7" t="s">
        <v>2555</v>
      </c>
      <c r="C3994" s="8">
        <f>IFERROR(__xludf.DUMMYFUNCTION("SPLIT(B3994,""RM"")"),661700.0)</f>
        <v>661700</v>
      </c>
      <c r="D3994" s="7">
        <v>1.0</v>
      </c>
      <c r="E3994" s="7">
        <v>1.0</v>
      </c>
      <c r="F3994" s="7">
        <v>1.0</v>
      </c>
      <c r="G3994" s="7" t="s">
        <v>30</v>
      </c>
      <c r="H3994" s="7" t="s">
        <v>1245</v>
      </c>
      <c r="I3994" s="7" t="s">
        <v>27</v>
      </c>
    </row>
    <row r="3995">
      <c r="A3995" s="7" t="s">
        <v>32</v>
      </c>
      <c r="B3995" s="7" t="s">
        <v>1328</v>
      </c>
      <c r="C3995" s="8">
        <f>IFERROR(__xludf.DUMMYFUNCTION("SPLIT(B3995,""RM"")"),650000.0)</f>
        <v>650000</v>
      </c>
      <c r="D3995" s="7">
        <v>5.0</v>
      </c>
      <c r="E3995" s="7">
        <v>3.0</v>
      </c>
      <c r="F3995" s="7">
        <v>2.0</v>
      </c>
      <c r="G3995" s="7" t="s">
        <v>54</v>
      </c>
      <c r="H3995" s="7" t="s">
        <v>718</v>
      </c>
      <c r="I3995" s="7" t="s">
        <v>27</v>
      </c>
    </row>
    <row r="3996">
      <c r="A3996" s="7" t="s">
        <v>171</v>
      </c>
      <c r="B3996" s="7" t="s">
        <v>1423</v>
      </c>
      <c r="C3996" s="8">
        <f>IFERROR(__xludf.DUMMYFUNCTION("SPLIT(B3996,""RM"")"),420000.0)</f>
        <v>420000</v>
      </c>
      <c r="D3996" s="7" t="s">
        <v>57</v>
      </c>
      <c r="E3996" s="7">
        <v>2.0</v>
      </c>
      <c r="G3996" s="7" t="s">
        <v>83</v>
      </c>
      <c r="H3996" s="7" t="s">
        <v>2556</v>
      </c>
      <c r="I3996" s="7" t="s">
        <v>103</v>
      </c>
    </row>
    <row r="3997">
      <c r="A3997" s="7" t="s">
        <v>28</v>
      </c>
      <c r="B3997" s="7" t="s">
        <v>134</v>
      </c>
      <c r="C3997" s="8">
        <f>IFERROR(__xludf.DUMMYFUNCTION("SPLIT(B3997,""RM"")"),1150000.0)</f>
        <v>1150000</v>
      </c>
      <c r="D3997" s="7">
        <v>2.0</v>
      </c>
      <c r="E3997" s="7">
        <v>2.0</v>
      </c>
      <c r="F3997" s="7">
        <v>2.0</v>
      </c>
      <c r="G3997" s="7" t="s">
        <v>20</v>
      </c>
      <c r="H3997" s="7" t="s">
        <v>937</v>
      </c>
      <c r="I3997" s="7" t="s">
        <v>22</v>
      </c>
    </row>
    <row r="3998">
      <c r="A3998" s="7" t="s">
        <v>28</v>
      </c>
      <c r="B3998" s="7" t="s">
        <v>984</v>
      </c>
      <c r="C3998" s="8">
        <f>IFERROR(__xludf.DUMMYFUNCTION("SPLIT(B3998,""RM"")"),1120000.0)</f>
        <v>1120000</v>
      </c>
      <c r="D3998" s="7">
        <v>2.0</v>
      </c>
      <c r="E3998" s="7">
        <v>2.0</v>
      </c>
      <c r="F3998" s="7">
        <v>1.0</v>
      </c>
      <c r="G3998" s="7" t="s">
        <v>20</v>
      </c>
      <c r="H3998" s="7" t="s">
        <v>1656</v>
      </c>
      <c r="I3998" s="7" t="s">
        <v>22</v>
      </c>
    </row>
    <row r="3999">
      <c r="A3999" s="7" t="s">
        <v>28</v>
      </c>
      <c r="B3999" s="7" t="s">
        <v>229</v>
      </c>
      <c r="C3999" s="8">
        <f>IFERROR(__xludf.DUMMYFUNCTION("SPLIT(B3999,""RM"")"),1050000.0)</f>
        <v>1050000</v>
      </c>
      <c r="D3999" s="7">
        <v>2.0</v>
      </c>
      <c r="E3999" s="7">
        <v>2.0</v>
      </c>
      <c r="F3999" s="7">
        <v>1.0</v>
      </c>
      <c r="G3999" s="7" t="s">
        <v>20</v>
      </c>
      <c r="H3999" s="7" t="s">
        <v>1656</v>
      </c>
      <c r="I3999" s="7" t="s">
        <v>22</v>
      </c>
    </row>
    <row r="4000">
      <c r="A4000" s="7" t="s">
        <v>65</v>
      </c>
      <c r="B4000" s="7" t="s">
        <v>2557</v>
      </c>
      <c r="C4000" s="8">
        <f>IFERROR(__xludf.DUMMYFUNCTION("SPLIT(B4000,""RM"")"),2570000.0)</f>
        <v>2570000</v>
      </c>
      <c r="D4000" s="7">
        <v>4.0</v>
      </c>
      <c r="E4000" s="7">
        <v>4.0</v>
      </c>
      <c r="F4000" s="7">
        <v>5.0</v>
      </c>
      <c r="G4000" s="7" t="s">
        <v>83</v>
      </c>
      <c r="H4000" s="7" t="s">
        <v>1999</v>
      </c>
      <c r="I4000" s="7" t="s">
        <v>22</v>
      </c>
    </row>
    <row r="4001">
      <c r="A4001" s="7" t="s">
        <v>28</v>
      </c>
      <c r="B4001" s="7" t="s">
        <v>311</v>
      </c>
      <c r="C4001" s="8">
        <f>IFERROR(__xludf.DUMMYFUNCTION("SPLIT(B4001,""RM"")"),1100000.0)</f>
        <v>1100000</v>
      </c>
      <c r="D4001" s="7">
        <v>3.0</v>
      </c>
      <c r="E4001" s="7">
        <v>2.0</v>
      </c>
      <c r="F4001" s="7">
        <v>2.0</v>
      </c>
      <c r="G4001" s="7" t="s">
        <v>20</v>
      </c>
      <c r="H4001" s="7" t="s">
        <v>1555</v>
      </c>
      <c r="I4001" s="7" t="s">
        <v>22</v>
      </c>
    </row>
    <row r="4002">
      <c r="A4002" s="7" t="s">
        <v>72</v>
      </c>
      <c r="B4002" s="7" t="s">
        <v>120</v>
      </c>
      <c r="C4002" s="8">
        <f>IFERROR(__xludf.DUMMYFUNCTION("SPLIT(B4002,""RM"")"),3600000.0)</f>
        <v>3600000</v>
      </c>
      <c r="D4002" s="7" t="s">
        <v>35</v>
      </c>
      <c r="E4002" s="7">
        <v>5.0</v>
      </c>
      <c r="G4002" s="7" t="s">
        <v>83</v>
      </c>
      <c r="H4002" s="7" t="s">
        <v>76</v>
      </c>
      <c r="I4002" s="7" t="s">
        <v>22</v>
      </c>
    </row>
    <row r="4003">
      <c r="A4003" s="7" t="s">
        <v>28</v>
      </c>
      <c r="B4003" s="7" t="s">
        <v>635</v>
      </c>
      <c r="C4003" s="8">
        <f>IFERROR(__xludf.DUMMYFUNCTION("SPLIT(B4003,""RM"")"),720000.0)</f>
        <v>720000</v>
      </c>
      <c r="D4003" s="7">
        <v>1.0</v>
      </c>
      <c r="E4003" s="7">
        <v>1.0</v>
      </c>
      <c r="F4003" s="7">
        <v>1.0</v>
      </c>
      <c r="G4003" s="7" t="s">
        <v>20</v>
      </c>
      <c r="H4003" s="7" t="s">
        <v>1127</v>
      </c>
      <c r="I4003" s="7" t="s">
        <v>22</v>
      </c>
    </row>
    <row r="4004">
      <c r="A4004" s="7" t="s">
        <v>432</v>
      </c>
      <c r="B4004" s="7" t="s">
        <v>969</v>
      </c>
      <c r="C4004" s="8">
        <f>IFERROR(__xludf.DUMMYFUNCTION("SPLIT(B4004,""RM"")"),430000.0)</f>
        <v>430000</v>
      </c>
      <c r="G4004" s="7" t="s">
        <v>20</v>
      </c>
      <c r="H4004" s="7" t="s">
        <v>244</v>
      </c>
      <c r="I4004" s="7" t="s">
        <v>22</v>
      </c>
    </row>
    <row r="4005">
      <c r="A4005" s="7" t="s">
        <v>358</v>
      </c>
      <c r="B4005" s="7" t="s">
        <v>759</v>
      </c>
      <c r="C4005" s="8">
        <f>IFERROR(__xludf.DUMMYFUNCTION("SPLIT(B4005,""RM"")"),520000.0)</f>
        <v>520000</v>
      </c>
      <c r="D4005" s="7">
        <v>3.0</v>
      </c>
      <c r="E4005" s="7">
        <v>2.0</v>
      </c>
      <c r="G4005" s="7" t="s">
        <v>562</v>
      </c>
      <c r="H4005" s="7" t="s">
        <v>1677</v>
      </c>
      <c r="I4005" s="7" t="s">
        <v>22</v>
      </c>
    </row>
    <row r="4006">
      <c r="A4006" s="7" t="s">
        <v>28</v>
      </c>
      <c r="B4006" s="7" t="s">
        <v>1568</v>
      </c>
      <c r="C4006" s="8">
        <f>IFERROR(__xludf.DUMMYFUNCTION("SPLIT(B4006,""RM"")"),3000.0)</f>
        <v>3000</v>
      </c>
      <c r="D4006" s="7">
        <v>1.0</v>
      </c>
      <c r="E4006" s="7">
        <v>1.0</v>
      </c>
      <c r="F4006" s="7">
        <v>1.0</v>
      </c>
      <c r="G4006" s="7" t="s">
        <v>20</v>
      </c>
      <c r="H4006" s="7" t="s">
        <v>2558</v>
      </c>
      <c r="I4006" s="7" t="s">
        <v>22</v>
      </c>
    </row>
    <row r="4007">
      <c r="A4007" s="7" t="s">
        <v>28</v>
      </c>
      <c r="B4007" s="7" t="s">
        <v>156</v>
      </c>
      <c r="C4007" s="8">
        <f>IFERROR(__xludf.DUMMYFUNCTION("SPLIT(B4007,""RM"")"),850000.0)</f>
        <v>850000</v>
      </c>
      <c r="D4007" s="7">
        <v>1.0</v>
      </c>
      <c r="E4007" s="7">
        <v>1.0</v>
      </c>
      <c r="F4007" s="7">
        <v>2.0</v>
      </c>
      <c r="G4007" s="7" t="s">
        <v>82</v>
      </c>
      <c r="H4007" s="7" t="s">
        <v>1127</v>
      </c>
      <c r="I4007" s="7" t="s">
        <v>22</v>
      </c>
    </row>
    <row r="4008">
      <c r="A4008" s="7" t="s">
        <v>41</v>
      </c>
      <c r="B4008" s="7" t="s">
        <v>635</v>
      </c>
      <c r="C4008" s="8">
        <f>IFERROR(__xludf.DUMMYFUNCTION("SPLIT(B4008,""RM"")"),720000.0)</f>
        <v>720000</v>
      </c>
      <c r="D4008" s="7">
        <v>2.0</v>
      </c>
      <c r="E4008" s="7">
        <v>2.0</v>
      </c>
      <c r="F4008" s="7">
        <v>1.0</v>
      </c>
      <c r="G4008" s="7" t="s">
        <v>83</v>
      </c>
      <c r="H4008" s="7" t="s">
        <v>1532</v>
      </c>
      <c r="I4008" s="7" t="s">
        <v>27</v>
      </c>
    </row>
    <row r="4009">
      <c r="A4009" s="7" t="s">
        <v>41</v>
      </c>
      <c r="B4009" s="7" t="s">
        <v>372</v>
      </c>
      <c r="C4009" s="8">
        <f>IFERROR(__xludf.DUMMYFUNCTION("SPLIT(B4009,""RM"")"),700000.0)</f>
        <v>700000</v>
      </c>
      <c r="D4009" s="7">
        <v>2.0</v>
      </c>
      <c r="E4009" s="7">
        <v>2.0</v>
      </c>
      <c r="F4009" s="7">
        <v>1.0</v>
      </c>
      <c r="G4009" s="7" t="s">
        <v>83</v>
      </c>
      <c r="H4009" s="7" t="s">
        <v>2559</v>
      </c>
      <c r="I4009" s="7" t="s">
        <v>27</v>
      </c>
    </row>
    <row r="4010">
      <c r="A4010" s="7" t="s">
        <v>41</v>
      </c>
      <c r="B4010" s="7" t="s">
        <v>329</v>
      </c>
      <c r="C4010" s="8">
        <f>IFERROR(__xludf.DUMMYFUNCTION("SPLIT(B4010,""RM"")"),1200000.0)</f>
        <v>1200000</v>
      </c>
      <c r="D4010" s="7" t="s">
        <v>57</v>
      </c>
      <c r="E4010" s="7">
        <v>3.0</v>
      </c>
      <c r="F4010" s="7">
        <v>2.0</v>
      </c>
      <c r="G4010" s="7" t="s">
        <v>83</v>
      </c>
      <c r="H4010" s="7" t="s">
        <v>80</v>
      </c>
      <c r="I4010" s="7" t="s">
        <v>27</v>
      </c>
    </row>
    <row r="4011">
      <c r="A4011" s="7" t="s">
        <v>155</v>
      </c>
      <c r="B4011" s="7" t="s">
        <v>1605</v>
      </c>
      <c r="C4011" s="8">
        <f>IFERROR(__xludf.DUMMYFUNCTION("SPLIT(B4011,""RM"")"),348000.0)</f>
        <v>348000</v>
      </c>
      <c r="D4011" s="7">
        <v>3.0</v>
      </c>
      <c r="E4011" s="7">
        <v>2.0</v>
      </c>
      <c r="F4011" s="7">
        <v>1.0</v>
      </c>
      <c r="G4011" s="7" t="s">
        <v>83</v>
      </c>
      <c r="H4011" s="7" t="s">
        <v>2560</v>
      </c>
      <c r="I4011" s="7" t="s">
        <v>27</v>
      </c>
    </row>
    <row r="4012">
      <c r="A4012" s="7" t="s">
        <v>428</v>
      </c>
      <c r="B4012" s="7" t="s">
        <v>854</v>
      </c>
      <c r="C4012" s="8">
        <f>IFERROR(__xludf.DUMMYFUNCTION("SPLIT(B4012,""RM"")"),690000.0)</f>
        <v>690000</v>
      </c>
      <c r="D4012" s="7">
        <v>3.0</v>
      </c>
      <c r="E4012" s="7">
        <v>3.0</v>
      </c>
      <c r="F4012" s="7">
        <v>2.0</v>
      </c>
      <c r="G4012" s="7" t="s">
        <v>681</v>
      </c>
      <c r="H4012" s="7" t="s">
        <v>471</v>
      </c>
      <c r="I4012" s="7" t="s">
        <v>27</v>
      </c>
    </row>
    <row r="4013">
      <c r="A4013" s="7" t="s">
        <v>77</v>
      </c>
      <c r="B4013" s="7" t="s">
        <v>125</v>
      </c>
      <c r="C4013" s="8">
        <f>IFERROR(__xludf.DUMMYFUNCTION("SPLIT(B4013,""RM"")"),2300000.0)</f>
        <v>2300000</v>
      </c>
      <c r="D4013" s="7">
        <v>5.0</v>
      </c>
      <c r="E4013" s="7">
        <v>4.0</v>
      </c>
      <c r="G4013" s="7" t="s">
        <v>90</v>
      </c>
      <c r="H4013" s="7" t="s">
        <v>1027</v>
      </c>
      <c r="I4013" s="7" t="s">
        <v>27</v>
      </c>
    </row>
    <row r="4014">
      <c r="A4014" s="7" t="s">
        <v>72</v>
      </c>
      <c r="B4014" s="7" t="s">
        <v>460</v>
      </c>
      <c r="C4014" s="8">
        <f>IFERROR(__xludf.DUMMYFUNCTION("SPLIT(B4014,""RM"")"),1580000.0)</f>
        <v>1580000</v>
      </c>
      <c r="D4014" s="7" t="s">
        <v>57</v>
      </c>
      <c r="E4014" s="7">
        <v>4.0</v>
      </c>
      <c r="F4014" s="7">
        <v>3.0</v>
      </c>
      <c r="G4014" s="7" t="s">
        <v>83</v>
      </c>
      <c r="H4014" s="7" t="s">
        <v>555</v>
      </c>
      <c r="I4014" s="7" t="s">
        <v>22</v>
      </c>
    </row>
    <row r="4015">
      <c r="A4015" s="7" t="s">
        <v>33</v>
      </c>
      <c r="B4015" s="7" t="s">
        <v>361</v>
      </c>
      <c r="C4015" s="8">
        <f>IFERROR(__xludf.DUMMYFUNCTION("SPLIT(B4015,""RM"")"),530000.0)</f>
        <v>530000</v>
      </c>
      <c r="D4015" s="7">
        <v>2.0</v>
      </c>
      <c r="E4015" s="7">
        <v>2.0</v>
      </c>
      <c r="F4015" s="7">
        <v>1.0</v>
      </c>
      <c r="G4015" s="7" t="s">
        <v>96</v>
      </c>
      <c r="H4015" s="7" t="s">
        <v>471</v>
      </c>
      <c r="I4015" s="7" t="s">
        <v>22</v>
      </c>
    </row>
    <row r="4016">
      <c r="A4016" s="7" t="s">
        <v>33</v>
      </c>
      <c r="B4016" s="7" t="s">
        <v>172</v>
      </c>
      <c r="C4016" s="8">
        <f>IFERROR(__xludf.DUMMYFUNCTION("SPLIT(B4016,""RM"")"),580000.0)</f>
        <v>580000</v>
      </c>
      <c r="D4016" s="7">
        <v>3.0</v>
      </c>
      <c r="E4016" s="7">
        <v>2.0</v>
      </c>
      <c r="F4016" s="7">
        <v>2.0</v>
      </c>
      <c r="G4016" s="7" t="s">
        <v>83</v>
      </c>
      <c r="H4016" s="7" t="s">
        <v>734</v>
      </c>
      <c r="I4016" s="7" t="s">
        <v>103</v>
      </c>
    </row>
    <row r="4017">
      <c r="A4017" s="7" t="s">
        <v>515</v>
      </c>
      <c r="B4017" s="7" t="s">
        <v>165</v>
      </c>
      <c r="C4017" s="8">
        <f>IFERROR(__xludf.DUMMYFUNCTION("SPLIT(B4017,""RM"")"),3500000.0)</f>
        <v>3500000</v>
      </c>
      <c r="D4017" s="7">
        <v>4.0</v>
      </c>
      <c r="E4017" s="7">
        <v>4.0</v>
      </c>
      <c r="F4017" s="7">
        <v>6.0</v>
      </c>
      <c r="G4017" s="7" t="s">
        <v>25</v>
      </c>
      <c r="H4017" s="7" t="s">
        <v>696</v>
      </c>
      <c r="I4017" s="7" t="s">
        <v>27</v>
      </c>
    </row>
    <row r="4018">
      <c r="A4018" s="7" t="s">
        <v>515</v>
      </c>
      <c r="B4018" s="7" t="s">
        <v>563</v>
      </c>
      <c r="C4018" s="8">
        <f>IFERROR(__xludf.DUMMYFUNCTION("SPLIT(B4018,""RM"")"),600000.0)</f>
        <v>600000</v>
      </c>
      <c r="D4018" s="7">
        <v>3.0</v>
      </c>
      <c r="E4018" s="7">
        <v>2.0</v>
      </c>
      <c r="F4018" s="7">
        <v>2.0</v>
      </c>
      <c r="G4018" s="7" t="s">
        <v>169</v>
      </c>
      <c r="H4018" s="7" t="s">
        <v>2561</v>
      </c>
      <c r="I4018" s="7" t="s">
        <v>103</v>
      </c>
    </row>
    <row r="4019">
      <c r="A4019" s="7" t="s">
        <v>48</v>
      </c>
      <c r="B4019" s="7" t="s">
        <v>702</v>
      </c>
      <c r="C4019" s="8">
        <f>IFERROR(__xludf.DUMMYFUNCTION("SPLIT(B4019,""RM"")"),410000.0)</f>
        <v>410000</v>
      </c>
      <c r="D4019" s="7">
        <v>3.0</v>
      </c>
      <c r="E4019" s="7">
        <v>2.0</v>
      </c>
      <c r="F4019" s="7">
        <v>1.0</v>
      </c>
      <c r="G4019" s="7" t="s">
        <v>1185</v>
      </c>
      <c r="H4019" s="7" t="s">
        <v>2562</v>
      </c>
      <c r="I4019" s="7" t="s">
        <v>27</v>
      </c>
    </row>
    <row r="4020">
      <c r="A4020" s="7" t="s">
        <v>143</v>
      </c>
      <c r="B4020" s="7" t="s">
        <v>34</v>
      </c>
      <c r="C4020" s="8">
        <f>IFERROR(__xludf.DUMMYFUNCTION("SPLIT(B4020,""RM"")"),900000.0)</f>
        <v>900000</v>
      </c>
      <c r="D4020" s="7">
        <v>2.0</v>
      </c>
      <c r="E4020" s="7">
        <v>2.0</v>
      </c>
      <c r="G4020" s="7" t="s">
        <v>20</v>
      </c>
      <c r="H4020" s="7" t="s">
        <v>1567</v>
      </c>
      <c r="I4020" s="7" t="s">
        <v>27</v>
      </c>
    </row>
    <row r="4021">
      <c r="A4021" s="7" t="s">
        <v>143</v>
      </c>
      <c r="B4021" s="7" t="s">
        <v>34</v>
      </c>
      <c r="C4021" s="8">
        <f>IFERROR(__xludf.DUMMYFUNCTION("SPLIT(B4021,""RM"")"),900000.0)</f>
        <v>900000</v>
      </c>
      <c r="D4021" s="7">
        <v>2.0</v>
      </c>
      <c r="E4021" s="7">
        <v>2.0</v>
      </c>
      <c r="G4021" s="7" t="s">
        <v>20</v>
      </c>
      <c r="H4021" s="7" t="s">
        <v>1567</v>
      </c>
      <c r="I4021" s="7" t="s">
        <v>27</v>
      </c>
    </row>
    <row r="4022">
      <c r="A4022" s="7" t="s">
        <v>143</v>
      </c>
      <c r="B4022" s="7" t="s">
        <v>136</v>
      </c>
      <c r="C4022" s="8">
        <f>IFERROR(__xludf.DUMMYFUNCTION("SPLIT(B4022,""RM"")"),1070000.0)</f>
        <v>1070000</v>
      </c>
      <c r="D4022" s="7">
        <v>2.0</v>
      </c>
      <c r="E4022" s="7">
        <v>2.0</v>
      </c>
      <c r="G4022" s="7" t="s">
        <v>20</v>
      </c>
      <c r="H4022" s="7" t="s">
        <v>2347</v>
      </c>
      <c r="I4022" s="7" t="s">
        <v>27</v>
      </c>
    </row>
    <row r="4023">
      <c r="A4023" s="7" t="s">
        <v>143</v>
      </c>
      <c r="B4023" s="7" t="s">
        <v>136</v>
      </c>
      <c r="C4023" s="8">
        <f>IFERROR(__xludf.DUMMYFUNCTION("SPLIT(B4023,""RM"")"),1070000.0)</f>
        <v>1070000</v>
      </c>
      <c r="D4023" s="7">
        <v>2.0</v>
      </c>
      <c r="E4023" s="7">
        <v>2.0</v>
      </c>
      <c r="G4023" s="7" t="s">
        <v>20</v>
      </c>
      <c r="H4023" s="7" t="s">
        <v>2347</v>
      </c>
      <c r="I4023" s="7" t="s">
        <v>27</v>
      </c>
    </row>
    <row r="4024">
      <c r="A4024" s="7" t="s">
        <v>432</v>
      </c>
      <c r="B4024" s="7" t="s">
        <v>411</v>
      </c>
      <c r="C4024" s="8">
        <f>IFERROR(__xludf.DUMMYFUNCTION("SPLIT(B4024,""RM"")"),2150000.0)</f>
        <v>2150000</v>
      </c>
      <c r="D4024" s="7" t="s">
        <v>57</v>
      </c>
      <c r="E4024" s="7">
        <v>4.0</v>
      </c>
      <c r="F4024" s="7">
        <v>2.0</v>
      </c>
      <c r="G4024" s="7" t="s">
        <v>30</v>
      </c>
      <c r="H4024" s="7" t="s">
        <v>1627</v>
      </c>
      <c r="I4024" s="7" t="s">
        <v>22</v>
      </c>
    </row>
    <row r="4025">
      <c r="A4025" s="7" t="s">
        <v>32</v>
      </c>
      <c r="B4025" s="7" t="s">
        <v>1892</v>
      </c>
      <c r="C4025" s="8">
        <f>IFERROR(__xludf.DUMMYFUNCTION("SPLIT(B4025,""RM"")"),515000.0)</f>
        <v>515000</v>
      </c>
      <c r="D4025" s="7">
        <v>2.0</v>
      </c>
      <c r="E4025" s="7">
        <v>2.0</v>
      </c>
      <c r="G4025" s="7" t="s">
        <v>121</v>
      </c>
      <c r="H4025" s="7" t="s">
        <v>240</v>
      </c>
      <c r="I4025" s="7" t="s">
        <v>27</v>
      </c>
    </row>
    <row r="4026">
      <c r="A4026" s="7" t="s">
        <v>32</v>
      </c>
      <c r="B4026" s="7" t="s">
        <v>92</v>
      </c>
      <c r="C4026" s="8">
        <f>IFERROR(__xludf.DUMMYFUNCTION("SPLIT(B4026,""RM"")"),610000.0)</f>
        <v>610000</v>
      </c>
      <c r="D4026" s="7">
        <v>3.0</v>
      </c>
      <c r="E4026" s="7">
        <v>2.0</v>
      </c>
      <c r="G4026" s="7" t="s">
        <v>121</v>
      </c>
      <c r="H4026" s="7" t="s">
        <v>1449</v>
      </c>
      <c r="I4026" s="7" t="s">
        <v>27</v>
      </c>
    </row>
    <row r="4027">
      <c r="A4027" s="7" t="s">
        <v>171</v>
      </c>
      <c r="B4027" s="7" t="s">
        <v>1880</v>
      </c>
      <c r="C4027" s="8">
        <f>IFERROR(__xludf.DUMMYFUNCTION("SPLIT(B4027,""RM"")"),499000.0)</f>
        <v>499000</v>
      </c>
      <c r="D4027" s="7">
        <v>3.0</v>
      </c>
      <c r="E4027" s="7">
        <v>3.0</v>
      </c>
      <c r="F4027" s="7">
        <v>2.0</v>
      </c>
      <c r="G4027" s="7" t="s">
        <v>83</v>
      </c>
      <c r="H4027" s="7" t="s">
        <v>734</v>
      </c>
    </row>
    <row r="4028">
      <c r="A4028" s="7" t="s">
        <v>32</v>
      </c>
      <c r="B4028" s="7" t="s">
        <v>399</v>
      </c>
      <c r="C4028" s="8">
        <f>IFERROR(__xludf.DUMMYFUNCTION("SPLIT(B4028,""RM"")"),1750000.0)</f>
        <v>1750000</v>
      </c>
      <c r="D4028" s="7" t="s">
        <v>70</v>
      </c>
      <c r="E4028" s="7">
        <v>6.0</v>
      </c>
      <c r="G4028" s="7" t="s">
        <v>64</v>
      </c>
      <c r="H4028" s="7" t="s">
        <v>2399</v>
      </c>
      <c r="I4028" s="7" t="s">
        <v>103</v>
      </c>
    </row>
    <row r="4029">
      <c r="A4029" s="7" t="s">
        <v>32</v>
      </c>
      <c r="B4029" s="7" t="s">
        <v>2563</v>
      </c>
      <c r="C4029" s="8">
        <f>IFERROR(__xludf.DUMMYFUNCTION("SPLIT(B4029,""RM"")"),968000.0)</f>
        <v>968000</v>
      </c>
      <c r="D4029" s="7">
        <v>3.0</v>
      </c>
      <c r="E4029" s="7">
        <v>2.0</v>
      </c>
      <c r="F4029" s="7">
        <v>2.0</v>
      </c>
      <c r="G4029" s="7" t="s">
        <v>184</v>
      </c>
      <c r="H4029" s="7" t="s">
        <v>1644</v>
      </c>
      <c r="I4029" s="7" t="s">
        <v>103</v>
      </c>
    </row>
    <row r="4030">
      <c r="A4030" s="7" t="s">
        <v>32</v>
      </c>
      <c r="B4030" s="7" t="s">
        <v>221</v>
      </c>
      <c r="C4030" s="8">
        <f>IFERROR(__xludf.DUMMYFUNCTION("SPLIT(B4030,""RM"")"),630000.0)</f>
        <v>630000</v>
      </c>
      <c r="D4030" s="7">
        <v>4.0</v>
      </c>
      <c r="E4030" s="7">
        <v>3.0</v>
      </c>
      <c r="F4030" s="7">
        <v>2.0</v>
      </c>
      <c r="G4030" s="7" t="s">
        <v>54</v>
      </c>
      <c r="H4030" s="7" t="s">
        <v>283</v>
      </c>
      <c r="I4030" s="7" t="s">
        <v>22</v>
      </c>
    </row>
    <row r="4031">
      <c r="A4031" s="7" t="s">
        <v>32</v>
      </c>
      <c r="B4031" s="7" t="s">
        <v>322</v>
      </c>
      <c r="C4031" s="8">
        <f>IFERROR(__xludf.DUMMYFUNCTION("SPLIT(B4031,""RM"")"),1900000.0)</f>
        <v>1900000</v>
      </c>
      <c r="D4031" s="7">
        <v>5.0</v>
      </c>
      <c r="E4031" s="7">
        <v>3.0</v>
      </c>
      <c r="F4031" s="7">
        <v>6.0</v>
      </c>
      <c r="G4031" s="7" t="s">
        <v>61</v>
      </c>
      <c r="H4031" s="7" t="s">
        <v>2564</v>
      </c>
      <c r="I4031" s="7" t="s">
        <v>27</v>
      </c>
    </row>
    <row r="4032">
      <c r="A4032" s="7" t="s">
        <v>32</v>
      </c>
      <c r="B4032" s="7" t="s">
        <v>951</v>
      </c>
      <c r="C4032" s="8">
        <f>IFERROR(__xludf.DUMMYFUNCTION("SPLIT(B4032,""RM"")"),415000.0)</f>
        <v>415000</v>
      </c>
      <c r="D4032" s="7">
        <v>1.0</v>
      </c>
      <c r="E4032" s="7">
        <v>1.0</v>
      </c>
      <c r="G4032" s="7" t="s">
        <v>121</v>
      </c>
      <c r="H4032" s="7" t="s">
        <v>961</v>
      </c>
      <c r="I4032" s="7" t="s">
        <v>27</v>
      </c>
    </row>
    <row r="4033">
      <c r="A4033" s="7" t="s">
        <v>32</v>
      </c>
      <c r="B4033" s="7" t="s">
        <v>761</v>
      </c>
      <c r="C4033" s="8">
        <f>IFERROR(__xludf.DUMMYFUNCTION("SPLIT(B4033,""RM"")"),480000.0)</f>
        <v>480000</v>
      </c>
      <c r="D4033" s="7">
        <v>2.0</v>
      </c>
      <c r="E4033" s="7">
        <v>2.0</v>
      </c>
      <c r="G4033" s="7" t="s">
        <v>121</v>
      </c>
      <c r="H4033" s="7" t="s">
        <v>2565</v>
      </c>
      <c r="I4033" s="7" t="s">
        <v>27</v>
      </c>
    </row>
    <row r="4034">
      <c r="A4034" s="7" t="s">
        <v>32</v>
      </c>
      <c r="B4034" s="7" t="s">
        <v>956</v>
      </c>
      <c r="C4034" s="8">
        <f>IFERROR(__xludf.DUMMYFUNCTION("SPLIT(B4034,""RM"")"),860000.0)</f>
        <v>860000</v>
      </c>
      <c r="D4034" s="7">
        <v>4.0</v>
      </c>
      <c r="E4034" s="7">
        <v>2.0</v>
      </c>
      <c r="G4034" s="7" t="s">
        <v>121</v>
      </c>
      <c r="H4034" s="7" t="s">
        <v>1228</v>
      </c>
      <c r="I4034" s="7" t="s">
        <v>27</v>
      </c>
    </row>
    <row r="4035">
      <c r="A4035" s="7" t="s">
        <v>32</v>
      </c>
      <c r="B4035" s="7" t="s">
        <v>599</v>
      </c>
      <c r="C4035" s="8">
        <f>IFERROR(__xludf.DUMMYFUNCTION("SPLIT(B4035,""RM"")"),950000.0)</f>
        <v>950000</v>
      </c>
      <c r="D4035" s="7">
        <v>4.0</v>
      </c>
      <c r="E4035" s="7">
        <v>3.0</v>
      </c>
      <c r="G4035" s="7" t="s">
        <v>121</v>
      </c>
      <c r="H4035" s="7" t="s">
        <v>2566</v>
      </c>
      <c r="I4035" s="7" t="s">
        <v>27</v>
      </c>
    </row>
    <row r="4036">
      <c r="A4036" s="7" t="s">
        <v>267</v>
      </c>
      <c r="B4036" s="7" t="s">
        <v>2567</v>
      </c>
      <c r="C4036" s="8">
        <f>IFERROR(__xludf.DUMMYFUNCTION("SPLIT(B4036,""RM"")"),5788000.0)</f>
        <v>5788000</v>
      </c>
      <c r="D4036" s="7" t="s">
        <v>70</v>
      </c>
      <c r="E4036" s="7">
        <v>5.0</v>
      </c>
      <c r="F4036" s="7">
        <v>6.0</v>
      </c>
      <c r="G4036" s="7" t="s">
        <v>25</v>
      </c>
      <c r="H4036" s="7" t="s">
        <v>40</v>
      </c>
      <c r="I4036" s="7" t="s">
        <v>27</v>
      </c>
    </row>
    <row r="4037">
      <c r="A4037" s="7" t="s">
        <v>2022</v>
      </c>
      <c r="B4037" s="7" t="s">
        <v>2568</v>
      </c>
      <c r="C4037" s="8">
        <f>IFERROR(__xludf.DUMMYFUNCTION("SPLIT(B4037,""RM"")"),973150.0)</f>
        <v>973150</v>
      </c>
      <c r="D4037" s="7" t="s">
        <v>35</v>
      </c>
      <c r="E4037" s="7">
        <v>5.0</v>
      </c>
      <c r="F4037" s="7">
        <v>4.0</v>
      </c>
      <c r="G4037" s="7" t="s">
        <v>184</v>
      </c>
      <c r="H4037" s="7" t="s">
        <v>2569</v>
      </c>
    </row>
    <row r="4038">
      <c r="A4038" s="7" t="s">
        <v>692</v>
      </c>
      <c r="B4038" s="7" t="s">
        <v>2568</v>
      </c>
      <c r="C4038" s="8">
        <f>IFERROR(__xludf.DUMMYFUNCTION("SPLIT(B4038,""RM"")"),973150.0)</f>
        <v>973150</v>
      </c>
      <c r="D4038" s="7" t="s">
        <v>35</v>
      </c>
      <c r="E4038" s="7">
        <v>5.0</v>
      </c>
      <c r="F4038" s="7">
        <v>4.0</v>
      </c>
      <c r="G4038" s="7" t="s">
        <v>184</v>
      </c>
      <c r="H4038" s="7" t="s">
        <v>2569</v>
      </c>
    </row>
    <row r="4039">
      <c r="A4039" s="7" t="s">
        <v>37</v>
      </c>
      <c r="B4039" s="7" t="s">
        <v>2570</v>
      </c>
      <c r="C4039" s="8">
        <f>IFERROR(__xludf.DUMMYFUNCTION("SPLIT(B4039,""RM"")"),1088000.0)</f>
        <v>1088000</v>
      </c>
      <c r="D4039" s="7" t="s">
        <v>35</v>
      </c>
      <c r="E4039" s="7">
        <v>5.0</v>
      </c>
      <c r="F4039" s="7">
        <v>4.0</v>
      </c>
      <c r="G4039" s="7" t="s">
        <v>487</v>
      </c>
      <c r="H4039" s="7" t="s">
        <v>2571</v>
      </c>
      <c r="I4039" s="7" t="s">
        <v>103</v>
      </c>
    </row>
    <row r="4040">
      <c r="A4040" s="7" t="s">
        <v>2433</v>
      </c>
      <c r="B4040" s="7" t="s">
        <v>2570</v>
      </c>
      <c r="C4040" s="8">
        <f>IFERROR(__xludf.DUMMYFUNCTION("SPLIT(B4040,""RM"")"),1088000.0)</f>
        <v>1088000</v>
      </c>
      <c r="D4040" s="7" t="s">
        <v>35</v>
      </c>
      <c r="E4040" s="7">
        <v>5.0</v>
      </c>
      <c r="F4040" s="7">
        <v>4.0</v>
      </c>
      <c r="G4040" s="7" t="s">
        <v>487</v>
      </c>
      <c r="H4040" s="7" t="s">
        <v>2571</v>
      </c>
      <c r="I4040" s="7" t="s">
        <v>103</v>
      </c>
    </row>
    <row r="4041">
      <c r="A4041" s="7" t="s">
        <v>77</v>
      </c>
      <c r="B4041" s="7" t="s">
        <v>2570</v>
      </c>
      <c r="C4041" s="8">
        <f>IFERROR(__xludf.DUMMYFUNCTION("SPLIT(B4041,""RM"")"),1088000.0)</f>
        <v>1088000</v>
      </c>
      <c r="D4041" s="7" t="s">
        <v>35</v>
      </c>
      <c r="E4041" s="7">
        <v>5.0</v>
      </c>
      <c r="F4041" s="7">
        <v>4.0</v>
      </c>
      <c r="G4041" s="7" t="s">
        <v>487</v>
      </c>
      <c r="H4041" s="7" t="s">
        <v>2571</v>
      </c>
      <c r="I4041" s="7" t="s">
        <v>103</v>
      </c>
    </row>
    <row r="4042">
      <c r="A4042" s="7" t="s">
        <v>104</v>
      </c>
      <c r="B4042" s="7" t="s">
        <v>2570</v>
      </c>
      <c r="C4042" s="8">
        <f>IFERROR(__xludf.DUMMYFUNCTION("SPLIT(B4042,""RM"")"),1088000.0)</f>
        <v>1088000</v>
      </c>
      <c r="D4042" s="7" t="s">
        <v>35</v>
      </c>
      <c r="E4042" s="7">
        <v>5.0</v>
      </c>
      <c r="F4042" s="7">
        <v>4.0</v>
      </c>
      <c r="G4042" s="7" t="s">
        <v>487</v>
      </c>
      <c r="H4042" s="7" t="s">
        <v>2571</v>
      </c>
      <c r="I4042" s="7" t="s">
        <v>103</v>
      </c>
    </row>
    <row r="4043">
      <c r="A4043" s="7" t="s">
        <v>358</v>
      </c>
      <c r="B4043" s="7" t="s">
        <v>702</v>
      </c>
      <c r="C4043" s="8">
        <f>IFERROR(__xludf.DUMMYFUNCTION("SPLIT(B4043,""RM"")"),410000.0)</f>
        <v>410000</v>
      </c>
      <c r="D4043" s="7">
        <v>3.0</v>
      </c>
      <c r="E4043" s="7">
        <v>2.0</v>
      </c>
      <c r="G4043" s="7" t="s">
        <v>50</v>
      </c>
      <c r="H4043" s="7" t="s">
        <v>964</v>
      </c>
      <c r="I4043" s="7" t="s">
        <v>27</v>
      </c>
    </row>
    <row r="4044">
      <c r="A4044" s="7" t="s">
        <v>72</v>
      </c>
      <c r="B4044" s="7" t="s">
        <v>2572</v>
      </c>
      <c r="C4044" s="8">
        <f>IFERROR(__xludf.DUMMYFUNCTION("SPLIT(B4044,""RM"")"),7607600.0)</f>
        <v>7607600</v>
      </c>
      <c r="G4044" s="7" t="s">
        <v>1453</v>
      </c>
      <c r="H4044" s="7" t="s">
        <v>2573</v>
      </c>
    </row>
    <row r="4045">
      <c r="A4045" s="7" t="s">
        <v>32</v>
      </c>
      <c r="B4045" s="7" t="s">
        <v>168</v>
      </c>
      <c r="C4045" s="8">
        <f>IFERROR(__xludf.DUMMYFUNCTION("SPLIT(B4045,""RM"")"),750000.0)</f>
        <v>750000</v>
      </c>
      <c r="D4045" s="7" t="s">
        <v>57</v>
      </c>
      <c r="E4045" s="7">
        <v>3.0</v>
      </c>
      <c r="F4045" s="7">
        <v>2.0</v>
      </c>
      <c r="G4045" s="7" t="s">
        <v>30</v>
      </c>
      <c r="H4045" s="7" t="s">
        <v>726</v>
      </c>
      <c r="I4045" s="7" t="s">
        <v>27</v>
      </c>
    </row>
    <row r="4046">
      <c r="A4046" s="7" t="s">
        <v>32</v>
      </c>
      <c r="B4046" s="7" t="s">
        <v>1318</v>
      </c>
      <c r="C4046" s="8">
        <f>IFERROR(__xludf.DUMMYFUNCTION("SPLIT(B4046,""RM"")"),470000.0)</f>
        <v>470000</v>
      </c>
      <c r="D4046" s="7">
        <v>4.0</v>
      </c>
      <c r="E4046" s="7">
        <v>2.0</v>
      </c>
      <c r="F4046" s="7">
        <v>1.0</v>
      </c>
      <c r="G4046" s="7" t="s">
        <v>30</v>
      </c>
      <c r="H4046" s="7" t="s">
        <v>1776</v>
      </c>
      <c r="I4046" s="7" t="s">
        <v>22</v>
      </c>
    </row>
    <row r="4047">
      <c r="A4047" s="7" t="s">
        <v>23</v>
      </c>
      <c r="B4047" s="7" t="s">
        <v>2574</v>
      </c>
      <c r="C4047" s="8">
        <f>IFERROR(__xludf.DUMMYFUNCTION("SPLIT(B4047,""RM"")"),4350000.0)</f>
        <v>4350000</v>
      </c>
      <c r="D4047" s="7" t="s">
        <v>35</v>
      </c>
      <c r="E4047" s="7">
        <v>6.0</v>
      </c>
      <c r="G4047" s="7" t="s">
        <v>487</v>
      </c>
      <c r="H4047" s="7" t="s">
        <v>44</v>
      </c>
      <c r="I4047" s="7" t="s">
        <v>27</v>
      </c>
    </row>
    <row r="4048">
      <c r="A4048" s="7" t="s">
        <v>432</v>
      </c>
      <c r="B4048" s="7" t="s">
        <v>66</v>
      </c>
      <c r="C4048" s="8">
        <f>IFERROR(__xludf.DUMMYFUNCTION("SPLIT(B4048,""RM"")"),9000000.0)</f>
        <v>9000000</v>
      </c>
      <c r="D4048" s="7" t="s">
        <v>60</v>
      </c>
      <c r="E4048" s="7">
        <v>7.0</v>
      </c>
      <c r="F4048" s="7">
        <v>6.0</v>
      </c>
      <c r="G4048" s="7" t="s">
        <v>67</v>
      </c>
      <c r="H4048" s="7" t="s">
        <v>2575</v>
      </c>
      <c r="I4048" s="7" t="s">
        <v>22</v>
      </c>
    </row>
    <row r="4049">
      <c r="A4049" s="7" t="s">
        <v>23</v>
      </c>
      <c r="B4049" s="7" t="s">
        <v>2576</v>
      </c>
      <c r="C4049" s="8">
        <f>IFERROR(__xludf.DUMMYFUNCTION("SPLIT(B4049,""RM"")"),5100000.0)</f>
        <v>5100000</v>
      </c>
      <c r="D4049" s="7" t="s">
        <v>35</v>
      </c>
      <c r="E4049" s="7">
        <v>4.0</v>
      </c>
      <c r="F4049" s="7">
        <v>2.0</v>
      </c>
      <c r="G4049" s="7" t="s">
        <v>67</v>
      </c>
      <c r="H4049" s="7" t="s">
        <v>2577</v>
      </c>
      <c r="I4049" s="7" t="s">
        <v>27</v>
      </c>
    </row>
    <row r="4050">
      <c r="A4050" s="7" t="s">
        <v>23</v>
      </c>
      <c r="B4050" s="7" t="s">
        <v>523</v>
      </c>
      <c r="C4050" s="8">
        <f>IFERROR(__xludf.DUMMYFUNCTION("SPLIT(B4050,""RM"")"),6000000.0)</f>
        <v>6000000</v>
      </c>
      <c r="D4050" s="7" t="s">
        <v>70</v>
      </c>
      <c r="E4050" s="7">
        <v>6.0</v>
      </c>
      <c r="F4050" s="7">
        <v>4.0</v>
      </c>
      <c r="G4050" s="7" t="s">
        <v>67</v>
      </c>
      <c r="H4050" s="7" t="s">
        <v>1738</v>
      </c>
      <c r="I4050" s="7" t="s">
        <v>27</v>
      </c>
    </row>
    <row r="4051">
      <c r="A4051" s="7" t="s">
        <v>262</v>
      </c>
      <c r="B4051" s="7" t="s">
        <v>545</v>
      </c>
      <c r="C4051" s="8">
        <f>IFERROR(__xludf.DUMMYFUNCTION("SPLIT(B4051,""RM"")"),1.0E7)</f>
        <v>10000000</v>
      </c>
      <c r="D4051" s="7">
        <v>9.0</v>
      </c>
      <c r="E4051" s="7">
        <v>10.0</v>
      </c>
      <c r="F4051" s="7">
        <v>8.0</v>
      </c>
      <c r="G4051" s="7" t="s">
        <v>67</v>
      </c>
      <c r="H4051" s="7" t="s">
        <v>2274</v>
      </c>
      <c r="I4051" s="7" t="s">
        <v>27</v>
      </c>
    </row>
    <row r="4052">
      <c r="A4052" s="7" t="s">
        <v>223</v>
      </c>
      <c r="B4052" s="7" t="s">
        <v>372</v>
      </c>
      <c r="C4052" s="8">
        <f>IFERROR(__xludf.DUMMYFUNCTION("SPLIT(B4052,""RM"")"),700000.0)</f>
        <v>700000</v>
      </c>
      <c r="D4052" s="7">
        <v>2.0</v>
      </c>
      <c r="E4052" s="7">
        <v>2.0</v>
      </c>
      <c r="F4052" s="7">
        <v>1.0</v>
      </c>
      <c r="G4052" s="7" t="s">
        <v>82</v>
      </c>
      <c r="H4052" s="7" t="s">
        <v>2578</v>
      </c>
      <c r="I4052" s="7" t="s">
        <v>22</v>
      </c>
    </row>
    <row r="4053">
      <c r="A4053" s="7" t="s">
        <v>241</v>
      </c>
      <c r="B4053" s="7" t="s">
        <v>268</v>
      </c>
      <c r="C4053" s="8">
        <f>IFERROR(__xludf.DUMMYFUNCTION("SPLIT(B4053,""RM"")"),500000.0)</f>
        <v>500000</v>
      </c>
      <c r="D4053" s="7">
        <v>3.0</v>
      </c>
      <c r="E4053" s="7">
        <v>2.0</v>
      </c>
      <c r="F4053" s="7">
        <v>1.0</v>
      </c>
      <c r="G4053" s="7" t="s">
        <v>121</v>
      </c>
      <c r="H4053" s="7" t="s">
        <v>954</v>
      </c>
      <c r="I4053" s="7" t="s">
        <v>27</v>
      </c>
    </row>
    <row r="4054">
      <c r="A4054" s="7" t="s">
        <v>23</v>
      </c>
      <c r="B4054" s="7" t="s">
        <v>243</v>
      </c>
      <c r="C4054" s="8">
        <f>IFERROR(__xludf.DUMMYFUNCTION("SPLIT(B4054,""RM"")"),1350000.0)</f>
        <v>1350000</v>
      </c>
      <c r="D4054" s="7" t="s">
        <v>19</v>
      </c>
      <c r="E4054" s="7">
        <v>3.0</v>
      </c>
      <c r="F4054" s="7">
        <v>1.0</v>
      </c>
      <c r="G4054" s="7" t="s">
        <v>93</v>
      </c>
      <c r="H4054" s="7" t="s">
        <v>1302</v>
      </c>
      <c r="I4054" s="7" t="s">
        <v>27</v>
      </c>
    </row>
    <row r="4055">
      <c r="A4055" s="7" t="s">
        <v>23</v>
      </c>
      <c r="B4055" s="7" t="s">
        <v>132</v>
      </c>
      <c r="C4055" s="8">
        <f>IFERROR(__xludf.DUMMYFUNCTION("SPLIT(B4055,""RM"")"),1080000.0)</f>
        <v>1080000</v>
      </c>
      <c r="D4055" s="7" t="s">
        <v>57</v>
      </c>
      <c r="E4055" s="7">
        <v>3.0</v>
      </c>
      <c r="F4055" s="7">
        <v>1.0</v>
      </c>
      <c r="G4055" s="7" t="s">
        <v>83</v>
      </c>
      <c r="H4055" s="7" t="s">
        <v>2579</v>
      </c>
      <c r="I4055" s="7" t="s">
        <v>22</v>
      </c>
    </row>
    <row r="4056">
      <c r="A4056" s="7" t="s">
        <v>65</v>
      </c>
      <c r="B4056" s="7" t="s">
        <v>63</v>
      </c>
      <c r="C4056" s="8">
        <f>IFERROR(__xludf.DUMMYFUNCTION("SPLIT(B4056,""RM"")"),3100000.0)</f>
        <v>3100000</v>
      </c>
      <c r="D4056" s="7" t="s">
        <v>57</v>
      </c>
      <c r="E4056" s="7">
        <v>5.0</v>
      </c>
      <c r="F4056" s="7">
        <v>3.0</v>
      </c>
      <c r="G4056" s="7" t="s">
        <v>93</v>
      </c>
      <c r="H4056" s="7" t="s">
        <v>2580</v>
      </c>
      <c r="I4056" s="7" t="s">
        <v>27</v>
      </c>
    </row>
    <row r="4057">
      <c r="A4057" s="7" t="s">
        <v>17</v>
      </c>
      <c r="B4057" s="7" t="s">
        <v>2563</v>
      </c>
      <c r="C4057" s="8">
        <f>IFERROR(__xludf.DUMMYFUNCTION("SPLIT(B4057,""RM"")"),968000.0)</f>
        <v>968000</v>
      </c>
      <c r="D4057" s="7">
        <v>1.0</v>
      </c>
      <c r="E4057" s="7">
        <v>1.0</v>
      </c>
      <c r="G4057" s="7" t="s">
        <v>20</v>
      </c>
      <c r="H4057" s="7" t="s">
        <v>1363</v>
      </c>
      <c r="I4057" s="7" t="s">
        <v>22</v>
      </c>
    </row>
    <row r="4058">
      <c r="A4058" s="7" t="s">
        <v>180</v>
      </c>
      <c r="B4058" s="7" t="s">
        <v>260</v>
      </c>
      <c r="C4058" s="8">
        <f>IFERROR(__xludf.DUMMYFUNCTION("SPLIT(B4058,""RM"")"),1480000.0)</f>
        <v>1480000</v>
      </c>
      <c r="D4058" s="7" t="s">
        <v>57</v>
      </c>
      <c r="E4058" s="7">
        <v>3.0</v>
      </c>
      <c r="F4058" s="7">
        <v>2.0</v>
      </c>
      <c r="G4058" s="7" t="s">
        <v>93</v>
      </c>
      <c r="H4058" s="7" t="s">
        <v>1596</v>
      </c>
      <c r="I4058" s="7" t="s">
        <v>22</v>
      </c>
    </row>
    <row r="4059">
      <c r="A4059" s="7" t="s">
        <v>33</v>
      </c>
      <c r="B4059" s="7" t="s">
        <v>349</v>
      </c>
      <c r="C4059" s="8">
        <f>IFERROR(__xludf.DUMMYFUNCTION("SPLIT(B4059,""RM"")"),1400000.0)</f>
        <v>1400000</v>
      </c>
      <c r="D4059" s="7" t="s">
        <v>35</v>
      </c>
      <c r="E4059" s="7">
        <v>5.0</v>
      </c>
      <c r="F4059" s="7">
        <v>2.0</v>
      </c>
      <c r="G4059" s="7" t="s">
        <v>90</v>
      </c>
      <c r="H4059" s="7" t="s">
        <v>2581</v>
      </c>
      <c r="I4059" s="7" t="s">
        <v>103</v>
      </c>
    </row>
    <row r="4060">
      <c r="A4060" s="7" t="s">
        <v>432</v>
      </c>
      <c r="B4060" s="7" t="s">
        <v>101</v>
      </c>
      <c r="C4060" s="8">
        <f>IFERROR(__xludf.DUMMYFUNCTION("SPLIT(B4060,""RM"")"),3300000.0)</f>
        <v>3300000</v>
      </c>
      <c r="D4060" s="7" t="s">
        <v>35</v>
      </c>
      <c r="E4060" s="7">
        <v>6.0</v>
      </c>
      <c r="F4060" s="7">
        <v>3.0</v>
      </c>
      <c r="G4060" s="7" t="s">
        <v>93</v>
      </c>
      <c r="H4060" s="7" t="s">
        <v>1626</v>
      </c>
      <c r="I4060" s="7" t="s">
        <v>22</v>
      </c>
    </row>
    <row r="4061">
      <c r="A4061" s="7" t="s">
        <v>432</v>
      </c>
      <c r="B4061" s="7" t="s">
        <v>534</v>
      </c>
      <c r="C4061" s="8">
        <f>IFERROR(__xludf.DUMMYFUNCTION("SPLIT(B4061,""RM"")"),3200000.0)</f>
        <v>3200000</v>
      </c>
      <c r="D4061" s="7" t="s">
        <v>35</v>
      </c>
      <c r="E4061" s="7">
        <v>6.0</v>
      </c>
      <c r="F4061" s="7">
        <v>4.0</v>
      </c>
      <c r="G4061" s="7" t="s">
        <v>30</v>
      </c>
      <c r="H4061" s="7" t="s">
        <v>1495</v>
      </c>
      <c r="I4061" s="7" t="s">
        <v>27</v>
      </c>
    </row>
    <row r="4062">
      <c r="A4062" s="7" t="s">
        <v>23</v>
      </c>
      <c r="B4062" s="7" t="s">
        <v>327</v>
      </c>
      <c r="C4062" s="8">
        <f>IFERROR(__xludf.DUMMYFUNCTION("SPLIT(B4062,""RM"")"),1300000.0)</f>
        <v>1300000</v>
      </c>
      <c r="D4062" s="7" t="s">
        <v>79</v>
      </c>
      <c r="E4062" s="7">
        <v>3.0</v>
      </c>
      <c r="F4062" s="7">
        <v>1.0</v>
      </c>
      <c r="G4062" s="7" t="s">
        <v>30</v>
      </c>
      <c r="H4062" s="7" t="s">
        <v>1302</v>
      </c>
      <c r="I4062" s="7" t="s">
        <v>27</v>
      </c>
    </row>
    <row r="4063">
      <c r="A4063" s="7" t="s">
        <v>23</v>
      </c>
      <c r="B4063" s="7" t="s">
        <v>2582</v>
      </c>
      <c r="C4063" s="8">
        <f>IFERROR(__xludf.DUMMYFUNCTION("SPLIT(B4063,""RM"")"),1395000.0)</f>
        <v>1395000</v>
      </c>
      <c r="D4063" s="7" t="s">
        <v>19</v>
      </c>
      <c r="E4063" s="7">
        <v>3.0</v>
      </c>
      <c r="F4063" s="7">
        <v>1.0</v>
      </c>
      <c r="G4063" s="7" t="s">
        <v>93</v>
      </c>
      <c r="H4063" s="7" t="s">
        <v>1302</v>
      </c>
      <c r="I4063" s="7" t="s">
        <v>27</v>
      </c>
    </row>
    <row r="4064">
      <c r="A4064" s="7" t="s">
        <v>177</v>
      </c>
      <c r="B4064" s="7" t="s">
        <v>120</v>
      </c>
      <c r="C4064" s="8">
        <f>IFERROR(__xludf.DUMMYFUNCTION("SPLIT(B4064,""RM"")"),3600000.0)</f>
        <v>3600000</v>
      </c>
      <c r="D4064" s="7" t="s">
        <v>35</v>
      </c>
      <c r="E4064" s="7">
        <v>6.0</v>
      </c>
      <c r="F4064" s="7">
        <v>3.0</v>
      </c>
      <c r="G4064" s="7" t="s">
        <v>30</v>
      </c>
      <c r="H4064" s="7" t="s">
        <v>2583</v>
      </c>
      <c r="I4064" s="7" t="s">
        <v>27</v>
      </c>
    </row>
    <row r="4065">
      <c r="A4065" s="7" t="s">
        <v>17</v>
      </c>
      <c r="B4065" s="7" t="s">
        <v>2584</v>
      </c>
      <c r="C4065" s="8">
        <f>IFERROR(__xludf.DUMMYFUNCTION("SPLIT(B4065,""RM"")"),3941000.0)</f>
        <v>3941000</v>
      </c>
      <c r="D4065" s="7" t="s">
        <v>70</v>
      </c>
      <c r="E4065" s="7">
        <v>7.0</v>
      </c>
      <c r="F4065" s="7">
        <v>3.0</v>
      </c>
      <c r="G4065" s="7" t="s">
        <v>93</v>
      </c>
      <c r="H4065" s="7" t="s">
        <v>2585</v>
      </c>
      <c r="I4065" s="7" t="s">
        <v>27</v>
      </c>
    </row>
    <row r="4066">
      <c r="A4066" s="7" t="s">
        <v>23</v>
      </c>
      <c r="B4066" s="7" t="s">
        <v>327</v>
      </c>
      <c r="C4066" s="8">
        <f>IFERROR(__xludf.DUMMYFUNCTION("SPLIT(B4066,""RM"")"),1300000.0)</f>
        <v>1300000</v>
      </c>
      <c r="D4066" s="7">
        <v>3.0</v>
      </c>
      <c r="E4066" s="7">
        <v>3.0</v>
      </c>
      <c r="F4066" s="7">
        <v>1.0</v>
      </c>
      <c r="G4066" s="7" t="s">
        <v>93</v>
      </c>
      <c r="H4066" s="7" t="s">
        <v>2586</v>
      </c>
      <c r="I4066" s="7" t="s">
        <v>27</v>
      </c>
    </row>
    <row r="4067">
      <c r="A4067" s="7" t="s">
        <v>177</v>
      </c>
      <c r="B4067" s="7" t="s">
        <v>401</v>
      </c>
      <c r="C4067" s="8">
        <f>IFERROR(__xludf.DUMMYFUNCTION("SPLIT(B4067,""RM"")"),3380000.0)</f>
        <v>3380000</v>
      </c>
      <c r="D4067" s="7" t="s">
        <v>35</v>
      </c>
      <c r="E4067" s="7">
        <v>5.0</v>
      </c>
      <c r="F4067" s="7">
        <v>2.0</v>
      </c>
      <c r="G4067" s="7" t="s">
        <v>300</v>
      </c>
      <c r="H4067" s="7" t="s">
        <v>1024</v>
      </c>
      <c r="I4067" s="7" t="s">
        <v>27</v>
      </c>
    </row>
    <row r="4068">
      <c r="A4068" s="7" t="s">
        <v>23</v>
      </c>
      <c r="B4068" s="7" t="s">
        <v>322</v>
      </c>
      <c r="C4068" s="8">
        <f>IFERROR(__xludf.DUMMYFUNCTION("SPLIT(B4068,""RM"")"),1900000.0)</f>
        <v>1900000</v>
      </c>
      <c r="D4068" s="7" t="s">
        <v>35</v>
      </c>
      <c r="E4068" s="7">
        <v>5.0</v>
      </c>
      <c r="F4068" s="7">
        <v>2.0</v>
      </c>
      <c r="G4068" s="7" t="s">
        <v>93</v>
      </c>
      <c r="H4068" s="7" t="s">
        <v>570</v>
      </c>
      <c r="I4068" s="7" t="s">
        <v>27</v>
      </c>
    </row>
    <row r="4069">
      <c r="A4069" s="7" t="s">
        <v>72</v>
      </c>
      <c r="B4069" s="7" t="s">
        <v>156</v>
      </c>
      <c r="C4069" s="8">
        <f>IFERROR(__xludf.DUMMYFUNCTION("SPLIT(B4069,""RM"")"),850000.0)</f>
        <v>850000</v>
      </c>
      <c r="D4069" s="7" t="s">
        <v>57</v>
      </c>
      <c r="E4069" s="7">
        <v>3.0</v>
      </c>
      <c r="F4069" s="7">
        <v>1.0</v>
      </c>
      <c r="G4069" s="7" t="s">
        <v>82</v>
      </c>
      <c r="H4069" s="7" t="s">
        <v>2039</v>
      </c>
      <c r="I4069" s="7" t="s">
        <v>22</v>
      </c>
    </row>
    <row r="4070">
      <c r="A4070" s="7" t="s">
        <v>32</v>
      </c>
      <c r="B4070" s="7" t="s">
        <v>1344</v>
      </c>
      <c r="C4070" s="8">
        <f>IFERROR(__xludf.DUMMYFUNCTION("SPLIT(B4070,""RM"")"),625000.0)</f>
        <v>625000</v>
      </c>
      <c r="D4070" s="7">
        <v>4.0</v>
      </c>
      <c r="E4070" s="7">
        <v>3.0</v>
      </c>
      <c r="F4070" s="7">
        <v>2.0</v>
      </c>
      <c r="G4070" s="7" t="s">
        <v>54</v>
      </c>
      <c r="H4070" s="7" t="s">
        <v>711</v>
      </c>
      <c r="I4070" s="7" t="s">
        <v>27</v>
      </c>
    </row>
    <row r="4071">
      <c r="A4071" s="7" t="s">
        <v>77</v>
      </c>
      <c r="B4071" s="7" t="s">
        <v>575</v>
      </c>
      <c r="C4071" s="8">
        <f>IFERROR(__xludf.DUMMYFUNCTION("SPLIT(B4071,""RM"")"),660000.0)</f>
        <v>660000</v>
      </c>
      <c r="D4071" s="7">
        <v>4.0</v>
      </c>
      <c r="E4071" s="7">
        <v>4.0</v>
      </c>
      <c r="F4071" s="7">
        <v>2.0</v>
      </c>
      <c r="G4071" s="7" t="s">
        <v>54</v>
      </c>
      <c r="H4071" s="7" t="s">
        <v>283</v>
      </c>
      <c r="I4071" s="7" t="s">
        <v>103</v>
      </c>
    </row>
    <row r="4072">
      <c r="A4072" s="7" t="s">
        <v>77</v>
      </c>
      <c r="B4072" s="7" t="s">
        <v>168</v>
      </c>
      <c r="C4072" s="8">
        <f>IFERROR(__xludf.DUMMYFUNCTION("SPLIT(B4072,""RM"")"),750000.0)</f>
        <v>750000</v>
      </c>
      <c r="D4072" s="7">
        <v>5.0</v>
      </c>
      <c r="E4072" s="7">
        <v>4.0</v>
      </c>
      <c r="F4072" s="7">
        <v>4.0</v>
      </c>
      <c r="G4072" s="7" t="s">
        <v>184</v>
      </c>
      <c r="H4072" s="7" t="s">
        <v>1886</v>
      </c>
      <c r="I4072" s="7" t="s">
        <v>27</v>
      </c>
    </row>
    <row r="4073">
      <c r="A4073" s="7" t="s">
        <v>177</v>
      </c>
      <c r="B4073" s="7" t="s">
        <v>2587</v>
      </c>
      <c r="C4073" s="8">
        <f>IFERROR(__xludf.DUMMYFUNCTION("SPLIT(B4073,""RM"")"),735000.0)</f>
        <v>735000</v>
      </c>
      <c r="D4073" s="7" t="s">
        <v>19</v>
      </c>
      <c r="E4073" s="7">
        <v>2.0</v>
      </c>
      <c r="F4073" s="7">
        <v>2.0</v>
      </c>
      <c r="G4073" s="7" t="s">
        <v>93</v>
      </c>
      <c r="H4073" s="7" t="s">
        <v>2467</v>
      </c>
      <c r="I4073" s="7" t="s">
        <v>27</v>
      </c>
    </row>
    <row r="4074">
      <c r="A4074" s="7" t="s">
        <v>32</v>
      </c>
      <c r="B4074" s="7" t="s">
        <v>125</v>
      </c>
      <c r="C4074" s="8">
        <f>IFERROR(__xludf.DUMMYFUNCTION("SPLIT(B4074,""RM"")"),2300000.0)</f>
        <v>2300000</v>
      </c>
      <c r="D4074" s="7" t="s">
        <v>70</v>
      </c>
      <c r="E4074" s="7">
        <v>3.0</v>
      </c>
      <c r="F4074" s="7">
        <v>4.0</v>
      </c>
      <c r="G4074" s="7" t="s">
        <v>61</v>
      </c>
      <c r="H4074" s="7" t="s">
        <v>1202</v>
      </c>
      <c r="I4074" s="7" t="s">
        <v>27</v>
      </c>
    </row>
    <row r="4075">
      <c r="A4075" s="7" t="s">
        <v>23</v>
      </c>
      <c r="B4075" s="7" t="s">
        <v>1152</v>
      </c>
      <c r="C4075" s="8">
        <f>IFERROR(__xludf.DUMMYFUNCTION("SPLIT(B4075,""RM"")"),1390000.0)</f>
        <v>1390000</v>
      </c>
      <c r="D4075" s="7" t="s">
        <v>19</v>
      </c>
      <c r="E4075" s="7">
        <v>3.0</v>
      </c>
      <c r="F4075" s="7">
        <v>1.0</v>
      </c>
      <c r="G4075" s="7" t="s">
        <v>30</v>
      </c>
      <c r="H4075" s="7" t="s">
        <v>1522</v>
      </c>
      <c r="I4075" s="7" t="s">
        <v>27</v>
      </c>
    </row>
    <row r="4076">
      <c r="A4076" s="7" t="s">
        <v>37</v>
      </c>
      <c r="B4076" s="7" t="s">
        <v>260</v>
      </c>
      <c r="C4076" s="8">
        <f>IFERROR(__xludf.DUMMYFUNCTION("SPLIT(B4076,""RM"")"),1480000.0)</f>
        <v>1480000</v>
      </c>
      <c r="D4076" s="7" t="s">
        <v>19</v>
      </c>
      <c r="E4076" s="7">
        <v>3.0</v>
      </c>
      <c r="F4076" s="7">
        <v>2.0</v>
      </c>
      <c r="G4076" s="7" t="s">
        <v>121</v>
      </c>
      <c r="H4076" s="7" t="s">
        <v>1093</v>
      </c>
      <c r="I4076" s="7" t="s">
        <v>22</v>
      </c>
    </row>
    <row r="4077">
      <c r="A4077" s="7" t="s">
        <v>37</v>
      </c>
      <c r="B4077" s="7" t="s">
        <v>260</v>
      </c>
      <c r="C4077" s="8">
        <f>IFERROR(__xludf.DUMMYFUNCTION("SPLIT(B4077,""RM"")"),1480000.0)</f>
        <v>1480000</v>
      </c>
      <c r="D4077" s="7" t="s">
        <v>19</v>
      </c>
      <c r="E4077" s="7">
        <v>3.0</v>
      </c>
      <c r="F4077" s="7">
        <v>2.0</v>
      </c>
      <c r="G4077" s="7" t="s">
        <v>121</v>
      </c>
      <c r="H4077" s="7" t="s">
        <v>1093</v>
      </c>
      <c r="I4077" s="7" t="s">
        <v>22</v>
      </c>
    </row>
    <row r="4078">
      <c r="A4078" s="7" t="s">
        <v>72</v>
      </c>
      <c r="B4078" s="7" t="s">
        <v>1166</v>
      </c>
      <c r="C4078" s="8">
        <f>IFERROR(__xludf.DUMMYFUNCTION("SPLIT(B4078,""RM"")"),760000.0)</f>
        <v>760000</v>
      </c>
      <c r="D4078" s="7">
        <v>2.0</v>
      </c>
      <c r="E4078" s="7">
        <v>2.0</v>
      </c>
      <c r="F4078" s="7">
        <v>1.0</v>
      </c>
      <c r="G4078" s="7" t="s">
        <v>83</v>
      </c>
      <c r="H4078" s="7" t="s">
        <v>747</v>
      </c>
    </row>
    <row r="4079">
      <c r="A4079" s="7" t="s">
        <v>608</v>
      </c>
      <c r="B4079" s="7" t="s">
        <v>279</v>
      </c>
      <c r="C4079" s="8">
        <f>IFERROR(__xludf.DUMMYFUNCTION("SPLIT(B4079,""RM"")"),1380000.0)</f>
        <v>1380000</v>
      </c>
      <c r="D4079" s="7">
        <v>2.0</v>
      </c>
      <c r="E4079" s="7">
        <v>2.0</v>
      </c>
      <c r="F4079" s="7">
        <v>1.0</v>
      </c>
      <c r="G4079" s="7" t="s">
        <v>30</v>
      </c>
      <c r="H4079" s="7" t="s">
        <v>609</v>
      </c>
      <c r="I4079" s="7" t="s">
        <v>27</v>
      </c>
    </row>
    <row r="4080">
      <c r="A4080" s="7" t="s">
        <v>23</v>
      </c>
      <c r="B4080" s="7" t="s">
        <v>447</v>
      </c>
      <c r="C4080" s="8">
        <f>IFERROR(__xludf.DUMMYFUNCTION("SPLIT(B4080,""RM"")"),3700000.0)</f>
        <v>3700000</v>
      </c>
      <c r="D4080" s="7" t="s">
        <v>35</v>
      </c>
      <c r="E4080" s="7">
        <v>4.0</v>
      </c>
      <c r="F4080" s="7">
        <v>4.0</v>
      </c>
      <c r="G4080" s="7" t="s">
        <v>487</v>
      </c>
      <c r="H4080" s="7" t="s">
        <v>2588</v>
      </c>
      <c r="I4080" s="7" t="s">
        <v>27</v>
      </c>
    </row>
    <row r="4081">
      <c r="A4081" s="7" t="s">
        <v>23</v>
      </c>
      <c r="B4081" s="7" t="s">
        <v>921</v>
      </c>
      <c r="C4081" s="8">
        <f>IFERROR(__xludf.DUMMYFUNCTION("SPLIT(B4081,""RM"")"),2990000.0)</f>
        <v>2990000</v>
      </c>
      <c r="D4081" s="7" t="s">
        <v>35</v>
      </c>
      <c r="E4081" s="7">
        <v>4.0</v>
      </c>
      <c r="F4081" s="7">
        <v>4.0</v>
      </c>
      <c r="G4081" s="7" t="s">
        <v>64</v>
      </c>
      <c r="H4081" s="7" t="s">
        <v>928</v>
      </c>
      <c r="I4081" s="7" t="s">
        <v>27</v>
      </c>
    </row>
    <row r="4082">
      <c r="A4082" s="7" t="s">
        <v>52</v>
      </c>
      <c r="B4082" s="7" t="s">
        <v>85</v>
      </c>
      <c r="C4082" s="8">
        <f>IFERROR(__xludf.DUMMYFUNCTION("SPLIT(B4082,""RM"")"),1450000.0)</f>
        <v>1450000</v>
      </c>
      <c r="D4082" s="7">
        <v>3.0</v>
      </c>
      <c r="E4082" s="7">
        <v>2.0</v>
      </c>
      <c r="F4082" s="7">
        <v>2.0</v>
      </c>
      <c r="G4082" s="7" t="s">
        <v>121</v>
      </c>
      <c r="H4082" s="7" t="s">
        <v>2589</v>
      </c>
      <c r="I4082" s="7" t="s">
        <v>27</v>
      </c>
    </row>
    <row r="4083">
      <c r="A4083" s="7" t="s">
        <v>23</v>
      </c>
      <c r="B4083" s="7" t="s">
        <v>322</v>
      </c>
      <c r="C4083" s="8">
        <f>IFERROR(__xludf.DUMMYFUNCTION("SPLIT(B4083,""RM"")"),1900000.0)</f>
        <v>1900000</v>
      </c>
      <c r="D4083" s="7" t="s">
        <v>57</v>
      </c>
      <c r="E4083" s="7">
        <v>4.0</v>
      </c>
      <c r="F4083" s="7">
        <v>2.0</v>
      </c>
      <c r="G4083" s="7" t="s">
        <v>93</v>
      </c>
      <c r="H4083" s="7" t="s">
        <v>461</v>
      </c>
      <c r="I4083" s="7" t="s">
        <v>27</v>
      </c>
    </row>
    <row r="4084">
      <c r="A4084" s="7" t="s">
        <v>23</v>
      </c>
      <c r="B4084" s="7" t="s">
        <v>1289</v>
      </c>
      <c r="C4084" s="8">
        <f>IFERROR(__xludf.DUMMYFUNCTION("SPLIT(B4084,""RM"")"),2730000.0)</f>
        <v>2730000</v>
      </c>
      <c r="D4084" s="7" t="s">
        <v>35</v>
      </c>
      <c r="E4084" s="7">
        <v>4.0</v>
      </c>
      <c r="F4084" s="7">
        <v>2.0</v>
      </c>
      <c r="G4084" s="7" t="s">
        <v>30</v>
      </c>
      <c r="H4084" s="7" t="s">
        <v>2590</v>
      </c>
      <c r="I4084" s="7" t="s">
        <v>27</v>
      </c>
    </row>
    <row r="4085">
      <c r="A4085" s="7" t="s">
        <v>23</v>
      </c>
      <c r="B4085" s="7" t="s">
        <v>18</v>
      </c>
      <c r="C4085" s="8">
        <f>IFERROR(__xludf.DUMMYFUNCTION("SPLIT(B4085,""RM"")"),1250000.0)</f>
        <v>1250000</v>
      </c>
      <c r="D4085" s="7" t="s">
        <v>19</v>
      </c>
      <c r="E4085" s="7">
        <v>2.0</v>
      </c>
      <c r="F4085" s="7">
        <v>1.0</v>
      </c>
      <c r="G4085" s="7" t="s">
        <v>30</v>
      </c>
      <c r="H4085" s="7" t="s">
        <v>1688</v>
      </c>
      <c r="I4085" s="7" t="s">
        <v>27</v>
      </c>
    </row>
    <row r="4086">
      <c r="A4086" s="7" t="s">
        <v>23</v>
      </c>
      <c r="B4086" s="7" t="s">
        <v>2591</v>
      </c>
      <c r="C4086" s="8">
        <f>IFERROR(__xludf.DUMMYFUNCTION("SPLIT(B4086,""RM"")"),1499999.0)</f>
        <v>1499999</v>
      </c>
      <c r="D4086" s="7" t="s">
        <v>57</v>
      </c>
      <c r="E4086" s="7">
        <v>4.0</v>
      </c>
      <c r="F4086" s="7">
        <v>1.0</v>
      </c>
      <c r="G4086" s="7" t="s">
        <v>30</v>
      </c>
      <c r="H4086" s="7" t="s">
        <v>2592</v>
      </c>
      <c r="I4086" s="7" t="s">
        <v>27</v>
      </c>
    </row>
    <row r="4087">
      <c r="A4087" s="7" t="s">
        <v>23</v>
      </c>
      <c r="B4087" s="7" t="s">
        <v>921</v>
      </c>
      <c r="C4087" s="8">
        <f>IFERROR(__xludf.DUMMYFUNCTION("SPLIT(B4087,""RM"")"),2990000.0)</f>
        <v>2990000</v>
      </c>
      <c r="D4087" s="7" t="s">
        <v>35</v>
      </c>
      <c r="E4087" s="7">
        <v>4.0</v>
      </c>
      <c r="F4087" s="7">
        <v>3.0</v>
      </c>
      <c r="G4087" s="7" t="s">
        <v>64</v>
      </c>
      <c r="H4087" s="7" t="s">
        <v>928</v>
      </c>
      <c r="I4087" s="7" t="s">
        <v>27</v>
      </c>
    </row>
    <row r="4088">
      <c r="A4088" s="7" t="s">
        <v>23</v>
      </c>
      <c r="B4088" s="7" t="s">
        <v>1079</v>
      </c>
      <c r="C4088" s="8">
        <f>IFERROR(__xludf.DUMMYFUNCTION("SPLIT(B4088,""RM"")"),2350000.0)</f>
        <v>2350000</v>
      </c>
      <c r="D4088" s="7" t="s">
        <v>79</v>
      </c>
      <c r="E4088" s="7">
        <v>4.0</v>
      </c>
      <c r="F4088" s="7">
        <v>2.0</v>
      </c>
      <c r="G4088" s="7" t="s">
        <v>30</v>
      </c>
      <c r="H4088" s="7" t="s">
        <v>2593</v>
      </c>
      <c r="I4088" s="7" t="s">
        <v>27</v>
      </c>
    </row>
    <row r="4089">
      <c r="A4089" s="7" t="s">
        <v>23</v>
      </c>
      <c r="B4089" s="7" t="s">
        <v>2594</v>
      </c>
      <c r="C4089" s="8">
        <f>IFERROR(__xludf.DUMMYFUNCTION("SPLIT(B4089,""RM"")"),2788000.0)</f>
        <v>2788000</v>
      </c>
      <c r="D4089" s="7" t="s">
        <v>35</v>
      </c>
      <c r="E4089" s="7">
        <v>4.0</v>
      </c>
      <c r="F4089" s="7">
        <v>2.0</v>
      </c>
      <c r="G4089" s="7" t="s">
        <v>30</v>
      </c>
      <c r="H4089" s="7" t="s">
        <v>1999</v>
      </c>
      <c r="I4089" s="7" t="s">
        <v>27</v>
      </c>
    </row>
    <row r="4090">
      <c r="A4090" s="7" t="s">
        <v>33</v>
      </c>
      <c r="B4090" s="7" t="s">
        <v>260</v>
      </c>
      <c r="C4090" s="8">
        <f>IFERROR(__xludf.DUMMYFUNCTION("SPLIT(B4090,""RM"")"),1480000.0)</f>
        <v>1480000</v>
      </c>
      <c r="D4090" s="7">
        <v>5.0</v>
      </c>
      <c r="E4090" s="7">
        <v>5.0</v>
      </c>
      <c r="F4090" s="7">
        <v>2.0</v>
      </c>
      <c r="G4090" s="7" t="s">
        <v>90</v>
      </c>
      <c r="H4090" s="7" t="s">
        <v>2595</v>
      </c>
      <c r="I4090" s="7" t="s">
        <v>103</v>
      </c>
    </row>
    <row r="4091">
      <c r="A4091" s="7" t="s">
        <v>23</v>
      </c>
      <c r="B4091" s="7" t="s">
        <v>281</v>
      </c>
      <c r="C4091" s="8">
        <f>IFERROR(__xludf.DUMMYFUNCTION("SPLIT(B4091,""RM"")"),2500000.0)</f>
        <v>2500000</v>
      </c>
      <c r="D4091" s="7">
        <v>3.0</v>
      </c>
      <c r="E4091" s="7">
        <v>3.0</v>
      </c>
      <c r="F4091" s="7">
        <v>4.0</v>
      </c>
      <c r="G4091" s="7" t="s">
        <v>30</v>
      </c>
      <c r="H4091" s="7" t="s">
        <v>2596</v>
      </c>
      <c r="I4091" s="7" t="s">
        <v>27</v>
      </c>
    </row>
    <row r="4092">
      <c r="A4092" s="7" t="s">
        <v>23</v>
      </c>
      <c r="B4092" s="7" t="s">
        <v>322</v>
      </c>
      <c r="C4092" s="8">
        <f>IFERROR(__xludf.DUMMYFUNCTION("SPLIT(B4092,""RM"")"),1900000.0)</f>
        <v>1900000</v>
      </c>
      <c r="D4092" s="7" t="s">
        <v>57</v>
      </c>
      <c r="E4092" s="7">
        <v>4.0</v>
      </c>
      <c r="F4092" s="7">
        <v>2.0</v>
      </c>
      <c r="G4092" s="7" t="s">
        <v>93</v>
      </c>
      <c r="H4092" s="7" t="s">
        <v>461</v>
      </c>
      <c r="I4092" s="7" t="s">
        <v>27</v>
      </c>
    </row>
    <row r="4093">
      <c r="A4093" s="7" t="s">
        <v>28</v>
      </c>
      <c r="B4093" s="7" t="s">
        <v>257</v>
      </c>
      <c r="C4093" s="8">
        <f>IFERROR(__xludf.DUMMYFUNCTION("SPLIT(B4093,""RM"")"),2480000.0)</f>
        <v>2480000</v>
      </c>
      <c r="D4093" s="7" t="s">
        <v>70</v>
      </c>
      <c r="E4093" s="7">
        <v>5.0</v>
      </c>
      <c r="F4093" s="7">
        <v>3.0</v>
      </c>
      <c r="G4093" s="7" t="s">
        <v>43</v>
      </c>
      <c r="H4093" s="7" t="s">
        <v>2597</v>
      </c>
      <c r="I4093" s="7" t="s">
        <v>27</v>
      </c>
    </row>
    <row r="4094">
      <c r="A4094" s="7" t="s">
        <v>41</v>
      </c>
      <c r="B4094" s="7" t="s">
        <v>1908</v>
      </c>
      <c r="C4094" s="8">
        <f>IFERROR(__xludf.DUMMYFUNCTION("SPLIT(B4094,""RM"")"),699000.0)</f>
        <v>699000</v>
      </c>
      <c r="D4094" s="7">
        <v>3.0</v>
      </c>
      <c r="E4094" s="7">
        <v>2.0</v>
      </c>
      <c r="F4094" s="7">
        <v>1.0</v>
      </c>
      <c r="G4094" s="7" t="s">
        <v>93</v>
      </c>
      <c r="H4094" s="7" t="s">
        <v>2598</v>
      </c>
      <c r="I4094" s="7" t="s">
        <v>27</v>
      </c>
    </row>
    <row r="4095">
      <c r="A4095" s="7" t="s">
        <v>72</v>
      </c>
      <c r="B4095" s="7" t="s">
        <v>854</v>
      </c>
      <c r="C4095" s="8">
        <f>IFERROR(__xludf.DUMMYFUNCTION("SPLIT(B4095,""RM"")"),690000.0)</f>
        <v>690000</v>
      </c>
      <c r="D4095" s="7">
        <v>2.0</v>
      </c>
      <c r="E4095" s="7">
        <v>2.0</v>
      </c>
      <c r="F4095" s="7">
        <v>1.0</v>
      </c>
      <c r="G4095" s="7" t="s">
        <v>83</v>
      </c>
      <c r="H4095" s="7" t="s">
        <v>2540</v>
      </c>
      <c r="I4095" s="7" t="s">
        <v>22</v>
      </c>
    </row>
    <row r="4096">
      <c r="A4096" s="7" t="s">
        <v>23</v>
      </c>
      <c r="B4096" s="7" t="s">
        <v>309</v>
      </c>
      <c r="C4096" s="8">
        <f>IFERROR(__xludf.DUMMYFUNCTION("SPLIT(B4096,""RM"")"),2100000.0)</f>
        <v>2100000</v>
      </c>
      <c r="D4096" s="7" t="s">
        <v>35</v>
      </c>
      <c r="E4096" s="7">
        <v>5.0</v>
      </c>
      <c r="F4096" s="7">
        <v>2.0</v>
      </c>
      <c r="G4096" s="7" t="s">
        <v>93</v>
      </c>
      <c r="H4096" s="7" t="s">
        <v>2599</v>
      </c>
      <c r="I4096" s="7" t="s">
        <v>251</v>
      </c>
    </row>
    <row r="4097">
      <c r="A4097" s="7" t="s">
        <v>23</v>
      </c>
      <c r="B4097" s="7" t="s">
        <v>158</v>
      </c>
      <c r="C4097" s="8">
        <f>IFERROR(__xludf.DUMMYFUNCTION("SPLIT(B4097,""RM"")"),1850000.0)</f>
        <v>1850000</v>
      </c>
      <c r="D4097" s="7" t="s">
        <v>57</v>
      </c>
      <c r="E4097" s="7">
        <v>4.0</v>
      </c>
      <c r="F4097" s="7">
        <v>1.0</v>
      </c>
      <c r="G4097" s="7" t="s">
        <v>30</v>
      </c>
      <c r="H4097" s="7" t="s">
        <v>2600</v>
      </c>
      <c r="I4097" s="7" t="s">
        <v>27</v>
      </c>
    </row>
    <row r="4098">
      <c r="A4098" s="7" t="s">
        <v>23</v>
      </c>
      <c r="B4098" s="7" t="s">
        <v>309</v>
      </c>
      <c r="C4098" s="8">
        <f>IFERROR(__xludf.DUMMYFUNCTION("SPLIT(B4098,""RM"")"),2100000.0)</f>
        <v>2100000</v>
      </c>
      <c r="D4098" s="7" t="s">
        <v>35</v>
      </c>
      <c r="E4098" s="7">
        <v>5.0</v>
      </c>
      <c r="F4098" s="7">
        <v>2.0</v>
      </c>
      <c r="G4098" s="7" t="s">
        <v>93</v>
      </c>
      <c r="H4098" s="7" t="s">
        <v>2599</v>
      </c>
      <c r="I4098" s="7" t="s">
        <v>27</v>
      </c>
    </row>
    <row r="4099">
      <c r="A4099" s="7" t="s">
        <v>23</v>
      </c>
      <c r="B4099" s="7" t="s">
        <v>309</v>
      </c>
      <c r="C4099" s="8">
        <f>IFERROR(__xludf.DUMMYFUNCTION("SPLIT(B4099,""RM"")"),2100000.0)</f>
        <v>2100000</v>
      </c>
      <c r="D4099" s="7" t="s">
        <v>35</v>
      </c>
      <c r="E4099" s="7">
        <v>5.0</v>
      </c>
      <c r="F4099" s="7">
        <v>2.0</v>
      </c>
      <c r="G4099" s="7" t="s">
        <v>93</v>
      </c>
      <c r="H4099" s="7" t="s">
        <v>2599</v>
      </c>
      <c r="I4099" s="7" t="s">
        <v>27</v>
      </c>
    </row>
    <row r="4100">
      <c r="A4100" s="7" t="s">
        <v>177</v>
      </c>
      <c r="B4100" s="7" t="s">
        <v>575</v>
      </c>
      <c r="C4100" s="8">
        <f>IFERROR(__xludf.DUMMYFUNCTION("SPLIT(B4100,""RM"")"),660000.0)</f>
        <v>660000</v>
      </c>
      <c r="D4100" s="7">
        <v>1.0</v>
      </c>
      <c r="E4100" s="7">
        <v>1.0</v>
      </c>
      <c r="F4100" s="7">
        <v>1.0</v>
      </c>
      <c r="G4100" s="7" t="s">
        <v>30</v>
      </c>
      <c r="H4100" s="7" t="s">
        <v>200</v>
      </c>
      <c r="I4100" s="7" t="s">
        <v>27</v>
      </c>
    </row>
    <row r="4101">
      <c r="A4101" s="7" t="s">
        <v>17</v>
      </c>
      <c r="B4101" s="7" t="s">
        <v>158</v>
      </c>
      <c r="C4101" s="8">
        <f>IFERROR(__xludf.DUMMYFUNCTION("SPLIT(B4101,""RM"")"),1850000.0)</f>
        <v>1850000</v>
      </c>
      <c r="D4101" s="7" t="s">
        <v>57</v>
      </c>
      <c r="E4101" s="7">
        <v>4.0</v>
      </c>
      <c r="F4101" s="7">
        <v>1.0</v>
      </c>
      <c r="G4101" s="7" t="s">
        <v>30</v>
      </c>
      <c r="H4101" s="7" t="s">
        <v>2225</v>
      </c>
    </row>
    <row r="4102">
      <c r="A4102" s="7" t="s">
        <v>709</v>
      </c>
      <c r="B4102" s="7" t="s">
        <v>1060</v>
      </c>
      <c r="C4102" s="8">
        <f>IFERROR(__xludf.DUMMYFUNCTION("SPLIT(B4102,""RM"")"),5300000.0)</f>
        <v>5300000</v>
      </c>
      <c r="D4102" s="7" t="s">
        <v>70</v>
      </c>
      <c r="E4102" s="7">
        <v>6.0</v>
      </c>
      <c r="F4102" s="7">
        <v>4.0</v>
      </c>
      <c r="G4102" s="7" t="s">
        <v>25</v>
      </c>
      <c r="H4102" s="7" t="s">
        <v>612</v>
      </c>
      <c r="I4102" s="7" t="s">
        <v>27</v>
      </c>
    </row>
    <row r="4103">
      <c r="A4103" s="7" t="s">
        <v>23</v>
      </c>
      <c r="B4103" s="7" t="s">
        <v>2601</v>
      </c>
      <c r="C4103" s="8">
        <f>IFERROR(__xludf.DUMMYFUNCTION("SPLIT(B4103,""RM"")"),9300000.0)</f>
        <v>9300000</v>
      </c>
      <c r="D4103" s="7" t="s">
        <v>70</v>
      </c>
      <c r="E4103" s="7">
        <v>5.0</v>
      </c>
      <c r="F4103" s="7">
        <v>4.0</v>
      </c>
      <c r="G4103" s="7" t="s">
        <v>25</v>
      </c>
      <c r="H4103" s="7" t="s">
        <v>2602</v>
      </c>
      <c r="I4103" s="7" t="s">
        <v>27</v>
      </c>
    </row>
    <row r="4104">
      <c r="A4104" s="7" t="s">
        <v>23</v>
      </c>
      <c r="B4104" s="7" t="s">
        <v>327</v>
      </c>
      <c r="C4104" s="8">
        <f>IFERROR(__xludf.DUMMYFUNCTION("SPLIT(B4104,""RM"")"),1300000.0)</f>
        <v>1300000</v>
      </c>
      <c r="D4104" s="7">
        <v>3.0</v>
      </c>
      <c r="E4104" s="7">
        <v>2.0</v>
      </c>
      <c r="F4104" s="7">
        <v>1.0</v>
      </c>
      <c r="G4104" s="7" t="s">
        <v>30</v>
      </c>
      <c r="H4104" s="7" t="s">
        <v>817</v>
      </c>
      <c r="I4104" s="7" t="s">
        <v>22</v>
      </c>
    </row>
    <row r="4105">
      <c r="A4105" s="7" t="s">
        <v>23</v>
      </c>
      <c r="B4105" s="7" t="s">
        <v>874</v>
      </c>
      <c r="C4105" s="8">
        <f>IFERROR(__xludf.DUMMYFUNCTION("SPLIT(B4105,""RM"")"),945000.0)</f>
        <v>945000</v>
      </c>
      <c r="F4105" s="7">
        <v>1.0</v>
      </c>
      <c r="G4105" s="7" t="s">
        <v>82</v>
      </c>
      <c r="H4105" s="7" t="s">
        <v>512</v>
      </c>
      <c r="I4105" s="7" t="s">
        <v>22</v>
      </c>
    </row>
    <row r="4106">
      <c r="A4106" s="7" t="s">
        <v>23</v>
      </c>
      <c r="B4106" s="7" t="s">
        <v>279</v>
      </c>
      <c r="C4106" s="8">
        <f>IFERROR(__xludf.DUMMYFUNCTION("SPLIT(B4106,""RM"")"),1380000.0)</f>
        <v>1380000</v>
      </c>
      <c r="D4106" s="7" t="s">
        <v>19</v>
      </c>
      <c r="E4106" s="7">
        <v>2.0</v>
      </c>
      <c r="F4106" s="7">
        <v>1.0</v>
      </c>
      <c r="G4106" s="7" t="s">
        <v>30</v>
      </c>
      <c r="H4106" s="7" t="s">
        <v>1243</v>
      </c>
      <c r="I4106" s="7" t="s">
        <v>103</v>
      </c>
    </row>
    <row r="4107">
      <c r="A4107" s="7" t="s">
        <v>23</v>
      </c>
      <c r="B4107" s="7" t="s">
        <v>279</v>
      </c>
      <c r="C4107" s="8">
        <f>IFERROR(__xludf.DUMMYFUNCTION("SPLIT(B4107,""RM"")"),1380000.0)</f>
        <v>1380000</v>
      </c>
      <c r="D4107" s="7" t="s">
        <v>19</v>
      </c>
      <c r="E4107" s="7">
        <v>2.0</v>
      </c>
      <c r="F4107" s="7">
        <v>1.0</v>
      </c>
      <c r="G4107" s="7" t="s">
        <v>30</v>
      </c>
      <c r="H4107" s="7" t="s">
        <v>2603</v>
      </c>
      <c r="I4107" s="7" t="s">
        <v>103</v>
      </c>
    </row>
    <row r="4108">
      <c r="A4108" s="7" t="s">
        <v>72</v>
      </c>
      <c r="B4108" s="7" t="s">
        <v>118</v>
      </c>
      <c r="C4108" s="8">
        <f>IFERROR(__xludf.DUMMYFUNCTION("SPLIT(B4108,""RM"")"),1720000.0)</f>
        <v>1720000</v>
      </c>
      <c r="D4108" s="7" t="s">
        <v>35</v>
      </c>
      <c r="E4108" s="7">
        <v>4.0</v>
      </c>
      <c r="F4108" s="7">
        <v>2.0</v>
      </c>
      <c r="G4108" s="7" t="s">
        <v>30</v>
      </c>
      <c r="H4108" s="7" t="s">
        <v>307</v>
      </c>
      <c r="I4108" s="7" t="s">
        <v>22</v>
      </c>
    </row>
    <row r="4109">
      <c r="A4109" s="7" t="s">
        <v>23</v>
      </c>
      <c r="B4109" s="7" t="s">
        <v>398</v>
      </c>
      <c r="C4109" s="8">
        <f>IFERROR(__xludf.DUMMYFUNCTION("SPLIT(B4109,""RM"")"),2280000.0)</f>
        <v>2280000</v>
      </c>
      <c r="D4109" s="7" t="s">
        <v>35</v>
      </c>
      <c r="E4109" s="7">
        <v>4.0</v>
      </c>
      <c r="F4109" s="7">
        <v>2.0</v>
      </c>
      <c r="G4109" s="7" t="s">
        <v>30</v>
      </c>
      <c r="H4109" s="7" t="s">
        <v>1009</v>
      </c>
      <c r="I4109" s="7" t="s">
        <v>27</v>
      </c>
    </row>
    <row r="4110">
      <c r="A4110" s="7" t="s">
        <v>177</v>
      </c>
      <c r="B4110" s="7" t="s">
        <v>599</v>
      </c>
      <c r="C4110" s="8">
        <f>IFERROR(__xludf.DUMMYFUNCTION("SPLIT(B4110,""RM"")"),950000.0)</f>
        <v>950000</v>
      </c>
      <c r="D4110" s="7" t="s">
        <v>19</v>
      </c>
      <c r="E4110" s="7">
        <v>2.0</v>
      </c>
      <c r="F4110" s="7">
        <v>1.0</v>
      </c>
      <c r="G4110" s="7" t="s">
        <v>30</v>
      </c>
      <c r="H4110" s="7" t="s">
        <v>1008</v>
      </c>
      <c r="I4110" s="7" t="s">
        <v>27</v>
      </c>
    </row>
    <row r="4111">
      <c r="A4111" s="7" t="s">
        <v>177</v>
      </c>
      <c r="B4111" s="7" t="s">
        <v>2604</v>
      </c>
      <c r="C4111" s="8">
        <f>IFERROR(__xludf.DUMMYFUNCTION("SPLIT(B4111,""RM"")"),2052000.0)</f>
        <v>2052000</v>
      </c>
      <c r="D4111" s="7" t="s">
        <v>35</v>
      </c>
      <c r="E4111" s="7">
        <v>4.0</v>
      </c>
      <c r="F4111" s="7">
        <v>1.0</v>
      </c>
      <c r="G4111" s="7" t="s">
        <v>30</v>
      </c>
      <c r="H4111" s="7" t="s">
        <v>2605</v>
      </c>
      <c r="I4111" s="7" t="s">
        <v>27</v>
      </c>
    </row>
    <row r="4112">
      <c r="A4112" s="7" t="s">
        <v>23</v>
      </c>
      <c r="B4112" s="7" t="s">
        <v>110</v>
      </c>
      <c r="C4112" s="8">
        <f>IFERROR(__xludf.DUMMYFUNCTION("SPLIT(B4112,""RM"")"),2400000.0)</f>
        <v>2400000</v>
      </c>
      <c r="D4112" s="7" t="s">
        <v>57</v>
      </c>
      <c r="E4112" s="7">
        <v>4.0</v>
      </c>
      <c r="F4112" s="7">
        <v>2.0</v>
      </c>
      <c r="G4112" s="7" t="s">
        <v>30</v>
      </c>
      <c r="H4112" s="7" t="s">
        <v>1999</v>
      </c>
      <c r="I4112" s="7" t="s">
        <v>27</v>
      </c>
    </row>
    <row r="4113">
      <c r="A4113" s="7" t="s">
        <v>1241</v>
      </c>
      <c r="B4113" s="7" t="s">
        <v>599</v>
      </c>
      <c r="C4113" s="8">
        <f>IFERROR(__xludf.DUMMYFUNCTION("SPLIT(B4113,""RM"")"),950000.0)</f>
        <v>950000</v>
      </c>
      <c r="D4113" s="7">
        <v>2.0</v>
      </c>
      <c r="E4113" s="7">
        <v>2.0</v>
      </c>
      <c r="G4113" s="7" t="s">
        <v>20</v>
      </c>
      <c r="H4113" s="7" t="s">
        <v>237</v>
      </c>
      <c r="I4113" s="7" t="s">
        <v>22</v>
      </c>
    </row>
    <row r="4114">
      <c r="A4114" s="7" t="s">
        <v>41</v>
      </c>
      <c r="B4114" s="7" t="s">
        <v>201</v>
      </c>
      <c r="C4114" s="8">
        <f>IFERROR(__xludf.DUMMYFUNCTION("SPLIT(B4114,""RM"")"),620000.0)</f>
        <v>620000</v>
      </c>
      <c r="D4114" s="7">
        <v>2.0</v>
      </c>
      <c r="E4114" s="7">
        <v>2.0</v>
      </c>
      <c r="F4114" s="7">
        <v>2.0</v>
      </c>
      <c r="G4114" s="7" t="s">
        <v>93</v>
      </c>
      <c r="H4114" s="7" t="s">
        <v>1686</v>
      </c>
      <c r="I4114" s="7" t="s">
        <v>22</v>
      </c>
    </row>
    <row r="4115">
      <c r="A4115" s="7" t="s">
        <v>104</v>
      </c>
      <c r="B4115" s="7" t="s">
        <v>1786</v>
      </c>
      <c r="C4115" s="8">
        <f>IFERROR(__xludf.DUMMYFUNCTION("SPLIT(B4115,""RM"")"),838000.0)</f>
        <v>838000</v>
      </c>
      <c r="D4115" s="7">
        <v>4.0</v>
      </c>
      <c r="E4115" s="7">
        <v>3.0</v>
      </c>
      <c r="G4115" s="7" t="s">
        <v>54</v>
      </c>
      <c r="H4115" s="7" t="s">
        <v>2606</v>
      </c>
      <c r="I4115" s="7" t="s">
        <v>27</v>
      </c>
    </row>
    <row r="4116">
      <c r="A4116" s="7" t="s">
        <v>171</v>
      </c>
      <c r="B4116" s="7" t="s">
        <v>144</v>
      </c>
      <c r="C4116" s="8">
        <f>IFERROR(__xludf.DUMMYFUNCTION("SPLIT(B4116,""RM"")"),1800000.0)</f>
        <v>1800000</v>
      </c>
      <c r="D4116" s="7">
        <v>7.0</v>
      </c>
      <c r="E4116" s="7">
        <v>6.0</v>
      </c>
      <c r="F4116" s="7">
        <v>8.0</v>
      </c>
      <c r="G4116" s="7" t="s">
        <v>203</v>
      </c>
      <c r="H4116" s="7" t="s">
        <v>2607</v>
      </c>
      <c r="I4116" s="7" t="s">
        <v>27</v>
      </c>
    </row>
    <row r="4117">
      <c r="A4117" s="7" t="s">
        <v>72</v>
      </c>
      <c r="B4117" s="7" t="s">
        <v>174</v>
      </c>
      <c r="C4117" s="8">
        <f>IFERROR(__xludf.DUMMYFUNCTION("SPLIT(B4117,""RM"")"),3000000.0)</f>
        <v>3000000</v>
      </c>
      <c r="D4117" s="7" t="s">
        <v>70</v>
      </c>
      <c r="E4117" s="7">
        <v>5.0</v>
      </c>
      <c r="G4117" s="7" t="s">
        <v>487</v>
      </c>
      <c r="H4117" s="7" t="s">
        <v>860</v>
      </c>
      <c r="I4117" s="7" t="s">
        <v>27</v>
      </c>
    </row>
    <row r="4118">
      <c r="A4118" s="7" t="s">
        <v>177</v>
      </c>
      <c r="B4118" s="7" t="s">
        <v>191</v>
      </c>
      <c r="C4118" s="8">
        <f>IFERROR(__xludf.DUMMYFUNCTION("SPLIT(B4118,""RM"")"),1000000.0)</f>
        <v>1000000</v>
      </c>
      <c r="D4118" s="7">
        <v>2.0</v>
      </c>
      <c r="E4118" s="7">
        <v>2.0</v>
      </c>
      <c r="F4118" s="7">
        <v>1.0</v>
      </c>
      <c r="G4118" s="7" t="s">
        <v>93</v>
      </c>
      <c r="H4118" s="7" t="s">
        <v>2608</v>
      </c>
      <c r="I4118" s="7" t="s">
        <v>27</v>
      </c>
    </row>
    <row r="4119">
      <c r="A4119" s="7" t="s">
        <v>709</v>
      </c>
      <c r="B4119" s="7" t="s">
        <v>372</v>
      </c>
      <c r="C4119" s="8">
        <f>IFERROR(__xludf.DUMMYFUNCTION("SPLIT(B4119,""RM"")"),700000.0)</f>
        <v>700000</v>
      </c>
      <c r="D4119" s="7">
        <v>3.0</v>
      </c>
      <c r="E4119" s="7">
        <v>2.0</v>
      </c>
      <c r="F4119" s="7">
        <v>1.0</v>
      </c>
      <c r="G4119" s="7" t="s">
        <v>30</v>
      </c>
      <c r="H4119" s="7" t="s">
        <v>2222</v>
      </c>
      <c r="I4119" s="7" t="s">
        <v>27</v>
      </c>
    </row>
    <row r="4120">
      <c r="A4120" s="7" t="s">
        <v>17</v>
      </c>
      <c r="B4120" s="7" t="s">
        <v>632</v>
      </c>
      <c r="C4120" s="8">
        <f>IFERROR(__xludf.DUMMYFUNCTION("SPLIT(B4120,""RM"")"),870000.0)</f>
        <v>870000</v>
      </c>
      <c r="D4120" s="7">
        <v>2.0</v>
      </c>
      <c r="E4120" s="7">
        <v>2.0</v>
      </c>
      <c r="G4120" s="7" t="s">
        <v>83</v>
      </c>
      <c r="H4120" s="7" t="s">
        <v>2609</v>
      </c>
      <c r="I4120" s="7" t="s">
        <v>22</v>
      </c>
    </row>
    <row r="4121">
      <c r="A4121" s="7" t="s">
        <v>23</v>
      </c>
      <c r="B4121" s="7" t="s">
        <v>349</v>
      </c>
      <c r="C4121" s="8">
        <f>IFERROR(__xludf.DUMMYFUNCTION("SPLIT(B4121,""RM"")"),1400000.0)</f>
        <v>1400000</v>
      </c>
      <c r="D4121" s="7">
        <v>1.0</v>
      </c>
      <c r="E4121" s="7">
        <v>1.0</v>
      </c>
      <c r="F4121" s="7">
        <v>1.0</v>
      </c>
      <c r="G4121" s="7" t="s">
        <v>20</v>
      </c>
      <c r="H4121" s="7" t="s">
        <v>51</v>
      </c>
      <c r="I4121" s="7" t="s">
        <v>27</v>
      </c>
    </row>
    <row r="4122">
      <c r="A4122" s="7" t="s">
        <v>104</v>
      </c>
      <c r="B4122" s="7" t="s">
        <v>279</v>
      </c>
      <c r="C4122" s="8">
        <f>IFERROR(__xludf.DUMMYFUNCTION("SPLIT(B4122,""RM"")"),1380000.0)</f>
        <v>1380000</v>
      </c>
      <c r="D4122" s="7" t="s">
        <v>70</v>
      </c>
      <c r="E4122" s="7">
        <v>5.0</v>
      </c>
      <c r="F4122" s="7">
        <v>4.0</v>
      </c>
      <c r="G4122" s="7" t="s">
        <v>90</v>
      </c>
      <c r="H4122" s="7" t="s">
        <v>283</v>
      </c>
      <c r="I4122" s="7" t="s">
        <v>103</v>
      </c>
    </row>
    <row r="4123">
      <c r="A4123" s="7" t="s">
        <v>23</v>
      </c>
      <c r="B4123" s="7" t="s">
        <v>309</v>
      </c>
      <c r="C4123" s="8">
        <f>IFERROR(__xludf.DUMMYFUNCTION("SPLIT(B4123,""RM"")"),2100000.0)</f>
        <v>2100000</v>
      </c>
      <c r="D4123" s="7" t="s">
        <v>19</v>
      </c>
      <c r="E4123" s="7">
        <v>4.0</v>
      </c>
      <c r="F4123" s="7">
        <v>2.0</v>
      </c>
      <c r="G4123" s="7" t="s">
        <v>20</v>
      </c>
      <c r="H4123" s="7" t="s">
        <v>99</v>
      </c>
      <c r="I4123" s="7" t="s">
        <v>27</v>
      </c>
    </row>
    <row r="4124">
      <c r="A4124" s="7" t="s">
        <v>432</v>
      </c>
      <c r="B4124" s="7" t="s">
        <v>120</v>
      </c>
      <c r="C4124" s="8">
        <f>IFERROR(__xludf.DUMMYFUNCTION("SPLIT(B4124,""RM"")"),3600000.0)</f>
        <v>3600000</v>
      </c>
      <c r="D4124" s="7">
        <v>4.0</v>
      </c>
      <c r="E4124" s="7">
        <v>4.0</v>
      </c>
      <c r="G4124" s="7" t="s">
        <v>1036</v>
      </c>
      <c r="H4124" s="7" t="s">
        <v>1024</v>
      </c>
      <c r="I4124" s="7" t="s">
        <v>27</v>
      </c>
    </row>
    <row r="4125">
      <c r="A4125" s="7" t="s">
        <v>37</v>
      </c>
      <c r="B4125" s="7" t="s">
        <v>616</v>
      </c>
      <c r="C4125" s="8">
        <f>IFERROR(__xludf.DUMMYFUNCTION("SPLIT(B4125,""RM"")"),7500000.0)</f>
        <v>7500000</v>
      </c>
      <c r="D4125" s="7" t="s">
        <v>299</v>
      </c>
      <c r="E4125" s="7">
        <v>7.0</v>
      </c>
      <c r="F4125" s="7">
        <v>5.0</v>
      </c>
      <c r="G4125" s="7" t="s">
        <v>25</v>
      </c>
      <c r="H4125" s="7" t="s">
        <v>2610</v>
      </c>
      <c r="I4125" s="7" t="s">
        <v>27</v>
      </c>
    </row>
    <row r="4126">
      <c r="A4126" s="7" t="s">
        <v>432</v>
      </c>
      <c r="B4126" s="7" t="s">
        <v>101</v>
      </c>
      <c r="C4126" s="8">
        <f>IFERROR(__xludf.DUMMYFUNCTION("SPLIT(B4126,""RM"")"),3300000.0)</f>
        <v>3300000</v>
      </c>
      <c r="D4126" s="7" t="s">
        <v>35</v>
      </c>
      <c r="E4126" s="7">
        <v>4.0</v>
      </c>
      <c r="F4126" s="7">
        <v>3.0</v>
      </c>
      <c r="G4126" s="7" t="s">
        <v>83</v>
      </c>
      <c r="H4126" s="7" t="s">
        <v>1084</v>
      </c>
      <c r="I4126" s="7" t="s">
        <v>22</v>
      </c>
    </row>
    <row r="4127">
      <c r="A4127" s="7" t="s">
        <v>17</v>
      </c>
      <c r="B4127" s="7" t="s">
        <v>501</v>
      </c>
      <c r="C4127" s="8">
        <f>IFERROR(__xludf.DUMMYFUNCTION("SPLIT(B4127,""RM"")"),1240000.0)</f>
        <v>1240000</v>
      </c>
      <c r="D4127" s="7" t="s">
        <v>197</v>
      </c>
      <c r="E4127" s="7">
        <v>2.0</v>
      </c>
      <c r="G4127" s="7" t="s">
        <v>20</v>
      </c>
      <c r="H4127" s="7" t="s">
        <v>392</v>
      </c>
      <c r="I4127" s="7" t="s">
        <v>27</v>
      </c>
    </row>
    <row r="4128">
      <c r="A4128" s="7" t="s">
        <v>17</v>
      </c>
      <c r="B4128" s="7" t="s">
        <v>424</v>
      </c>
      <c r="C4128" s="8">
        <f>IFERROR(__xludf.DUMMYFUNCTION("SPLIT(B4128,""RM"")"),1506300.0)</f>
        <v>1506300</v>
      </c>
      <c r="D4128" s="7">
        <v>2.0</v>
      </c>
      <c r="E4128" s="7">
        <v>1.0</v>
      </c>
      <c r="F4128" s="7">
        <v>1.0</v>
      </c>
      <c r="G4128" s="7" t="s">
        <v>20</v>
      </c>
      <c r="H4128" s="7" t="s">
        <v>425</v>
      </c>
      <c r="I4128" s="7" t="s">
        <v>22</v>
      </c>
    </row>
    <row r="4129">
      <c r="A4129" s="7" t="s">
        <v>32</v>
      </c>
      <c r="B4129" s="7" t="s">
        <v>639</v>
      </c>
      <c r="C4129" s="8">
        <f>IFERROR(__xludf.DUMMYFUNCTION("SPLIT(B4129,""RM"")"),360000.0)</f>
        <v>360000</v>
      </c>
      <c r="D4129" s="7">
        <v>3.0</v>
      </c>
      <c r="E4129" s="7">
        <v>2.0</v>
      </c>
      <c r="F4129" s="7">
        <v>1.0</v>
      </c>
      <c r="G4129" s="7" t="s">
        <v>30</v>
      </c>
      <c r="H4129" s="7" t="s">
        <v>2611</v>
      </c>
      <c r="I4129" s="7" t="s">
        <v>103</v>
      </c>
    </row>
    <row r="4130">
      <c r="A4130" s="7" t="s">
        <v>33</v>
      </c>
      <c r="B4130" s="7" t="s">
        <v>581</v>
      </c>
      <c r="C4130" s="8">
        <f>IFERROR(__xludf.DUMMYFUNCTION("SPLIT(B4130,""RM"")"),888000.0)</f>
        <v>888000</v>
      </c>
      <c r="D4130" s="7">
        <v>3.0</v>
      </c>
      <c r="E4130" s="7">
        <v>2.0</v>
      </c>
      <c r="F4130" s="7">
        <v>2.0</v>
      </c>
      <c r="G4130" s="7" t="s">
        <v>83</v>
      </c>
      <c r="H4130" s="7" t="s">
        <v>2533</v>
      </c>
      <c r="I4130" s="7" t="s">
        <v>27</v>
      </c>
    </row>
    <row r="4131">
      <c r="A4131" s="7" t="s">
        <v>33</v>
      </c>
      <c r="B4131" s="7" t="s">
        <v>221</v>
      </c>
      <c r="C4131" s="8">
        <f>IFERROR(__xludf.DUMMYFUNCTION("SPLIT(B4131,""RM"")"),630000.0)</f>
        <v>630000</v>
      </c>
      <c r="D4131" s="7">
        <v>3.0</v>
      </c>
      <c r="E4131" s="7">
        <v>2.0</v>
      </c>
      <c r="F4131" s="7">
        <v>2.0</v>
      </c>
      <c r="G4131" s="7" t="s">
        <v>83</v>
      </c>
      <c r="H4131" s="7" t="s">
        <v>202</v>
      </c>
      <c r="I4131" s="7" t="s">
        <v>27</v>
      </c>
    </row>
    <row r="4132">
      <c r="A4132" s="7" t="s">
        <v>2612</v>
      </c>
      <c r="B4132" s="7" t="s">
        <v>407</v>
      </c>
      <c r="C4132" s="8">
        <f>IFERROR(__xludf.DUMMYFUNCTION("SPLIT(B4132,""RM"")"),880000.0)</f>
        <v>880000</v>
      </c>
      <c r="D4132" s="7">
        <v>4.0</v>
      </c>
      <c r="E4132" s="7">
        <v>4.0</v>
      </c>
      <c r="G4132" s="7" t="s">
        <v>54</v>
      </c>
      <c r="H4132" s="7" t="s">
        <v>333</v>
      </c>
      <c r="I4132" s="7" t="s">
        <v>27</v>
      </c>
    </row>
    <row r="4133">
      <c r="A4133" s="7" t="s">
        <v>104</v>
      </c>
      <c r="B4133" s="7" t="s">
        <v>229</v>
      </c>
      <c r="C4133" s="8">
        <f>IFERROR(__xludf.DUMMYFUNCTION("SPLIT(B4133,""RM"")"),1050000.0)</f>
        <v>1050000</v>
      </c>
      <c r="D4133" s="7">
        <v>4.0</v>
      </c>
      <c r="E4133" s="7">
        <v>3.0</v>
      </c>
      <c r="F4133" s="7">
        <v>2.0</v>
      </c>
      <c r="G4133" s="7" t="s">
        <v>169</v>
      </c>
      <c r="H4133" s="7" t="s">
        <v>283</v>
      </c>
    </row>
    <row r="4134">
      <c r="A4134" s="7" t="s">
        <v>358</v>
      </c>
      <c r="B4134" s="7" t="s">
        <v>2358</v>
      </c>
      <c r="C4134" s="8">
        <f>IFERROR(__xludf.DUMMYFUNCTION("SPLIT(B4134,""RM"")"),728000.0)</f>
        <v>728000</v>
      </c>
      <c r="D4134" s="7" t="s">
        <v>57</v>
      </c>
      <c r="F4134" s="7">
        <v>2.0</v>
      </c>
      <c r="G4134" s="7" t="s">
        <v>83</v>
      </c>
      <c r="H4134" s="7" t="s">
        <v>1607</v>
      </c>
    </row>
    <row r="4135">
      <c r="A4135" s="7" t="s">
        <v>358</v>
      </c>
      <c r="B4135" s="7" t="s">
        <v>874</v>
      </c>
      <c r="C4135" s="8">
        <f>IFERROR(__xludf.DUMMYFUNCTION("SPLIT(B4135,""RM"")"),945000.0)</f>
        <v>945000</v>
      </c>
      <c r="D4135" s="7" t="s">
        <v>35</v>
      </c>
      <c r="E4135" s="7">
        <v>4.0</v>
      </c>
      <c r="F4135" s="7">
        <v>3.0</v>
      </c>
      <c r="G4135" s="7" t="s">
        <v>83</v>
      </c>
      <c r="H4135" s="7" t="s">
        <v>2613</v>
      </c>
    </row>
    <row r="4136">
      <c r="A4136" s="7" t="s">
        <v>28</v>
      </c>
      <c r="B4136" s="7" t="s">
        <v>327</v>
      </c>
      <c r="C4136" s="8">
        <f>IFERROR(__xludf.DUMMYFUNCTION("SPLIT(B4136,""RM"")"),1300000.0)</f>
        <v>1300000</v>
      </c>
      <c r="D4136" s="7" t="s">
        <v>35</v>
      </c>
      <c r="E4136" s="7">
        <v>4.0</v>
      </c>
      <c r="F4136" s="7">
        <v>3.0</v>
      </c>
      <c r="G4136" s="7" t="s">
        <v>96</v>
      </c>
      <c r="I4136" s="7" t="s">
        <v>27</v>
      </c>
    </row>
    <row r="4137">
      <c r="A4137" s="7" t="s">
        <v>28</v>
      </c>
      <c r="B4137" s="7" t="s">
        <v>1349</v>
      </c>
      <c r="C4137" s="8">
        <f>IFERROR(__xludf.DUMMYFUNCTION("SPLIT(B4137,""RM"")"),1220000.0)</f>
        <v>1220000</v>
      </c>
      <c r="D4137" s="7" t="s">
        <v>57</v>
      </c>
      <c r="E4137" s="7">
        <v>5.0</v>
      </c>
      <c r="F4137" s="7">
        <v>2.0</v>
      </c>
      <c r="G4137" s="7" t="s">
        <v>83</v>
      </c>
      <c r="H4137" s="7" t="s">
        <v>31</v>
      </c>
      <c r="I4137" s="7" t="s">
        <v>27</v>
      </c>
    </row>
    <row r="4138">
      <c r="A4138" s="7" t="s">
        <v>28</v>
      </c>
      <c r="B4138" s="7" t="s">
        <v>984</v>
      </c>
      <c r="C4138" s="8">
        <f>IFERROR(__xludf.DUMMYFUNCTION("SPLIT(B4138,""RM"")"),1120000.0)</f>
        <v>1120000</v>
      </c>
      <c r="D4138" s="7" t="s">
        <v>57</v>
      </c>
      <c r="E4138" s="7">
        <v>5.0</v>
      </c>
      <c r="F4138" s="7">
        <v>2.0</v>
      </c>
      <c r="G4138" s="7" t="s">
        <v>83</v>
      </c>
      <c r="H4138" s="7" t="s">
        <v>31</v>
      </c>
      <c r="I4138" s="7" t="s">
        <v>27</v>
      </c>
    </row>
    <row r="4139">
      <c r="A4139" s="7" t="s">
        <v>368</v>
      </c>
      <c r="B4139" s="7" t="s">
        <v>2614</v>
      </c>
      <c r="C4139" s="8">
        <f>IFERROR(__xludf.DUMMYFUNCTION("SPLIT(B4139,""RM"")"),749000.0)</f>
        <v>749000</v>
      </c>
      <c r="D4139" s="7">
        <v>3.0</v>
      </c>
      <c r="E4139" s="7">
        <v>2.0</v>
      </c>
      <c r="F4139" s="7">
        <v>2.0</v>
      </c>
      <c r="G4139" s="7" t="s">
        <v>20</v>
      </c>
      <c r="H4139" s="7" t="s">
        <v>425</v>
      </c>
      <c r="I4139" s="7" t="s">
        <v>27</v>
      </c>
    </row>
    <row r="4140">
      <c r="A4140" s="7" t="s">
        <v>368</v>
      </c>
      <c r="B4140" s="7" t="s">
        <v>629</v>
      </c>
      <c r="C4140" s="8">
        <f>IFERROR(__xludf.DUMMYFUNCTION("SPLIT(B4140,""RM"")"),770000.0)</f>
        <v>770000</v>
      </c>
      <c r="D4140" s="7">
        <v>3.0</v>
      </c>
      <c r="E4140" s="7">
        <v>2.0</v>
      </c>
      <c r="F4140" s="7">
        <v>2.0</v>
      </c>
      <c r="G4140" s="7" t="s">
        <v>82</v>
      </c>
      <c r="H4140" s="7" t="s">
        <v>892</v>
      </c>
      <c r="I4140" s="7" t="s">
        <v>27</v>
      </c>
    </row>
    <row r="4141">
      <c r="A4141" s="7" t="s">
        <v>1158</v>
      </c>
      <c r="B4141" s="7" t="s">
        <v>563</v>
      </c>
      <c r="C4141" s="8">
        <f>IFERROR(__xludf.DUMMYFUNCTION("SPLIT(B4141,""RM"")"),600000.0)</f>
        <v>600000</v>
      </c>
      <c r="D4141" s="7" t="s">
        <v>325</v>
      </c>
      <c r="E4141" s="7">
        <v>1.0</v>
      </c>
      <c r="G4141" s="7" t="s">
        <v>145</v>
      </c>
      <c r="H4141" s="7" t="s">
        <v>1279</v>
      </c>
      <c r="I4141" s="7" t="s">
        <v>22</v>
      </c>
    </row>
    <row r="4142">
      <c r="A4142" s="7" t="s">
        <v>1158</v>
      </c>
      <c r="B4142" s="7" t="s">
        <v>92</v>
      </c>
      <c r="C4142" s="8">
        <f>IFERROR(__xludf.DUMMYFUNCTION("SPLIT(B4142,""RM"")"),610000.0)</f>
        <v>610000</v>
      </c>
      <c r="D4142" s="7" t="s">
        <v>325</v>
      </c>
      <c r="E4142" s="7">
        <v>1.0</v>
      </c>
      <c r="G4142" s="7" t="s">
        <v>1821</v>
      </c>
      <c r="H4142" s="7" t="s">
        <v>1575</v>
      </c>
      <c r="I4142" s="7" t="s">
        <v>22</v>
      </c>
    </row>
    <row r="4143">
      <c r="A4143" s="7" t="s">
        <v>171</v>
      </c>
      <c r="B4143" s="7" t="s">
        <v>2615</v>
      </c>
      <c r="C4143" s="8">
        <f>IFERROR(__xludf.DUMMYFUNCTION("SPLIT(B4143,""RM"")"),455000.0)</f>
        <v>455000</v>
      </c>
      <c r="D4143" s="7">
        <v>3.0</v>
      </c>
      <c r="E4143" s="7">
        <v>2.0</v>
      </c>
      <c r="F4143" s="7">
        <v>1.0</v>
      </c>
      <c r="G4143" s="7" t="s">
        <v>83</v>
      </c>
      <c r="H4143" s="7" t="s">
        <v>1681</v>
      </c>
      <c r="I4143" s="7" t="s">
        <v>22</v>
      </c>
    </row>
    <row r="4144">
      <c r="A4144" s="7" t="s">
        <v>171</v>
      </c>
      <c r="B4144" s="7" t="s">
        <v>702</v>
      </c>
      <c r="C4144" s="8">
        <f>IFERROR(__xludf.DUMMYFUNCTION("SPLIT(B4144,""RM"")"),410000.0)</f>
        <v>410000</v>
      </c>
      <c r="D4144" s="7">
        <v>4.0</v>
      </c>
      <c r="E4144" s="7">
        <v>2.0</v>
      </c>
      <c r="F4144" s="7">
        <v>1.0</v>
      </c>
      <c r="G4144" s="7" t="s">
        <v>83</v>
      </c>
      <c r="H4144" s="7" t="s">
        <v>1681</v>
      </c>
      <c r="I4144" s="7" t="s">
        <v>27</v>
      </c>
    </row>
    <row r="4145">
      <c r="A4145" s="7" t="s">
        <v>368</v>
      </c>
      <c r="B4145" s="7" t="s">
        <v>2616</v>
      </c>
      <c r="C4145" s="8">
        <f>IFERROR(__xludf.DUMMYFUNCTION("SPLIT(B4145,""RM"")"),737000.0)</f>
        <v>737000</v>
      </c>
      <c r="D4145" s="7">
        <v>3.0</v>
      </c>
      <c r="E4145" s="7">
        <v>2.0</v>
      </c>
      <c r="F4145" s="7">
        <v>1.0</v>
      </c>
      <c r="G4145" s="7" t="s">
        <v>20</v>
      </c>
      <c r="H4145" s="7" t="s">
        <v>2034</v>
      </c>
      <c r="I4145" s="7" t="s">
        <v>27</v>
      </c>
    </row>
    <row r="4146">
      <c r="A4146" s="7" t="s">
        <v>72</v>
      </c>
      <c r="B4146" s="7" t="s">
        <v>2617</v>
      </c>
      <c r="C4146" s="8">
        <f>IFERROR(__xludf.DUMMYFUNCTION("SPLIT(B4146,""RM"")"),2800.0)</f>
        <v>2800</v>
      </c>
      <c r="D4146" s="7">
        <v>3.0</v>
      </c>
      <c r="E4146" s="7">
        <v>2.0</v>
      </c>
      <c r="F4146" s="7">
        <v>1.0</v>
      </c>
      <c r="G4146" s="7" t="s">
        <v>83</v>
      </c>
      <c r="H4146" s="7" t="s">
        <v>930</v>
      </c>
      <c r="I4146" s="7" t="s">
        <v>22</v>
      </c>
    </row>
    <row r="4147">
      <c r="A4147" s="7" t="s">
        <v>86</v>
      </c>
      <c r="B4147" s="7" t="s">
        <v>1528</v>
      </c>
      <c r="C4147" s="8">
        <f>IFERROR(__xludf.DUMMYFUNCTION("SPLIT(B4147,""RM"")"),725000.0)</f>
        <v>725000</v>
      </c>
      <c r="D4147" s="7">
        <v>2.0</v>
      </c>
      <c r="E4147" s="7">
        <v>2.0</v>
      </c>
      <c r="F4147" s="7">
        <v>1.0</v>
      </c>
      <c r="G4147" s="7" t="s">
        <v>20</v>
      </c>
      <c r="H4147" s="7" t="s">
        <v>2618</v>
      </c>
      <c r="I4147" s="7" t="s">
        <v>22</v>
      </c>
    </row>
    <row r="4148">
      <c r="A4148" s="7" t="s">
        <v>48</v>
      </c>
      <c r="B4148" s="7" t="s">
        <v>2184</v>
      </c>
      <c r="C4148" s="8">
        <f>IFERROR(__xludf.DUMMYFUNCTION("SPLIT(B4148,""RM"")"),340000.0)</f>
        <v>340000</v>
      </c>
      <c r="D4148" s="7">
        <v>2.0</v>
      </c>
      <c r="E4148" s="7">
        <v>2.0</v>
      </c>
      <c r="F4148" s="7">
        <v>1.0</v>
      </c>
      <c r="G4148" s="7" t="s">
        <v>83</v>
      </c>
      <c r="H4148" s="7" t="s">
        <v>392</v>
      </c>
      <c r="I4148" s="7" t="s">
        <v>22</v>
      </c>
    </row>
    <row r="4149">
      <c r="A4149" s="7" t="s">
        <v>48</v>
      </c>
      <c r="B4149" s="7" t="s">
        <v>1910</v>
      </c>
      <c r="C4149" s="8">
        <f>IFERROR(__xludf.DUMMYFUNCTION("SPLIT(B4149,""RM"")"),378000.0)</f>
        <v>378000</v>
      </c>
      <c r="D4149" s="7">
        <v>3.0</v>
      </c>
      <c r="E4149" s="7">
        <v>2.0</v>
      </c>
      <c r="F4149" s="7">
        <v>1.0</v>
      </c>
      <c r="G4149" s="7" t="s">
        <v>83</v>
      </c>
      <c r="H4149" s="7" t="s">
        <v>254</v>
      </c>
      <c r="I4149" s="7" t="s">
        <v>27</v>
      </c>
    </row>
    <row r="4150">
      <c r="A4150" s="7" t="s">
        <v>86</v>
      </c>
      <c r="B4150" s="7" t="s">
        <v>2619</v>
      </c>
      <c r="C4150" s="8">
        <f>IFERROR(__xludf.DUMMYFUNCTION("SPLIT(B4150,""RM"")"),679000.0)</f>
        <v>679000</v>
      </c>
      <c r="D4150" s="7">
        <v>2.0</v>
      </c>
      <c r="E4150" s="7">
        <v>1.0</v>
      </c>
      <c r="F4150" s="7">
        <v>1.0</v>
      </c>
      <c r="G4150" s="7" t="s">
        <v>20</v>
      </c>
      <c r="H4150" s="7" t="s">
        <v>2620</v>
      </c>
      <c r="I4150" s="7" t="s">
        <v>27</v>
      </c>
    </row>
    <row r="4151">
      <c r="A4151" s="7" t="s">
        <v>86</v>
      </c>
      <c r="B4151" s="7" t="s">
        <v>715</v>
      </c>
      <c r="C4151" s="8">
        <f>IFERROR(__xludf.DUMMYFUNCTION("SPLIT(B4151,""RM"")"),550000.0)</f>
        <v>550000</v>
      </c>
      <c r="D4151" s="7" t="s">
        <v>197</v>
      </c>
      <c r="E4151" s="7">
        <v>1.0</v>
      </c>
      <c r="F4151" s="7">
        <v>1.0</v>
      </c>
      <c r="G4151" s="7" t="s">
        <v>82</v>
      </c>
      <c r="H4151" s="7" t="s">
        <v>2621</v>
      </c>
      <c r="I4151" s="7" t="s">
        <v>27</v>
      </c>
    </row>
    <row r="4152">
      <c r="A4152" s="7" t="s">
        <v>432</v>
      </c>
      <c r="B4152" s="7" t="s">
        <v>534</v>
      </c>
      <c r="C4152" s="8">
        <f>IFERROR(__xludf.DUMMYFUNCTION("SPLIT(B4152,""RM"")"),3200000.0)</f>
        <v>3200000</v>
      </c>
      <c r="G4152" s="7" t="s">
        <v>562</v>
      </c>
      <c r="H4152" s="7" t="s">
        <v>2622</v>
      </c>
      <c r="I4152" s="7" t="s">
        <v>27</v>
      </c>
    </row>
    <row r="4153">
      <c r="A4153" s="7" t="s">
        <v>2623</v>
      </c>
      <c r="B4153" s="7" t="s">
        <v>2624</v>
      </c>
      <c r="C4153" s="8">
        <f>IFERROR(__xludf.DUMMYFUNCTION("SPLIT(B4153,""RM"")"),1723500.0)</f>
        <v>1723500</v>
      </c>
      <c r="G4153" s="7" t="s">
        <v>25</v>
      </c>
      <c r="H4153" s="7" t="s">
        <v>2625</v>
      </c>
      <c r="I4153" s="7" t="s">
        <v>27</v>
      </c>
    </row>
    <row r="4154">
      <c r="A4154" s="7" t="s">
        <v>86</v>
      </c>
      <c r="B4154" s="7" t="s">
        <v>372</v>
      </c>
      <c r="C4154" s="8">
        <f>IFERROR(__xludf.DUMMYFUNCTION("SPLIT(B4154,""RM"")"),700000.0)</f>
        <v>700000</v>
      </c>
      <c r="D4154" s="7">
        <v>2.0</v>
      </c>
      <c r="E4154" s="7">
        <v>2.0</v>
      </c>
      <c r="F4154" s="7">
        <v>1.0</v>
      </c>
      <c r="G4154" s="7" t="s">
        <v>20</v>
      </c>
      <c r="H4154" s="7" t="s">
        <v>821</v>
      </c>
      <c r="I4154" s="7" t="s">
        <v>22</v>
      </c>
    </row>
    <row r="4155">
      <c r="A4155" s="7" t="s">
        <v>432</v>
      </c>
      <c r="B4155" s="7" t="s">
        <v>534</v>
      </c>
      <c r="C4155" s="8">
        <f>IFERROR(__xludf.DUMMYFUNCTION("SPLIT(B4155,""RM"")"),3200000.0)</f>
        <v>3200000</v>
      </c>
      <c r="G4155" s="7" t="s">
        <v>67</v>
      </c>
      <c r="H4155" s="7" t="s">
        <v>2622</v>
      </c>
      <c r="I4155" s="7" t="s">
        <v>27</v>
      </c>
    </row>
    <row r="4156">
      <c r="A4156" s="7" t="s">
        <v>86</v>
      </c>
      <c r="B4156" s="7" t="s">
        <v>245</v>
      </c>
      <c r="C4156" s="8">
        <f>IFERROR(__xludf.DUMMYFUNCTION("SPLIT(B4156,""RM"")"),800000.0)</f>
        <v>800000</v>
      </c>
      <c r="D4156" s="7">
        <v>3.0</v>
      </c>
      <c r="E4156" s="7">
        <v>2.0</v>
      </c>
      <c r="F4156" s="7">
        <v>1.0</v>
      </c>
      <c r="G4156" s="7" t="s">
        <v>82</v>
      </c>
      <c r="H4156" s="7" t="s">
        <v>1509</v>
      </c>
      <c r="I4156" s="7" t="s">
        <v>27</v>
      </c>
    </row>
    <row r="4157">
      <c r="A4157" s="7" t="s">
        <v>89</v>
      </c>
      <c r="B4157" s="7" t="s">
        <v>18</v>
      </c>
      <c r="C4157" s="8">
        <f>IFERROR(__xludf.DUMMYFUNCTION("SPLIT(B4157,""RM"")"),1250000.0)</f>
        <v>1250000</v>
      </c>
      <c r="D4157" s="7">
        <v>4.0</v>
      </c>
      <c r="E4157" s="7">
        <v>3.0</v>
      </c>
      <c r="F4157" s="7">
        <v>4.0</v>
      </c>
      <c r="G4157" s="7" t="s">
        <v>54</v>
      </c>
      <c r="H4157" s="7" t="s">
        <v>719</v>
      </c>
      <c r="I4157" s="7" t="s">
        <v>103</v>
      </c>
    </row>
    <row r="4158">
      <c r="A4158" s="7" t="s">
        <v>100</v>
      </c>
      <c r="B4158" s="7" t="s">
        <v>2626</v>
      </c>
      <c r="C4158" s="8">
        <f>IFERROR(__xludf.DUMMYFUNCTION("SPLIT(B4158,""RM"")"),714000.0)</f>
        <v>714000</v>
      </c>
      <c r="D4158" s="7" t="s">
        <v>57</v>
      </c>
      <c r="E4158" s="7">
        <v>2.0</v>
      </c>
      <c r="F4158" s="7">
        <v>2.0</v>
      </c>
      <c r="G4158" s="7" t="s">
        <v>20</v>
      </c>
      <c r="H4158" s="7" t="s">
        <v>410</v>
      </c>
      <c r="I4158" s="7" t="s">
        <v>27</v>
      </c>
    </row>
    <row r="4159">
      <c r="A4159" s="7" t="s">
        <v>32</v>
      </c>
      <c r="B4159" s="7" t="s">
        <v>975</v>
      </c>
      <c r="C4159" s="8">
        <f>IFERROR(__xludf.DUMMYFUNCTION("SPLIT(B4159,""RM"")"),400000.0)</f>
        <v>400000</v>
      </c>
      <c r="D4159" s="7">
        <v>3.0</v>
      </c>
      <c r="E4159" s="7">
        <v>2.0</v>
      </c>
      <c r="F4159" s="7">
        <v>1.0</v>
      </c>
      <c r="G4159" s="7" t="s">
        <v>83</v>
      </c>
      <c r="H4159" s="7" t="s">
        <v>1824</v>
      </c>
      <c r="I4159" s="7" t="s">
        <v>27</v>
      </c>
    </row>
    <row r="4160">
      <c r="A4160" s="7" t="s">
        <v>267</v>
      </c>
      <c r="B4160" s="7" t="s">
        <v>18</v>
      </c>
      <c r="C4160" s="8">
        <f>IFERROR(__xludf.DUMMYFUNCTION("SPLIT(B4160,""RM"")"),1250000.0)</f>
        <v>1250000</v>
      </c>
      <c r="D4160" s="7">
        <v>4.0</v>
      </c>
      <c r="E4160" s="7">
        <v>3.0</v>
      </c>
      <c r="F4160" s="7">
        <v>4.0</v>
      </c>
      <c r="G4160" s="7" t="s">
        <v>54</v>
      </c>
      <c r="H4160" s="7" t="s">
        <v>719</v>
      </c>
      <c r="I4160" s="7" t="s">
        <v>103</v>
      </c>
    </row>
    <row r="4161">
      <c r="A4161" s="7" t="s">
        <v>104</v>
      </c>
      <c r="B4161" s="7" t="s">
        <v>854</v>
      </c>
      <c r="C4161" s="8">
        <f>IFERROR(__xludf.DUMMYFUNCTION("SPLIT(B4161,""RM"")"),690000.0)</f>
        <v>690000</v>
      </c>
      <c r="D4161" s="7">
        <v>3.0</v>
      </c>
      <c r="E4161" s="7">
        <v>2.0</v>
      </c>
      <c r="F4161" s="7">
        <v>3.0</v>
      </c>
      <c r="G4161" s="7" t="s">
        <v>343</v>
      </c>
      <c r="H4161" s="7" t="s">
        <v>211</v>
      </c>
      <c r="I4161" s="7" t="s">
        <v>251</v>
      </c>
    </row>
    <row r="4162">
      <c r="A4162" s="7" t="s">
        <v>72</v>
      </c>
      <c r="B4162" s="7" t="s">
        <v>314</v>
      </c>
      <c r="C4162" s="8">
        <f>IFERROR(__xludf.DUMMYFUNCTION("SPLIT(B4162,""RM"")"),670000.0)</f>
        <v>670000</v>
      </c>
      <c r="D4162" s="7">
        <v>1.0</v>
      </c>
      <c r="E4162" s="7">
        <v>1.0</v>
      </c>
      <c r="F4162" s="7">
        <v>1.0</v>
      </c>
      <c r="G4162" s="7" t="s">
        <v>20</v>
      </c>
      <c r="H4162" s="7" t="s">
        <v>850</v>
      </c>
      <c r="I4162" s="7" t="s">
        <v>22</v>
      </c>
    </row>
    <row r="4163">
      <c r="A4163" s="7" t="s">
        <v>104</v>
      </c>
      <c r="B4163" s="7" t="s">
        <v>210</v>
      </c>
      <c r="C4163" s="8">
        <f>IFERROR(__xludf.DUMMYFUNCTION("SPLIT(B4163,""RM"")"),1630000.0)</f>
        <v>1630000</v>
      </c>
      <c r="D4163" s="7">
        <v>5.0</v>
      </c>
      <c r="E4163" s="7">
        <v>6.0</v>
      </c>
      <c r="F4163" s="7">
        <v>5.0</v>
      </c>
      <c r="G4163" s="7" t="s">
        <v>90</v>
      </c>
      <c r="H4163" s="7" t="s">
        <v>1523</v>
      </c>
      <c r="I4163" s="7" t="s">
        <v>27</v>
      </c>
    </row>
    <row r="4164">
      <c r="A4164" s="7" t="s">
        <v>72</v>
      </c>
      <c r="B4164" s="7" t="s">
        <v>206</v>
      </c>
      <c r="C4164" s="8">
        <f>IFERROR(__xludf.DUMMYFUNCTION("SPLIT(B4164,""RM"")"),920000.0)</f>
        <v>920000</v>
      </c>
      <c r="D4164" s="7">
        <v>3.0</v>
      </c>
      <c r="E4164" s="7">
        <v>2.0</v>
      </c>
      <c r="F4164" s="7">
        <v>1.0</v>
      </c>
      <c r="G4164" s="7" t="s">
        <v>83</v>
      </c>
      <c r="H4164" s="7" t="s">
        <v>1025</v>
      </c>
      <c r="I4164" s="7" t="s">
        <v>22</v>
      </c>
    </row>
    <row r="4165">
      <c r="A4165" s="7" t="s">
        <v>72</v>
      </c>
      <c r="B4165" s="7" t="s">
        <v>316</v>
      </c>
      <c r="C4165" s="8">
        <f>IFERROR(__xludf.DUMMYFUNCTION("SPLIT(B4165,""RM"")"),820000.0)</f>
        <v>820000</v>
      </c>
      <c r="D4165" s="7">
        <v>3.0</v>
      </c>
      <c r="E4165" s="7">
        <v>2.0</v>
      </c>
      <c r="F4165" s="7">
        <v>1.0</v>
      </c>
      <c r="G4165" s="7" t="s">
        <v>83</v>
      </c>
      <c r="H4165" s="7" t="s">
        <v>2065</v>
      </c>
      <c r="I4165" s="7" t="s">
        <v>22</v>
      </c>
    </row>
    <row r="4166">
      <c r="A4166" s="7" t="s">
        <v>72</v>
      </c>
      <c r="B4166" s="7" t="s">
        <v>316</v>
      </c>
      <c r="C4166" s="8">
        <f>IFERROR(__xludf.DUMMYFUNCTION("SPLIT(B4166,""RM"")"),820000.0)</f>
        <v>820000</v>
      </c>
      <c r="D4166" s="7">
        <v>3.0</v>
      </c>
      <c r="E4166" s="7">
        <v>2.0</v>
      </c>
      <c r="F4166" s="7">
        <v>1.0</v>
      </c>
      <c r="G4166" s="7" t="s">
        <v>83</v>
      </c>
      <c r="H4166" s="7" t="s">
        <v>2065</v>
      </c>
      <c r="I4166" s="7" t="s">
        <v>22</v>
      </c>
    </row>
    <row r="4167">
      <c r="A4167" s="7" t="s">
        <v>432</v>
      </c>
      <c r="B4167" s="7" t="s">
        <v>499</v>
      </c>
      <c r="C4167" s="8">
        <f>IFERROR(__xludf.DUMMYFUNCTION("SPLIT(B4167,""RM"")"),3900000.0)</f>
        <v>3900000</v>
      </c>
      <c r="D4167" s="7">
        <v>4.0</v>
      </c>
      <c r="E4167" s="7">
        <v>4.0</v>
      </c>
      <c r="F4167" s="7">
        <v>3.0</v>
      </c>
      <c r="G4167" s="7" t="s">
        <v>343</v>
      </c>
      <c r="H4167" s="7" t="s">
        <v>2338</v>
      </c>
      <c r="I4167" s="7" t="s">
        <v>22</v>
      </c>
    </row>
    <row r="4168">
      <c r="A4168" s="7" t="s">
        <v>368</v>
      </c>
      <c r="B4168" s="7" t="s">
        <v>1073</v>
      </c>
      <c r="C4168" s="8">
        <f>IFERROR(__xludf.DUMMYFUNCTION("SPLIT(B4168,""RM"")"),588000.0)</f>
        <v>588000</v>
      </c>
      <c r="D4168" s="7">
        <v>2.0</v>
      </c>
      <c r="E4168" s="7">
        <v>2.0</v>
      </c>
      <c r="F4168" s="7">
        <v>1.0</v>
      </c>
      <c r="G4168" s="7" t="s">
        <v>82</v>
      </c>
      <c r="H4168" s="7" t="s">
        <v>2627</v>
      </c>
      <c r="I4168" s="7" t="s">
        <v>103</v>
      </c>
    </row>
    <row r="4169">
      <c r="A4169" s="7" t="s">
        <v>368</v>
      </c>
      <c r="B4169" s="7" t="s">
        <v>918</v>
      </c>
      <c r="C4169" s="8">
        <f>IFERROR(__xludf.DUMMYFUNCTION("SPLIT(B4169,""RM"")"),738000.0)</f>
        <v>738000</v>
      </c>
      <c r="D4169" s="7">
        <v>3.0</v>
      </c>
      <c r="E4169" s="7">
        <v>2.0</v>
      </c>
      <c r="F4169" s="7">
        <v>2.0</v>
      </c>
      <c r="G4169" s="7" t="s">
        <v>82</v>
      </c>
      <c r="H4169" s="7" t="s">
        <v>2628</v>
      </c>
      <c r="I4169" s="7" t="s">
        <v>27</v>
      </c>
    </row>
    <row r="4170">
      <c r="A4170" s="7" t="s">
        <v>72</v>
      </c>
      <c r="B4170" s="7" t="s">
        <v>130</v>
      </c>
      <c r="C4170" s="8">
        <f>IFERROR(__xludf.DUMMYFUNCTION("SPLIT(B4170,""RM"")"),2700000.0)</f>
        <v>2700000</v>
      </c>
      <c r="D4170" s="7" t="s">
        <v>57</v>
      </c>
      <c r="E4170" s="7">
        <v>4.0</v>
      </c>
      <c r="F4170" s="7">
        <v>3.0</v>
      </c>
      <c r="G4170" s="7" t="s">
        <v>83</v>
      </c>
      <c r="H4170" s="7" t="s">
        <v>2443</v>
      </c>
      <c r="I4170" s="7" t="s">
        <v>22</v>
      </c>
    </row>
    <row r="4171">
      <c r="A4171" s="7" t="s">
        <v>1088</v>
      </c>
      <c r="B4171" s="7" t="s">
        <v>281</v>
      </c>
      <c r="C4171" s="8">
        <f>IFERROR(__xludf.DUMMYFUNCTION("SPLIT(B4171,""RM"")"),2500000.0)</f>
        <v>2500000</v>
      </c>
      <c r="D4171" s="7" t="s">
        <v>57</v>
      </c>
      <c r="E4171" s="7">
        <v>3.0</v>
      </c>
      <c r="F4171" s="7">
        <v>1.0</v>
      </c>
      <c r="G4171" s="7" t="s">
        <v>83</v>
      </c>
      <c r="H4171" s="7" t="s">
        <v>2629</v>
      </c>
      <c r="I4171" s="7" t="s">
        <v>27</v>
      </c>
    </row>
    <row r="4172">
      <c r="A4172" s="7" t="s">
        <v>180</v>
      </c>
      <c r="B4172" s="7" t="s">
        <v>1328</v>
      </c>
      <c r="C4172" s="8">
        <f>IFERROR(__xludf.DUMMYFUNCTION("SPLIT(B4172,""RM"")"),650000.0)</f>
        <v>650000</v>
      </c>
      <c r="D4172" s="7">
        <v>4.0</v>
      </c>
      <c r="E4172" s="7">
        <v>3.0</v>
      </c>
      <c r="G4172" s="7" t="s">
        <v>30</v>
      </c>
      <c r="H4172" s="7" t="s">
        <v>845</v>
      </c>
      <c r="I4172" s="7" t="s">
        <v>27</v>
      </c>
    </row>
    <row r="4173">
      <c r="A4173" s="7" t="s">
        <v>171</v>
      </c>
      <c r="B4173" s="7" t="s">
        <v>92</v>
      </c>
      <c r="C4173" s="8">
        <f>IFERROR(__xludf.DUMMYFUNCTION("SPLIT(B4173,""RM"")"),610000.0)</f>
        <v>610000</v>
      </c>
      <c r="D4173" s="7">
        <v>3.0</v>
      </c>
      <c r="E4173" s="7">
        <v>2.0</v>
      </c>
      <c r="F4173" s="7">
        <v>2.0</v>
      </c>
      <c r="G4173" s="7" t="s">
        <v>30</v>
      </c>
      <c r="H4173" s="7" t="s">
        <v>747</v>
      </c>
      <c r="I4173" s="7" t="s">
        <v>27</v>
      </c>
    </row>
    <row r="4174">
      <c r="A4174" s="7" t="s">
        <v>33</v>
      </c>
      <c r="B4174" s="7" t="s">
        <v>955</v>
      </c>
      <c r="C4174" s="8">
        <f>IFERROR(__xludf.DUMMYFUNCTION("SPLIT(B4174,""RM"")"),498000.0)</f>
        <v>498000</v>
      </c>
      <c r="D4174" s="7" t="s">
        <v>197</v>
      </c>
      <c r="E4174" s="7">
        <v>1.0</v>
      </c>
      <c r="F4174" s="7">
        <v>1.0</v>
      </c>
      <c r="G4174" s="7" t="s">
        <v>20</v>
      </c>
      <c r="H4174" s="7" t="s">
        <v>978</v>
      </c>
      <c r="I4174" s="7" t="s">
        <v>103</v>
      </c>
    </row>
    <row r="4175">
      <c r="A4175" s="7" t="s">
        <v>32</v>
      </c>
      <c r="B4175" s="7" t="s">
        <v>1968</v>
      </c>
      <c r="C4175" s="8">
        <f>IFERROR(__xludf.DUMMYFUNCTION("SPLIT(B4175,""RM"")"),478000.0)</f>
        <v>478000</v>
      </c>
      <c r="D4175" s="7" t="s">
        <v>197</v>
      </c>
      <c r="E4175" s="7">
        <v>2.0</v>
      </c>
      <c r="F4175" s="7">
        <v>1.0</v>
      </c>
      <c r="G4175" s="7" t="s">
        <v>20</v>
      </c>
      <c r="H4175" s="7" t="s">
        <v>187</v>
      </c>
      <c r="I4175" s="7" t="s">
        <v>22</v>
      </c>
    </row>
    <row r="4176">
      <c r="A4176" s="7" t="s">
        <v>267</v>
      </c>
      <c r="B4176" s="7" t="s">
        <v>983</v>
      </c>
      <c r="C4176" s="8">
        <f>IFERROR(__xludf.DUMMYFUNCTION("SPLIT(B4176,""RM"")"),440000.0)</f>
        <v>440000</v>
      </c>
      <c r="D4176" s="7">
        <v>1.0</v>
      </c>
      <c r="E4176" s="7">
        <v>1.0</v>
      </c>
      <c r="F4176" s="7">
        <v>1.0</v>
      </c>
      <c r="G4176" s="7" t="s">
        <v>83</v>
      </c>
      <c r="H4176" s="7" t="s">
        <v>1210</v>
      </c>
      <c r="I4176" s="7" t="s">
        <v>27</v>
      </c>
    </row>
    <row r="4177">
      <c r="A4177" s="7" t="s">
        <v>267</v>
      </c>
      <c r="B4177" s="7" t="s">
        <v>268</v>
      </c>
      <c r="C4177" s="8">
        <f>IFERROR(__xludf.DUMMYFUNCTION("SPLIT(B4177,""RM"")"),500000.0)</f>
        <v>500000</v>
      </c>
      <c r="D4177" s="7">
        <v>2.0</v>
      </c>
      <c r="E4177" s="7">
        <v>2.0</v>
      </c>
      <c r="F4177" s="7">
        <v>1.0</v>
      </c>
      <c r="G4177" s="7" t="s">
        <v>93</v>
      </c>
      <c r="H4177" s="7" t="s">
        <v>1532</v>
      </c>
      <c r="I4177" s="7" t="s">
        <v>22</v>
      </c>
    </row>
    <row r="4178">
      <c r="A4178" s="7" t="s">
        <v>267</v>
      </c>
      <c r="B4178" s="7" t="s">
        <v>953</v>
      </c>
      <c r="C4178" s="8">
        <f>IFERROR(__xludf.DUMMYFUNCTION("SPLIT(B4178,""RM"")"),730000.0)</f>
        <v>730000</v>
      </c>
      <c r="D4178" s="7">
        <v>3.0</v>
      </c>
      <c r="E4178" s="7">
        <v>2.0</v>
      </c>
      <c r="G4178" s="7" t="s">
        <v>83</v>
      </c>
      <c r="H4178" s="7" t="s">
        <v>1688</v>
      </c>
    </row>
    <row r="4179">
      <c r="A4179" s="7" t="s">
        <v>188</v>
      </c>
      <c r="B4179" s="7" t="s">
        <v>419</v>
      </c>
      <c r="C4179" s="8">
        <f>IFERROR(__xludf.DUMMYFUNCTION("SPLIT(B4179,""RM"")"),990000.0)</f>
        <v>990000</v>
      </c>
      <c r="D4179" s="7" t="s">
        <v>19</v>
      </c>
      <c r="E4179" s="7">
        <v>2.0</v>
      </c>
      <c r="G4179" s="7" t="s">
        <v>20</v>
      </c>
      <c r="H4179" s="7" t="s">
        <v>2630</v>
      </c>
      <c r="I4179" s="7" t="s">
        <v>27</v>
      </c>
    </row>
    <row r="4180">
      <c r="A4180" s="7" t="s">
        <v>188</v>
      </c>
      <c r="B4180" s="7" t="s">
        <v>1625</v>
      </c>
      <c r="C4180" s="8">
        <f>IFERROR(__xludf.DUMMYFUNCTION("SPLIT(B4180,""RM"")"),798000.0)</f>
        <v>798000</v>
      </c>
      <c r="D4180" s="7">
        <v>1.0</v>
      </c>
      <c r="E4180" s="7">
        <v>1.0</v>
      </c>
      <c r="G4180" s="7" t="s">
        <v>20</v>
      </c>
      <c r="H4180" s="7" t="s">
        <v>924</v>
      </c>
      <c r="I4180" s="7" t="s">
        <v>27</v>
      </c>
    </row>
    <row r="4181">
      <c r="A4181" s="7" t="s">
        <v>188</v>
      </c>
      <c r="B4181" s="7" t="s">
        <v>134</v>
      </c>
      <c r="C4181" s="8">
        <f>IFERROR(__xludf.DUMMYFUNCTION("SPLIT(B4181,""RM"")"),1150000.0)</f>
        <v>1150000</v>
      </c>
      <c r="D4181" s="7" t="s">
        <v>57</v>
      </c>
      <c r="E4181" s="7">
        <v>3.0</v>
      </c>
      <c r="G4181" s="7" t="s">
        <v>121</v>
      </c>
      <c r="H4181" s="7" t="s">
        <v>1003</v>
      </c>
      <c r="I4181" s="7" t="s">
        <v>27</v>
      </c>
    </row>
    <row r="4182">
      <c r="A4182" s="7" t="s">
        <v>1315</v>
      </c>
      <c r="B4182" s="7" t="s">
        <v>158</v>
      </c>
      <c r="C4182" s="8">
        <f>IFERROR(__xludf.DUMMYFUNCTION("SPLIT(B4182,""RM"")"),1850000.0)</f>
        <v>1850000</v>
      </c>
      <c r="D4182" s="7" t="s">
        <v>35</v>
      </c>
      <c r="E4182" s="7">
        <v>7.0</v>
      </c>
      <c r="G4182" s="7" t="s">
        <v>83</v>
      </c>
      <c r="H4182" s="7" t="s">
        <v>1174</v>
      </c>
      <c r="I4182" s="7" t="s">
        <v>27</v>
      </c>
    </row>
    <row r="4183">
      <c r="A4183" s="7" t="s">
        <v>1315</v>
      </c>
      <c r="B4183" s="7" t="s">
        <v>34</v>
      </c>
      <c r="C4183" s="8">
        <f>IFERROR(__xludf.DUMMYFUNCTION("SPLIT(B4183,""RM"")"),900000.0)</f>
        <v>900000</v>
      </c>
      <c r="D4183" s="7" t="s">
        <v>57</v>
      </c>
      <c r="E4183" s="7">
        <v>3.0</v>
      </c>
      <c r="G4183" s="7" t="s">
        <v>83</v>
      </c>
      <c r="H4183" s="7" t="s">
        <v>1029</v>
      </c>
      <c r="I4183" s="7" t="s">
        <v>27</v>
      </c>
    </row>
    <row r="4184">
      <c r="A4184" s="7" t="s">
        <v>89</v>
      </c>
      <c r="B4184" s="7" t="s">
        <v>229</v>
      </c>
      <c r="C4184" s="8">
        <f>IFERROR(__xludf.DUMMYFUNCTION("SPLIT(B4184,""RM"")"),1050000.0)</f>
        <v>1050000</v>
      </c>
      <c r="D4184" s="7">
        <v>5.0</v>
      </c>
      <c r="E4184" s="7">
        <v>4.0</v>
      </c>
      <c r="G4184" s="7" t="s">
        <v>90</v>
      </c>
      <c r="H4184" s="7" t="s">
        <v>674</v>
      </c>
      <c r="I4184" s="7" t="s">
        <v>103</v>
      </c>
    </row>
    <row r="4185">
      <c r="A4185" s="7" t="s">
        <v>100</v>
      </c>
      <c r="B4185" s="7" t="s">
        <v>575</v>
      </c>
      <c r="C4185" s="8">
        <f>IFERROR(__xludf.DUMMYFUNCTION("SPLIT(B4185,""RM"")"),660000.0)</f>
        <v>660000</v>
      </c>
      <c r="D4185" s="7">
        <v>3.0</v>
      </c>
      <c r="E4185" s="7">
        <v>2.0</v>
      </c>
      <c r="F4185" s="7">
        <v>1.0</v>
      </c>
      <c r="G4185" s="7" t="s">
        <v>20</v>
      </c>
      <c r="H4185" s="7" t="s">
        <v>2013</v>
      </c>
      <c r="I4185" s="7" t="s">
        <v>103</v>
      </c>
    </row>
    <row r="4186">
      <c r="A4186" s="7" t="s">
        <v>1315</v>
      </c>
      <c r="B4186" s="7" t="s">
        <v>329</v>
      </c>
      <c r="C4186" s="8">
        <f>IFERROR(__xludf.DUMMYFUNCTION("SPLIT(B4186,""RM"")"),1200000.0)</f>
        <v>1200000</v>
      </c>
      <c r="D4186" s="7" t="s">
        <v>57</v>
      </c>
      <c r="E4186" s="7">
        <v>3.0</v>
      </c>
      <c r="G4186" s="7" t="s">
        <v>83</v>
      </c>
      <c r="H4186" s="7" t="s">
        <v>1029</v>
      </c>
      <c r="I4186" s="7" t="s">
        <v>27</v>
      </c>
    </row>
    <row r="4187">
      <c r="A4187" s="7" t="s">
        <v>17</v>
      </c>
      <c r="B4187" s="7" t="s">
        <v>101</v>
      </c>
      <c r="C4187" s="8">
        <f>IFERROR(__xludf.DUMMYFUNCTION("SPLIT(B4187,""RM"")"),3300000.0)</f>
        <v>3300000</v>
      </c>
      <c r="D4187" s="7" t="s">
        <v>57</v>
      </c>
      <c r="E4187" s="7">
        <v>4.0</v>
      </c>
      <c r="G4187" s="7" t="s">
        <v>121</v>
      </c>
      <c r="H4187" s="7" t="s">
        <v>2631</v>
      </c>
      <c r="I4187" s="7" t="s">
        <v>22</v>
      </c>
    </row>
    <row r="4188">
      <c r="A4188" s="7" t="s">
        <v>17</v>
      </c>
      <c r="B4188" s="7" t="s">
        <v>313</v>
      </c>
      <c r="C4188" s="8">
        <f>IFERROR(__xludf.DUMMYFUNCTION("SPLIT(B4188,""RM"")"),2900000.0)</f>
        <v>2900000</v>
      </c>
      <c r="D4188" s="7">
        <v>3.0</v>
      </c>
      <c r="E4188" s="7">
        <v>3.0</v>
      </c>
      <c r="G4188" s="7" t="s">
        <v>20</v>
      </c>
      <c r="H4188" s="7" t="s">
        <v>2632</v>
      </c>
      <c r="I4188" s="7" t="s">
        <v>22</v>
      </c>
    </row>
    <row r="4189">
      <c r="A4189" s="7" t="s">
        <v>17</v>
      </c>
      <c r="B4189" s="7" t="s">
        <v>127</v>
      </c>
      <c r="C4189" s="8">
        <f>IFERROR(__xludf.DUMMYFUNCTION("SPLIT(B4189,""RM"")"),4200000.0)</f>
        <v>4200000</v>
      </c>
      <c r="D4189" s="7" t="s">
        <v>79</v>
      </c>
      <c r="E4189" s="7">
        <v>4.0</v>
      </c>
      <c r="G4189" s="7" t="s">
        <v>121</v>
      </c>
      <c r="H4189" s="7" t="s">
        <v>2633</v>
      </c>
      <c r="I4189" s="7" t="s">
        <v>22</v>
      </c>
    </row>
    <row r="4190">
      <c r="A4190" s="7" t="s">
        <v>17</v>
      </c>
      <c r="B4190" s="7" t="s">
        <v>484</v>
      </c>
      <c r="C4190" s="8">
        <f>IFERROR(__xludf.DUMMYFUNCTION("SPLIT(B4190,""RM"")"),2950000.0)</f>
        <v>2950000</v>
      </c>
      <c r="D4190" s="7" t="s">
        <v>218</v>
      </c>
      <c r="E4190" s="7">
        <v>5.0</v>
      </c>
      <c r="G4190" s="7" t="s">
        <v>30</v>
      </c>
      <c r="H4190" s="7" t="s">
        <v>2634</v>
      </c>
      <c r="I4190" s="7" t="s">
        <v>27</v>
      </c>
    </row>
    <row r="4191">
      <c r="A4191" s="7" t="s">
        <v>17</v>
      </c>
      <c r="B4191" s="7" t="s">
        <v>73</v>
      </c>
      <c r="C4191" s="8">
        <f>IFERROR(__xludf.DUMMYFUNCTION("SPLIT(B4191,""RM"")"),1780000.0)</f>
        <v>1780000</v>
      </c>
      <c r="D4191" s="7" t="s">
        <v>35</v>
      </c>
      <c r="E4191" s="7">
        <v>4.0</v>
      </c>
      <c r="G4191" s="7" t="s">
        <v>83</v>
      </c>
      <c r="H4191" s="7" t="s">
        <v>387</v>
      </c>
      <c r="I4191" s="7" t="s">
        <v>22</v>
      </c>
    </row>
    <row r="4192">
      <c r="A4192" s="7" t="s">
        <v>17</v>
      </c>
      <c r="B4192" s="7" t="s">
        <v>69</v>
      </c>
      <c r="C4192" s="8">
        <f>IFERROR(__xludf.DUMMYFUNCTION("SPLIT(B4192,""RM"")"),4500000.0)</f>
        <v>4500000</v>
      </c>
      <c r="D4192" s="7">
        <v>5.0</v>
      </c>
      <c r="E4192" s="7">
        <v>6.0</v>
      </c>
      <c r="G4192" s="7" t="s">
        <v>83</v>
      </c>
      <c r="H4192" s="7" t="s">
        <v>2635</v>
      </c>
    </row>
    <row r="4193">
      <c r="A4193" s="7" t="s">
        <v>580</v>
      </c>
      <c r="B4193" s="7" t="s">
        <v>1786</v>
      </c>
      <c r="C4193" s="8">
        <f>IFERROR(__xludf.DUMMYFUNCTION("SPLIT(B4193,""RM"")"),838000.0)</f>
        <v>838000</v>
      </c>
      <c r="D4193" s="7">
        <v>4.0</v>
      </c>
      <c r="E4193" s="7">
        <v>3.0</v>
      </c>
      <c r="F4193" s="7">
        <v>3.0</v>
      </c>
      <c r="G4193" s="7" t="s">
        <v>54</v>
      </c>
      <c r="H4193" s="7" t="s">
        <v>1100</v>
      </c>
      <c r="I4193" s="7" t="s">
        <v>27</v>
      </c>
    </row>
    <row r="4194">
      <c r="A4194" s="7" t="s">
        <v>155</v>
      </c>
      <c r="B4194" s="7" t="s">
        <v>1075</v>
      </c>
      <c r="C4194" s="8">
        <f>IFERROR(__xludf.DUMMYFUNCTION("SPLIT(B4194,""RM"")"),790000.0)</f>
        <v>790000</v>
      </c>
      <c r="D4194" s="7">
        <v>3.0</v>
      </c>
      <c r="E4194" s="7">
        <v>3.0</v>
      </c>
      <c r="F4194" s="7">
        <v>1.0</v>
      </c>
      <c r="G4194" s="7" t="s">
        <v>93</v>
      </c>
      <c r="H4194" s="7" t="s">
        <v>1099</v>
      </c>
      <c r="I4194" s="7" t="s">
        <v>103</v>
      </c>
    </row>
    <row r="4195">
      <c r="A4195" s="7" t="s">
        <v>104</v>
      </c>
      <c r="B4195" s="7" t="s">
        <v>361</v>
      </c>
      <c r="C4195" s="8">
        <f>IFERROR(__xludf.DUMMYFUNCTION("SPLIT(B4195,""RM"")"),530000.0)</f>
        <v>530000</v>
      </c>
      <c r="D4195" s="7">
        <v>3.0</v>
      </c>
      <c r="E4195" s="7">
        <v>2.0</v>
      </c>
      <c r="F4195" s="7">
        <v>1.0</v>
      </c>
      <c r="G4195" s="7" t="s">
        <v>30</v>
      </c>
      <c r="H4195" s="7" t="s">
        <v>1359</v>
      </c>
      <c r="I4195" s="7" t="s">
        <v>103</v>
      </c>
    </row>
    <row r="4196">
      <c r="A4196" s="7" t="s">
        <v>155</v>
      </c>
      <c r="B4196" s="7" t="s">
        <v>615</v>
      </c>
      <c r="C4196" s="8">
        <f>IFERROR(__xludf.DUMMYFUNCTION("SPLIT(B4196,""RM"")"),815000.0)</f>
        <v>815000</v>
      </c>
      <c r="D4196" s="7" t="s">
        <v>19</v>
      </c>
      <c r="E4196" s="7">
        <v>2.0</v>
      </c>
      <c r="F4196" s="7">
        <v>2.0</v>
      </c>
      <c r="G4196" s="7" t="s">
        <v>93</v>
      </c>
      <c r="H4196" s="7" t="s">
        <v>1391</v>
      </c>
      <c r="I4196" s="7" t="s">
        <v>27</v>
      </c>
    </row>
    <row r="4197">
      <c r="A4197" s="7" t="s">
        <v>104</v>
      </c>
      <c r="B4197" s="7" t="s">
        <v>134</v>
      </c>
      <c r="C4197" s="8">
        <f>IFERROR(__xludf.DUMMYFUNCTION("SPLIT(B4197,""RM"")"),1150000.0)</f>
        <v>1150000</v>
      </c>
      <c r="D4197" s="7">
        <v>4.0</v>
      </c>
      <c r="E4197" s="7">
        <v>3.0</v>
      </c>
      <c r="F4197" s="7">
        <v>4.0</v>
      </c>
      <c r="G4197" s="7" t="s">
        <v>54</v>
      </c>
      <c r="H4197" s="7" t="s">
        <v>283</v>
      </c>
      <c r="I4197" s="7" t="s">
        <v>103</v>
      </c>
    </row>
    <row r="4198">
      <c r="A4198" s="7" t="s">
        <v>2237</v>
      </c>
      <c r="B4198" s="7" t="s">
        <v>2636</v>
      </c>
      <c r="C4198" s="8">
        <f>IFERROR(__xludf.DUMMYFUNCTION("SPLIT(B4198,""RM"")"),384000.0)</f>
        <v>384000</v>
      </c>
      <c r="D4198" s="7">
        <v>2.0</v>
      </c>
      <c r="E4198" s="7">
        <v>2.0</v>
      </c>
      <c r="F4198" s="7">
        <v>1.0</v>
      </c>
      <c r="G4198" s="7" t="s">
        <v>20</v>
      </c>
    </row>
    <row r="4199">
      <c r="A4199" s="7" t="s">
        <v>104</v>
      </c>
      <c r="B4199" s="7" t="s">
        <v>18</v>
      </c>
      <c r="C4199" s="8">
        <f>IFERROR(__xludf.DUMMYFUNCTION("SPLIT(B4199,""RM"")"),1250000.0)</f>
        <v>1250000</v>
      </c>
      <c r="D4199" s="7">
        <v>5.0</v>
      </c>
      <c r="E4199" s="7">
        <v>4.0</v>
      </c>
      <c r="F4199" s="7">
        <v>2.0</v>
      </c>
      <c r="G4199" s="7" t="s">
        <v>562</v>
      </c>
      <c r="H4199" s="7" t="s">
        <v>2637</v>
      </c>
    </row>
    <row r="4200">
      <c r="A4200" s="7" t="s">
        <v>358</v>
      </c>
      <c r="B4200" s="7" t="s">
        <v>168</v>
      </c>
      <c r="C4200" s="8">
        <f>IFERROR(__xludf.DUMMYFUNCTION("SPLIT(B4200,""RM"")"),750000.0)</f>
        <v>750000</v>
      </c>
      <c r="D4200" s="7" t="s">
        <v>57</v>
      </c>
      <c r="E4200" s="7">
        <v>3.0</v>
      </c>
      <c r="F4200" s="7">
        <v>2.0</v>
      </c>
      <c r="G4200" s="7" t="s">
        <v>83</v>
      </c>
    </row>
    <row r="4201">
      <c r="A4201" s="7" t="s">
        <v>104</v>
      </c>
      <c r="B4201" s="7" t="s">
        <v>361</v>
      </c>
      <c r="C4201" s="8">
        <f>IFERROR(__xludf.DUMMYFUNCTION("SPLIT(B4201,""RM"")"),530000.0)</f>
        <v>530000</v>
      </c>
      <c r="D4201" s="7">
        <v>3.0</v>
      </c>
      <c r="E4201" s="7">
        <v>2.0</v>
      </c>
      <c r="F4201" s="7">
        <v>1.0</v>
      </c>
      <c r="G4201" s="7" t="s">
        <v>343</v>
      </c>
      <c r="H4201" s="7" t="s">
        <v>718</v>
      </c>
      <c r="I4201" s="7" t="s">
        <v>103</v>
      </c>
    </row>
    <row r="4202">
      <c r="A4202" s="7" t="s">
        <v>709</v>
      </c>
      <c r="B4202" s="7" t="s">
        <v>479</v>
      </c>
      <c r="C4202" s="8">
        <f>IFERROR(__xludf.DUMMYFUNCTION("SPLIT(B4202,""RM"")"),5500000.0)</f>
        <v>5500000</v>
      </c>
      <c r="D4202" s="7" t="s">
        <v>35</v>
      </c>
      <c r="E4202" s="7">
        <v>4.0</v>
      </c>
      <c r="F4202" s="7">
        <v>3.0</v>
      </c>
      <c r="G4202" s="7" t="s">
        <v>61</v>
      </c>
      <c r="H4202" s="7" t="s">
        <v>1496</v>
      </c>
      <c r="I4202" s="7" t="s">
        <v>27</v>
      </c>
    </row>
    <row r="4203">
      <c r="A4203" s="7" t="s">
        <v>1014</v>
      </c>
      <c r="B4203" s="7" t="s">
        <v>2638</v>
      </c>
      <c r="C4203" s="8">
        <f>IFERROR(__xludf.DUMMYFUNCTION("SPLIT(B4203,""RM"")"),875000.0)</f>
        <v>875000</v>
      </c>
      <c r="D4203" s="7">
        <v>4.0</v>
      </c>
      <c r="E4203" s="7">
        <v>2.0</v>
      </c>
      <c r="G4203" s="7" t="s">
        <v>54</v>
      </c>
      <c r="H4203" s="7" t="s">
        <v>2639</v>
      </c>
    </row>
    <row r="4204">
      <c r="A4204" s="7" t="s">
        <v>709</v>
      </c>
      <c r="B4204" s="7" t="s">
        <v>298</v>
      </c>
      <c r="C4204" s="8">
        <f>IFERROR(__xludf.DUMMYFUNCTION("SPLIT(B4204,""RM"")"),5600000.0)</f>
        <v>5600000</v>
      </c>
      <c r="D4204" s="7">
        <v>5.0</v>
      </c>
      <c r="E4204" s="7">
        <v>4.0</v>
      </c>
      <c r="F4204" s="7">
        <v>3.0</v>
      </c>
      <c r="G4204" s="7" t="s">
        <v>61</v>
      </c>
      <c r="H4204" s="7" t="s">
        <v>2640</v>
      </c>
    </row>
    <row r="4205">
      <c r="A4205" s="7" t="s">
        <v>23</v>
      </c>
      <c r="B4205" s="7" t="s">
        <v>447</v>
      </c>
      <c r="C4205" s="8">
        <f>IFERROR(__xludf.DUMMYFUNCTION("SPLIT(B4205,""RM"")"),3700000.0)</f>
        <v>3700000</v>
      </c>
      <c r="D4205" s="7" t="s">
        <v>70</v>
      </c>
      <c r="E4205" s="7">
        <v>4.0</v>
      </c>
      <c r="G4205" s="7" t="s">
        <v>25</v>
      </c>
      <c r="H4205" s="7" t="s">
        <v>2641</v>
      </c>
      <c r="I4205" s="7" t="s">
        <v>103</v>
      </c>
    </row>
    <row r="4206">
      <c r="A4206" s="7" t="s">
        <v>86</v>
      </c>
      <c r="B4206" s="7" t="s">
        <v>210</v>
      </c>
      <c r="C4206" s="8">
        <f>IFERROR(__xludf.DUMMYFUNCTION("SPLIT(B4206,""RM"")"),1630000.0)</f>
        <v>1630000</v>
      </c>
      <c r="D4206" s="7" t="s">
        <v>57</v>
      </c>
      <c r="E4206" s="7">
        <v>4.0</v>
      </c>
      <c r="F4206" s="7">
        <v>2.0</v>
      </c>
      <c r="G4206" s="7" t="s">
        <v>83</v>
      </c>
      <c r="H4206" s="7" t="s">
        <v>2053</v>
      </c>
      <c r="I4206" s="7" t="s">
        <v>22</v>
      </c>
    </row>
    <row r="4207">
      <c r="A4207" s="7" t="s">
        <v>1088</v>
      </c>
      <c r="B4207" s="7" t="s">
        <v>56</v>
      </c>
      <c r="C4207" s="8">
        <f>IFERROR(__xludf.DUMMYFUNCTION("SPLIT(B4207,""RM"")"),1700000.0)</f>
        <v>1700000</v>
      </c>
      <c r="D4207" s="7" t="s">
        <v>57</v>
      </c>
      <c r="E4207" s="7">
        <v>4.0</v>
      </c>
      <c r="G4207" s="7" t="s">
        <v>30</v>
      </c>
      <c r="H4207" s="7" t="s">
        <v>1718</v>
      </c>
      <c r="I4207" s="7" t="s">
        <v>22</v>
      </c>
    </row>
    <row r="4208">
      <c r="A4208" s="7" t="s">
        <v>1088</v>
      </c>
      <c r="B4208" s="7" t="s">
        <v>349</v>
      </c>
      <c r="C4208" s="8">
        <f>IFERROR(__xludf.DUMMYFUNCTION("SPLIT(B4208,""RM"")"),1400000.0)</f>
        <v>1400000</v>
      </c>
      <c r="D4208" s="7">
        <v>3.0</v>
      </c>
      <c r="E4208" s="7">
        <v>2.0</v>
      </c>
      <c r="G4208" s="7" t="s">
        <v>30</v>
      </c>
      <c r="H4208" s="7" t="s">
        <v>464</v>
      </c>
      <c r="I4208" s="7" t="s">
        <v>22</v>
      </c>
    </row>
    <row r="4209">
      <c r="A4209" s="7" t="s">
        <v>143</v>
      </c>
      <c r="B4209" s="7" t="s">
        <v>87</v>
      </c>
      <c r="C4209" s="8">
        <f>IFERROR(__xludf.DUMMYFUNCTION("SPLIT(B4209,""RM"")"),490000.0)</f>
        <v>490000</v>
      </c>
      <c r="D4209" s="7">
        <v>4.0</v>
      </c>
      <c r="E4209" s="7">
        <v>2.0</v>
      </c>
      <c r="F4209" s="7">
        <v>2.0</v>
      </c>
      <c r="G4209" s="7" t="s">
        <v>83</v>
      </c>
      <c r="H4209" s="7" t="s">
        <v>383</v>
      </c>
      <c r="I4209" s="7" t="s">
        <v>103</v>
      </c>
    </row>
    <row r="4210">
      <c r="A4210" s="7" t="s">
        <v>171</v>
      </c>
      <c r="B4210" s="7" t="s">
        <v>759</v>
      </c>
      <c r="C4210" s="8">
        <f>IFERROR(__xludf.DUMMYFUNCTION("SPLIT(B4210,""RM"")"),520000.0)</f>
        <v>520000</v>
      </c>
      <c r="D4210" s="7">
        <v>3.0</v>
      </c>
      <c r="E4210" s="7">
        <v>2.0</v>
      </c>
      <c r="F4210" s="7">
        <v>2.0</v>
      </c>
      <c r="G4210" s="7" t="s">
        <v>121</v>
      </c>
      <c r="H4210" s="7" t="s">
        <v>607</v>
      </c>
      <c r="I4210" s="7" t="s">
        <v>27</v>
      </c>
    </row>
    <row r="4211">
      <c r="A4211" s="7" t="s">
        <v>32</v>
      </c>
      <c r="B4211" s="7" t="s">
        <v>2642</v>
      </c>
      <c r="C4211" s="8">
        <f>IFERROR(__xludf.DUMMYFUNCTION("SPLIT(B4211,""RM"")"),450800.0)</f>
        <v>450800</v>
      </c>
      <c r="D4211" s="7">
        <v>3.0</v>
      </c>
      <c r="E4211" s="7">
        <v>2.0</v>
      </c>
      <c r="F4211" s="7">
        <v>2.0</v>
      </c>
      <c r="G4211" s="7" t="s">
        <v>83</v>
      </c>
      <c r="H4211" s="7" t="s">
        <v>392</v>
      </c>
    </row>
    <row r="4212">
      <c r="A4212" s="7" t="s">
        <v>177</v>
      </c>
      <c r="B4212" s="7" t="s">
        <v>2643</v>
      </c>
      <c r="C4212" s="8">
        <f>IFERROR(__xludf.DUMMYFUNCTION("SPLIT(B4212,""RM"")"),1359000.0)</f>
        <v>1359000</v>
      </c>
      <c r="D4212" s="7">
        <v>2.0</v>
      </c>
      <c r="E4212" s="7">
        <v>2.0</v>
      </c>
      <c r="F4212" s="7">
        <v>1.0</v>
      </c>
      <c r="G4212" s="7" t="s">
        <v>20</v>
      </c>
      <c r="H4212" s="7" t="s">
        <v>342</v>
      </c>
      <c r="I4212" s="7" t="s">
        <v>103</v>
      </c>
    </row>
    <row r="4213">
      <c r="A4213" s="7" t="s">
        <v>1241</v>
      </c>
      <c r="B4213" s="7" t="s">
        <v>132</v>
      </c>
      <c r="C4213" s="8">
        <f>IFERROR(__xludf.DUMMYFUNCTION("SPLIT(B4213,""RM"")"),1080000.0)</f>
        <v>1080000</v>
      </c>
      <c r="D4213" s="7">
        <v>2.0</v>
      </c>
      <c r="E4213" s="7">
        <v>2.0</v>
      </c>
      <c r="G4213" s="7" t="s">
        <v>82</v>
      </c>
      <c r="H4213" s="7" t="s">
        <v>1243</v>
      </c>
      <c r="I4213" s="7" t="s">
        <v>27</v>
      </c>
    </row>
    <row r="4214">
      <c r="A4214" s="7" t="s">
        <v>104</v>
      </c>
      <c r="B4214" s="7" t="s">
        <v>712</v>
      </c>
      <c r="C4214" s="8">
        <f>IFERROR(__xludf.DUMMYFUNCTION("SPLIT(B4214,""RM"")"),1880000.0)</f>
        <v>1880000</v>
      </c>
      <c r="D4214" s="7">
        <v>4.0</v>
      </c>
      <c r="E4214" s="7">
        <v>4.0</v>
      </c>
      <c r="G4214" s="7" t="s">
        <v>169</v>
      </c>
      <c r="H4214" s="7" t="s">
        <v>91</v>
      </c>
      <c r="I4214" s="7" t="s">
        <v>27</v>
      </c>
    </row>
    <row r="4215">
      <c r="A4215" s="7" t="s">
        <v>72</v>
      </c>
      <c r="B4215" s="7" t="s">
        <v>2644</v>
      </c>
      <c r="C4215" s="8">
        <f>IFERROR(__xludf.DUMMYFUNCTION("SPLIT(B4215,""RM"")"),718000.0)</f>
        <v>718000</v>
      </c>
      <c r="D4215" s="7">
        <v>2.0</v>
      </c>
      <c r="E4215" s="7">
        <v>2.0</v>
      </c>
      <c r="F4215" s="7">
        <v>2.0</v>
      </c>
      <c r="G4215" s="7" t="s">
        <v>20</v>
      </c>
      <c r="H4215" s="7" t="s">
        <v>2645</v>
      </c>
      <c r="I4215" s="7" t="s">
        <v>251</v>
      </c>
    </row>
    <row r="4216">
      <c r="A4216" s="7" t="s">
        <v>72</v>
      </c>
      <c r="B4216" s="7" t="s">
        <v>172</v>
      </c>
      <c r="C4216" s="8">
        <f>IFERROR(__xludf.DUMMYFUNCTION("SPLIT(B4216,""RM"")"),580000.0)</f>
        <v>580000</v>
      </c>
      <c r="D4216" s="7">
        <v>2.0</v>
      </c>
      <c r="E4216" s="7">
        <v>1.0</v>
      </c>
      <c r="F4216" s="7">
        <v>1.0</v>
      </c>
      <c r="G4216" s="7" t="s">
        <v>20</v>
      </c>
      <c r="H4216" s="7" t="s">
        <v>2526</v>
      </c>
      <c r="I4216" s="7" t="s">
        <v>27</v>
      </c>
    </row>
    <row r="4217">
      <c r="A4217" s="7" t="s">
        <v>709</v>
      </c>
      <c r="B4217" s="7" t="s">
        <v>2646</v>
      </c>
      <c r="C4217" s="8">
        <f>IFERROR(__xludf.DUMMYFUNCTION("SPLIT(B4217,""RM"")"),545000.0)</f>
        <v>545000</v>
      </c>
      <c r="D4217" s="7" t="s">
        <v>19</v>
      </c>
      <c r="E4217" s="7">
        <v>2.0</v>
      </c>
      <c r="F4217" s="7">
        <v>1.0</v>
      </c>
      <c r="G4217" s="7" t="s">
        <v>20</v>
      </c>
      <c r="H4217" s="7" t="s">
        <v>1945</v>
      </c>
      <c r="I4217" s="7" t="s">
        <v>27</v>
      </c>
    </row>
    <row r="4218">
      <c r="A4218" s="7" t="s">
        <v>709</v>
      </c>
      <c r="B4218" s="7" t="s">
        <v>983</v>
      </c>
      <c r="C4218" s="8">
        <f>IFERROR(__xludf.DUMMYFUNCTION("SPLIT(B4218,""RM"")"),440000.0)</f>
        <v>440000</v>
      </c>
      <c r="D4218" s="7" t="s">
        <v>197</v>
      </c>
      <c r="E4218" s="7">
        <v>1.0</v>
      </c>
      <c r="F4218" s="7">
        <v>1.0</v>
      </c>
      <c r="G4218" s="7" t="s">
        <v>20</v>
      </c>
      <c r="H4218" s="7" t="s">
        <v>242</v>
      </c>
      <c r="I4218" s="7" t="s">
        <v>27</v>
      </c>
    </row>
    <row r="4219">
      <c r="A4219" s="7" t="s">
        <v>709</v>
      </c>
      <c r="B4219" s="7" t="s">
        <v>639</v>
      </c>
      <c r="C4219" s="8">
        <f>IFERROR(__xludf.DUMMYFUNCTION("SPLIT(B4219,""RM"")"),360000.0)</f>
        <v>360000</v>
      </c>
      <c r="D4219" s="7" t="s">
        <v>197</v>
      </c>
      <c r="E4219" s="7">
        <v>1.0</v>
      </c>
      <c r="F4219" s="7">
        <v>1.0</v>
      </c>
      <c r="G4219" s="7" t="s">
        <v>20</v>
      </c>
      <c r="H4219" s="7" t="s">
        <v>2647</v>
      </c>
      <c r="I4219" s="7" t="s">
        <v>27</v>
      </c>
    </row>
    <row r="4220">
      <c r="A4220" s="7" t="s">
        <v>37</v>
      </c>
      <c r="B4220" s="7" t="s">
        <v>322</v>
      </c>
      <c r="C4220" s="8">
        <f>IFERROR(__xludf.DUMMYFUNCTION("SPLIT(B4220,""RM"")"),1900000.0)</f>
        <v>1900000</v>
      </c>
      <c r="D4220" s="7" t="s">
        <v>57</v>
      </c>
      <c r="E4220" s="7">
        <v>3.0</v>
      </c>
      <c r="F4220" s="7">
        <v>2.0</v>
      </c>
      <c r="G4220" s="7" t="s">
        <v>46</v>
      </c>
      <c r="H4220" s="7" t="s">
        <v>280</v>
      </c>
      <c r="I4220" s="7" t="s">
        <v>27</v>
      </c>
    </row>
    <row r="4221">
      <c r="A4221" s="7" t="s">
        <v>358</v>
      </c>
      <c r="B4221" s="7" t="s">
        <v>2648</v>
      </c>
      <c r="C4221" s="8">
        <f>IFERROR(__xludf.DUMMYFUNCTION("SPLIT(B4221,""RM"")"),529600.0)</f>
        <v>529600</v>
      </c>
      <c r="D4221" s="7">
        <v>2.0</v>
      </c>
      <c r="E4221" s="7">
        <v>2.0</v>
      </c>
      <c r="F4221" s="7">
        <v>1.0</v>
      </c>
      <c r="G4221" s="7" t="s">
        <v>82</v>
      </c>
      <c r="H4221" s="7" t="s">
        <v>2649</v>
      </c>
      <c r="I4221" s="7" t="s">
        <v>103</v>
      </c>
    </row>
    <row r="4222">
      <c r="A4222" s="7" t="s">
        <v>358</v>
      </c>
      <c r="B4222" s="7" t="s">
        <v>2650</v>
      </c>
      <c r="C4222" s="8">
        <f>IFERROR(__xludf.DUMMYFUNCTION("SPLIT(B4222,""RM"")"),690788.0)</f>
        <v>690788</v>
      </c>
      <c r="D4222" s="7">
        <v>4.0</v>
      </c>
      <c r="E4222" s="7">
        <v>3.0</v>
      </c>
      <c r="F4222" s="7">
        <v>1.0</v>
      </c>
      <c r="G4222" s="7" t="s">
        <v>145</v>
      </c>
      <c r="H4222" s="7" t="s">
        <v>2651</v>
      </c>
      <c r="I4222" s="7" t="s">
        <v>103</v>
      </c>
    </row>
    <row r="4223">
      <c r="A4223" s="7" t="s">
        <v>155</v>
      </c>
      <c r="B4223" s="7" t="s">
        <v>2652</v>
      </c>
      <c r="C4223" s="8">
        <f>IFERROR(__xludf.DUMMYFUNCTION("SPLIT(B4223,""RM"")"),546000.0)</f>
        <v>546000</v>
      </c>
      <c r="D4223" s="7">
        <v>3.0</v>
      </c>
      <c r="E4223" s="7">
        <v>2.0</v>
      </c>
      <c r="F4223" s="7">
        <v>2.0</v>
      </c>
      <c r="G4223" s="7" t="s">
        <v>82</v>
      </c>
      <c r="H4223" s="7" t="s">
        <v>2353</v>
      </c>
      <c r="I4223" s="7" t="s">
        <v>103</v>
      </c>
    </row>
    <row r="4224">
      <c r="A4224" s="7" t="s">
        <v>155</v>
      </c>
      <c r="B4224" s="7" t="s">
        <v>1978</v>
      </c>
      <c r="C4224" s="8">
        <f>IFERROR(__xludf.DUMMYFUNCTION("SPLIT(B4224,""RM"")"),475000.0)</f>
        <v>475000</v>
      </c>
      <c r="D4224" s="7">
        <v>3.0</v>
      </c>
      <c r="E4224" s="7">
        <v>2.0</v>
      </c>
      <c r="F4224" s="7">
        <v>2.0</v>
      </c>
      <c r="G4224" s="7" t="s">
        <v>121</v>
      </c>
      <c r="H4224" s="7" t="s">
        <v>392</v>
      </c>
      <c r="I4224" s="7" t="s">
        <v>103</v>
      </c>
    </row>
    <row r="4225">
      <c r="A4225" s="7" t="s">
        <v>155</v>
      </c>
      <c r="B4225" s="7" t="s">
        <v>2653</v>
      </c>
      <c r="C4225" s="8">
        <f>IFERROR(__xludf.DUMMYFUNCTION("SPLIT(B4225,""RM"")"),384384.0)</f>
        <v>384384</v>
      </c>
      <c r="D4225" s="7">
        <v>2.0</v>
      </c>
      <c r="E4225" s="7">
        <v>2.0</v>
      </c>
      <c r="F4225" s="7">
        <v>1.0</v>
      </c>
      <c r="G4225" s="7" t="s">
        <v>82</v>
      </c>
      <c r="H4225" s="7" t="s">
        <v>753</v>
      </c>
      <c r="I4225" s="7" t="s">
        <v>103</v>
      </c>
    </row>
    <row r="4226">
      <c r="A4226" s="7" t="s">
        <v>155</v>
      </c>
      <c r="B4226" s="7" t="s">
        <v>2654</v>
      </c>
      <c r="C4226" s="8">
        <f>IFERROR(__xludf.DUMMYFUNCTION("SPLIT(B4226,""RM"")"),369000.0)</f>
        <v>369000</v>
      </c>
      <c r="D4226" s="7">
        <v>2.0</v>
      </c>
      <c r="E4226" s="7">
        <v>1.0</v>
      </c>
      <c r="F4226" s="7">
        <v>1.0</v>
      </c>
      <c r="G4226" s="7" t="s">
        <v>82</v>
      </c>
      <c r="H4226" s="7" t="s">
        <v>583</v>
      </c>
      <c r="I4226" s="7" t="s">
        <v>103</v>
      </c>
    </row>
    <row r="4227">
      <c r="A4227" s="7" t="s">
        <v>86</v>
      </c>
      <c r="B4227" s="7" t="s">
        <v>2655</v>
      </c>
      <c r="C4227" s="8">
        <f>IFERROR(__xludf.DUMMYFUNCTION("SPLIT(B4227,""RM"")"),536000.0)</f>
        <v>536000</v>
      </c>
      <c r="D4227" s="7" t="s">
        <v>19</v>
      </c>
      <c r="E4227" s="7">
        <v>2.0</v>
      </c>
      <c r="F4227" s="7">
        <v>1.0</v>
      </c>
      <c r="G4227" s="7" t="s">
        <v>2364</v>
      </c>
      <c r="H4227" s="7" t="s">
        <v>2656</v>
      </c>
      <c r="I4227" s="7" t="s">
        <v>27</v>
      </c>
    </row>
    <row r="4228">
      <c r="A4228" s="7" t="s">
        <v>86</v>
      </c>
      <c r="B4228" s="7" t="s">
        <v>2657</v>
      </c>
      <c r="C4228" s="8">
        <f>IFERROR(__xludf.DUMMYFUNCTION("SPLIT(B4228,""RM"")"),618500.0)</f>
        <v>618500</v>
      </c>
      <c r="D4228" s="7" t="s">
        <v>19</v>
      </c>
      <c r="E4228" s="7">
        <v>2.0</v>
      </c>
      <c r="F4228" s="7">
        <v>1.0</v>
      </c>
      <c r="G4228" s="7" t="s">
        <v>2364</v>
      </c>
      <c r="H4228" s="7" t="s">
        <v>583</v>
      </c>
      <c r="I4228" s="7" t="s">
        <v>27</v>
      </c>
    </row>
    <row r="4229">
      <c r="A4229" s="7" t="s">
        <v>86</v>
      </c>
      <c r="B4229" s="7" t="s">
        <v>2658</v>
      </c>
      <c r="C4229" s="8">
        <f>IFERROR(__xludf.DUMMYFUNCTION("SPLIT(B4229,""RM"")"),378400.0)</f>
        <v>378400</v>
      </c>
      <c r="D4229" s="7" t="s">
        <v>325</v>
      </c>
      <c r="E4229" s="7">
        <v>1.0</v>
      </c>
      <c r="F4229" s="7">
        <v>1.0</v>
      </c>
      <c r="G4229" s="7" t="s">
        <v>50</v>
      </c>
      <c r="H4229" s="7" t="s">
        <v>754</v>
      </c>
      <c r="I4229" s="7" t="s">
        <v>27</v>
      </c>
    </row>
    <row r="4230">
      <c r="A4230" s="7" t="s">
        <v>86</v>
      </c>
      <c r="B4230" s="7" t="s">
        <v>1423</v>
      </c>
      <c r="C4230" s="8">
        <f>IFERROR(__xludf.DUMMYFUNCTION("SPLIT(B4230,""RM"")"),420000.0)</f>
        <v>420000</v>
      </c>
      <c r="D4230" s="7" t="s">
        <v>197</v>
      </c>
      <c r="E4230" s="7">
        <v>1.0</v>
      </c>
      <c r="F4230" s="7">
        <v>1.0</v>
      </c>
      <c r="G4230" s="7" t="s">
        <v>2364</v>
      </c>
      <c r="H4230" s="7" t="s">
        <v>355</v>
      </c>
      <c r="I4230" s="7" t="s">
        <v>27</v>
      </c>
    </row>
    <row r="4231">
      <c r="A4231" s="7" t="s">
        <v>100</v>
      </c>
      <c r="B4231" s="7" t="s">
        <v>2659</v>
      </c>
      <c r="C4231" s="8">
        <f>IFERROR(__xludf.DUMMYFUNCTION("SPLIT(B4231,""RM"")"),588880.0)</f>
        <v>588880</v>
      </c>
      <c r="D4231" s="7">
        <v>2.0</v>
      </c>
      <c r="E4231" s="7">
        <v>2.0</v>
      </c>
      <c r="F4231" s="7">
        <v>1.0</v>
      </c>
      <c r="G4231" s="7" t="s">
        <v>121</v>
      </c>
      <c r="H4231" s="7" t="s">
        <v>910</v>
      </c>
      <c r="I4231" s="7" t="s">
        <v>103</v>
      </c>
    </row>
    <row r="4232">
      <c r="A4232" s="7" t="s">
        <v>100</v>
      </c>
      <c r="B4232" s="7" t="s">
        <v>361</v>
      </c>
      <c r="C4232" s="8">
        <f>IFERROR(__xludf.DUMMYFUNCTION("SPLIT(B4232,""RM"")"),530000.0)</f>
        <v>530000</v>
      </c>
      <c r="D4232" s="7">
        <v>2.0</v>
      </c>
      <c r="E4232" s="7">
        <v>2.0</v>
      </c>
      <c r="F4232" s="7">
        <v>1.0</v>
      </c>
      <c r="G4232" s="7" t="s">
        <v>82</v>
      </c>
      <c r="H4232" s="7" t="s">
        <v>1824</v>
      </c>
      <c r="I4232" s="7" t="s">
        <v>103</v>
      </c>
    </row>
    <row r="4233">
      <c r="A4233" s="7" t="s">
        <v>100</v>
      </c>
      <c r="B4233" s="7" t="s">
        <v>2660</v>
      </c>
      <c r="C4233" s="8">
        <f>IFERROR(__xludf.DUMMYFUNCTION("SPLIT(B4233,""RM"")"),513000.0)</f>
        <v>513000</v>
      </c>
      <c r="D4233" s="7">
        <v>2.0</v>
      </c>
      <c r="E4233" s="7">
        <v>2.0</v>
      </c>
      <c r="F4233" s="7">
        <v>1.0</v>
      </c>
      <c r="G4233" s="7" t="s">
        <v>82</v>
      </c>
      <c r="H4233" s="7" t="s">
        <v>198</v>
      </c>
      <c r="I4233" s="7" t="s">
        <v>103</v>
      </c>
    </row>
    <row r="4234">
      <c r="A4234" s="7" t="s">
        <v>72</v>
      </c>
      <c r="B4234" s="7" t="s">
        <v>2661</v>
      </c>
      <c r="C4234" s="8">
        <f>IFERROR(__xludf.DUMMYFUNCTION("SPLIT(B4234,""RM"")"),789000.0)</f>
        <v>789000</v>
      </c>
      <c r="E4234" s="7">
        <v>2.0</v>
      </c>
      <c r="F4234" s="7">
        <v>2.0</v>
      </c>
      <c r="G4234" s="7" t="s">
        <v>20</v>
      </c>
      <c r="H4234" s="7" t="s">
        <v>2662</v>
      </c>
      <c r="I4234" s="7" t="s">
        <v>27</v>
      </c>
    </row>
    <row r="4235" hidden="1">
      <c r="A4235" s="7" t="s">
        <v>32</v>
      </c>
      <c r="C4235" s="7" t="str">
        <f>IFERROR(__xludf.DUMMYFUNCTION("SPLIT(B4235,""RM"")"),"#VALUE!")</f>
        <v>#VALUE!</v>
      </c>
      <c r="D4235" s="7">
        <v>3.0</v>
      </c>
      <c r="E4235" s="7">
        <v>2.0</v>
      </c>
      <c r="F4235" s="7">
        <v>2.0</v>
      </c>
      <c r="G4235" s="7" t="s">
        <v>83</v>
      </c>
      <c r="H4235" s="7" t="s">
        <v>1907</v>
      </c>
      <c r="I4235" s="7" t="s">
        <v>22</v>
      </c>
    </row>
    <row r="4236">
      <c r="A4236" s="7" t="s">
        <v>89</v>
      </c>
      <c r="B4236" s="7" t="s">
        <v>691</v>
      </c>
      <c r="C4236" s="8">
        <f>IFERROR(__xludf.DUMMYFUNCTION("SPLIT(B4236,""RM"")"),370000.0)</f>
        <v>370000</v>
      </c>
      <c r="D4236" s="7">
        <v>2.0</v>
      </c>
      <c r="E4236" s="7">
        <v>2.0</v>
      </c>
      <c r="G4236" s="7" t="s">
        <v>20</v>
      </c>
      <c r="H4236" s="7" t="s">
        <v>242</v>
      </c>
      <c r="I4236" s="7" t="s">
        <v>22</v>
      </c>
    </row>
    <row r="4237">
      <c r="A4237" s="7" t="s">
        <v>89</v>
      </c>
      <c r="B4237" s="7" t="s">
        <v>353</v>
      </c>
      <c r="C4237" s="8">
        <f>IFERROR(__xludf.DUMMYFUNCTION("SPLIT(B4237,""RM"")"),350000.0)</f>
        <v>350000</v>
      </c>
      <c r="D4237" s="7">
        <v>3.0</v>
      </c>
      <c r="E4237" s="7">
        <v>3.0</v>
      </c>
      <c r="F4237" s="7">
        <v>2.0</v>
      </c>
      <c r="G4237" s="7" t="s">
        <v>20</v>
      </c>
      <c r="H4237" s="7" t="s">
        <v>254</v>
      </c>
    </row>
    <row r="4238">
      <c r="A4238" s="7" t="s">
        <v>109</v>
      </c>
      <c r="B4238" s="7" t="s">
        <v>890</v>
      </c>
      <c r="C4238" s="8">
        <f>IFERROR(__xludf.DUMMYFUNCTION("SPLIT(B4238,""RM"")"),450000.0)</f>
        <v>450000</v>
      </c>
      <c r="D4238" s="7" t="s">
        <v>19</v>
      </c>
      <c r="E4238" s="7">
        <v>2.0</v>
      </c>
      <c r="F4238" s="7">
        <v>2.0</v>
      </c>
      <c r="G4238" s="7" t="s">
        <v>20</v>
      </c>
      <c r="H4238" s="7" t="s">
        <v>2663</v>
      </c>
    </row>
    <row r="4239">
      <c r="A4239" s="7" t="s">
        <v>23</v>
      </c>
      <c r="B4239" s="7" t="s">
        <v>120</v>
      </c>
      <c r="C4239" s="8">
        <f>IFERROR(__xludf.DUMMYFUNCTION("SPLIT(B4239,""RM"")"),3600000.0)</f>
        <v>3600000</v>
      </c>
      <c r="D4239" s="7" t="s">
        <v>70</v>
      </c>
      <c r="E4239" s="7">
        <v>4.0</v>
      </c>
      <c r="F4239" s="7">
        <v>6.0</v>
      </c>
      <c r="G4239" s="7" t="s">
        <v>25</v>
      </c>
      <c r="H4239" s="7" t="s">
        <v>219</v>
      </c>
    </row>
    <row r="4240">
      <c r="A4240" s="7" t="s">
        <v>241</v>
      </c>
      <c r="B4240" s="7" t="s">
        <v>49</v>
      </c>
      <c r="C4240" s="8">
        <f>IFERROR(__xludf.DUMMYFUNCTION("SPLIT(B4240,""RM"")"),385000.0)</f>
        <v>385000</v>
      </c>
      <c r="D4240" s="7">
        <v>3.0</v>
      </c>
      <c r="E4240" s="7">
        <v>2.0</v>
      </c>
      <c r="F4240" s="7">
        <v>1.0</v>
      </c>
      <c r="G4240" s="7" t="s">
        <v>20</v>
      </c>
      <c r="H4240" s="7" t="s">
        <v>976</v>
      </c>
      <c r="I4240" s="7" t="s">
        <v>22</v>
      </c>
    </row>
    <row r="4241">
      <c r="A4241" s="7" t="s">
        <v>241</v>
      </c>
      <c r="B4241" s="7" t="s">
        <v>1258</v>
      </c>
      <c r="C4241" s="8">
        <f>IFERROR(__xludf.DUMMYFUNCTION("SPLIT(B4241,""RM"")"),465000.0)</f>
        <v>465000</v>
      </c>
      <c r="D4241" s="7">
        <v>3.0</v>
      </c>
      <c r="E4241" s="7">
        <v>2.0</v>
      </c>
      <c r="F4241" s="7">
        <v>1.0</v>
      </c>
      <c r="G4241" s="7" t="s">
        <v>83</v>
      </c>
      <c r="H4241" s="7" t="s">
        <v>2664</v>
      </c>
    </row>
    <row r="4242">
      <c r="A4242" s="7" t="s">
        <v>1960</v>
      </c>
      <c r="B4242" s="7" t="s">
        <v>1544</v>
      </c>
      <c r="C4242" s="8">
        <f>IFERROR(__xludf.DUMMYFUNCTION("SPLIT(B4242,""RM"")"),275000.0)</f>
        <v>275000</v>
      </c>
      <c r="D4242" s="7">
        <v>1.0</v>
      </c>
      <c r="E4242" s="7">
        <v>1.0</v>
      </c>
      <c r="F4242" s="7">
        <v>1.0</v>
      </c>
      <c r="G4242" s="7" t="s">
        <v>83</v>
      </c>
      <c r="H4242" s="7" t="s">
        <v>1524</v>
      </c>
      <c r="I4242" s="7" t="s">
        <v>27</v>
      </c>
    </row>
    <row r="4243">
      <c r="A4243" s="7" t="s">
        <v>32</v>
      </c>
      <c r="B4243" s="7" t="s">
        <v>890</v>
      </c>
      <c r="C4243" s="8">
        <f>IFERROR(__xludf.DUMMYFUNCTION("SPLIT(B4243,""RM"")"),450000.0)</f>
        <v>450000</v>
      </c>
      <c r="D4243" s="7">
        <v>3.0</v>
      </c>
      <c r="E4243" s="7">
        <v>2.0</v>
      </c>
      <c r="F4243" s="7">
        <v>2.0</v>
      </c>
      <c r="G4243" s="7" t="s">
        <v>83</v>
      </c>
      <c r="H4243" s="7" t="s">
        <v>747</v>
      </c>
    </row>
    <row r="4244" hidden="1">
      <c r="A4244" s="7" t="s">
        <v>32</v>
      </c>
      <c r="C4244" s="7" t="str">
        <f>IFERROR(__xludf.DUMMYFUNCTION("SPLIT(B4244,""RM"")"),"#VALUE!")</f>
        <v>#VALUE!</v>
      </c>
      <c r="D4244" s="7">
        <v>3.0</v>
      </c>
      <c r="E4244" s="7">
        <v>2.0</v>
      </c>
      <c r="F4244" s="7">
        <v>2.0</v>
      </c>
      <c r="G4244" s="7" t="s">
        <v>83</v>
      </c>
      <c r="H4244" s="7" t="s">
        <v>1907</v>
      </c>
      <c r="I4244" s="7" t="s">
        <v>22</v>
      </c>
    </row>
    <row r="4245">
      <c r="A4245" s="7" t="s">
        <v>109</v>
      </c>
      <c r="B4245" s="7" t="s">
        <v>890</v>
      </c>
      <c r="C4245" s="8">
        <f>IFERROR(__xludf.DUMMYFUNCTION("SPLIT(B4245,""RM"")"),450000.0)</f>
        <v>450000</v>
      </c>
      <c r="D4245" s="7" t="s">
        <v>19</v>
      </c>
      <c r="E4245" s="7">
        <v>2.0</v>
      </c>
      <c r="F4245" s="7">
        <v>2.0</v>
      </c>
      <c r="G4245" s="7" t="s">
        <v>20</v>
      </c>
      <c r="H4245" s="7" t="s">
        <v>2663</v>
      </c>
    </row>
    <row r="4246">
      <c r="A4246" s="7" t="s">
        <v>1456</v>
      </c>
      <c r="B4246" s="7" t="s">
        <v>1981</v>
      </c>
      <c r="C4246" s="8">
        <f>IFERROR(__xludf.DUMMYFUNCTION("SPLIT(B4246,""RM"")"),310000.0)</f>
        <v>310000</v>
      </c>
      <c r="D4246" s="7">
        <v>2.0</v>
      </c>
      <c r="E4246" s="7">
        <v>2.0</v>
      </c>
      <c r="F4246" s="7">
        <v>1.0</v>
      </c>
      <c r="G4246" s="7" t="s">
        <v>470</v>
      </c>
      <c r="H4246" s="7" t="s">
        <v>924</v>
      </c>
    </row>
    <row r="4247">
      <c r="A4247" s="7" t="s">
        <v>33</v>
      </c>
      <c r="B4247" s="7" t="s">
        <v>1603</v>
      </c>
      <c r="C4247" s="8">
        <f>IFERROR(__xludf.DUMMYFUNCTION("SPLIT(B4247,""RM"")"),288000.0)</f>
        <v>288000</v>
      </c>
      <c r="D4247" s="7">
        <v>2.0</v>
      </c>
      <c r="E4247" s="7">
        <v>2.0</v>
      </c>
      <c r="F4247" s="7">
        <v>1.0</v>
      </c>
      <c r="G4247" s="7" t="s">
        <v>50</v>
      </c>
      <c r="H4247" s="7" t="s">
        <v>2308</v>
      </c>
      <c r="I4247" s="7" t="s">
        <v>103</v>
      </c>
    </row>
    <row r="4248">
      <c r="A4248" s="7" t="s">
        <v>32</v>
      </c>
      <c r="B4248" s="7" t="s">
        <v>2665</v>
      </c>
      <c r="C4248" s="8">
        <f>IFERROR(__xludf.DUMMYFUNCTION("SPLIT(B4248,""RM"")"),170000.0)</f>
        <v>170000</v>
      </c>
      <c r="D4248" s="7">
        <v>2.0</v>
      </c>
      <c r="E4248" s="7">
        <v>1.0</v>
      </c>
      <c r="G4248" s="7" t="s">
        <v>2473</v>
      </c>
      <c r="H4248" s="7" t="s">
        <v>537</v>
      </c>
    </row>
    <row r="4249">
      <c r="A4249" s="7" t="s">
        <v>32</v>
      </c>
      <c r="B4249" s="7" t="s">
        <v>2666</v>
      </c>
      <c r="C4249" s="8">
        <f>IFERROR(__xludf.DUMMYFUNCTION("SPLIT(B4249,""RM"")"),250000.0)</f>
        <v>250000</v>
      </c>
      <c r="D4249" s="7">
        <v>3.0</v>
      </c>
      <c r="E4249" s="7">
        <v>2.0</v>
      </c>
      <c r="G4249" s="7" t="s">
        <v>354</v>
      </c>
      <c r="H4249" s="7" t="s">
        <v>392</v>
      </c>
      <c r="I4249" s="7" t="s">
        <v>103</v>
      </c>
    </row>
    <row r="4250">
      <c r="A4250" s="7" t="s">
        <v>1476</v>
      </c>
      <c r="B4250" s="7" t="s">
        <v>353</v>
      </c>
      <c r="C4250" s="8">
        <f>IFERROR(__xludf.DUMMYFUNCTION("SPLIT(B4250,""RM"")"),350000.0)</f>
        <v>350000</v>
      </c>
      <c r="D4250" s="7">
        <v>3.0</v>
      </c>
      <c r="E4250" s="7">
        <v>2.0</v>
      </c>
      <c r="F4250" s="7">
        <v>2.0</v>
      </c>
      <c r="G4250" s="7" t="s">
        <v>83</v>
      </c>
      <c r="H4250" s="7" t="s">
        <v>2667</v>
      </c>
    </row>
    <row r="4251">
      <c r="A4251" s="7" t="s">
        <v>48</v>
      </c>
      <c r="B4251" s="7" t="s">
        <v>1547</v>
      </c>
      <c r="C4251" s="8">
        <f>IFERROR(__xludf.DUMMYFUNCTION("SPLIT(B4251,""RM"")"),408000.0)</f>
        <v>408000</v>
      </c>
      <c r="D4251" s="7">
        <v>3.0</v>
      </c>
      <c r="E4251" s="7">
        <v>2.0</v>
      </c>
      <c r="F4251" s="7">
        <v>1.0</v>
      </c>
      <c r="G4251" s="7" t="s">
        <v>83</v>
      </c>
      <c r="H4251" s="7" t="s">
        <v>2668</v>
      </c>
    </row>
    <row r="4252">
      <c r="A4252" s="7" t="s">
        <v>371</v>
      </c>
      <c r="B4252" s="7" t="s">
        <v>221</v>
      </c>
      <c r="C4252" s="8">
        <f>IFERROR(__xludf.DUMMYFUNCTION("SPLIT(B4252,""RM"")"),630000.0)</f>
        <v>630000</v>
      </c>
      <c r="D4252" s="7">
        <v>3.0</v>
      </c>
      <c r="E4252" s="7">
        <v>2.0</v>
      </c>
      <c r="F4252" s="7">
        <v>2.0</v>
      </c>
      <c r="G4252" s="7" t="s">
        <v>83</v>
      </c>
      <c r="H4252" s="7" t="s">
        <v>2284</v>
      </c>
      <c r="I4252" s="7" t="s">
        <v>27</v>
      </c>
    </row>
    <row r="4253">
      <c r="A4253" s="7" t="s">
        <v>37</v>
      </c>
      <c r="B4253" s="7" t="s">
        <v>144</v>
      </c>
      <c r="C4253" s="8">
        <f>IFERROR(__xludf.DUMMYFUNCTION("SPLIT(B4253,""RM"")"),1800000.0)</f>
        <v>1800000</v>
      </c>
      <c r="D4253" s="7">
        <v>4.0</v>
      </c>
      <c r="E4253" s="7">
        <v>3.0</v>
      </c>
      <c r="F4253" s="7">
        <v>2.0</v>
      </c>
      <c r="G4253" s="7" t="s">
        <v>54</v>
      </c>
      <c r="H4253" s="7" t="s">
        <v>280</v>
      </c>
      <c r="I4253" s="7" t="s">
        <v>103</v>
      </c>
    </row>
    <row r="4254">
      <c r="A4254" s="7" t="s">
        <v>28</v>
      </c>
      <c r="B4254" s="7" t="s">
        <v>1258</v>
      </c>
      <c r="C4254" s="8">
        <f>IFERROR(__xludf.DUMMYFUNCTION("SPLIT(B4254,""RM"")"),465000.0)</f>
        <v>465000</v>
      </c>
      <c r="D4254" s="7">
        <v>3.0</v>
      </c>
      <c r="E4254" s="7">
        <v>2.0</v>
      </c>
      <c r="F4254" s="7">
        <v>2.0</v>
      </c>
      <c r="G4254" s="7" t="s">
        <v>30</v>
      </c>
      <c r="H4254" s="7" t="s">
        <v>161</v>
      </c>
      <c r="I4254" s="7" t="s">
        <v>27</v>
      </c>
    </row>
    <row r="4255">
      <c r="A4255" s="7" t="s">
        <v>37</v>
      </c>
      <c r="B4255" s="7" t="s">
        <v>2669</v>
      </c>
      <c r="C4255" s="8">
        <f>IFERROR(__xludf.DUMMYFUNCTION("SPLIT(B4255,""RM"")"),965000.0)</f>
        <v>965000</v>
      </c>
      <c r="D4255" s="7">
        <v>3.0</v>
      </c>
      <c r="E4255" s="7">
        <v>2.0</v>
      </c>
      <c r="F4255" s="7">
        <v>1.0</v>
      </c>
      <c r="G4255" s="7" t="s">
        <v>20</v>
      </c>
      <c r="H4255" s="7" t="s">
        <v>1212</v>
      </c>
      <c r="I4255" s="7" t="s">
        <v>22</v>
      </c>
    </row>
    <row r="4256">
      <c r="A4256" s="7" t="s">
        <v>432</v>
      </c>
      <c r="B4256" s="7" t="s">
        <v>120</v>
      </c>
      <c r="C4256" s="8">
        <f>IFERROR(__xludf.DUMMYFUNCTION("SPLIT(B4256,""RM"")"),3600000.0)</f>
        <v>3600000</v>
      </c>
      <c r="D4256" s="7">
        <v>5.0</v>
      </c>
      <c r="E4256" s="7">
        <v>5.0</v>
      </c>
      <c r="F4256" s="7">
        <v>2.0</v>
      </c>
      <c r="G4256" s="7" t="s">
        <v>1755</v>
      </c>
      <c r="H4256" s="7" t="s">
        <v>2670</v>
      </c>
      <c r="I4256" s="7" t="s">
        <v>22</v>
      </c>
    </row>
    <row r="4257">
      <c r="A4257" s="7" t="s">
        <v>72</v>
      </c>
      <c r="B4257" s="7" t="s">
        <v>151</v>
      </c>
      <c r="C4257" s="8">
        <f>IFERROR(__xludf.DUMMYFUNCTION("SPLIT(B4257,""RM"")"),4800000.0)</f>
        <v>4800000</v>
      </c>
      <c r="D4257" s="7" t="s">
        <v>60</v>
      </c>
      <c r="E4257" s="7">
        <v>5.0</v>
      </c>
      <c r="F4257" s="7">
        <v>2.0</v>
      </c>
      <c r="G4257" s="7" t="s">
        <v>43</v>
      </c>
      <c r="H4257" s="7" t="s">
        <v>860</v>
      </c>
      <c r="I4257" s="7" t="s">
        <v>22</v>
      </c>
    </row>
    <row r="4258">
      <c r="A4258" s="7" t="s">
        <v>72</v>
      </c>
      <c r="B4258" s="7" t="s">
        <v>85</v>
      </c>
      <c r="C4258" s="8">
        <f>IFERROR(__xludf.DUMMYFUNCTION("SPLIT(B4258,""RM"")"),1450000.0)</f>
        <v>1450000</v>
      </c>
      <c r="D4258" s="7" t="s">
        <v>57</v>
      </c>
      <c r="E4258" s="7">
        <v>4.0</v>
      </c>
      <c r="G4258" s="7" t="s">
        <v>30</v>
      </c>
      <c r="H4258" s="7" t="s">
        <v>1027</v>
      </c>
      <c r="I4258" s="7" t="s">
        <v>27</v>
      </c>
    </row>
    <row r="4259">
      <c r="A4259" s="7" t="s">
        <v>86</v>
      </c>
      <c r="B4259" s="7" t="s">
        <v>956</v>
      </c>
      <c r="C4259" s="8">
        <f>IFERROR(__xludf.DUMMYFUNCTION("SPLIT(B4259,""RM"")"),860000.0)</f>
        <v>860000</v>
      </c>
      <c r="D4259" s="7">
        <v>3.0</v>
      </c>
      <c r="E4259" s="7">
        <v>2.0</v>
      </c>
      <c r="F4259" s="7">
        <v>1.0</v>
      </c>
      <c r="G4259" s="7" t="s">
        <v>82</v>
      </c>
      <c r="H4259" s="7" t="s">
        <v>324</v>
      </c>
      <c r="I4259" s="7" t="s">
        <v>27</v>
      </c>
    </row>
    <row r="4260">
      <c r="A4260" s="7" t="s">
        <v>72</v>
      </c>
      <c r="B4260" s="7" t="s">
        <v>281</v>
      </c>
      <c r="C4260" s="8">
        <f>IFERROR(__xludf.DUMMYFUNCTION("SPLIT(B4260,""RM"")"),2500000.0)</f>
        <v>2500000</v>
      </c>
      <c r="D4260" s="7" t="s">
        <v>70</v>
      </c>
      <c r="E4260" s="7">
        <v>5.0</v>
      </c>
      <c r="F4260" s="7">
        <v>3.0</v>
      </c>
      <c r="G4260" s="7" t="s">
        <v>793</v>
      </c>
      <c r="H4260" s="7" t="s">
        <v>498</v>
      </c>
      <c r="I4260" s="7" t="s">
        <v>27</v>
      </c>
    </row>
    <row r="4261">
      <c r="A4261" s="7" t="s">
        <v>177</v>
      </c>
      <c r="B4261" s="7" t="s">
        <v>712</v>
      </c>
      <c r="C4261" s="8">
        <f>IFERROR(__xludf.DUMMYFUNCTION("SPLIT(B4261,""RM"")"),1880000.0)</f>
        <v>1880000</v>
      </c>
      <c r="D4261" s="7">
        <v>4.0</v>
      </c>
      <c r="E4261" s="7">
        <v>3.0</v>
      </c>
      <c r="F4261" s="7">
        <v>2.0</v>
      </c>
      <c r="G4261" s="7" t="s">
        <v>54</v>
      </c>
      <c r="H4261" s="7" t="s">
        <v>719</v>
      </c>
      <c r="I4261" s="7" t="s">
        <v>103</v>
      </c>
    </row>
    <row r="4262">
      <c r="A4262" s="7" t="s">
        <v>262</v>
      </c>
      <c r="B4262" s="7" t="s">
        <v>545</v>
      </c>
      <c r="C4262" s="8">
        <f>IFERROR(__xludf.DUMMYFUNCTION("SPLIT(B4262,""RM"")"),1.0E7)</f>
        <v>10000000</v>
      </c>
      <c r="D4262" s="7" t="s">
        <v>990</v>
      </c>
      <c r="E4262" s="7">
        <v>10.0</v>
      </c>
      <c r="F4262" s="7">
        <v>6.0</v>
      </c>
      <c r="G4262" s="7" t="s">
        <v>61</v>
      </c>
      <c r="H4262" s="7" t="s">
        <v>2274</v>
      </c>
      <c r="I4262" s="7" t="s">
        <v>27</v>
      </c>
    </row>
    <row r="4263">
      <c r="A4263" s="7" t="s">
        <v>32</v>
      </c>
      <c r="B4263" s="7" t="s">
        <v>372</v>
      </c>
      <c r="C4263" s="8">
        <f>IFERROR(__xludf.DUMMYFUNCTION("SPLIT(B4263,""RM"")"),700000.0)</f>
        <v>700000</v>
      </c>
      <c r="D4263" s="7">
        <v>4.0</v>
      </c>
      <c r="E4263" s="7">
        <v>3.0</v>
      </c>
      <c r="G4263" s="7" t="s">
        <v>169</v>
      </c>
      <c r="H4263" s="7" t="s">
        <v>1024</v>
      </c>
    </row>
    <row r="4264">
      <c r="A4264" s="7" t="s">
        <v>32</v>
      </c>
      <c r="B4264" s="7" t="s">
        <v>372</v>
      </c>
      <c r="C4264" s="8">
        <f>IFERROR(__xludf.DUMMYFUNCTION("SPLIT(B4264,""RM"")"),700000.0)</f>
        <v>700000</v>
      </c>
      <c r="D4264" s="7">
        <v>5.0</v>
      </c>
      <c r="E4264" s="7">
        <v>3.0</v>
      </c>
      <c r="F4264" s="7">
        <v>2.0</v>
      </c>
      <c r="G4264" s="7" t="s">
        <v>46</v>
      </c>
      <c r="H4264" s="7" t="s">
        <v>2671</v>
      </c>
      <c r="I4264" s="7" t="s">
        <v>103</v>
      </c>
    </row>
    <row r="4265">
      <c r="A4265" s="7" t="s">
        <v>241</v>
      </c>
      <c r="B4265" s="7" t="s">
        <v>2666</v>
      </c>
      <c r="C4265" s="8">
        <f>IFERROR(__xludf.DUMMYFUNCTION("SPLIT(B4265,""RM"")"),250000.0)</f>
        <v>250000</v>
      </c>
      <c r="D4265" s="7">
        <v>3.0</v>
      </c>
      <c r="E4265" s="7">
        <v>2.0</v>
      </c>
      <c r="G4265" s="7" t="s">
        <v>1566</v>
      </c>
      <c r="H4265" s="7" t="s">
        <v>380</v>
      </c>
      <c r="I4265" s="7" t="s">
        <v>27</v>
      </c>
    </row>
    <row r="4266">
      <c r="A4266" s="7" t="s">
        <v>104</v>
      </c>
      <c r="B4266" s="7" t="s">
        <v>45</v>
      </c>
      <c r="C4266" s="8">
        <f>IFERROR(__xludf.DUMMYFUNCTION("SPLIT(B4266,""RM"")"),1950000.0)</f>
        <v>1950000</v>
      </c>
      <c r="G4266" s="7" t="s">
        <v>64</v>
      </c>
      <c r="H4266" s="7" t="s">
        <v>1967</v>
      </c>
      <c r="I4266" s="7" t="s">
        <v>27</v>
      </c>
    </row>
    <row r="4267">
      <c r="A4267" s="7" t="s">
        <v>77</v>
      </c>
      <c r="B4267" s="7" t="s">
        <v>1721</v>
      </c>
      <c r="C4267" s="8">
        <f>IFERROR(__xludf.DUMMYFUNCTION("SPLIT(B4267,""RM"")"),4100000.0)</f>
        <v>4100000</v>
      </c>
      <c r="D4267" s="7">
        <v>5.0</v>
      </c>
      <c r="E4267" s="7">
        <v>5.0</v>
      </c>
      <c r="F4267" s="7">
        <v>4.0</v>
      </c>
      <c r="G4267" s="7" t="s">
        <v>61</v>
      </c>
      <c r="H4267" s="7" t="s">
        <v>912</v>
      </c>
      <c r="I4267" s="7" t="s">
        <v>27</v>
      </c>
    </row>
    <row r="4268">
      <c r="A4268" s="7" t="s">
        <v>262</v>
      </c>
      <c r="B4268" s="7" t="s">
        <v>2672</v>
      </c>
      <c r="C4268" s="8">
        <f>IFERROR(__xludf.DUMMYFUNCTION("SPLIT(B4268,""RM"")"),1.08E7)</f>
        <v>10800000</v>
      </c>
      <c r="D4268" s="7">
        <v>6.0</v>
      </c>
      <c r="E4268" s="7">
        <v>11.0</v>
      </c>
      <c r="G4268" s="7" t="s">
        <v>61</v>
      </c>
      <c r="H4268" s="7" t="s">
        <v>2274</v>
      </c>
      <c r="I4268" s="7" t="s">
        <v>27</v>
      </c>
    </row>
    <row r="4269">
      <c r="A4269" s="7" t="s">
        <v>33</v>
      </c>
      <c r="B4269" s="7" t="s">
        <v>268</v>
      </c>
      <c r="C4269" s="8">
        <f>IFERROR(__xludf.DUMMYFUNCTION("SPLIT(B4269,""RM"")"),500000.0)</f>
        <v>500000</v>
      </c>
      <c r="D4269" s="7">
        <v>3.0</v>
      </c>
      <c r="E4269" s="7">
        <v>3.0</v>
      </c>
      <c r="F4269" s="7">
        <v>2.0</v>
      </c>
      <c r="G4269" s="7" t="s">
        <v>83</v>
      </c>
      <c r="H4269" s="7" t="s">
        <v>126</v>
      </c>
      <c r="I4269" s="7" t="s">
        <v>27</v>
      </c>
    </row>
    <row r="4270">
      <c r="A4270" s="7" t="s">
        <v>28</v>
      </c>
      <c r="B4270" s="7" t="s">
        <v>563</v>
      </c>
      <c r="C4270" s="8">
        <f>IFERROR(__xludf.DUMMYFUNCTION("SPLIT(B4270,""RM"")"),600000.0)</f>
        <v>600000</v>
      </c>
      <c r="D4270" s="7">
        <v>3.0</v>
      </c>
      <c r="E4270" s="7">
        <v>2.0</v>
      </c>
      <c r="F4270" s="7">
        <v>2.0</v>
      </c>
      <c r="G4270" s="7" t="s">
        <v>30</v>
      </c>
      <c r="H4270" s="7" t="s">
        <v>734</v>
      </c>
      <c r="I4270" s="7" t="s">
        <v>27</v>
      </c>
    </row>
    <row r="4271">
      <c r="A4271" s="7" t="s">
        <v>104</v>
      </c>
      <c r="B4271" s="7" t="s">
        <v>361</v>
      </c>
      <c r="C4271" s="8">
        <f>IFERROR(__xludf.DUMMYFUNCTION("SPLIT(B4271,""RM"")"),530000.0)</f>
        <v>530000</v>
      </c>
      <c r="D4271" s="7">
        <v>3.0</v>
      </c>
      <c r="E4271" s="7">
        <v>2.0</v>
      </c>
      <c r="F4271" s="7">
        <v>1.0</v>
      </c>
      <c r="G4271" s="7" t="s">
        <v>93</v>
      </c>
      <c r="H4271" s="7" t="s">
        <v>1178</v>
      </c>
      <c r="I4271" s="7" t="s">
        <v>27</v>
      </c>
    </row>
    <row r="4272">
      <c r="A4272" s="7" t="s">
        <v>104</v>
      </c>
      <c r="B4272" s="7" t="s">
        <v>489</v>
      </c>
      <c r="C4272" s="8">
        <f>IFERROR(__xludf.DUMMYFUNCTION("SPLIT(B4272,""RM"")"),1230000.0)</f>
        <v>1230000</v>
      </c>
      <c r="D4272" s="7">
        <v>5.0</v>
      </c>
      <c r="E4272" s="7">
        <v>4.0</v>
      </c>
      <c r="G4272" s="7" t="s">
        <v>90</v>
      </c>
      <c r="H4272" s="7" t="s">
        <v>1458</v>
      </c>
      <c r="I4272" s="7" t="s">
        <v>27</v>
      </c>
    </row>
    <row r="4273">
      <c r="A4273" s="7" t="s">
        <v>104</v>
      </c>
      <c r="B4273" s="7" t="s">
        <v>1374</v>
      </c>
      <c r="C4273" s="8">
        <f>IFERROR(__xludf.DUMMYFUNCTION("SPLIT(B4273,""RM"")"),1360000.0)</f>
        <v>1360000</v>
      </c>
      <c r="D4273" s="7">
        <v>5.0</v>
      </c>
      <c r="E4273" s="7">
        <v>4.0</v>
      </c>
      <c r="G4273" s="7" t="s">
        <v>90</v>
      </c>
      <c r="H4273" s="7" t="s">
        <v>1458</v>
      </c>
      <c r="I4273" s="7" t="s">
        <v>27</v>
      </c>
    </row>
    <row r="4274">
      <c r="A4274" s="7" t="s">
        <v>72</v>
      </c>
      <c r="B4274" s="7" t="s">
        <v>69</v>
      </c>
      <c r="C4274" s="8">
        <f>IFERROR(__xludf.DUMMYFUNCTION("SPLIT(B4274,""RM"")"),4500000.0)</f>
        <v>4500000</v>
      </c>
      <c r="D4274" s="7">
        <v>6.0</v>
      </c>
      <c r="E4274" s="7">
        <v>5.0</v>
      </c>
      <c r="G4274" s="7" t="s">
        <v>64</v>
      </c>
      <c r="H4274" s="7" t="s">
        <v>2673</v>
      </c>
      <c r="I4274" s="7" t="s">
        <v>27</v>
      </c>
    </row>
    <row r="4275">
      <c r="A4275" s="7" t="s">
        <v>104</v>
      </c>
      <c r="B4275" s="7" t="s">
        <v>2674</v>
      </c>
      <c r="C4275" s="8">
        <f>IFERROR(__xludf.DUMMYFUNCTION("SPLIT(B4275,""RM"")"),448000.0)</f>
        <v>448000</v>
      </c>
      <c r="D4275" s="7">
        <v>3.0</v>
      </c>
      <c r="E4275" s="7">
        <v>2.0</v>
      </c>
      <c r="F4275" s="7">
        <v>1.0</v>
      </c>
      <c r="G4275" s="7" t="s">
        <v>50</v>
      </c>
      <c r="H4275" s="7" t="s">
        <v>1635</v>
      </c>
      <c r="I4275" s="7" t="s">
        <v>27</v>
      </c>
    </row>
    <row r="4276">
      <c r="A4276" s="7" t="s">
        <v>104</v>
      </c>
      <c r="B4276" s="7" t="s">
        <v>790</v>
      </c>
      <c r="C4276" s="8">
        <f>IFERROR(__xludf.DUMMYFUNCTION("SPLIT(B4276,""RM"")"),2680000.0)</f>
        <v>2680000</v>
      </c>
      <c r="D4276" s="7" t="s">
        <v>60</v>
      </c>
      <c r="E4276" s="7">
        <v>6.0</v>
      </c>
      <c r="G4276" s="7" t="s">
        <v>61</v>
      </c>
      <c r="H4276" s="7" t="s">
        <v>631</v>
      </c>
      <c r="I4276" s="7" t="s">
        <v>27</v>
      </c>
    </row>
    <row r="4277">
      <c r="A4277" s="7" t="s">
        <v>77</v>
      </c>
      <c r="B4277" s="7" t="s">
        <v>174</v>
      </c>
      <c r="C4277" s="8">
        <f>IFERROR(__xludf.DUMMYFUNCTION("SPLIT(B4277,""RM"")"),3000000.0)</f>
        <v>3000000</v>
      </c>
      <c r="D4277" s="7" t="s">
        <v>35</v>
      </c>
      <c r="E4277" s="7">
        <v>5.0</v>
      </c>
      <c r="G4277" s="7" t="s">
        <v>90</v>
      </c>
      <c r="H4277" s="7" t="s">
        <v>2675</v>
      </c>
      <c r="I4277" s="7" t="s">
        <v>27</v>
      </c>
    </row>
    <row r="4278">
      <c r="A4278" s="7" t="s">
        <v>262</v>
      </c>
      <c r="B4278" s="7" t="s">
        <v>1541</v>
      </c>
      <c r="C4278" s="8">
        <f>IFERROR(__xludf.DUMMYFUNCTION("SPLIT(B4278,""RM"")"),5878950.0)</f>
        <v>5878950</v>
      </c>
      <c r="G4278" s="7" t="s">
        <v>1642</v>
      </c>
      <c r="H4278" s="7" t="s">
        <v>1542</v>
      </c>
      <c r="I4278" s="7" t="s">
        <v>103</v>
      </c>
    </row>
    <row r="4279">
      <c r="A4279" s="7" t="s">
        <v>77</v>
      </c>
      <c r="B4279" s="7" t="s">
        <v>484</v>
      </c>
      <c r="C4279" s="8">
        <f>IFERROR(__xludf.DUMMYFUNCTION("SPLIT(B4279,""RM"")"),2950000.0)</f>
        <v>2950000</v>
      </c>
      <c r="D4279" s="7" t="s">
        <v>35</v>
      </c>
      <c r="E4279" s="7">
        <v>5.0</v>
      </c>
      <c r="F4279" s="7">
        <v>4.0</v>
      </c>
      <c r="G4279" s="7" t="s">
        <v>90</v>
      </c>
      <c r="H4279" s="7" t="s">
        <v>2676</v>
      </c>
      <c r="I4279" s="7" t="s">
        <v>27</v>
      </c>
    </row>
    <row r="4280">
      <c r="A4280" s="7" t="s">
        <v>104</v>
      </c>
      <c r="B4280" s="7" t="s">
        <v>2446</v>
      </c>
      <c r="C4280" s="8">
        <f>IFERROR(__xludf.DUMMYFUNCTION("SPLIT(B4280,""RM"")"),985000.0)</f>
        <v>985000</v>
      </c>
      <c r="D4280" s="7">
        <v>4.0</v>
      </c>
      <c r="E4280" s="7">
        <v>3.0</v>
      </c>
      <c r="G4280" s="7" t="s">
        <v>54</v>
      </c>
      <c r="H4280" s="7" t="s">
        <v>211</v>
      </c>
      <c r="I4280" s="7" t="s">
        <v>27</v>
      </c>
    </row>
    <row r="4281">
      <c r="A4281" s="7" t="s">
        <v>77</v>
      </c>
      <c r="B4281" s="7" t="s">
        <v>984</v>
      </c>
      <c r="C4281" s="8">
        <f>IFERROR(__xludf.DUMMYFUNCTION("SPLIT(B4281,""RM"")"),1120000.0)</f>
        <v>1120000</v>
      </c>
      <c r="D4281" s="7" t="s">
        <v>19</v>
      </c>
      <c r="E4281" s="7">
        <v>3.0</v>
      </c>
      <c r="F4281" s="7">
        <v>2.0</v>
      </c>
      <c r="G4281" s="7" t="s">
        <v>93</v>
      </c>
      <c r="H4281" s="7" t="s">
        <v>490</v>
      </c>
      <c r="I4281" s="7" t="s">
        <v>103</v>
      </c>
    </row>
    <row r="4282">
      <c r="A4282" s="7" t="s">
        <v>358</v>
      </c>
      <c r="B4282" s="7" t="s">
        <v>1328</v>
      </c>
      <c r="C4282" s="8">
        <f>IFERROR(__xludf.DUMMYFUNCTION("SPLIT(B4282,""RM"")"),650000.0)</f>
        <v>650000</v>
      </c>
      <c r="D4282" s="7">
        <v>3.0</v>
      </c>
      <c r="E4282" s="7">
        <v>2.0</v>
      </c>
      <c r="F4282" s="7">
        <v>2.0</v>
      </c>
      <c r="G4282" s="7" t="s">
        <v>93</v>
      </c>
      <c r="H4282" s="7" t="s">
        <v>345</v>
      </c>
      <c r="I4282" s="7" t="s">
        <v>27</v>
      </c>
    </row>
    <row r="4283">
      <c r="A4283" s="7" t="s">
        <v>1014</v>
      </c>
      <c r="B4283" s="7" t="s">
        <v>403</v>
      </c>
      <c r="C4283" s="8">
        <f>IFERROR(__xludf.DUMMYFUNCTION("SPLIT(B4283,""RM"")"),1600000.0)</f>
        <v>1600000</v>
      </c>
      <c r="D4283" s="7" t="s">
        <v>70</v>
      </c>
      <c r="E4283" s="7">
        <v>5.0</v>
      </c>
      <c r="G4283" s="7" t="s">
        <v>90</v>
      </c>
      <c r="H4283" s="7" t="s">
        <v>344</v>
      </c>
      <c r="I4283" s="7" t="s">
        <v>27</v>
      </c>
    </row>
    <row r="4284">
      <c r="A4284" s="7" t="s">
        <v>104</v>
      </c>
      <c r="B4284" s="7" t="s">
        <v>327</v>
      </c>
      <c r="C4284" s="8">
        <f>IFERROR(__xludf.DUMMYFUNCTION("SPLIT(B4284,""RM"")"),1300000.0)</f>
        <v>1300000</v>
      </c>
      <c r="D4284" s="7">
        <v>6.0</v>
      </c>
      <c r="E4284" s="7">
        <v>5.0</v>
      </c>
      <c r="G4284" s="7" t="s">
        <v>90</v>
      </c>
      <c r="H4284" s="7" t="s">
        <v>283</v>
      </c>
      <c r="I4284" s="7" t="s">
        <v>27</v>
      </c>
    </row>
    <row r="4285">
      <c r="A4285" s="7" t="s">
        <v>104</v>
      </c>
      <c r="B4285" s="7" t="s">
        <v>525</v>
      </c>
      <c r="C4285" s="8">
        <f>IFERROR(__xludf.DUMMYFUNCTION("SPLIT(B4285,""RM"")"),1090000.0)</f>
        <v>1090000</v>
      </c>
      <c r="D4285" s="7">
        <v>6.0</v>
      </c>
      <c r="E4285" s="7">
        <v>5.0</v>
      </c>
      <c r="G4285" s="7" t="s">
        <v>90</v>
      </c>
      <c r="H4285" s="7" t="s">
        <v>1119</v>
      </c>
      <c r="I4285" s="7" t="s">
        <v>27</v>
      </c>
    </row>
    <row r="4286">
      <c r="A4286" s="7" t="s">
        <v>104</v>
      </c>
      <c r="B4286" s="7" t="s">
        <v>206</v>
      </c>
      <c r="C4286" s="8">
        <f>IFERROR(__xludf.DUMMYFUNCTION("SPLIT(B4286,""RM"")"),920000.0)</f>
        <v>920000</v>
      </c>
      <c r="D4286" s="7">
        <v>4.0</v>
      </c>
      <c r="E4286" s="7">
        <v>3.0</v>
      </c>
      <c r="G4286" s="7" t="s">
        <v>54</v>
      </c>
      <c r="H4286" s="7" t="s">
        <v>1119</v>
      </c>
      <c r="I4286" s="7" t="s">
        <v>27</v>
      </c>
    </row>
    <row r="4287">
      <c r="A4287" s="7" t="s">
        <v>104</v>
      </c>
      <c r="B4287" s="7" t="s">
        <v>2677</v>
      </c>
      <c r="C4287" s="8">
        <f>IFERROR(__xludf.DUMMYFUNCTION("SPLIT(B4287,""RM"")"),958000.0)</f>
        <v>958000</v>
      </c>
      <c r="D4287" s="7">
        <v>4.0</v>
      </c>
      <c r="E4287" s="7">
        <v>3.0</v>
      </c>
      <c r="G4287" s="7" t="s">
        <v>54</v>
      </c>
      <c r="H4287" s="7" t="s">
        <v>1119</v>
      </c>
      <c r="I4287" s="7" t="s">
        <v>27</v>
      </c>
    </row>
    <row r="4288">
      <c r="A4288" s="7" t="s">
        <v>104</v>
      </c>
      <c r="B4288" s="7" t="s">
        <v>18</v>
      </c>
      <c r="C4288" s="8">
        <f>IFERROR(__xludf.DUMMYFUNCTION("SPLIT(B4288,""RM"")"),1250000.0)</f>
        <v>1250000</v>
      </c>
      <c r="D4288" s="7" t="s">
        <v>70</v>
      </c>
      <c r="E4288" s="7">
        <v>5.0</v>
      </c>
      <c r="G4288" s="7" t="s">
        <v>90</v>
      </c>
      <c r="H4288" s="7" t="s">
        <v>344</v>
      </c>
      <c r="I4288" s="7" t="s">
        <v>27</v>
      </c>
    </row>
    <row r="4289">
      <c r="A4289" s="7" t="s">
        <v>104</v>
      </c>
      <c r="B4289" s="7" t="s">
        <v>1432</v>
      </c>
      <c r="C4289" s="8">
        <f>IFERROR(__xludf.DUMMYFUNCTION("SPLIT(B4289,""RM"")"),1320000.0)</f>
        <v>1320000</v>
      </c>
      <c r="D4289" s="7">
        <v>4.0</v>
      </c>
      <c r="E4289" s="7">
        <v>4.0</v>
      </c>
      <c r="G4289" s="7" t="s">
        <v>54</v>
      </c>
      <c r="H4289" s="7" t="s">
        <v>211</v>
      </c>
      <c r="I4289" s="7" t="s">
        <v>27</v>
      </c>
    </row>
    <row r="4290">
      <c r="A4290" s="7" t="s">
        <v>104</v>
      </c>
      <c r="B4290" s="7" t="s">
        <v>635</v>
      </c>
      <c r="C4290" s="8">
        <f>IFERROR(__xludf.DUMMYFUNCTION("SPLIT(B4290,""RM"")"),720000.0)</f>
        <v>720000</v>
      </c>
      <c r="D4290" s="7">
        <v>4.0</v>
      </c>
      <c r="E4290" s="7">
        <v>3.0</v>
      </c>
      <c r="G4290" s="7" t="s">
        <v>54</v>
      </c>
      <c r="H4290" s="7" t="s">
        <v>211</v>
      </c>
      <c r="I4290" s="7" t="s">
        <v>27</v>
      </c>
    </row>
    <row r="4291">
      <c r="A4291" s="7" t="s">
        <v>104</v>
      </c>
      <c r="B4291" s="7" t="s">
        <v>45</v>
      </c>
      <c r="C4291" s="8">
        <f>IFERROR(__xludf.DUMMYFUNCTION("SPLIT(B4291,""RM"")"),1950000.0)</f>
        <v>1950000</v>
      </c>
      <c r="D4291" s="7" t="s">
        <v>70</v>
      </c>
      <c r="E4291" s="7">
        <v>6.0</v>
      </c>
      <c r="G4291" s="7" t="s">
        <v>64</v>
      </c>
      <c r="H4291" s="7" t="s">
        <v>2678</v>
      </c>
      <c r="I4291" s="7" t="s">
        <v>103</v>
      </c>
    </row>
    <row r="4292">
      <c r="A4292" s="7" t="s">
        <v>104</v>
      </c>
      <c r="B4292" s="7" t="s">
        <v>206</v>
      </c>
      <c r="C4292" s="8">
        <f>IFERROR(__xludf.DUMMYFUNCTION("SPLIT(B4292,""RM"")"),920000.0)</f>
        <v>920000</v>
      </c>
      <c r="D4292" s="7">
        <v>4.0</v>
      </c>
      <c r="E4292" s="7">
        <v>3.0</v>
      </c>
      <c r="G4292" s="7" t="s">
        <v>54</v>
      </c>
      <c r="H4292" s="7" t="s">
        <v>1119</v>
      </c>
      <c r="I4292" s="7" t="s">
        <v>27</v>
      </c>
    </row>
    <row r="4293">
      <c r="A4293" s="7" t="s">
        <v>580</v>
      </c>
      <c r="B4293" s="7" t="s">
        <v>168</v>
      </c>
      <c r="C4293" s="8">
        <f>IFERROR(__xludf.DUMMYFUNCTION("SPLIT(B4293,""RM"")"),750000.0)</f>
        <v>750000</v>
      </c>
      <c r="D4293" s="7">
        <v>4.0</v>
      </c>
      <c r="E4293" s="7">
        <v>2.0</v>
      </c>
      <c r="G4293" s="7" t="s">
        <v>93</v>
      </c>
      <c r="H4293" s="7" t="s">
        <v>2679</v>
      </c>
      <c r="I4293" s="7" t="s">
        <v>103</v>
      </c>
    </row>
    <row r="4294">
      <c r="A4294" s="7" t="s">
        <v>580</v>
      </c>
      <c r="B4294" s="7" t="s">
        <v>1328</v>
      </c>
      <c r="C4294" s="8">
        <f>IFERROR(__xludf.DUMMYFUNCTION("SPLIT(B4294,""RM"")"),650000.0)</f>
        <v>650000</v>
      </c>
      <c r="D4294" s="7" t="s">
        <v>57</v>
      </c>
      <c r="E4294" s="7">
        <v>3.0</v>
      </c>
      <c r="F4294" s="7">
        <v>1.0</v>
      </c>
      <c r="G4294" s="7" t="s">
        <v>93</v>
      </c>
      <c r="H4294" s="7" t="s">
        <v>2680</v>
      </c>
      <c r="I4294" s="7" t="s">
        <v>27</v>
      </c>
    </row>
    <row r="4295">
      <c r="A4295" s="7" t="s">
        <v>155</v>
      </c>
      <c r="B4295" s="7" t="s">
        <v>105</v>
      </c>
      <c r="C4295" s="8">
        <f>IFERROR(__xludf.DUMMYFUNCTION("SPLIT(B4295,""RM"")"),560000.0)</f>
        <v>560000</v>
      </c>
      <c r="D4295" s="7">
        <v>3.0</v>
      </c>
      <c r="E4295" s="7">
        <v>2.0</v>
      </c>
      <c r="F4295" s="7">
        <v>2.0</v>
      </c>
      <c r="G4295" s="7" t="s">
        <v>30</v>
      </c>
      <c r="H4295" s="7" t="s">
        <v>1003</v>
      </c>
      <c r="I4295" s="7" t="s">
        <v>27</v>
      </c>
    </row>
    <row r="4296">
      <c r="A4296" s="7" t="s">
        <v>109</v>
      </c>
      <c r="B4296" s="7" t="s">
        <v>603</v>
      </c>
      <c r="C4296" s="8">
        <f>IFERROR(__xludf.DUMMYFUNCTION("SPLIT(B4296,""RM"")"),628000.0)</f>
        <v>628000</v>
      </c>
      <c r="D4296" s="7">
        <v>3.0</v>
      </c>
      <c r="E4296" s="7">
        <v>2.0</v>
      </c>
      <c r="F4296" s="7">
        <v>1.0</v>
      </c>
      <c r="G4296" s="7" t="s">
        <v>503</v>
      </c>
      <c r="H4296" s="7" t="s">
        <v>2681</v>
      </c>
      <c r="I4296" s="7" t="s">
        <v>22</v>
      </c>
    </row>
    <row r="4297">
      <c r="A4297" s="7" t="s">
        <v>109</v>
      </c>
      <c r="B4297" s="7" t="s">
        <v>969</v>
      </c>
      <c r="C4297" s="8">
        <f>IFERROR(__xludf.DUMMYFUNCTION("SPLIT(B4297,""RM"")"),430000.0)</f>
        <v>430000</v>
      </c>
      <c r="D4297" s="7">
        <v>3.0</v>
      </c>
      <c r="E4297" s="7">
        <v>2.0</v>
      </c>
      <c r="F4297" s="7">
        <v>1.0</v>
      </c>
      <c r="G4297" s="7" t="s">
        <v>503</v>
      </c>
      <c r="H4297" s="7" t="s">
        <v>2682</v>
      </c>
      <c r="I4297" s="7" t="s">
        <v>22</v>
      </c>
    </row>
    <row r="4298">
      <c r="A4298" s="7" t="s">
        <v>358</v>
      </c>
      <c r="B4298" s="7" t="s">
        <v>1423</v>
      </c>
      <c r="C4298" s="8">
        <f>IFERROR(__xludf.DUMMYFUNCTION("SPLIT(B4298,""RM"")"),420000.0)</f>
        <v>420000</v>
      </c>
      <c r="D4298" s="7">
        <v>3.0</v>
      </c>
      <c r="E4298" s="7">
        <v>1.0</v>
      </c>
      <c r="F4298" s="7">
        <v>1.0</v>
      </c>
      <c r="G4298" s="7" t="s">
        <v>50</v>
      </c>
      <c r="H4298" s="7" t="s">
        <v>924</v>
      </c>
      <c r="I4298" s="7" t="s">
        <v>27</v>
      </c>
    </row>
    <row r="4299">
      <c r="A4299" s="7" t="s">
        <v>104</v>
      </c>
      <c r="B4299" s="7" t="s">
        <v>969</v>
      </c>
      <c r="C4299" s="8">
        <f>IFERROR(__xludf.DUMMYFUNCTION("SPLIT(B4299,""RM"")"),430000.0)</f>
        <v>430000</v>
      </c>
      <c r="D4299" s="7">
        <v>3.0</v>
      </c>
      <c r="E4299" s="7">
        <v>2.0</v>
      </c>
      <c r="F4299" s="7">
        <v>1.0</v>
      </c>
      <c r="G4299" s="7" t="s">
        <v>93</v>
      </c>
      <c r="H4299" s="7" t="s">
        <v>604</v>
      </c>
      <c r="I4299" s="7" t="s">
        <v>27</v>
      </c>
    </row>
    <row r="4300">
      <c r="A4300" s="7" t="s">
        <v>104</v>
      </c>
      <c r="B4300" s="7" t="s">
        <v>309</v>
      </c>
      <c r="C4300" s="8">
        <f>IFERROR(__xludf.DUMMYFUNCTION("SPLIT(B4300,""RM"")"),2100000.0)</f>
        <v>2100000</v>
      </c>
      <c r="D4300" s="7" t="s">
        <v>70</v>
      </c>
      <c r="E4300" s="7">
        <v>6.0</v>
      </c>
      <c r="G4300" s="7" t="s">
        <v>64</v>
      </c>
      <c r="H4300" s="7" t="s">
        <v>912</v>
      </c>
      <c r="I4300" s="7" t="s">
        <v>103</v>
      </c>
    </row>
    <row r="4301">
      <c r="A4301" s="7" t="s">
        <v>104</v>
      </c>
      <c r="B4301" s="7" t="s">
        <v>277</v>
      </c>
      <c r="C4301" s="8">
        <f>IFERROR(__xludf.DUMMYFUNCTION("SPLIT(B4301,""RM"")"),2200000.0)</f>
        <v>2200000</v>
      </c>
      <c r="D4301" s="7" t="s">
        <v>70</v>
      </c>
      <c r="E4301" s="7">
        <v>6.0</v>
      </c>
      <c r="G4301" s="7" t="s">
        <v>64</v>
      </c>
      <c r="H4301" s="7" t="s">
        <v>2683</v>
      </c>
      <c r="I4301" s="7" t="s">
        <v>103</v>
      </c>
    </row>
    <row r="4302">
      <c r="A4302" s="7" t="s">
        <v>104</v>
      </c>
      <c r="B4302" s="7" t="s">
        <v>236</v>
      </c>
      <c r="C4302" s="8">
        <f>IFERROR(__xludf.DUMMYFUNCTION("SPLIT(B4302,""RM"")"),2000000.0)</f>
        <v>2000000</v>
      </c>
      <c r="D4302" s="7">
        <v>6.0</v>
      </c>
      <c r="E4302" s="7">
        <v>5.0</v>
      </c>
      <c r="G4302" s="7" t="s">
        <v>487</v>
      </c>
      <c r="H4302" s="7" t="s">
        <v>2684</v>
      </c>
      <c r="I4302" s="7" t="s">
        <v>103</v>
      </c>
    </row>
    <row r="4303">
      <c r="A4303" s="7" t="s">
        <v>104</v>
      </c>
      <c r="B4303" s="7" t="s">
        <v>144</v>
      </c>
      <c r="C4303" s="8">
        <f>IFERROR(__xludf.DUMMYFUNCTION("SPLIT(B4303,""RM"")"),1800000.0)</f>
        <v>1800000</v>
      </c>
      <c r="D4303" s="7">
        <v>4.0</v>
      </c>
      <c r="E4303" s="7">
        <v>3.0</v>
      </c>
      <c r="G4303" s="7" t="s">
        <v>184</v>
      </c>
      <c r="H4303" s="7" t="s">
        <v>2147</v>
      </c>
      <c r="I4303" s="7" t="s">
        <v>27</v>
      </c>
    </row>
    <row r="4304">
      <c r="A4304" s="7" t="s">
        <v>104</v>
      </c>
      <c r="B4304" s="7" t="s">
        <v>78</v>
      </c>
      <c r="C4304" s="8">
        <f>IFERROR(__xludf.DUMMYFUNCTION("SPLIT(B4304,""RM"")"),1500000.0)</f>
        <v>1500000</v>
      </c>
      <c r="D4304" s="7">
        <v>4.0</v>
      </c>
      <c r="E4304" s="7">
        <v>3.0</v>
      </c>
      <c r="G4304" s="7" t="s">
        <v>184</v>
      </c>
      <c r="H4304" s="7" t="s">
        <v>1769</v>
      </c>
      <c r="I4304" s="7" t="s">
        <v>27</v>
      </c>
    </row>
    <row r="4305">
      <c r="A4305" s="7" t="s">
        <v>104</v>
      </c>
      <c r="B4305" s="7" t="s">
        <v>963</v>
      </c>
      <c r="C4305" s="8">
        <f>IFERROR(__xludf.DUMMYFUNCTION("SPLIT(B4305,""RM"")"),848000.0)</f>
        <v>848000</v>
      </c>
      <c r="D4305" s="7">
        <v>4.0</v>
      </c>
      <c r="E4305" s="7">
        <v>3.0</v>
      </c>
      <c r="G4305" s="7" t="s">
        <v>54</v>
      </c>
      <c r="H4305" s="7" t="s">
        <v>1119</v>
      </c>
      <c r="I4305" s="7" t="s">
        <v>27</v>
      </c>
    </row>
    <row r="4306">
      <c r="A4306" s="7" t="s">
        <v>432</v>
      </c>
      <c r="B4306" s="7" t="s">
        <v>127</v>
      </c>
      <c r="C4306" s="8">
        <f>IFERROR(__xludf.DUMMYFUNCTION("SPLIT(B4306,""RM"")"),4200000.0)</f>
        <v>4200000</v>
      </c>
      <c r="G4306" s="7" t="s">
        <v>1642</v>
      </c>
      <c r="H4306" s="7" t="s">
        <v>2685</v>
      </c>
      <c r="I4306" s="7" t="s">
        <v>103</v>
      </c>
    </row>
    <row r="4307">
      <c r="A4307" s="7" t="s">
        <v>104</v>
      </c>
      <c r="B4307" s="7" t="s">
        <v>1213</v>
      </c>
      <c r="C4307" s="8">
        <f>IFERROR(__xludf.DUMMYFUNCTION("SPLIT(B4307,""RM"")"),388000.0)</f>
        <v>388000</v>
      </c>
      <c r="D4307" s="7">
        <v>3.0</v>
      </c>
      <c r="E4307" s="7">
        <v>2.0</v>
      </c>
      <c r="F4307" s="7">
        <v>1.0</v>
      </c>
      <c r="G4307" s="7" t="s">
        <v>50</v>
      </c>
      <c r="H4307" s="7" t="s">
        <v>1635</v>
      </c>
      <c r="I4307" s="7" t="s">
        <v>27</v>
      </c>
    </row>
    <row r="4308">
      <c r="A4308" s="7" t="s">
        <v>155</v>
      </c>
      <c r="B4308" s="7" t="s">
        <v>1659</v>
      </c>
      <c r="C4308" s="8">
        <f>IFERROR(__xludf.DUMMYFUNCTION("SPLIT(B4308,""RM"")"),540000.0)</f>
        <v>540000</v>
      </c>
      <c r="D4308" s="7" t="s">
        <v>57</v>
      </c>
      <c r="E4308" s="7">
        <v>3.0</v>
      </c>
      <c r="F4308" s="7">
        <v>1.0</v>
      </c>
      <c r="G4308" s="7" t="s">
        <v>30</v>
      </c>
      <c r="H4308" s="7" t="s">
        <v>690</v>
      </c>
      <c r="I4308" s="7" t="s">
        <v>27</v>
      </c>
    </row>
    <row r="4309">
      <c r="A4309" s="7" t="s">
        <v>580</v>
      </c>
      <c r="B4309" s="7" t="s">
        <v>599</v>
      </c>
      <c r="C4309" s="8">
        <f>IFERROR(__xludf.DUMMYFUNCTION("SPLIT(B4309,""RM"")"),950000.0)</f>
        <v>950000</v>
      </c>
      <c r="D4309" s="7">
        <v>4.0</v>
      </c>
      <c r="E4309" s="7">
        <v>3.0</v>
      </c>
      <c r="F4309" s="7">
        <v>2.0</v>
      </c>
      <c r="G4309" s="7" t="s">
        <v>30</v>
      </c>
      <c r="H4309" s="7" t="s">
        <v>2686</v>
      </c>
      <c r="I4309" s="7" t="s">
        <v>27</v>
      </c>
    </row>
    <row r="4310">
      <c r="A4310" s="7" t="s">
        <v>580</v>
      </c>
      <c r="B4310" s="7" t="s">
        <v>1957</v>
      </c>
      <c r="C4310" s="8">
        <f>IFERROR(__xludf.DUMMYFUNCTION("SPLIT(B4310,""RM"")"),769000.0)</f>
        <v>769000</v>
      </c>
      <c r="D4310" s="7" t="s">
        <v>57</v>
      </c>
      <c r="E4310" s="7">
        <v>3.0</v>
      </c>
      <c r="F4310" s="7">
        <v>2.0</v>
      </c>
      <c r="G4310" s="7" t="s">
        <v>93</v>
      </c>
      <c r="H4310" s="7" t="s">
        <v>2680</v>
      </c>
      <c r="I4310" s="7" t="s">
        <v>22</v>
      </c>
    </row>
    <row r="4311">
      <c r="A4311" s="7" t="s">
        <v>580</v>
      </c>
      <c r="B4311" s="7" t="s">
        <v>2346</v>
      </c>
      <c r="C4311" s="8">
        <f>IFERROR(__xludf.DUMMYFUNCTION("SPLIT(B4311,""RM"")"),698000.0)</f>
        <v>698000</v>
      </c>
      <c r="D4311" s="7">
        <v>4.0</v>
      </c>
      <c r="E4311" s="7">
        <v>3.0</v>
      </c>
      <c r="G4311" s="7" t="s">
        <v>93</v>
      </c>
      <c r="H4311" s="7" t="s">
        <v>2680</v>
      </c>
      <c r="I4311" s="7" t="s">
        <v>22</v>
      </c>
    </row>
    <row r="4312">
      <c r="A4312" s="7" t="s">
        <v>155</v>
      </c>
      <c r="B4312" s="7" t="s">
        <v>268</v>
      </c>
      <c r="C4312" s="8">
        <f>IFERROR(__xludf.DUMMYFUNCTION("SPLIT(B4312,""RM"")"),500000.0)</f>
        <v>500000</v>
      </c>
      <c r="D4312" s="7">
        <v>3.0</v>
      </c>
      <c r="E4312" s="7">
        <v>2.0</v>
      </c>
      <c r="F4312" s="7">
        <v>1.0</v>
      </c>
      <c r="G4312" s="7" t="s">
        <v>93</v>
      </c>
      <c r="H4312" s="7" t="s">
        <v>1630</v>
      </c>
      <c r="I4312" s="7" t="s">
        <v>27</v>
      </c>
    </row>
    <row r="4313">
      <c r="A4313" s="7" t="s">
        <v>109</v>
      </c>
      <c r="B4313" s="7" t="s">
        <v>2184</v>
      </c>
      <c r="C4313" s="8">
        <f>IFERROR(__xludf.DUMMYFUNCTION("SPLIT(B4313,""RM"")"),340000.0)</f>
        <v>340000</v>
      </c>
      <c r="D4313" s="7">
        <v>3.0</v>
      </c>
      <c r="E4313" s="7">
        <v>2.0</v>
      </c>
      <c r="F4313" s="7">
        <v>1.0</v>
      </c>
      <c r="G4313" s="7" t="s">
        <v>50</v>
      </c>
      <c r="H4313" s="7" t="s">
        <v>491</v>
      </c>
      <c r="I4313" s="7" t="s">
        <v>103</v>
      </c>
    </row>
    <row r="4314">
      <c r="A4314" s="7" t="s">
        <v>1014</v>
      </c>
      <c r="B4314" s="7" t="s">
        <v>281</v>
      </c>
      <c r="C4314" s="8">
        <f>IFERROR(__xludf.DUMMYFUNCTION("SPLIT(B4314,""RM"")"),2500000.0)</f>
        <v>2500000</v>
      </c>
      <c r="G4314" s="7" t="s">
        <v>1642</v>
      </c>
      <c r="H4314" s="7" t="s">
        <v>2687</v>
      </c>
      <c r="I4314" s="7" t="s">
        <v>103</v>
      </c>
    </row>
    <row r="4315">
      <c r="A4315" s="7" t="s">
        <v>104</v>
      </c>
      <c r="B4315" s="7" t="s">
        <v>510</v>
      </c>
      <c r="C4315" s="8">
        <f>IFERROR(__xludf.DUMMYFUNCTION("SPLIT(B4315,""RM"")"),380000.0)</f>
        <v>380000</v>
      </c>
      <c r="D4315" s="7" t="s">
        <v>19</v>
      </c>
      <c r="E4315" s="7">
        <v>2.0</v>
      </c>
      <c r="F4315" s="7">
        <v>1.0</v>
      </c>
      <c r="G4315" s="7" t="s">
        <v>50</v>
      </c>
      <c r="H4315" s="7" t="s">
        <v>2353</v>
      </c>
      <c r="I4315" s="7" t="s">
        <v>103</v>
      </c>
    </row>
    <row r="4316">
      <c r="A4316" s="7" t="s">
        <v>262</v>
      </c>
      <c r="B4316" s="7" t="s">
        <v>2688</v>
      </c>
      <c r="C4316" s="8">
        <f>IFERROR(__xludf.DUMMYFUNCTION("SPLIT(B4316,""RM"")"),6331050.0)</f>
        <v>6331050</v>
      </c>
      <c r="G4316" s="7" t="s">
        <v>2689</v>
      </c>
      <c r="H4316" s="7" t="s">
        <v>2690</v>
      </c>
      <c r="I4316" s="7" t="s">
        <v>103</v>
      </c>
    </row>
    <row r="4317">
      <c r="A4317" s="7" t="s">
        <v>262</v>
      </c>
      <c r="B4317" s="7" t="s">
        <v>42</v>
      </c>
      <c r="C4317" s="8">
        <f>IFERROR(__xludf.DUMMYFUNCTION("SPLIT(B4317,""RM"")"),2600000.0)</f>
        <v>2600000</v>
      </c>
      <c r="G4317" s="7" t="s">
        <v>2689</v>
      </c>
      <c r="H4317" s="7" t="s">
        <v>2691</v>
      </c>
      <c r="I4317" s="7" t="s">
        <v>103</v>
      </c>
    </row>
    <row r="4318">
      <c r="A4318" s="7" t="s">
        <v>72</v>
      </c>
      <c r="B4318" s="7" t="s">
        <v>98</v>
      </c>
      <c r="C4318" s="8">
        <f>IFERROR(__xludf.DUMMYFUNCTION("SPLIT(B4318,""RM"")"),1830000.0)</f>
        <v>1830000</v>
      </c>
      <c r="D4318" s="7" t="s">
        <v>79</v>
      </c>
      <c r="E4318" s="7">
        <v>4.0</v>
      </c>
      <c r="F4318" s="7">
        <v>3.0</v>
      </c>
      <c r="G4318" s="7" t="s">
        <v>30</v>
      </c>
      <c r="H4318" s="7" t="s">
        <v>555</v>
      </c>
      <c r="I4318" s="7" t="s">
        <v>27</v>
      </c>
    </row>
    <row r="4319">
      <c r="A4319" s="7" t="s">
        <v>72</v>
      </c>
      <c r="B4319" s="7" t="s">
        <v>165</v>
      </c>
      <c r="C4319" s="8">
        <f>IFERROR(__xludf.DUMMYFUNCTION("SPLIT(B4319,""RM"")"),3500000.0)</f>
        <v>3500000</v>
      </c>
      <c r="D4319" s="7">
        <v>6.0</v>
      </c>
      <c r="E4319" s="7">
        <v>7.0</v>
      </c>
      <c r="F4319" s="7">
        <v>4.0</v>
      </c>
      <c r="G4319" s="7" t="s">
        <v>64</v>
      </c>
      <c r="H4319" s="7" t="s">
        <v>2692</v>
      </c>
      <c r="I4319" s="7" t="s">
        <v>27</v>
      </c>
    </row>
    <row r="4320">
      <c r="A4320" s="7" t="s">
        <v>171</v>
      </c>
      <c r="B4320" s="7" t="s">
        <v>327</v>
      </c>
      <c r="C4320" s="8">
        <f>IFERROR(__xludf.DUMMYFUNCTION("SPLIT(B4320,""RM"")"),1300000.0)</f>
        <v>1300000</v>
      </c>
      <c r="D4320" s="7" t="s">
        <v>35</v>
      </c>
      <c r="E4320" s="7">
        <v>4.0</v>
      </c>
      <c r="G4320" s="7" t="s">
        <v>64</v>
      </c>
      <c r="H4320" s="7" t="s">
        <v>912</v>
      </c>
      <c r="I4320" s="7" t="s">
        <v>103</v>
      </c>
    </row>
    <row r="4321">
      <c r="A4321" s="7" t="s">
        <v>104</v>
      </c>
      <c r="B4321" s="7" t="s">
        <v>610</v>
      </c>
      <c r="C4321" s="8">
        <f>IFERROR(__xludf.DUMMYFUNCTION("SPLIT(B4321,""RM"")"),2250000.0)</f>
        <v>2250000</v>
      </c>
      <c r="D4321" s="7">
        <v>5.0</v>
      </c>
      <c r="E4321" s="7">
        <v>4.0</v>
      </c>
      <c r="G4321" s="7" t="s">
        <v>64</v>
      </c>
      <c r="H4321" s="7" t="s">
        <v>1508</v>
      </c>
      <c r="I4321" s="7" t="s">
        <v>27</v>
      </c>
    </row>
    <row r="4322">
      <c r="A4322" s="7" t="s">
        <v>358</v>
      </c>
      <c r="B4322" s="7" t="s">
        <v>120</v>
      </c>
      <c r="C4322" s="8">
        <f>IFERROR(__xludf.DUMMYFUNCTION("SPLIT(B4322,""RM"")"),3600000.0)</f>
        <v>3600000</v>
      </c>
      <c r="D4322" s="7">
        <v>7.0</v>
      </c>
      <c r="E4322" s="7">
        <v>7.0</v>
      </c>
      <c r="G4322" s="7" t="s">
        <v>61</v>
      </c>
      <c r="H4322" s="7" t="s">
        <v>2693</v>
      </c>
      <c r="I4322" s="7" t="s">
        <v>103</v>
      </c>
    </row>
    <row r="4323">
      <c r="A4323" s="7" t="s">
        <v>358</v>
      </c>
      <c r="B4323" s="7" t="s">
        <v>351</v>
      </c>
      <c r="C4323" s="8">
        <f>IFERROR(__xludf.DUMMYFUNCTION("SPLIT(B4323,""RM"")"),3800000.0)</f>
        <v>3800000</v>
      </c>
      <c r="D4323" s="7" t="s">
        <v>60</v>
      </c>
      <c r="E4323" s="7">
        <v>7.0</v>
      </c>
      <c r="F4323" s="7">
        <v>8.0</v>
      </c>
      <c r="G4323" s="7" t="s">
        <v>61</v>
      </c>
      <c r="H4323" s="7" t="s">
        <v>2694</v>
      </c>
      <c r="I4323" s="7" t="s">
        <v>103</v>
      </c>
    </row>
    <row r="4324">
      <c r="A4324" s="7" t="s">
        <v>72</v>
      </c>
      <c r="B4324" s="7" t="s">
        <v>899</v>
      </c>
      <c r="C4324" s="8">
        <f>IFERROR(__xludf.DUMMYFUNCTION("SPLIT(B4324,""RM"")"),1160000.0)</f>
        <v>1160000</v>
      </c>
      <c r="D4324" s="7" t="s">
        <v>57</v>
      </c>
      <c r="G4324" s="7" t="s">
        <v>83</v>
      </c>
      <c r="H4324" s="7" t="s">
        <v>334</v>
      </c>
    </row>
    <row r="4325">
      <c r="A4325" s="7" t="s">
        <v>72</v>
      </c>
      <c r="B4325" s="7" t="s">
        <v>168</v>
      </c>
      <c r="C4325" s="8">
        <f>IFERROR(__xludf.DUMMYFUNCTION("SPLIT(B4325,""RM"")"),750000.0)</f>
        <v>750000</v>
      </c>
      <c r="D4325" s="7">
        <v>3.0</v>
      </c>
      <c r="E4325" s="7">
        <v>2.0</v>
      </c>
      <c r="F4325" s="7">
        <v>2.0</v>
      </c>
      <c r="G4325" s="7" t="s">
        <v>20</v>
      </c>
      <c r="H4325" s="7" t="s">
        <v>2148</v>
      </c>
      <c r="I4325" s="7" t="s">
        <v>22</v>
      </c>
    </row>
    <row r="4326">
      <c r="A4326" s="7" t="s">
        <v>72</v>
      </c>
      <c r="B4326" s="7" t="s">
        <v>144</v>
      </c>
      <c r="C4326" s="8">
        <f>IFERROR(__xludf.DUMMYFUNCTION("SPLIT(B4326,""RM"")"),1800000.0)</f>
        <v>1800000</v>
      </c>
      <c r="D4326" s="7" t="s">
        <v>57</v>
      </c>
      <c r="E4326" s="7">
        <v>4.0</v>
      </c>
      <c r="F4326" s="7">
        <v>2.0</v>
      </c>
      <c r="G4326" s="7" t="s">
        <v>83</v>
      </c>
      <c r="H4326" s="7" t="s">
        <v>119</v>
      </c>
    </row>
    <row r="4327">
      <c r="A4327" s="7" t="s">
        <v>77</v>
      </c>
      <c r="B4327" s="7" t="s">
        <v>165</v>
      </c>
      <c r="C4327" s="8">
        <f>IFERROR(__xludf.DUMMYFUNCTION("SPLIT(B4327,""RM"")"),3500000.0)</f>
        <v>3500000</v>
      </c>
      <c r="D4327" s="7" t="s">
        <v>60</v>
      </c>
      <c r="E4327" s="7">
        <v>6.0</v>
      </c>
      <c r="F4327" s="7">
        <v>4.0</v>
      </c>
      <c r="G4327" s="7" t="s">
        <v>64</v>
      </c>
      <c r="H4327" s="7" t="s">
        <v>912</v>
      </c>
      <c r="I4327" s="7" t="s">
        <v>27</v>
      </c>
    </row>
    <row r="4328">
      <c r="A4328" s="7" t="s">
        <v>77</v>
      </c>
      <c r="B4328" s="7" t="s">
        <v>239</v>
      </c>
      <c r="C4328" s="8">
        <f>IFERROR(__xludf.DUMMYFUNCTION("SPLIT(B4328,""RM"")"),1280000.0)</f>
        <v>1280000</v>
      </c>
      <c r="D4328" s="7" t="s">
        <v>57</v>
      </c>
      <c r="E4328" s="7">
        <v>2.0</v>
      </c>
      <c r="F4328" s="7">
        <v>2.0</v>
      </c>
      <c r="G4328" s="7" t="s">
        <v>30</v>
      </c>
      <c r="H4328" s="7" t="s">
        <v>1025</v>
      </c>
      <c r="I4328" s="7" t="s">
        <v>27</v>
      </c>
    </row>
    <row r="4329">
      <c r="A4329" s="7" t="s">
        <v>72</v>
      </c>
      <c r="B4329" s="7" t="s">
        <v>236</v>
      </c>
      <c r="C4329" s="8">
        <f>IFERROR(__xludf.DUMMYFUNCTION("SPLIT(B4329,""RM"")"),2000000.0)</f>
        <v>2000000</v>
      </c>
      <c r="D4329" s="7" t="s">
        <v>57</v>
      </c>
      <c r="G4329" s="7" t="s">
        <v>83</v>
      </c>
      <c r="H4329" s="7" t="s">
        <v>561</v>
      </c>
      <c r="I4329" s="7" t="s">
        <v>22</v>
      </c>
    </row>
    <row r="4330">
      <c r="A4330" s="7" t="s">
        <v>28</v>
      </c>
      <c r="B4330" s="7" t="s">
        <v>134</v>
      </c>
      <c r="C4330" s="8">
        <f>IFERROR(__xludf.DUMMYFUNCTION("SPLIT(B4330,""RM"")"),1150000.0)</f>
        <v>1150000</v>
      </c>
      <c r="D4330" s="7">
        <v>2.0</v>
      </c>
      <c r="E4330" s="7">
        <v>2.0</v>
      </c>
      <c r="F4330" s="7">
        <v>1.0</v>
      </c>
      <c r="G4330" s="7" t="s">
        <v>82</v>
      </c>
      <c r="H4330" s="7" t="s">
        <v>1847</v>
      </c>
      <c r="I4330" s="7" t="s">
        <v>22</v>
      </c>
    </row>
    <row r="4331">
      <c r="A4331" s="7" t="s">
        <v>28</v>
      </c>
      <c r="B4331" s="7" t="s">
        <v>327</v>
      </c>
      <c r="C4331" s="8">
        <f>IFERROR(__xludf.DUMMYFUNCTION("SPLIT(B4331,""RM"")"),1300000.0)</f>
        <v>1300000</v>
      </c>
      <c r="D4331" s="7">
        <v>3.0</v>
      </c>
      <c r="E4331" s="7">
        <v>2.0</v>
      </c>
      <c r="F4331" s="7">
        <v>1.0</v>
      </c>
      <c r="G4331" s="7" t="s">
        <v>82</v>
      </c>
      <c r="H4331" s="7" t="s">
        <v>1555</v>
      </c>
      <c r="I4331" s="7" t="s">
        <v>22</v>
      </c>
    </row>
    <row r="4332">
      <c r="A4332" s="7" t="s">
        <v>28</v>
      </c>
      <c r="B4332" s="7" t="s">
        <v>327</v>
      </c>
      <c r="C4332" s="8">
        <f>IFERROR(__xludf.DUMMYFUNCTION("SPLIT(B4332,""RM"")"),1300000.0)</f>
        <v>1300000</v>
      </c>
      <c r="D4332" s="7">
        <v>2.0</v>
      </c>
      <c r="E4332" s="7">
        <v>2.0</v>
      </c>
      <c r="F4332" s="7">
        <v>1.0</v>
      </c>
      <c r="G4332" s="7" t="s">
        <v>82</v>
      </c>
      <c r="H4332" s="7" t="s">
        <v>937</v>
      </c>
      <c r="I4332" s="7" t="s">
        <v>22</v>
      </c>
    </row>
    <row r="4333">
      <c r="A4333" s="7" t="s">
        <v>171</v>
      </c>
      <c r="B4333" s="7" t="s">
        <v>1140</v>
      </c>
      <c r="C4333" s="8">
        <f>IFERROR(__xludf.DUMMYFUNCTION("SPLIT(B4333,""RM"")"),330000.0)</f>
        <v>330000</v>
      </c>
      <c r="D4333" s="7">
        <v>3.0</v>
      </c>
      <c r="E4333" s="7">
        <v>2.0</v>
      </c>
      <c r="F4333" s="7">
        <v>1.0</v>
      </c>
      <c r="G4333" s="7" t="s">
        <v>83</v>
      </c>
      <c r="I4333" s="7" t="s">
        <v>27</v>
      </c>
    </row>
    <row r="4334">
      <c r="A4334" s="7" t="s">
        <v>28</v>
      </c>
      <c r="B4334" s="7" t="s">
        <v>78</v>
      </c>
      <c r="C4334" s="8">
        <f>IFERROR(__xludf.DUMMYFUNCTION("SPLIT(B4334,""RM"")"),1500000.0)</f>
        <v>1500000</v>
      </c>
      <c r="D4334" s="7">
        <v>2.0</v>
      </c>
      <c r="E4334" s="7">
        <v>2.0</v>
      </c>
      <c r="F4334" s="7">
        <v>1.0</v>
      </c>
      <c r="G4334" s="7" t="s">
        <v>121</v>
      </c>
      <c r="H4334" s="7" t="s">
        <v>94</v>
      </c>
      <c r="I4334" s="7" t="s">
        <v>22</v>
      </c>
    </row>
    <row r="4335">
      <c r="A4335" s="7" t="s">
        <v>371</v>
      </c>
      <c r="B4335" s="7" t="s">
        <v>349</v>
      </c>
      <c r="C4335" s="8">
        <f>IFERROR(__xludf.DUMMYFUNCTION("SPLIT(B4335,""RM"")"),1400000.0)</f>
        <v>1400000</v>
      </c>
      <c r="D4335" s="7">
        <v>7.0</v>
      </c>
      <c r="E4335" s="7">
        <v>4.0</v>
      </c>
      <c r="F4335" s="7">
        <v>2.0</v>
      </c>
      <c r="G4335" s="7" t="s">
        <v>562</v>
      </c>
      <c r="H4335" s="7" t="s">
        <v>727</v>
      </c>
      <c r="I4335" s="7" t="s">
        <v>27</v>
      </c>
    </row>
    <row r="4336">
      <c r="A4336" s="7" t="s">
        <v>164</v>
      </c>
      <c r="B4336" s="7" t="s">
        <v>243</v>
      </c>
      <c r="C4336" s="8">
        <f>IFERROR(__xludf.DUMMYFUNCTION("SPLIT(B4336,""RM"")"),1350000.0)</f>
        <v>1350000</v>
      </c>
      <c r="D4336" s="7" t="s">
        <v>19</v>
      </c>
      <c r="E4336" s="7">
        <v>2.0</v>
      </c>
      <c r="G4336" s="7" t="s">
        <v>83</v>
      </c>
      <c r="H4336" s="7" t="s">
        <v>2244</v>
      </c>
    </row>
    <row r="4337">
      <c r="A4337" s="7" t="s">
        <v>32</v>
      </c>
      <c r="B4337" s="7" t="s">
        <v>2106</v>
      </c>
      <c r="C4337" s="8">
        <f>IFERROR(__xludf.DUMMYFUNCTION("SPLIT(B4337,""RM"")"),538000.0)</f>
        <v>538000</v>
      </c>
      <c r="D4337" s="7">
        <v>2.0</v>
      </c>
      <c r="E4337" s="7">
        <v>2.0</v>
      </c>
      <c r="F4337" s="7">
        <v>2.0</v>
      </c>
      <c r="G4337" s="7" t="s">
        <v>82</v>
      </c>
      <c r="H4337" s="7" t="s">
        <v>187</v>
      </c>
      <c r="I4337" s="7" t="s">
        <v>27</v>
      </c>
    </row>
    <row r="4338">
      <c r="A4338" s="7" t="s">
        <v>1315</v>
      </c>
      <c r="B4338" s="7" t="s">
        <v>268</v>
      </c>
      <c r="C4338" s="8">
        <f>IFERROR(__xludf.DUMMYFUNCTION("SPLIT(B4338,""RM"")"),500000.0)</f>
        <v>500000</v>
      </c>
      <c r="D4338" s="7">
        <v>3.0</v>
      </c>
      <c r="E4338" s="7">
        <v>2.0</v>
      </c>
      <c r="G4338" s="7" t="s">
        <v>93</v>
      </c>
      <c r="H4338" s="7" t="s">
        <v>1156</v>
      </c>
      <c r="I4338" s="7" t="s">
        <v>27</v>
      </c>
    </row>
    <row r="4339">
      <c r="A4339" s="7" t="s">
        <v>17</v>
      </c>
      <c r="B4339" s="7" t="s">
        <v>362</v>
      </c>
      <c r="C4339" s="8">
        <f>IFERROR(__xludf.DUMMYFUNCTION("SPLIT(B4339,""RM"")"),5070000.0)</f>
        <v>5070000</v>
      </c>
      <c r="D4339" s="7">
        <v>3.0</v>
      </c>
      <c r="E4339" s="7">
        <v>4.0</v>
      </c>
      <c r="F4339" s="7">
        <v>3.0</v>
      </c>
      <c r="G4339" s="7" t="s">
        <v>20</v>
      </c>
      <c r="H4339" s="7" t="s">
        <v>363</v>
      </c>
      <c r="I4339" s="7" t="s">
        <v>27</v>
      </c>
    </row>
    <row r="4340">
      <c r="A4340" s="7" t="s">
        <v>41</v>
      </c>
      <c r="B4340" s="7" t="s">
        <v>1287</v>
      </c>
      <c r="C4340" s="8">
        <f>IFERROR(__xludf.DUMMYFUNCTION("SPLIT(B4340,""RM"")"),3190000.0)</f>
        <v>3190000</v>
      </c>
      <c r="D4340" s="7" t="s">
        <v>35</v>
      </c>
      <c r="E4340" s="7">
        <v>5.0</v>
      </c>
      <c r="F4340" s="7">
        <v>2.0</v>
      </c>
      <c r="G4340" s="7" t="s">
        <v>64</v>
      </c>
      <c r="H4340" s="7" t="s">
        <v>1628</v>
      </c>
      <c r="I4340" s="7" t="s">
        <v>27</v>
      </c>
    </row>
    <row r="4341">
      <c r="A4341" s="7" t="s">
        <v>100</v>
      </c>
      <c r="B4341" s="7" t="s">
        <v>229</v>
      </c>
      <c r="C4341" s="8">
        <f>IFERROR(__xludf.DUMMYFUNCTION("SPLIT(B4341,""RM"")"),1050000.0)</f>
        <v>1050000</v>
      </c>
      <c r="D4341" s="7" t="s">
        <v>19</v>
      </c>
      <c r="E4341" s="7">
        <v>3.0</v>
      </c>
      <c r="G4341" s="7" t="s">
        <v>93</v>
      </c>
      <c r="H4341" s="7" t="s">
        <v>31</v>
      </c>
      <c r="I4341" s="7" t="s">
        <v>103</v>
      </c>
    </row>
    <row r="4342">
      <c r="A4342" s="7" t="s">
        <v>368</v>
      </c>
      <c r="B4342" s="7" t="s">
        <v>890</v>
      </c>
      <c r="C4342" s="8">
        <f>IFERROR(__xludf.DUMMYFUNCTION("SPLIT(B4342,""RM"")"),450000.0)</f>
        <v>450000</v>
      </c>
      <c r="D4342" s="7">
        <v>3.0</v>
      </c>
      <c r="E4342" s="7">
        <v>2.0</v>
      </c>
      <c r="F4342" s="7">
        <v>1.0</v>
      </c>
      <c r="G4342" s="7" t="s">
        <v>83</v>
      </c>
      <c r="H4342" s="7" t="s">
        <v>2695</v>
      </c>
      <c r="I4342" s="7" t="s">
        <v>27</v>
      </c>
    </row>
    <row r="4343">
      <c r="A4343" s="7" t="s">
        <v>104</v>
      </c>
      <c r="B4343" s="7" t="s">
        <v>2696</v>
      </c>
      <c r="C4343" s="8">
        <f>IFERROR(__xludf.DUMMYFUNCTION("SPLIT(B4343,""RM"")"),105000.0)</f>
        <v>105000</v>
      </c>
      <c r="D4343" s="7">
        <v>3.0</v>
      </c>
      <c r="E4343" s="7">
        <v>2.0</v>
      </c>
      <c r="G4343" s="7" t="s">
        <v>354</v>
      </c>
      <c r="H4343" s="7" t="s">
        <v>187</v>
      </c>
      <c r="I4343" s="7" t="s">
        <v>27</v>
      </c>
    </row>
    <row r="4344">
      <c r="A4344" s="7" t="s">
        <v>104</v>
      </c>
      <c r="B4344" s="7" t="s">
        <v>2365</v>
      </c>
      <c r="C4344" s="8">
        <f>IFERROR(__xludf.DUMMYFUNCTION("SPLIT(B4344,""RM"")"),200000.0)</f>
        <v>200000</v>
      </c>
      <c r="D4344" s="7">
        <v>3.0</v>
      </c>
      <c r="E4344" s="7">
        <v>2.0</v>
      </c>
      <c r="G4344" s="7" t="s">
        <v>50</v>
      </c>
      <c r="H4344" s="7" t="s">
        <v>242</v>
      </c>
      <c r="I4344" s="7" t="s">
        <v>27</v>
      </c>
    </row>
    <row r="4345">
      <c r="A4345" s="7" t="s">
        <v>23</v>
      </c>
      <c r="B4345" s="7" t="s">
        <v>134</v>
      </c>
      <c r="C4345" s="8">
        <f>IFERROR(__xludf.DUMMYFUNCTION("SPLIT(B4345,""RM"")"),1150000.0)</f>
        <v>1150000</v>
      </c>
      <c r="D4345" s="7" t="s">
        <v>19</v>
      </c>
      <c r="E4345" s="7">
        <v>2.0</v>
      </c>
      <c r="G4345" s="7" t="s">
        <v>83</v>
      </c>
      <c r="H4345" s="7" t="s">
        <v>135</v>
      </c>
    </row>
    <row r="4346">
      <c r="A4346" s="7" t="s">
        <v>371</v>
      </c>
      <c r="B4346" s="7" t="s">
        <v>2697</v>
      </c>
      <c r="C4346" s="8">
        <f>IFERROR(__xludf.DUMMYFUNCTION("SPLIT(B4346,""RM"")"),389000.0)</f>
        <v>389000</v>
      </c>
      <c r="D4346" s="7" t="s">
        <v>197</v>
      </c>
      <c r="E4346" s="7">
        <v>1.0</v>
      </c>
      <c r="F4346" s="7">
        <v>1.0</v>
      </c>
      <c r="G4346" s="7" t="s">
        <v>82</v>
      </c>
      <c r="H4346" s="7" t="s">
        <v>252</v>
      </c>
      <c r="I4346" s="7" t="s">
        <v>27</v>
      </c>
    </row>
    <row r="4347">
      <c r="A4347" s="7" t="s">
        <v>371</v>
      </c>
      <c r="B4347" s="7" t="s">
        <v>2698</v>
      </c>
      <c r="C4347" s="8">
        <f>IFERROR(__xludf.DUMMYFUNCTION("SPLIT(B4347,""RM"")"),439000.0)</f>
        <v>439000</v>
      </c>
      <c r="D4347" s="7">
        <v>2.0</v>
      </c>
      <c r="E4347" s="7">
        <v>2.0</v>
      </c>
      <c r="F4347" s="7">
        <v>1.0</v>
      </c>
      <c r="G4347" s="7" t="s">
        <v>82</v>
      </c>
      <c r="H4347" s="7" t="s">
        <v>2620</v>
      </c>
      <c r="I4347" s="7" t="s">
        <v>27</v>
      </c>
    </row>
    <row r="4348">
      <c r="A4348" s="7" t="s">
        <v>143</v>
      </c>
      <c r="B4348" s="7" t="s">
        <v>2698</v>
      </c>
      <c r="C4348" s="8">
        <f>IFERROR(__xludf.DUMMYFUNCTION("SPLIT(B4348,""RM"")"),439000.0)</f>
        <v>439000</v>
      </c>
      <c r="D4348" s="7" t="s">
        <v>57</v>
      </c>
      <c r="E4348" s="7">
        <v>2.0</v>
      </c>
      <c r="F4348" s="7">
        <v>2.0</v>
      </c>
      <c r="G4348" s="7" t="s">
        <v>93</v>
      </c>
      <c r="H4348" s="7" t="s">
        <v>383</v>
      </c>
      <c r="I4348" s="7" t="s">
        <v>103</v>
      </c>
    </row>
    <row r="4349">
      <c r="A4349" s="7" t="s">
        <v>171</v>
      </c>
      <c r="B4349" s="7" t="s">
        <v>2699</v>
      </c>
      <c r="C4349" s="8">
        <f>IFERROR(__xludf.DUMMYFUNCTION("SPLIT(B4349,""RM"")"),419000.0)</f>
        <v>419000</v>
      </c>
      <c r="D4349" s="7">
        <v>4.0</v>
      </c>
      <c r="E4349" s="7">
        <v>2.0</v>
      </c>
      <c r="F4349" s="7">
        <v>2.0</v>
      </c>
      <c r="G4349" s="7" t="s">
        <v>93</v>
      </c>
      <c r="H4349" s="7" t="s">
        <v>491</v>
      </c>
      <c r="I4349" s="7" t="s">
        <v>251</v>
      </c>
    </row>
    <row r="4350">
      <c r="A4350" s="7" t="s">
        <v>368</v>
      </c>
      <c r="B4350" s="7" t="s">
        <v>2016</v>
      </c>
      <c r="C4350" s="8">
        <f>IFERROR(__xludf.DUMMYFUNCTION("SPLIT(B4350,""RM"")"),435000.0)</f>
        <v>435000</v>
      </c>
      <c r="D4350" s="7">
        <v>3.0</v>
      </c>
      <c r="E4350" s="7">
        <v>2.0</v>
      </c>
      <c r="F4350" s="7">
        <v>2.0</v>
      </c>
      <c r="G4350" s="7" t="s">
        <v>96</v>
      </c>
      <c r="H4350" s="7" t="s">
        <v>2695</v>
      </c>
      <c r="I4350" s="7" t="s">
        <v>27</v>
      </c>
    </row>
    <row r="4351">
      <c r="A4351" s="7" t="s">
        <v>17</v>
      </c>
      <c r="B4351" s="7" t="s">
        <v>499</v>
      </c>
      <c r="C4351" s="8">
        <f>IFERROR(__xludf.DUMMYFUNCTION("SPLIT(B4351,""RM"")"),3900000.0)</f>
        <v>3900000</v>
      </c>
      <c r="D4351" s="7">
        <v>2.0</v>
      </c>
      <c r="E4351" s="7">
        <v>3.0</v>
      </c>
      <c r="F4351" s="7">
        <v>2.0</v>
      </c>
      <c r="G4351" s="7" t="s">
        <v>20</v>
      </c>
      <c r="H4351" s="7" t="s">
        <v>318</v>
      </c>
      <c r="I4351" s="7" t="s">
        <v>27</v>
      </c>
    </row>
    <row r="4352">
      <c r="A4352" s="7" t="s">
        <v>100</v>
      </c>
      <c r="B4352" s="7" t="s">
        <v>2497</v>
      </c>
      <c r="C4352" s="8">
        <f>IFERROR(__xludf.DUMMYFUNCTION("SPLIT(B4352,""RM"")"),510300.0)</f>
        <v>510300</v>
      </c>
      <c r="D4352" s="7" t="s">
        <v>57</v>
      </c>
      <c r="E4352" s="7">
        <v>4.0</v>
      </c>
      <c r="G4352" s="7" t="s">
        <v>30</v>
      </c>
      <c r="H4352" s="7" t="s">
        <v>21</v>
      </c>
      <c r="I4352" s="7" t="s">
        <v>251</v>
      </c>
    </row>
    <row r="4353">
      <c r="A4353" s="7" t="s">
        <v>32</v>
      </c>
      <c r="B4353" s="7" t="s">
        <v>1187</v>
      </c>
      <c r="C4353" s="8">
        <f>IFERROR(__xludf.DUMMYFUNCTION("SPLIT(B4353,""RM"")"),678000.0)</f>
        <v>678000</v>
      </c>
      <c r="D4353" s="7">
        <v>3.0</v>
      </c>
      <c r="E4353" s="7">
        <v>3.0</v>
      </c>
      <c r="G4353" s="7" t="s">
        <v>82</v>
      </c>
      <c r="H4353" s="7" t="s">
        <v>1384</v>
      </c>
      <c r="I4353" s="7" t="s">
        <v>27</v>
      </c>
    </row>
    <row r="4354">
      <c r="A4354" s="7" t="s">
        <v>72</v>
      </c>
      <c r="B4354" s="7" t="s">
        <v>1021</v>
      </c>
      <c r="C4354" s="8">
        <f>IFERROR(__xludf.DUMMYFUNCTION("SPLIT(B4354,""RM"")"),2535300.0)</f>
        <v>2535300</v>
      </c>
      <c r="D4354" s="7" t="s">
        <v>35</v>
      </c>
      <c r="E4354" s="7">
        <v>5.0</v>
      </c>
      <c r="G4354" s="7" t="s">
        <v>83</v>
      </c>
      <c r="H4354" s="7" t="s">
        <v>989</v>
      </c>
      <c r="I4354" s="7" t="s">
        <v>251</v>
      </c>
    </row>
    <row r="4355">
      <c r="A4355" s="7" t="s">
        <v>1088</v>
      </c>
      <c r="B4355" s="7" t="s">
        <v>73</v>
      </c>
      <c r="C4355" s="8">
        <f>IFERROR(__xludf.DUMMYFUNCTION("SPLIT(B4355,""RM"")"),1780000.0)</f>
        <v>1780000</v>
      </c>
      <c r="D4355" s="7">
        <v>4.0</v>
      </c>
      <c r="E4355" s="7">
        <v>3.0</v>
      </c>
      <c r="G4355" s="7" t="s">
        <v>30</v>
      </c>
      <c r="H4355" s="7" t="s">
        <v>194</v>
      </c>
      <c r="I4355" s="7" t="s">
        <v>22</v>
      </c>
    </row>
    <row r="4356">
      <c r="A4356" s="7" t="s">
        <v>86</v>
      </c>
      <c r="B4356" s="7" t="s">
        <v>221</v>
      </c>
      <c r="C4356" s="8">
        <f>IFERROR(__xludf.DUMMYFUNCTION("SPLIT(B4356,""RM"")"),630000.0)</f>
        <v>630000</v>
      </c>
      <c r="D4356" s="7" t="s">
        <v>197</v>
      </c>
      <c r="E4356" s="7">
        <v>1.0</v>
      </c>
      <c r="F4356" s="7">
        <v>1.0</v>
      </c>
      <c r="G4356" s="7" t="s">
        <v>20</v>
      </c>
      <c r="H4356" s="7" t="s">
        <v>1169</v>
      </c>
    </row>
    <row r="4357">
      <c r="A4357" s="7" t="s">
        <v>32</v>
      </c>
      <c r="B4357" s="7" t="s">
        <v>107</v>
      </c>
      <c r="C4357" s="8">
        <f>IFERROR(__xludf.DUMMYFUNCTION("SPLIT(B4357,""RM"")"),460000.0)</f>
        <v>460000</v>
      </c>
      <c r="D4357" s="7" t="s">
        <v>19</v>
      </c>
      <c r="E4357" s="7">
        <v>2.0</v>
      </c>
      <c r="F4357" s="7">
        <v>1.0</v>
      </c>
      <c r="G4357" s="7" t="s">
        <v>30</v>
      </c>
      <c r="H4357" s="7" t="s">
        <v>964</v>
      </c>
      <c r="I4357" s="7" t="s">
        <v>27</v>
      </c>
    </row>
    <row r="4358">
      <c r="A4358" s="7" t="s">
        <v>86</v>
      </c>
      <c r="B4358" s="7" t="s">
        <v>361</v>
      </c>
      <c r="C4358" s="8">
        <f>IFERROR(__xludf.DUMMYFUNCTION("SPLIT(B4358,""RM"")"),530000.0)</f>
        <v>530000</v>
      </c>
      <c r="D4358" s="7">
        <v>1.0</v>
      </c>
      <c r="E4358" s="7">
        <v>1.0</v>
      </c>
      <c r="F4358" s="7">
        <v>1.0</v>
      </c>
      <c r="G4358" s="7" t="s">
        <v>82</v>
      </c>
      <c r="H4358" s="7" t="s">
        <v>2700</v>
      </c>
      <c r="I4358" s="7" t="s">
        <v>27</v>
      </c>
    </row>
    <row r="4359">
      <c r="A4359" s="7" t="s">
        <v>1088</v>
      </c>
      <c r="B4359" s="7" t="s">
        <v>85</v>
      </c>
      <c r="C4359" s="8">
        <f>IFERROR(__xludf.DUMMYFUNCTION("SPLIT(B4359,""RM"")"),1450000.0)</f>
        <v>1450000</v>
      </c>
      <c r="D4359" s="7" t="s">
        <v>19</v>
      </c>
      <c r="E4359" s="7">
        <v>2.0</v>
      </c>
      <c r="G4359" s="7" t="s">
        <v>30</v>
      </c>
      <c r="H4359" s="7" t="s">
        <v>1153</v>
      </c>
      <c r="I4359" s="7" t="s">
        <v>22</v>
      </c>
    </row>
    <row r="4360">
      <c r="A4360" s="7" t="s">
        <v>1088</v>
      </c>
      <c r="B4360" s="7" t="s">
        <v>158</v>
      </c>
      <c r="C4360" s="8">
        <f>IFERROR(__xludf.DUMMYFUNCTION("SPLIT(B4360,""RM"")"),1850000.0)</f>
        <v>1850000</v>
      </c>
      <c r="D4360" s="7" t="s">
        <v>57</v>
      </c>
      <c r="E4360" s="7">
        <v>4.0</v>
      </c>
      <c r="F4360" s="7">
        <v>1.0</v>
      </c>
      <c r="G4360" s="7" t="s">
        <v>30</v>
      </c>
      <c r="H4360" s="7" t="s">
        <v>1718</v>
      </c>
      <c r="I4360" s="7" t="s">
        <v>22</v>
      </c>
    </row>
    <row r="4361">
      <c r="A4361" s="7" t="s">
        <v>1088</v>
      </c>
      <c r="B4361" s="7" t="s">
        <v>349</v>
      </c>
      <c r="C4361" s="8">
        <f>IFERROR(__xludf.DUMMYFUNCTION("SPLIT(B4361,""RM"")"),1400000.0)</f>
        <v>1400000</v>
      </c>
      <c r="D4361" s="7" t="s">
        <v>19</v>
      </c>
      <c r="E4361" s="7">
        <v>2.0</v>
      </c>
      <c r="G4361" s="7" t="s">
        <v>93</v>
      </c>
      <c r="H4361" s="7" t="s">
        <v>464</v>
      </c>
      <c r="I4361" s="7" t="s">
        <v>22</v>
      </c>
    </row>
    <row r="4362">
      <c r="A4362" s="7" t="s">
        <v>17</v>
      </c>
      <c r="B4362" s="7" t="s">
        <v>144</v>
      </c>
      <c r="C4362" s="8">
        <f>IFERROR(__xludf.DUMMYFUNCTION("SPLIT(B4362,""RM"")"),1800000.0)</f>
        <v>1800000</v>
      </c>
      <c r="D4362" s="7" t="s">
        <v>57</v>
      </c>
      <c r="E4362" s="7">
        <v>4.0</v>
      </c>
      <c r="F4362" s="7">
        <v>2.0</v>
      </c>
      <c r="G4362" s="7" t="s">
        <v>494</v>
      </c>
      <c r="H4362" s="7" t="s">
        <v>1599</v>
      </c>
      <c r="I4362" s="7" t="s">
        <v>22</v>
      </c>
    </row>
    <row r="4363">
      <c r="A4363" s="7" t="s">
        <v>17</v>
      </c>
      <c r="B4363" s="7" t="s">
        <v>1297</v>
      </c>
      <c r="C4363" s="8">
        <f>IFERROR(__xludf.DUMMYFUNCTION("SPLIT(B4363,""RM"")"),585000.0)</f>
        <v>585000</v>
      </c>
      <c r="D4363" s="7">
        <v>1.0</v>
      </c>
      <c r="E4363" s="7">
        <v>1.0</v>
      </c>
      <c r="F4363" s="7">
        <v>1.0</v>
      </c>
      <c r="G4363" s="7" t="s">
        <v>83</v>
      </c>
      <c r="H4363" s="7" t="s">
        <v>924</v>
      </c>
      <c r="I4363" s="7" t="s">
        <v>22</v>
      </c>
    </row>
    <row r="4364">
      <c r="A4364" s="7" t="s">
        <v>17</v>
      </c>
      <c r="B4364" s="7" t="s">
        <v>201</v>
      </c>
      <c r="C4364" s="8">
        <f>IFERROR(__xludf.DUMMYFUNCTION("SPLIT(B4364,""RM"")"),620000.0)</f>
        <v>620000</v>
      </c>
      <c r="D4364" s="7">
        <v>2.0</v>
      </c>
      <c r="E4364" s="7">
        <v>2.0</v>
      </c>
      <c r="F4364" s="7">
        <v>1.0</v>
      </c>
      <c r="G4364" s="7" t="s">
        <v>83</v>
      </c>
      <c r="I4364" s="7" t="s">
        <v>27</v>
      </c>
    </row>
    <row r="4365">
      <c r="A4365" s="7" t="s">
        <v>709</v>
      </c>
      <c r="B4365" s="7" t="s">
        <v>715</v>
      </c>
      <c r="C4365" s="8">
        <f>IFERROR(__xludf.DUMMYFUNCTION("SPLIT(B4365,""RM"")"),550000.0)</f>
        <v>550000</v>
      </c>
      <c r="D4365" s="7">
        <v>3.0</v>
      </c>
      <c r="E4365" s="7">
        <v>2.0</v>
      </c>
      <c r="F4365" s="7">
        <v>1.0</v>
      </c>
      <c r="G4365" s="7" t="s">
        <v>93</v>
      </c>
      <c r="H4365" s="7" t="s">
        <v>2701</v>
      </c>
      <c r="I4365" s="7" t="s">
        <v>27</v>
      </c>
    </row>
    <row r="4366">
      <c r="A4366" s="7" t="s">
        <v>17</v>
      </c>
      <c r="B4366" s="7" t="s">
        <v>411</v>
      </c>
      <c r="C4366" s="8">
        <f>IFERROR(__xludf.DUMMYFUNCTION("SPLIT(B4366,""RM"")"),2150000.0)</f>
        <v>2150000</v>
      </c>
      <c r="D4366" s="7" t="s">
        <v>35</v>
      </c>
      <c r="E4366" s="7">
        <v>4.0</v>
      </c>
      <c r="F4366" s="7">
        <v>2.0</v>
      </c>
      <c r="G4366" s="7" t="s">
        <v>793</v>
      </c>
      <c r="H4366" s="7" t="s">
        <v>2702</v>
      </c>
      <c r="I4366" s="7" t="s">
        <v>27</v>
      </c>
    </row>
    <row r="4367">
      <c r="A4367" s="7" t="s">
        <v>148</v>
      </c>
      <c r="B4367" s="7" t="s">
        <v>1075</v>
      </c>
      <c r="C4367" s="8">
        <f>IFERROR(__xludf.DUMMYFUNCTION("SPLIT(B4367,""RM"")"),790000.0)</f>
        <v>790000</v>
      </c>
      <c r="D4367" s="7">
        <v>4.0</v>
      </c>
      <c r="E4367" s="7">
        <v>3.0</v>
      </c>
      <c r="G4367" s="7" t="s">
        <v>169</v>
      </c>
      <c r="H4367" s="7" t="s">
        <v>91</v>
      </c>
    </row>
    <row r="4368">
      <c r="A4368" s="7" t="s">
        <v>72</v>
      </c>
      <c r="B4368" s="7" t="s">
        <v>475</v>
      </c>
      <c r="C4368" s="8">
        <f>IFERROR(__xludf.DUMMYFUNCTION("SPLIT(B4368,""RM"")"),2800000.0)</f>
        <v>2800000</v>
      </c>
      <c r="D4368" s="7" t="s">
        <v>35</v>
      </c>
      <c r="E4368" s="7">
        <v>6.0</v>
      </c>
      <c r="F4368" s="7">
        <v>3.0</v>
      </c>
      <c r="G4368" s="7" t="s">
        <v>30</v>
      </c>
      <c r="H4368" s="7" t="s">
        <v>1230</v>
      </c>
      <c r="I4368" s="7" t="s">
        <v>27</v>
      </c>
    </row>
    <row r="4369">
      <c r="A4369" s="7" t="s">
        <v>72</v>
      </c>
      <c r="B4369" s="7" t="s">
        <v>322</v>
      </c>
      <c r="C4369" s="8">
        <f>IFERROR(__xludf.DUMMYFUNCTION("SPLIT(B4369,""RM"")"),1900000.0)</f>
        <v>1900000</v>
      </c>
      <c r="F4369" s="7">
        <v>3.0</v>
      </c>
      <c r="G4369" s="7" t="s">
        <v>83</v>
      </c>
      <c r="H4369" s="7" t="s">
        <v>159</v>
      </c>
    </row>
    <row r="4370">
      <c r="A4370" s="7" t="s">
        <v>72</v>
      </c>
      <c r="B4370" s="7" t="s">
        <v>281</v>
      </c>
      <c r="C4370" s="8">
        <f>IFERROR(__xludf.DUMMYFUNCTION("SPLIT(B4370,""RM"")"),2500000.0)</f>
        <v>2500000</v>
      </c>
      <c r="D4370" s="7">
        <v>4.0</v>
      </c>
      <c r="E4370" s="7">
        <v>5.0</v>
      </c>
      <c r="G4370" s="7" t="s">
        <v>83</v>
      </c>
      <c r="H4370" s="7" t="s">
        <v>989</v>
      </c>
      <c r="I4370" s="7" t="s">
        <v>22</v>
      </c>
    </row>
    <row r="4371">
      <c r="A4371" s="7" t="s">
        <v>72</v>
      </c>
      <c r="B4371" s="7" t="s">
        <v>2703</v>
      </c>
      <c r="C4371" s="8">
        <f>IFERROR(__xludf.DUMMYFUNCTION("SPLIT(B4371,""RM"")"),2414710.0)</f>
        <v>2414710</v>
      </c>
      <c r="D4371" s="7">
        <v>5.0</v>
      </c>
      <c r="E4371" s="7">
        <v>6.0</v>
      </c>
      <c r="G4371" s="7" t="s">
        <v>30</v>
      </c>
      <c r="H4371" s="7" t="s">
        <v>926</v>
      </c>
      <c r="I4371" s="7" t="s">
        <v>27</v>
      </c>
    </row>
    <row r="4372">
      <c r="A4372" s="7" t="s">
        <v>72</v>
      </c>
      <c r="B4372" s="7" t="s">
        <v>69</v>
      </c>
      <c r="C4372" s="8">
        <f>IFERROR(__xludf.DUMMYFUNCTION("SPLIT(B4372,""RM"")"),4500000.0)</f>
        <v>4500000</v>
      </c>
      <c r="G4372" s="7" t="s">
        <v>67</v>
      </c>
      <c r="H4372" s="7" t="s">
        <v>860</v>
      </c>
      <c r="I4372" s="7" t="s">
        <v>27</v>
      </c>
    </row>
    <row r="4373">
      <c r="A4373" s="7" t="s">
        <v>72</v>
      </c>
      <c r="B4373" s="7" t="s">
        <v>349</v>
      </c>
      <c r="C4373" s="8">
        <f>IFERROR(__xludf.DUMMYFUNCTION("SPLIT(B4373,""RM"")"),1400000.0)</f>
        <v>1400000</v>
      </c>
      <c r="D4373" s="7" t="s">
        <v>57</v>
      </c>
      <c r="E4373" s="7">
        <v>3.0</v>
      </c>
      <c r="F4373" s="7">
        <v>2.0</v>
      </c>
      <c r="G4373" s="7" t="s">
        <v>30</v>
      </c>
      <c r="H4373" s="7" t="s">
        <v>2704</v>
      </c>
      <c r="I4373" s="7" t="s">
        <v>22</v>
      </c>
    </row>
    <row r="4374">
      <c r="A4374" s="7" t="s">
        <v>72</v>
      </c>
      <c r="B4374" s="7" t="s">
        <v>475</v>
      </c>
      <c r="C4374" s="8">
        <f>IFERROR(__xludf.DUMMYFUNCTION("SPLIT(B4374,""RM"")"),2800000.0)</f>
        <v>2800000</v>
      </c>
      <c r="D4374" s="7" t="s">
        <v>35</v>
      </c>
      <c r="E4374" s="7">
        <v>7.0</v>
      </c>
      <c r="F4374" s="7">
        <v>3.0</v>
      </c>
      <c r="G4374" s="7" t="s">
        <v>83</v>
      </c>
      <c r="H4374" s="7" t="s">
        <v>933</v>
      </c>
      <c r="I4374" s="7" t="s">
        <v>22</v>
      </c>
    </row>
    <row r="4375">
      <c r="A4375" s="7" t="s">
        <v>72</v>
      </c>
      <c r="B4375" s="7" t="s">
        <v>45</v>
      </c>
      <c r="C4375" s="8">
        <f>IFERROR(__xludf.DUMMYFUNCTION("SPLIT(B4375,""RM"")"),1950000.0)</f>
        <v>1950000</v>
      </c>
      <c r="D4375" s="7" t="s">
        <v>57</v>
      </c>
      <c r="E4375" s="7">
        <v>4.0</v>
      </c>
      <c r="G4375" s="7" t="s">
        <v>83</v>
      </c>
      <c r="H4375" s="7" t="s">
        <v>2705</v>
      </c>
      <c r="I4375" s="7" t="s">
        <v>27</v>
      </c>
    </row>
    <row r="4376">
      <c r="A4376" s="7" t="s">
        <v>72</v>
      </c>
      <c r="B4376" s="7" t="s">
        <v>854</v>
      </c>
      <c r="C4376" s="8">
        <f>IFERROR(__xludf.DUMMYFUNCTION("SPLIT(B4376,""RM"")"),690000.0)</f>
        <v>690000</v>
      </c>
      <c r="D4376" s="7">
        <v>1.0</v>
      </c>
      <c r="E4376" s="7">
        <v>1.0</v>
      </c>
      <c r="F4376" s="7">
        <v>1.0</v>
      </c>
      <c r="G4376" s="7" t="s">
        <v>121</v>
      </c>
      <c r="H4376" s="7" t="s">
        <v>1127</v>
      </c>
      <c r="I4376" s="7" t="s">
        <v>22</v>
      </c>
    </row>
    <row r="4377">
      <c r="A4377" s="7" t="s">
        <v>72</v>
      </c>
      <c r="B4377" s="7" t="s">
        <v>2706</v>
      </c>
      <c r="C4377" s="8">
        <f>IFERROR(__xludf.DUMMYFUNCTION("SPLIT(B4377,""RM"")"),2237620.0)</f>
        <v>2237620</v>
      </c>
      <c r="D4377" s="7" t="s">
        <v>35</v>
      </c>
      <c r="E4377" s="7">
        <v>3.0</v>
      </c>
      <c r="G4377" s="7" t="s">
        <v>93</v>
      </c>
      <c r="H4377" s="7" t="s">
        <v>431</v>
      </c>
      <c r="I4377" s="7" t="s">
        <v>22</v>
      </c>
    </row>
    <row r="4378">
      <c r="A4378" s="7" t="s">
        <v>72</v>
      </c>
      <c r="B4378" s="7" t="s">
        <v>403</v>
      </c>
      <c r="C4378" s="8">
        <f>IFERROR(__xludf.DUMMYFUNCTION("SPLIT(B4378,""RM"")"),1600000.0)</f>
        <v>1600000</v>
      </c>
      <c r="D4378" s="7" t="s">
        <v>57</v>
      </c>
      <c r="E4378" s="7">
        <v>3.0</v>
      </c>
      <c r="G4378" s="7" t="s">
        <v>83</v>
      </c>
      <c r="H4378" s="7" t="s">
        <v>2707</v>
      </c>
      <c r="I4378" s="7" t="s">
        <v>22</v>
      </c>
    </row>
    <row r="4379">
      <c r="A4379" s="7" t="s">
        <v>72</v>
      </c>
      <c r="B4379" s="7" t="s">
        <v>399</v>
      </c>
      <c r="C4379" s="8">
        <f>IFERROR(__xludf.DUMMYFUNCTION("SPLIT(B4379,""RM"")"),1750000.0)</f>
        <v>1750000</v>
      </c>
      <c r="D4379" s="7" t="s">
        <v>57</v>
      </c>
      <c r="E4379" s="7">
        <v>3.0</v>
      </c>
      <c r="G4379" s="7" t="s">
        <v>93</v>
      </c>
      <c r="H4379" s="7" t="s">
        <v>159</v>
      </c>
      <c r="I4379" s="7" t="s">
        <v>22</v>
      </c>
    </row>
    <row r="4380">
      <c r="A4380" s="7" t="s">
        <v>72</v>
      </c>
      <c r="B4380" s="7" t="s">
        <v>34</v>
      </c>
      <c r="C4380" s="8">
        <f>IFERROR(__xludf.DUMMYFUNCTION("SPLIT(B4380,""RM"")"),900000.0)</f>
        <v>900000</v>
      </c>
      <c r="D4380" s="7">
        <v>2.0</v>
      </c>
      <c r="E4380" s="7">
        <v>2.0</v>
      </c>
      <c r="F4380" s="7">
        <v>1.0</v>
      </c>
      <c r="G4380" s="7" t="s">
        <v>20</v>
      </c>
      <c r="H4380" s="7" t="s">
        <v>1567</v>
      </c>
      <c r="I4380" s="7" t="s">
        <v>22</v>
      </c>
    </row>
    <row r="4381">
      <c r="A4381" s="7" t="s">
        <v>72</v>
      </c>
      <c r="B4381" s="7" t="s">
        <v>1079</v>
      </c>
      <c r="C4381" s="8">
        <f>IFERROR(__xludf.DUMMYFUNCTION("SPLIT(B4381,""RM"")"),2350000.0)</f>
        <v>2350000</v>
      </c>
      <c r="D4381" s="7" t="s">
        <v>35</v>
      </c>
      <c r="E4381" s="7">
        <v>6.0</v>
      </c>
      <c r="F4381" s="7">
        <v>3.0</v>
      </c>
      <c r="G4381" s="7" t="s">
        <v>83</v>
      </c>
      <c r="H4381" s="7" t="s">
        <v>431</v>
      </c>
      <c r="I4381" s="7" t="s">
        <v>22</v>
      </c>
    </row>
    <row r="4382">
      <c r="A4382" s="7" t="s">
        <v>72</v>
      </c>
      <c r="B4382" s="7" t="s">
        <v>1146</v>
      </c>
      <c r="C4382" s="8">
        <f>IFERROR(__xludf.DUMMYFUNCTION("SPLIT(B4382,""RM"")"),1490000.0)</f>
        <v>1490000</v>
      </c>
      <c r="D4382" s="7" t="s">
        <v>57</v>
      </c>
      <c r="F4382" s="7">
        <v>2.0</v>
      </c>
      <c r="G4382" s="7" t="s">
        <v>83</v>
      </c>
      <c r="H4382" s="7" t="s">
        <v>404</v>
      </c>
      <c r="I4382" s="7" t="s">
        <v>27</v>
      </c>
    </row>
    <row r="4383">
      <c r="A4383" s="7" t="s">
        <v>72</v>
      </c>
      <c r="B4383" s="7" t="s">
        <v>156</v>
      </c>
      <c r="C4383" s="8">
        <f>IFERROR(__xludf.DUMMYFUNCTION("SPLIT(B4383,""RM"")"),850000.0)</f>
        <v>850000</v>
      </c>
      <c r="D4383" s="7">
        <v>2.0</v>
      </c>
      <c r="E4383" s="7">
        <v>2.0</v>
      </c>
      <c r="F4383" s="7">
        <v>1.0</v>
      </c>
      <c r="G4383" s="7" t="s">
        <v>20</v>
      </c>
      <c r="H4383" s="7" t="s">
        <v>1567</v>
      </c>
      <c r="I4383" s="7" t="s">
        <v>22</v>
      </c>
    </row>
    <row r="4384">
      <c r="A4384" s="7" t="s">
        <v>72</v>
      </c>
      <c r="B4384" s="7" t="s">
        <v>610</v>
      </c>
      <c r="C4384" s="8">
        <f>IFERROR(__xludf.DUMMYFUNCTION("SPLIT(B4384,""RM"")"),2250000.0)</f>
        <v>2250000</v>
      </c>
      <c r="D4384" s="7" t="s">
        <v>35</v>
      </c>
      <c r="E4384" s="7">
        <v>6.0</v>
      </c>
      <c r="F4384" s="7">
        <v>3.0</v>
      </c>
      <c r="G4384" s="7" t="s">
        <v>30</v>
      </c>
      <c r="H4384" s="7" t="s">
        <v>431</v>
      </c>
      <c r="I4384" s="7" t="s">
        <v>22</v>
      </c>
    </row>
    <row r="4385">
      <c r="A4385" s="7" t="s">
        <v>72</v>
      </c>
      <c r="B4385" s="7" t="s">
        <v>605</v>
      </c>
      <c r="C4385" s="8">
        <f>IFERROR(__xludf.DUMMYFUNCTION("SPLIT(B4385,""RM"")"),1590000.0)</f>
        <v>1590000</v>
      </c>
      <c r="D4385" s="7" t="s">
        <v>35</v>
      </c>
      <c r="E4385" s="7">
        <v>4.0</v>
      </c>
      <c r="F4385" s="7">
        <v>3.0</v>
      </c>
      <c r="G4385" s="7" t="s">
        <v>83</v>
      </c>
      <c r="H4385" s="7" t="s">
        <v>555</v>
      </c>
      <c r="I4385" s="7" t="s">
        <v>22</v>
      </c>
    </row>
    <row r="4386">
      <c r="A4386" s="7" t="s">
        <v>72</v>
      </c>
      <c r="B4386" s="7" t="s">
        <v>655</v>
      </c>
      <c r="C4386" s="8">
        <f>IFERROR(__xludf.DUMMYFUNCTION("SPLIT(B4386,""RM"")"),2550000.0)</f>
        <v>2550000</v>
      </c>
      <c r="D4386" s="7" t="s">
        <v>35</v>
      </c>
      <c r="E4386" s="7">
        <v>6.0</v>
      </c>
      <c r="F4386" s="7">
        <v>3.0</v>
      </c>
      <c r="G4386" s="7" t="s">
        <v>30</v>
      </c>
      <c r="H4386" s="7" t="s">
        <v>933</v>
      </c>
      <c r="I4386" s="7" t="s">
        <v>103</v>
      </c>
    </row>
    <row r="4387">
      <c r="A4387" s="7" t="s">
        <v>371</v>
      </c>
      <c r="B4387" s="7" t="s">
        <v>1349</v>
      </c>
      <c r="C4387" s="8">
        <f>IFERROR(__xludf.DUMMYFUNCTION("SPLIT(B4387,""RM"")"),1220000.0)</f>
        <v>1220000</v>
      </c>
      <c r="D4387" s="7" t="s">
        <v>35</v>
      </c>
      <c r="E4387" s="7">
        <v>5.0</v>
      </c>
      <c r="F4387" s="7">
        <v>4.0</v>
      </c>
      <c r="G4387" s="7" t="s">
        <v>793</v>
      </c>
      <c r="H4387" s="7" t="s">
        <v>905</v>
      </c>
      <c r="I4387" s="7" t="s">
        <v>27</v>
      </c>
    </row>
    <row r="4388">
      <c r="A4388" s="7" t="s">
        <v>72</v>
      </c>
      <c r="B4388" s="7" t="s">
        <v>844</v>
      </c>
      <c r="C4388" s="8">
        <f>IFERROR(__xludf.DUMMYFUNCTION("SPLIT(B4388,""RM"")"),1690000.0)</f>
        <v>1690000</v>
      </c>
      <c r="D4388" s="7" t="s">
        <v>57</v>
      </c>
      <c r="E4388" s="7">
        <v>4.0</v>
      </c>
      <c r="F4388" s="7">
        <v>2.0</v>
      </c>
      <c r="G4388" s="7" t="s">
        <v>83</v>
      </c>
      <c r="H4388" s="7" t="s">
        <v>555</v>
      </c>
    </row>
    <row r="4389">
      <c r="A4389" s="7" t="s">
        <v>72</v>
      </c>
      <c r="B4389" s="7" t="s">
        <v>193</v>
      </c>
      <c r="C4389" s="8">
        <f>IFERROR(__xludf.DUMMYFUNCTION("SPLIT(B4389,""RM"")"),1650000.0)</f>
        <v>1650000</v>
      </c>
      <c r="D4389" s="7" t="s">
        <v>57</v>
      </c>
      <c r="E4389" s="7">
        <v>4.0</v>
      </c>
      <c r="F4389" s="7">
        <v>2.0</v>
      </c>
      <c r="G4389" s="7" t="s">
        <v>83</v>
      </c>
      <c r="H4389" s="7" t="s">
        <v>555</v>
      </c>
      <c r="I4389" s="7" t="s">
        <v>22</v>
      </c>
    </row>
    <row r="4390">
      <c r="A4390" s="7" t="s">
        <v>72</v>
      </c>
      <c r="B4390" s="7" t="s">
        <v>279</v>
      </c>
      <c r="C4390" s="8">
        <f>IFERROR(__xludf.DUMMYFUNCTION("SPLIT(B4390,""RM"")"),1380000.0)</f>
        <v>1380000</v>
      </c>
      <c r="D4390" s="7">
        <v>3.0</v>
      </c>
      <c r="E4390" s="7">
        <v>3.0</v>
      </c>
      <c r="F4390" s="7">
        <v>2.0</v>
      </c>
      <c r="G4390" s="7" t="s">
        <v>83</v>
      </c>
      <c r="H4390" s="7" t="s">
        <v>680</v>
      </c>
      <c r="I4390" s="7" t="s">
        <v>22</v>
      </c>
    </row>
    <row r="4391">
      <c r="A4391" s="7" t="s">
        <v>72</v>
      </c>
      <c r="B4391" s="7" t="s">
        <v>279</v>
      </c>
      <c r="C4391" s="8">
        <f>IFERROR(__xludf.DUMMYFUNCTION("SPLIT(B4391,""RM"")"),1380000.0)</f>
        <v>1380000</v>
      </c>
      <c r="D4391" s="7">
        <v>3.0</v>
      </c>
      <c r="E4391" s="7">
        <v>3.0</v>
      </c>
      <c r="F4391" s="7">
        <v>2.0</v>
      </c>
      <c r="G4391" s="7" t="s">
        <v>83</v>
      </c>
      <c r="H4391" s="7" t="s">
        <v>2708</v>
      </c>
      <c r="I4391" s="7" t="s">
        <v>22</v>
      </c>
    </row>
    <row r="4392">
      <c r="A4392" s="7" t="s">
        <v>72</v>
      </c>
      <c r="B4392" s="7" t="s">
        <v>73</v>
      </c>
      <c r="C4392" s="8">
        <f>IFERROR(__xludf.DUMMYFUNCTION("SPLIT(B4392,""RM"")"),1780000.0)</f>
        <v>1780000</v>
      </c>
      <c r="D4392" s="7" t="s">
        <v>57</v>
      </c>
      <c r="E4392" s="7">
        <v>4.0</v>
      </c>
      <c r="F4392" s="7">
        <v>3.0</v>
      </c>
      <c r="G4392" s="7" t="s">
        <v>83</v>
      </c>
      <c r="H4392" s="7" t="s">
        <v>159</v>
      </c>
      <c r="I4392" s="7" t="s">
        <v>22</v>
      </c>
    </row>
    <row r="4393">
      <c r="A4393" s="7" t="s">
        <v>72</v>
      </c>
      <c r="B4393" s="7" t="s">
        <v>73</v>
      </c>
      <c r="C4393" s="8">
        <f>IFERROR(__xludf.DUMMYFUNCTION("SPLIT(B4393,""RM"")"),1780000.0)</f>
        <v>1780000</v>
      </c>
      <c r="D4393" s="7" t="s">
        <v>57</v>
      </c>
      <c r="E4393" s="7">
        <v>4.0</v>
      </c>
      <c r="F4393" s="7">
        <v>3.0</v>
      </c>
      <c r="G4393" s="7" t="s">
        <v>83</v>
      </c>
      <c r="H4393" s="7" t="s">
        <v>2045</v>
      </c>
      <c r="I4393" s="7" t="s">
        <v>22</v>
      </c>
    </row>
    <row r="4394">
      <c r="A4394" s="7" t="s">
        <v>72</v>
      </c>
      <c r="B4394" s="7" t="s">
        <v>130</v>
      </c>
      <c r="C4394" s="8">
        <f>IFERROR(__xludf.DUMMYFUNCTION("SPLIT(B4394,""RM"")"),2700000.0)</f>
        <v>2700000</v>
      </c>
      <c r="D4394" s="7" t="s">
        <v>39</v>
      </c>
      <c r="E4394" s="7">
        <v>5.0</v>
      </c>
      <c r="F4394" s="7">
        <v>4.0</v>
      </c>
      <c r="G4394" s="7" t="s">
        <v>83</v>
      </c>
      <c r="H4394" s="7" t="s">
        <v>2228</v>
      </c>
      <c r="I4394" s="7" t="s">
        <v>27</v>
      </c>
    </row>
    <row r="4395">
      <c r="A4395" s="7" t="s">
        <v>72</v>
      </c>
      <c r="B4395" s="7" t="s">
        <v>239</v>
      </c>
      <c r="C4395" s="8">
        <f>IFERROR(__xludf.DUMMYFUNCTION("SPLIT(B4395,""RM"")"),1280000.0)</f>
        <v>1280000</v>
      </c>
      <c r="D4395" s="7" t="s">
        <v>57</v>
      </c>
      <c r="E4395" s="7">
        <v>3.0</v>
      </c>
      <c r="F4395" s="7">
        <v>2.0</v>
      </c>
      <c r="G4395" s="7" t="s">
        <v>83</v>
      </c>
      <c r="H4395" s="7" t="s">
        <v>99</v>
      </c>
      <c r="I4395" s="7" t="s">
        <v>22</v>
      </c>
    </row>
    <row r="4396">
      <c r="A4396" s="7" t="s">
        <v>72</v>
      </c>
      <c r="B4396" s="7" t="s">
        <v>866</v>
      </c>
      <c r="C4396" s="8">
        <f>IFERROR(__xludf.DUMMYFUNCTION("SPLIT(B4396,""RM"")"),2330000.0)</f>
        <v>2330000</v>
      </c>
      <c r="D4396" s="7" t="s">
        <v>35</v>
      </c>
      <c r="E4396" s="7">
        <v>5.0</v>
      </c>
      <c r="F4396" s="7">
        <v>3.0</v>
      </c>
      <c r="G4396" s="7" t="s">
        <v>83</v>
      </c>
      <c r="H4396" s="7" t="s">
        <v>431</v>
      </c>
      <c r="I4396" s="7" t="s">
        <v>27</v>
      </c>
    </row>
    <row r="4397">
      <c r="A4397" s="7" t="s">
        <v>72</v>
      </c>
      <c r="B4397" s="7" t="s">
        <v>125</v>
      </c>
      <c r="C4397" s="8">
        <f>IFERROR(__xludf.DUMMYFUNCTION("SPLIT(B4397,""RM"")"),2300000.0)</f>
        <v>2300000</v>
      </c>
      <c r="D4397" s="7" t="s">
        <v>35</v>
      </c>
      <c r="E4397" s="7">
        <v>4.0</v>
      </c>
      <c r="F4397" s="7">
        <v>3.0</v>
      </c>
      <c r="G4397" s="7" t="s">
        <v>83</v>
      </c>
      <c r="H4397" s="7" t="s">
        <v>220</v>
      </c>
      <c r="I4397" s="7" t="s">
        <v>22</v>
      </c>
    </row>
    <row r="4398">
      <c r="A4398" s="7" t="s">
        <v>72</v>
      </c>
      <c r="B4398" s="7" t="s">
        <v>1152</v>
      </c>
      <c r="C4398" s="8">
        <f>IFERROR(__xludf.DUMMYFUNCTION("SPLIT(B4398,""RM"")"),1390000.0)</f>
        <v>1390000</v>
      </c>
      <c r="D4398" s="7" t="s">
        <v>57</v>
      </c>
      <c r="E4398" s="7">
        <v>3.0</v>
      </c>
      <c r="F4398" s="7">
        <v>3.0</v>
      </c>
      <c r="G4398" s="7" t="s">
        <v>83</v>
      </c>
      <c r="H4398" s="7" t="s">
        <v>84</v>
      </c>
      <c r="I4398" s="7" t="s">
        <v>22</v>
      </c>
    </row>
    <row r="4399">
      <c r="A4399" s="7" t="s">
        <v>72</v>
      </c>
      <c r="B4399" s="7" t="s">
        <v>1349</v>
      </c>
      <c r="C4399" s="8">
        <f>IFERROR(__xludf.DUMMYFUNCTION("SPLIT(B4399,""RM"")"),1220000.0)</f>
        <v>1220000</v>
      </c>
      <c r="D4399" s="7">
        <v>3.0</v>
      </c>
      <c r="E4399" s="7">
        <v>3.0</v>
      </c>
      <c r="F4399" s="7">
        <v>2.0</v>
      </c>
      <c r="G4399" s="7" t="s">
        <v>93</v>
      </c>
      <c r="H4399" s="7" t="s">
        <v>1900</v>
      </c>
      <c r="I4399" s="7" t="s">
        <v>22</v>
      </c>
    </row>
    <row r="4400">
      <c r="A4400" s="7" t="s">
        <v>72</v>
      </c>
      <c r="B4400" s="7" t="s">
        <v>1349</v>
      </c>
      <c r="C4400" s="8">
        <f>IFERROR(__xludf.DUMMYFUNCTION("SPLIT(B4400,""RM"")"),1220000.0)</f>
        <v>1220000</v>
      </c>
      <c r="D4400" s="7">
        <v>3.0</v>
      </c>
      <c r="E4400" s="7">
        <v>3.0</v>
      </c>
      <c r="F4400" s="7">
        <v>2.0</v>
      </c>
      <c r="G4400" s="7" t="s">
        <v>93</v>
      </c>
      <c r="H4400" s="7" t="s">
        <v>360</v>
      </c>
      <c r="I4400" s="7" t="s">
        <v>22</v>
      </c>
    </row>
    <row r="4401">
      <c r="A4401" s="7" t="s">
        <v>72</v>
      </c>
      <c r="B4401" s="7" t="s">
        <v>243</v>
      </c>
      <c r="C4401" s="8">
        <f>IFERROR(__xludf.DUMMYFUNCTION("SPLIT(B4401,""RM"")"),1350000.0)</f>
        <v>1350000</v>
      </c>
      <c r="D4401" s="7" t="s">
        <v>57</v>
      </c>
      <c r="E4401" s="7">
        <v>3.0</v>
      </c>
      <c r="G4401" s="7" t="s">
        <v>83</v>
      </c>
      <c r="H4401" s="7" t="s">
        <v>84</v>
      </c>
      <c r="I4401" s="7" t="s">
        <v>22</v>
      </c>
    </row>
    <row r="4402">
      <c r="A4402" s="7" t="s">
        <v>72</v>
      </c>
      <c r="B4402" s="7" t="s">
        <v>279</v>
      </c>
      <c r="C4402" s="8">
        <f>IFERROR(__xludf.DUMMYFUNCTION("SPLIT(B4402,""RM"")"),1380000.0)</f>
        <v>1380000</v>
      </c>
      <c r="D4402" s="7">
        <v>3.0</v>
      </c>
      <c r="E4402" s="7">
        <v>3.0</v>
      </c>
      <c r="G4402" s="7" t="s">
        <v>30</v>
      </c>
      <c r="H4402" s="7" t="s">
        <v>427</v>
      </c>
      <c r="I4402" s="7" t="s">
        <v>22</v>
      </c>
    </row>
    <row r="4403">
      <c r="A4403" s="7" t="s">
        <v>72</v>
      </c>
      <c r="B4403" s="7" t="s">
        <v>81</v>
      </c>
      <c r="C4403" s="8">
        <f>IFERROR(__xludf.DUMMYFUNCTION("SPLIT(B4403,""RM"")"),1550000.0)</f>
        <v>1550000</v>
      </c>
      <c r="D4403" s="7" t="s">
        <v>35</v>
      </c>
      <c r="E4403" s="7">
        <v>4.0</v>
      </c>
      <c r="F4403" s="7">
        <v>2.0</v>
      </c>
      <c r="G4403" s="7" t="s">
        <v>30</v>
      </c>
      <c r="H4403" s="7" t="s">
        <v>2709</v>
      </c>
      <c r="I4403" s="7" t="s">
        <v>27</v>
      </c>
    </row>
    <row r="4404">
      <c r="A4404" s="7" t="s">
        <v>72</v>
      </c>
      <c r="B4404" s="7" t="s">
        <v>2710</v>
      </c>
      <c r="C4404" s="8">
        <f>IFERROR(__xludf.DUMMYFUNCTION("SPLIT(B4404,""RM"")"),2828280.0)</f>
        <v>2828280</v>
      </c>
      <c r="D4404" s="7" t="s">
        <v>35</v>
      </c>
      <c r="E4404" s="7">
        <v>5.0</v>
      </c>
      <c r="G4404" s="7" t="s">
        <v>83</v>
      </c>
      <c r="H4404" s="7" t="s">
        <v>2711</v>
      </c>
      <c r="I4404" s="7" t="s">
        <v>22</v>
      </c>
    </row>
    <row r="4405">
      <c r="A4405" s="7" t="s">
        <v>72</v>
      </c>
      <c r="B4405" s="7" t="s">
        <v>403</v>
      </c>
      <c r="C4405" s="8">
        <f>IFERROR(__xludf.DUMMYFUNCTION("SPLIT(B4405,""RM"")"),1600000.0)</f>
        <v>1600000</v>
      </c>
      <c r="D4405" s="7" t="s">
        <v>57</v>
      </c>
      <c r="E4405" s="7">
        <v>3.0</v>
      </c>
      <c r="F4405" s="7">
        <v>2.0</v>
      </c>
      <c r="G4405" s="7" t="s">
        <v>30</v>
      </c>
      <c r="H4405" s="7" t="s">
        <v>2709</v>
      </c>
      <c r="I4405" s="7" t="s">
        <v>27</v>
      </c>
    </row>
    <row r="4406">
      <c r="A4406" s="7" t="s">
        <v>428</v>
      </c>
      <c r="B4406" s="7" t="s">
        <v>125</v>
      </c>
      <c r="C4406" s="8">
        <f>IFERROR(__xludf.DUMMYFUNCTION("SPLIT(B4406,""RM"")"),2300000.0)</f>
        <v>2300000</v>
      </c>
      <c r="D4406" s="7">
        <v>5.0</v>
      </c>
      <c r="E4406" s="7">
        <v>3.0</v>
      </c>
      <c r="G4406" s="7" t="s">
        <v>43</v>
      </c>
      <c r="H4406" s="7" t="s">
        <v>775</v>
      </c>
    </row>
    <row r="4407">
      <c r="A4407" s="7" t="s">
        <v>428</v>
      </c>
      <c r="B4407" s="7" t="s">
        <v>165</v>
      </c>
      <c r="C4407" s="8">
        <f>IFERROR(__xludf.DUMMYFUNCTION("SPLIT(B4407,""RM"")"),3500000.0)</f>
        <v>3500000</v>
      </c>
      <c r="D4407" s="7" t="s">
        <v>60</v>
      </c>
      <c r="E4407" s="7">
        <v>7.0</v>
      </c>
      <c r="G4407" s="7" t="s">
        <v>67</v>
      </c>
      <c r="H4407" s="7" t="s">
        <v>1764</v>
      </c>
    </row>
    <row r="4408">
      <c r="A4408" s="7" t="s">
        <v>148</v>
      </c>
      <c r="B4408" s="7" t="s">
        <v>227</v>
      </c>
      <c r="C4408" s="8">
        <f>IFERROR(__xludf.DUMMYFUNCTION("SPLIT(B4408,""RM"")"),2850000.0)</f>
        <v>2850000</v>
      </c>
      <c r="D4408" s="7" t="s">
        <v>35</v>
      </c>
      <c r="E4408" s="7">
        <v>5.0</v>
      </c>
      <c r="G4408" s="7" t="s">
        <v>25</v>
      </c>
      <c r="H4408" s="7" t="s">
        <v>631</v>
      </c>
    </row>
    <row r="4409">
      <c r="A4409" s="7" t="s">
        <v>148</v>
      </c>
      <c r="B4409" s="7" t="s">
        <v>403</v>
      </c>
      <c r="C4409" s="8">
        <f>IFERROR(__xludf.DUMMYFUNCTION("SPLIT(B4409,""RM"")"),1600000.0)</f>
        <v>1600000</v>
      </c>
      <c r="G4409" s="7" t="s">
        <v>1453</v>
      </c>
      <c r="H4409" s="7" t="s">
        <v>430</v>
      </c>
    </row>
    <row r="4410">
      <c r="A4410" s="7" t="s">
        <v>32</v>
      </c>
      <c r="B4410" s="7" t="s">
        <v>361</v>
      </c>
      <c r="C4410" s="8">
        <f>IFERROR(__xludf.DUMMYFUNCTION("SPLIT(B4410,""RM"")"),530000.0)</f>
        <v>530000</v>
      </c>
      <c r="D4410" s="7">
        <v>3.0</v>
      </c>
      <c r="E4410" s="7">
        <v>2.0</v>
      </c>
      <c r="G4410" s="7" t="s">
        <v>20</v>
      </c>
      <c r="H4410" s="7" t="s">
        <v>2712</v>
      </c>
      <c r="I4410" s="7" t="s">
        <v>27</v>
      </c>
    </row>
    <row r="4411">
      <c r="A4411" s="7" t="s">
        <v>17</v>
      </c>
      <c r="B4411" s="7" t="s">
        <v>296</v>
      </c>
      <c r="C4411" s="8">
        <f>IFERROR(__xludf.DUMMYFUNCTION("SPLIT(B4411,""RM"")"),2580000.0)</f>
        <v>2580000</v>
      </c>
      <c r="D4411" s="7" t="s">
        <v>35</v>
      </c>
      <c r="E4411" s="7">
        <v>4.0</v>
      </c>
      <c r="G4411" s="7" t="s">
        <v>83</v>
      </c>
      <c r="H4411" s="7" t="s">
        <v>2713</v>
      </c>
      <c r="I4411" s="7" t="s">
        <v>27</v>
      </c>
    </row>
    <row r="4412">
      <c r="A4412" s="7" t="s">
        <v>32</v>
      </c>
      <c r="B4412" s="7" t="s">
        <v>1978</v>
      </c>
      <c r="C4412" s="8">
        <f>IFERROR(__xludf.DUMMYFUNCTION("SPLIT(B4412,""RM"")"),475000.0)</f>
        <v>475000</v>
      </c>
      <c r="D4412" s="7">
        <v>2.0</v>
      </c>
      <c r="E4412" s="7">
        <v>2.0</v>
      </c>
      <c r="G4412" s="7" t="s">
        <v>20</v>
      </c>
      <c r="H4412" s="7" t="s">
        <v>1884</v>
      </c>
      <c r="I4412" s="7" t="s">
        <v>22</v>
      </c>
    </row>
    <row r="4413">
      <c r="A4413" s="7" t="s">
        <v>32</v>
      </c>
      <c r="B4413" s="7" t="s">
        <v>1267</v>
      </c>
      <c r="C4413" s="8">
        <f>IFERROR(__xludf.DUMMYFUNCTION("SPLIT(B4413,""RM"")"),648000.0)</f>
        <v>648000</v>
      </c>
      <c r="D4413" s="7">
        <v>3.0</v>
      </c>
      <c r="E4413" s="7">
        <v>2.0</v>
      </c>
      <c r="G4413" s="7" t="s">
        <v>20</v>
      </c>
      <c r="H4413" s="7" t="s">
        <v>1973</v>
      </c>
      <c r="I4413" s="7" t="s">
        <v>27</v>
      </c>
    </row>
    <row r="4414">
      <c r="A4414" s="7" t="s">
        <v>180</v>
      </c>
      <c r="B4414" s="7" t="s">
        <v>277</v>
      </c>
      <c r="C4414" s="8">
        <f>IFERROR(__xludf.DUMMYFUNCTION("SPLIT(B4414,""RM"")"),2200000.0)</f>
        <v>2200000</v>
      </c>
      <c r="D4414" s="7" t="s">
        <v>35</v>
      </c>
      <c r="E4414" s="7">
        <v>4.0</v>
      </c>
      <c r="G4414" s="7" t="s">
        <v>83</v>
      </c>
      <c r="H4414" s="7" t="s">
        <v>2714</v>
      </c>
      <c r="I4414" s="7" t="s">
        <v>22</v>
      </c>
    </row>
    <row r="4415">
      <c r="A4415" s="7" t="s">
        <v>17</v>
      </c>
      <c r="B4415" s="7" t="s">
        <v>2715</v>
      </c>
      <c r="C4415" s="8">
        <f>IFERROR(__xludf.DUMMYFUNCTION("SPLIT(B4415,""RM"")"),1967750.0)</f>
        <v>1967750</v>
      </c>
      <c r="D4415" s="7" t="s">
        <v>57</v>
      </c>
      <c r="E4415" s="7">
        <v>3.0</v>
      </c>
      <c r="G4415" s="7" t="s">
        <v>83</v>
      </c>
      <c r="H4415" s="7" t="s">
        <v>387</v>
      </c>
      <c r="I4415" s="7" t="s">
        <v>22</v>
      </c>
    </row>
    <row r="4416">
      <c r="A4416" s="7" t="s">
        <v>17</v>
      </c>
      <c r="B4416" s="7" t="s">
        <v>2716</v>
      </c>
      <c r="C4416" s="8">
        <f>IFERROR(__xludf.DUMMYFUNCTION("SPLIT(B4416,""RM"")"),1852000.0)</f>
        <v>1852000</v>
      </c>
      <c r="D4416" s="7" t="s">
        <v>57</v>
      </c>
      <c r="E4416" s="7">
        <v>3.0</v>
      </c>
      <c r="G4416" s="7" t="s">
        <v>83</v>
      </c>
      <c r="H4416" s="7" t="s">
        <v>387</v>
      </c>
      <c r="I4416" s="7" t="s">
        <v>22</v>
      </c>
    </row>
    <row r="4417">
      <c r="A4417" s="7" t="s">
        <v>52</v>
      </c>
      <c r="B4417" s="7" t="s">
        <v>2717</v>
      </c>
      <c r="C4417" s="8">
        <f>IFERROR(__xludf.DUMMYFUNCTION("SPLIT(B4417,""RM"")"),6090920.0)</f>
        <v>6090920</v>
      </c>
      <c r="D4417" s="7" t="s">
        <v>218</v>
      </c>
      <c r="E4417" s="7">
        <v>7.0</v>
      </c>
      <c r="G4417" s="7" t="s">
        <v>83</v>
      </c>
      <c r="H4417" s="7" t="s">
        <v>2718</v>
      </c>
      <c r="I4417" s="7" t="s">
        <v>27</v>
      </c>
    </row>
    <row r="4418">
      <c r="A4418" s="7" t="s">
        <v>52</v>
      </c>
      <c r="B4418" s="7" t="s">
        <v>2719</v>
      </c>
      <c r="C4418" s="8">
        <f>IFERROR(__xludf.DUMMYFUNCTION("SPLIT(B4418,""RM"")"),3748080.0)</f>
        <v>3748080</v>
      </c>
      <c r="D4418" s="7" t="s">
        <v>57</v>
      </c>
      <c r="E4418" s="7">
        <v>5.0</v>
      </c>
      <c r="G4418" s="7" t="s">
        <v>83</v>
      </c>
      <c r="H4418" s="7" t="s">
        <v>1773</v>
      </c>
      <c r="I4418" s="7" t="s">
        <v>27</v>
      </c>
    </row>
    <row r="4419">
      <c r="A4419" s="7" t="s">
        <v>52</v>
      </c>
      <c r="B4419" s="7" t="s">
        <v>2720</v>
      </c>
      <c r="C4419" s="8">
        <f>IFERROR(__xludf.DUMMYFUNCTION("SPLIT(B4419,""RM"")"),3963960.0)</f>
        <v>3963960</v>
      </c>
      <c r="D4419" s="7" t="s">
        <v>57</v>
      </c>
      <c r="E4419" s="7">
        <v>5.0</v>
      </c>
      <c r="G4419" s="7" t="s">
        <v>83</v>
      </c>
      <c r="H4419" s="7" t="s">
        <v>2721</v>
      </c>
      <c r="I4419" s="7" t="s">
        <v>22</v>
      </c>
    </row>
    <row r="4420">
      <c r="A4420" s="7" t="s">
        <v>17</v>
      </c>
      <c r="B4420" s="7" t="s">
        <v>2722</v>
      </c>
      <c r="C4420" s="8">
        <f>IFERROR(__xludf.DUMMYFUNCTION("SPLIT(B4420,""RM"")"),3990000.0)</f>
        <v>3990000</v>
      </c>
      <c r="D4420" s="7" t="s">
        <v>35</v>
      </c>
      <c r="E4420" s="7">
        <v>5.0</v>
      </c>
      <c r="G4420" s="7" t="s">
        <v>83</v>
      </c>
      <c r="H4420" s="7" t="s">
        <v>2723</v>
      </c>
      <c r="I4420" s="7" t="s">
        <v>27</v>
      </c>
    </row>
    <row r="4421">
      <c r="A4421" s="7" t="s">
        <v>180</v>
      </c>
      <c r="B4421" s="7" t="s">
        <v>658</v>
      </c>
      <c r="C4421" s="8">
        <f>IFERROR(__xludf.DUMMYFUNCTION("SPLIT(B4421,""RM"")"),2650000.0)</f>
        <v>2650000</v>
      </c>
      <c r="D4421" s="7" t="s">
        <v>57</v>
      </c>
      <c r="E4421" s="7">
        <v>4.0</v>
      </c>
      <c r="G4421" s="7" t="s">
        <v>20</v>
      </c>
      <c r="H4421" s="7" t="s">
        <v>2724</v>
      </c>
      <c r="I4421" s="7" t="s">
        <v>27</v>
      </c>
    </row>
    <row r="4422">
      <c r="A4422" s="7" t="s">
        <v>52</v>
      </c>
      <c r="B4422" s="7" t="s">
        <v>2725</v>
      </c>
      <c r="C4422" s="8">
        <f>IFERROR(__xludf.DUMMYFUNCTION("SPLIT(B4422,""RM"")"),6331500.0)</f>
        <v>6331500</v>
      </c>
      <c r="D4422" s="7" t="s">
        <v>39</v>
      </c>
      <c r="E4422" s="7">
        <v>6.0</v>
      </c>
      <c r="G4422" s="7" t="s">
        <v>83</v>
      </c>
      <c r="H4422" s="7" t="s">
        <v>2726</v>
      </c>
      <c r="I4422" s="7" t="s">
        <v>22</v>
      </c>
    </row>
    <row r="4423">
      <c r="A4423" s="7" t="s">
        <v>17</v>
      </c>
      <c r="B4423" s="7" t="s">
        <v>2727</v>
      </c>
      <c r="C4423" s="8">
        <f>IFERROR(__xludf.DUMMYFUNCTION("SPLIT(B4423,""RM"")"),2810000.0)</f>
        <v>2810000</v>
      </c>
      <c r="D4423" s="7" t="s">
        <v>35</v>
      </c>
      <c r="E4423" s="7">
        <v>6.0</v>
      </c>
      <c r="G4423" s="7" t="s">
        <v>83</v>
      </c>
      <c r="H4423" s="7" t="s">
        <v>2634</v>
      </c>
      <c r="I4423" s="7" t="s">
        <v>27</v>
      </c>
    </row>
    <row r="4424">
      <c r="A4424" s="7" t="s">
        <v>17</v>
      </c>
      <c r="B4424" s="7" t="s">
        <v>2574</v>
      </c>
      <c r="C4424" s="8">
        <f>IFERROR(__xludf.DUMMYFUNCTION("SPLIT(B4424,""RM"")"),4350000.0)</f>
        <v>4350000</v>
      </c>
      <c r="D4424" s="7" t="s">
        <v>57</v>
      </c>
      <c r="E4424" s="7">
        <v>5.0</v>
      </c>
      <c r="G4424" s="7" t="s">
        <v>83</v>
      </c>
      <c r="H4424" s="7" t="s">
        <v>150</v>
      </c>
      <c r="I4424" s="7" t="s">
        <v>27</v>
      </c>
    </row>
    <row r="4425">
      <c r="A4425" s="7" t="s">
        <v>52</v>
      </c>
      <c r="B4425" s="7" t="s">
        <v>175</v>
      </c>
      <c r="C4425" s="8">
        <f>IFERROR(__xludf.DUMMYFUNCTION("SPLIT(B4425,""RM"")"),2180000.0)</f>
        <v>2180000</v>
      </c>
      <c r="D4425" s="7" t="s">
        <v>57</v>
      </c>
      <c r="E4425" s="7">
        <v>4.0</v>
      </c>
      <c r="G4425" s="7" t="s">
        <v>83</v>
      </c>
      <c r="H4425" s="7" t="s">
        <v>2728</v>
      </c>
      <c r="I4425" s="7" t="s">
        <v>22</v>
      </c>
    </row>
    <row r="4426">
      <c r="A4426" s="7" t="s">
        <v>52</v>
      </c>
      <c r="B4426" s="7" t="s">
        <v>2729</v>
      </c>
      <c r="C4426" s="8">
        <f>IFERROR(__xludf.DUMMYFUNCTION("SPLIT(B4426,""RM"")"),2357000.0)</f>
        <v>2357000</v>
      </c>
      <c r="D4426" s="7" t="s">
        <v>57</v>
      </c>
      <c r="E4426" s="7">
        <v>4.0</v>
      </c>
      <c r="G4426" s="7" t="s">
        <v>83</v>
      </c>
      <c r="H4426" s="7" t="s">
        <v>2730</v>
      </c>
      <c r="I4426" s="7" t="s">
        <v>27</v>
      </c>
    </row>
    <row r="4427">
      <c r="A4427" s="7" t="s">
        <v>17</v>
      </c>
      <c r="B4427" s="7" t="s">
        <v>2731</v>
      </c>
      <c r="C4427" s="8">
        <f>IFERROR(__xludf.DUMMYFUNCTION("SPLIT(B4427,""RM"")"),3513000.0)</f>
        <v>3513000</v>
      </c>
      <c r="D4427" s="7" t="s">
        <v>57</v>
      </c>
      <c r="E4427" s="7">
        <v>5.0</v>
      </c>
      <c r="G4427" s="7" t="s">
        <v>20</v>
      </c>
      <c r="H4427" s="7" t="s">
        <v>1609</v>
      </c>
      <c r="I4427" s="7" t="s">
        <v>27</v>
      </c>
    </row>
    <row r="4428">
      <c r="A4428" s="7" t="s">
        <v>17</v>
      </c>
      <c r="B4428" s="7" t="s">
        <v>73</v>
      </c>
      <c r="C4428" s="8">
        <f>IFERROR(__xludf.DUMMYFUNCTION("SPLIT(B4428,""RM"")"),1780000.0)</f>
        <v>1780000</v>
      </c>
      <c r="D4428" s="7">
        <v>2.0</v>
      </c>
      <c r="E4428" s="7">
        <v>3.0</v>
      </c>
      <c r="G4428" s="7" t="s">
        <v>20</v>
      </c>
      <c r="H4428" s="7" t="s">
        <v>2732</v>
      </c>
      <c r="I4428" s="7" t="s">
        <v>22</v>
      </c>
    </row>
    <row r="4429">
      <c r="A4429" s="7" t="s">
        <v>17</v>
      </c>
      <c r="B4429" s="7" t="s">
        <v>2733</v>
      </c>
      <c r="C4429" s="8">
        <f>IFERROR(__xludf.DUMMYFUNCTION("SPLIT(B4429,""RM"")"),4041100.0)</f>
        <v>4041100</v>
      </c>
      <c r="D4429" s="7" t="s">
        <v>57</v>
      </c>
      <c r="E4429" s="7">
        <v>5.0</v>
      </c>
      <c r="G4429" s="7" t="s">
        <v>20</v>
      </c>
      <c r="H4429" s="7" t="s">
        <v>1672</v>
      </c>
      <c r="I4429" s="7" t="s">
        <v>27</v>
      </c>
    </row>
    <row r="4430">
      <c r="A4430" s="7" t="s">
        <v>17</v>
      </c>
      <c r="B4430" s="7" t="s">
        <v>2734</v>
      </c>
      <c r="C4430" s="8">
        <f>IFERROR(__xludf.DUMMYFUNCTION("SPLIT(B4430,""RM"")"),1979250.0)</f>
        <v>1979250</v>
      </c>
      <c r="D4430" s="7" t="s">
        <v>19</v>
      </c>
      <c r="E4430" s="7">
        <v>3.0</v>
      </c>
      <c r="G4430" s="7" t="s">
        <v>20</v>
      </c>
      <c r="H4430" s="7" t="s">
        <v>2735</v>
      </c>
    </row>
    <row r="4431">
      <c r="A4431" s="7" t="s">
        <v>17</v>
      </c>
      <c r="B4431" s="7" t="s">
        <v>2736</v>
      </c>
      <c r="C4431" s="8">
        <f>IFERROR(__xludf.DUMMYFUNCTION("SPLIT(B4431,""RM"")"),2655400.0)</f>
        <v>2655400</v>
      </c>
      <c r="D4431" s="7" t="s">
        <v>57</v>
      </c>
      <c r="E4431" s="7">
        <v>5.0</v>
      </c>
      <c r="G4431" s="7" t="s">
        <v>20</v>
      </c>
      <c r="H4431" s="7" t="s">
        <v>2737</v>
      </c>
      <c r="I4431" s="7" t="s">
        <v>27</v>
      </c>
    </row>
    <row r="4432">
      <c r="A4432" s="7" t="s">
        <v>17</v>
      </c>
      <c r="B4432" s="7" t="s">
        <v>921</v>
      </c>
      <c r="C4432" s="8">
        <f>IFERROR(__xludf.DUMMYFUNCTION("SPLIT(B4432,""RM"")"),2990000.0)</f>
        <v>2990000</v>
      </c>
      <c r="D4432" s="7" t="s">
        <v>57</v>
      </c>
      <c r="E4432" s="7">
        <v>5.0</v>
      </c>
      <c r="G4432" s="7" t="s">
        <v>20</v>
      </c>
      <c r="H4432" s="7" t="s">
        <v>340</v>
      </c>
      <c r="I4432" s="7" t="s">
        <v>22</v>
      </c>
    </row>
    <row r="4433">
      <c r="A4433" s="7" t="s">
        <v>17</v>
      </c>
      <c r="B4433" s="7" t="s">
        <v>2738</v>
      </c>
      <c r="C4433" s="8">
        <f>IFERROR(__xludf.DUMMYFUNCTION("SPLIT(B4433,""RM"")"),2473000.0)</f>
        <v>2473000</v>
      </c>
      <c r="D4433" s="7" t="s">
        <v>79</v>
      </c>
      <c r="E4433" s="7">
        <v>4.0</v>
      </c>
      <c r="G4433" s="7" t="s">
        <v>20</v>
      </c>
      <c r="H4433" s="7" t="s">
        <v>2739</v>
      </c>
    </row>
    <row r="4434">
      <c r="A4434" s="7" t="s">
        <v>171</v>
      </c>
      <c r="B4434" s="7" t="s">
        <v>761</v>
      </c>
      <c r="C4434" s="8">
        <f>IFERROR(__xludf.DUMMYFUNCTION("SPLIT(B4434,""RM"")"),480000.0)</f>
        <v>480000</v>
      </c>
      <c r="D4434" s="7">
        <v>3.0</v>
      </c>
      <c r="E4434" s="7">
        <v>2.0</v>
      </c>
      <c r="F4434" s="7">
        <v>2.0</v>
      </c>
      <c r="G4434" s="7" t="s">
        <v>83</v>
      </c>
      <c r="H4434" s="7" t="s">
        <v>2740</v>
      </c>
    </row>
    <row r="4435">
      <c r="A4435" s="7" t="s">
        <v>52</v>
      </c>
      <c r="B4435" s="7" t="s">
        <v>2741</v>
      </c>
      <c r="C4435" s="8">
        <f>IFERROR(__xludf.DUMMYFUNCTION("SPLIT(B4435,""RM"")"),9496000.0)</f>
        <v>9496000</v>
      </c>
      <c r="D4435" s="7" t="s">
        <v>39</v>
      </c>
      <c r="E4435" s="7">
        <v>7.0</v>
      </c>
      <c r="G4435" s="7" t="s">
        <v>83</v>
      </c>
      <c r="H4435" s="7" t="s">
        <v>2742</v>
      </c>
      <c r="I4435" s="7" t="s">
        <v>27</v>
      </c>
    </row>
    <row r="4436">
      <c r="A4436" s="7" t="s">
        <v>52</v>
      </c>
      <c r="B4436" s="7" t="s">
        <v>2743</v>
      </c>
      <c r="C4436" s="8">
        <f>IFERROR(__xludf.DUMMYFUNCTION("SPLIT(B4436,""RM"")"),4996950.0)</f>
        <v>4996950</v>
      </c>
      <c r="D4436" s="7" t="s">
        <v>39</v>
      </c>
      <c r="E4436" s="7">
        <v>6.0</v>
      </c>
      <c r="G4436" s="7" t="s">
        <v>83</v>
      </c>
      <c r="H4436" s="7" t="s">
        <v>2744</v>
      </c>
      <c r="I4436" s="7" t="s">
        <v>27</v>
      </c>
    </row>
    <row r="4437">
      <c r="A4437" s="7" t="s">
        <v>77</v>
      </c>
      <c r="B4437" s="7" t="s">
        <v>479</v>
      </c>
      <c r="C4437" s="8">
        <f>IFERROR(__xludf.DUMMYFUNCTION("SPLIT(B4437,""RM"")"),5500000.0)</f>
        <v>5500000</v>
      </c>
      <c r="D4437" s="7" t="s">
        <v>70</v>
      </c>
      <c r="E4437" s="7">
        <v>6.0</v>
      </c>
      <c r="F4437" s="7">
        <v>3.0</v>
      </c>
      <c r="G4437" s="7" t="s">
        <v>64</v>
      </c>
      <c r="H4437" s="7" t="s">
        <v>2745</v>
      </c>
      <c r="I4437" s="7" t="s">
        <v>27</v>
      </c>
    </row>
    <row r="4438">
      <c r="A4438" s="7" t="s">
        <v>77</v>
      </c>
      <c r="B4438" s="7" t="s">
        <v>1060</v>
      </c>
      <c r="C4438" s="8">
        <f>IFERROR(__xludf.DUMMYFUNCTION("SPLIT(B4438,""RM"")"),5300000.0)</f>
        <v>5300000</v>
      </c>
      <c r="D4438" s="7" t="s">
        <v>35</v>
      </c>
      <c r="E4438" s="7">
        <v>5.0</v>
      </c>
      <c r="F4438" s="7">
        <v>3.0</v>
      </c>
      <c r="G4438" s="7" t="s">
        <v>64</v>
      </c>
      <c r="H4438" s="7" t="s">
        <v>1083</v>
      </c>
      <c r="I4438" s="7" t="s">
        <v>27</v>
      </c>
    </row>
    <row r="4439">
      <c r="A4439" s="7" t="s">
        <v>77</v>
      </c>
      <c r="B4439" s="7" t="s">
        <v>2746</v>
      </c>
      <c r="C4439" s="8">
        <f>IFERROR(__xludf.DUMMYFUNCTION("SPLIT(B4439,""RM"")"),4626300.0)</f>
        <v>4626300</v>
      </c>
      <c r="G4439" s="7" t="s">
        <v>1804</v>
      </c>
      <c r="H4439" s="7" t="s">
        <v>1846</v>
      </c>
      <c r="I4439" s="7" t="s">
        <v>103</v>
      </c>
    </row>
    <row r="4440">
      <c r="A4440" s="7" t="s">
        <v>77</v>
      </c>
      <c r="B4440" s="7" t="s">
        <v>783</v>
      </c>
      <c r="C4440" s="8">
        <f>IFERROR(__xludf.DUMMYFUNCTION("SPLIT(B4440,""RM"")"),8200000.0)</f>
        <v>8200000</v>
      </c>
      <c r="D4440" s="7" t="s">
        <v>60</v>
      </c>
      <c r="E4440" s="7">
        <v>6.0</v>
      </c>
      <c r="F4440" s="7">
        <v>4.0</v>
      </c>
      <c r="G4440" s="7" t="s">
        <v>61</v>
      </c>
      <c r="H4440" s="7" t="s">
        <v>2747</v>
      </c>
      <c r="I4440" s="7" t="s">
        <v>27</v>
      </c>
    </row>
    <row r="4441">
      <c r="A4441" s="7" t="s">
        <v>77</v>
      </c>
      <c r="B4441" s="7" t="s">
        <v>2748</v>
      </c>
      <c r="C4441" s="8">
        <f>IFERROR(__xludf.DUMMYFUNCTION("SPLIT(B4441,""RM"")"),5149300.0)</f>
        <v>5149300</v>
      </c>
      <c r="G4441" s="7" t="s">
        <v>1804</v>
      </c>
      <c r="H4441" s="7" t="s">
        <v>2749</v>
      </c>
      <c r="I4441" s="7" t="s">
        <v>103</v>
      </c>
    </row>
    <row r="4442">
      <c r="A4442" s="7" t="s">
        <v>77</v>
      </c>
      <c r="B4442" s="7" t="s">
        <v>1053</v>
      </c>
      <c r="C4442" s="8">
        <f>IFERROR(__xludf.DUMMYFUNCTION("SPLIT(B4442,""RM"")"),7150000.0)</f>
        <v>7150000</v>
      </c>
      <c r="G4442" s="7" t="s">
        <v>1804</v>
      </c>
      <c r="H4442" s="7" t="s">
        <v>2750</v>
      </c>
      <c r="I4442" s="7" t="s">
        <v>103</v>
      </c>
    </row>
    <row r="4443">
      <c r="A4443" s="7" t="s">
        <v>77</v>
      </c>
      <c r="B4443" s="7" t="s">
        <v>2751</v>
      </c>
      <c r="C4443" s="8">
        <f>IFERROR(__xludf.DUMMYFUNCTION("SPLIT(B4443,""RM"")"),6065800.0)</f>
        <v>6065800</v>
      </c>
      <c r="G4443" s="7" t="s">
        <v>1204</v>
      </c>
      <c r="H4443" s="7" t="s">
        <v>2752</v>
      </c>
      <c r="I4443" s="7" t="s">
        <v>103</v>
      </c>
    </row>
    <row r="4444">
      <c r="A4444" s="7" t="s">
        <v>77</v>
      </c>
      <c r="B4444" s="7" t="s">
        <v>2753</v>
      </c>
      <c r="C4444" s="8">
        <f>IFERROR(__xludf.DUMMYFUNCTION("SPLIT(B4444,""RM"")"),5799950.0)</f>
        <v>5799950</v>
      </c>
      <c r="G4444" s="7" t="s">
        <v>1204</v>
      </c>
      <c r="H4444" s="7" t="s">
        <v>2754</v>
      </c>
      <c r="I4444" s="7" t="s">
        <v>103</v>
      </c>
    </row>
    <row r="4445">
      <c r="A4445" s="7" t="s">
        <v>171</v>
      </c>
      <c r="B4445" s="7" t="s">
        <v>974</v>
      </c>
      <c r="C4445" s="8">
        <f>IFERROR(__xludf.DUMMYFUNCTION("SPLIT(B4445,""RM"")"),488000.0)</f>
        <v>488000</v>
      </c>
      <c r="D4445" s="7">
        <v>3.0</v>
      </c>
      <c r="E4445" s="7">
        <v>2.0</v>
      </c>
      <c r="F4445" s="7">
        <v>2.0</v>
      </c>
      <c r="G4445" s="7" t="s">
        <v>83</v>
      </c>
      <c r="H4445" s="7" t="s">
        <v>747</v>
      </c>
      <c r="I4445" s="7" t="s">
        <v>27</v>
      </c>
    </row>
    <row r="4446">
      <c r="A4446" s="7" t="s">
        <v>171</v>
      </c>
      <c r="B4446" s="7" t="s">
        <v>268</v>
      </c>
      <c r="C4446" s="8">
        <f>IFERROR(__xludf.DUMMYFUNCTION("SPLIT(B4446,""RM"")"),500000.0)</f>
        <v>500000</v>
      </c>
      <c r="D4446" s="7">
        <v>3.0</v>
      </c>
      <c r="E4446" s="7">
        <v>2.0</v>
      </c>
      <c r="F4446" s="7">
        <v>2.0</v>
      </c>
      <c r="G4446" s="7" t="s">
        <v>83</v>
      </c>
      <c r="H4446" s="7" t="s">
        <v>747</v>
      </c>
    </row>
    <row r="4447">
      <c r="A4447" s="7" t="s">
        <v>371</v>
      </c>
      <c r="B4447" s="7" t="s">
        <v>168</v>
      </c>
      <c r="C4447" s="8">
        <f>IFERROR(__xludf.DUMMYFUNCTION("SPLIT(B4447,""RM"")"),750000.0)</f>
        <v>750000</v>
      </c>
      <c r="D4447" s="7">
        <v>3.0</v>
      </c>
      <c r="E4447" s="7">
        <v>2.0</v>
      </c>
      <c r="F4447" s="7">
        <v>2.0</v>
      </c>
      <c r="G4447" s="7" t="s">
        <v>30</v>
      </c>
      <c r="H4447" s="7" t="s">
        <v>1878</v>
      </c>
      <c r="I4447" s="7" t="s">
        <v>27</v>
      </c>
    </row>
    <row r="4448">
      <c r="A4448" s="7" t="s">
        <v>77</v>
      </c>
      <c r="B4448" s="7" t="s">
        <v>1038</v>
      </c>
      <c r="C4448" s="8">
        <f>IFERROR(__xludf.DUMMYFUNCTION("SPLIT(B4448,""RM"")"),6200000.0)</f>
        <v>6200000</v>
      </c>
      <c r="D4448" s="7" t="s">
        <v>60</v>
      </c>
      <c r="E4448" s="7">
        <v>5.0</v>
      </c>
      <c r="F4448" s="7">
        <v>4.0</v>
      </c>
      <c r="G4448" s="7" t="s">
        <v>61</v>
      </c>
      <c r="H4448" s="7" t="s">
        <v>2755</v>
      </c>
      <c r="I4448" s="7" t="s">
        <v>27</v>
      </c>
    </row>
    <row r="4449">
      <c r="A4449" s="7" t="s">
        <v>72</v>
      </c>
      <c r="B4449" s="7" t="s">
        <v>386</v>
      </c>
      <c r="C4449" s="8">
        <f>IFERROR(__xludf.DUMMYFUNCTION("SPLIT(B4449,""RM"")"),2380000.0)</f>
        <v>2380000</v>
      </c>
      <c r="D4449" s="7" t="s">
        <v>57</v>
      </c>
      <c r="E4449" s="7">
        <v>4.0</v>
      </c>
      <c r="F4449" s="7">
        <v>3.0</v>
      </c>
      <c r="G4449" s="7" t="s">
        <v>30</v>
      </c>
      <c r="H4449" s="7" t="s">
        <v>561</v>
      </c>
      <c r="I4449" s="7" t="s">
        <v>27</v>
      </c>
    </row>
    <row r="4450">
      <c r="A4450" s="7" t="s">
        <v>72</v>
      </c>
      <c r="B4450" s="7" t="s">
        <v>229</v>
      </c>
      <c r="C4450" s="8">
        <f>IFERROR(__xludf.DUMMYFUNCTION("SPLIT(B4450,""RM"")"),1050000.0)</f>
        <v>1050000</v>
      </c>
      <c r="D4450" s="7">
        <v>2.0</v>
      </c>
      <c r="E4450" s="7">
        <v>2.0</v>
      </c>
      <c r="F4450" s="7">
        <v>1.0</v>
      </c>
      <c r="G4450" s="7" t="s">
        <v>121</v>
      </c>
      <c r="H4450" s="7" t="s">
        <v>964</v>
      </c>
      <c r="I4450" s="7" t="s">
        <v>22</v>
      </c>
    </row>
    <row r="4451">
      <c r="A4451" s="7" t="s">
        <v>72</v>
      </c>
      <c r="B4451" s="7" t="s">
        <v>306</v>
      </c>
      <c r="C4451" s="8">
        <f>IFERROR(__xludf.DUMMYFUNCTION("SPLIT(B4451,""RM"")"),1990000.0)</f>
        <v>1990000</v>
      </c>
      <c r="D4451" s="7" t="s">
        <v>57</v>
      </c>
      <c r="E4451" s="7">
        <v>4.0</v>
      </c>
      <c r="F4451" s="7">
        <v>3.0</v>
      </c>
      <c r="G4451" s="7" t="s">
        <v>30</v>
      </c>
      <c r="H4451" s="7" t="s">
        <v>561</v>
      </c>
      <c r="I4451" s="7" t="s">
        <v>27</v>
      </c>
    </row>
    <row r="4452">
      <c r="A4452" s="7" t="s">
        <v>180</v>
      </c>
      <c r="B4452" s="7" t="s">
        <v>399</v>
      </c>
      <c r="C4452" s="8">
        <f>IFERROR(__xludf.DUMMYFUNCTION("SPLIT(B4452,""RM"")"),1750000.0)</f>
        <v>1750000</v>
      </c>
      <c r="D4452" s="7" t="s">
        <v>19</v>
      </c>
      <c r="E4452" s="7">
        <v>2.0</v>
      </c>
      <c r="F4452" s="7">
        <v>1.0</v>
      </c>
      <c r="G4452" s="7" t="s">
        <v>121</v>
      </c>
      <c r="H4452" s="7" t="s">
        <v>1078</v>
      </c>
      <c r="I4452" s="7" t="s">
        <v>22</v>
      </c>
    </row>
    <row r="4453">
      <c r="A4453" s="7" t="s">
        <v>188</v>
      </c>
      <c r="B4453" s="7" t="s">
        <v>475</v>
      </c>
      <c r="C4453" s="8">
        <f>IFERROR(__xludf.DUMMYFUNCTION("SPLIT(B4453,""RM"")"),2800000.0)</f>
        <v>2800000</v>
      </c>
      <c r="D4453" s="7">
        <v>2.0</v>
      </c>
      <c r="E4453" s="7">
        <v>2.0</v>
      </c>
      <c r="F4453" s="7">
        <v>1.0</v>
      </c>
      <c r="G4453" s="7" t="s">
        <v>121</v>
      </c>
      <c r="H4453" s="7" t="s">
        <v>2522</v>
      </c>
      <c r="I4453" s="7" t="s">
        <v>22</v>
      </c>
    </row>
    <row r="4454">
      <c r="A4454" s="7" t="s">
        <v>37</v>
      </c>
      <c r="B4454" s="7" t="s">
        <v>327</v>
      </c>
      <c r="C4454" s="8">
        <f>IFERROR(__xludf.DUMMYFUNCTION("SPLIT(B4454,""RM"")"),1300000.0)</f>
        <v>1300000</v>
      </c>
      <c r="D4454" s="7" t="s">
        <v>57</v>
      </c>
      <c r="E4454" s="7">
        <v>3.0</v>
      </c>
      <c r="F4454" s="7">
        <v>2.0</v>
      </c>
      <c r="G4454" s="7" t="s">
        <v>30</v>
      </c>
      <c r="H4454" s="7" t="s">
        <v>2018</v>
      </c>
      <c r="I4454" s="7" t="s">
        <v>103</v>
      </c>
    </row>
    <row r="4455">
      <c r="A4455" s="7" t="s">
        <v>28</v>
      </c>
      <c r="B4455" s="7" t="s">
        <v>1328</v>
      </c>
      <c r="C4455" s="8">
        <f>IFERROR(__xludf.DUMMYFUNCTION("SPLIT(B4455,""RM"")"),650000.0)</f>
        <v>650000</v>
      </c>
      <c r="D4455" s="7">
        <v>3.0</v>
      </c>
      <c r="E4455" s="7">
        <v>3.0</v>
      </c>
      <c r="G4455" s="7" t="s">
        <v>30</v>
      </c>
      <c r="H4455" s="7" t="s">
        <v>823</v>
      </c>
      <c r="I4455" s="7" t="s">
        <v>27</v>
      </c>
    </row>
    <row r="4456">
      <c r="A4456" s="7" t="s">
        <v>104</v>
      </c>
      <c r="B4456" s="7" t="s">
        <v>1258</v>
      </c>
      <c r="C4456" s="8">
        <f>IFERROR(__xludf.DUMMYFUNCTION("SPLIT(B4456,""RM"")"),465000.0)</f>
        <v>465000</v>
      </c>
      <c r="D4456" s="7">
        <v>3.0</v>
      </c>
      <c r="E4456" s="7">
        <v>2.0</v>
      </c>
      <c r="F4456" s="7">
        <v>1.0</v>
      </c>
      <c r="G4456" s="7" t="s">
        <v>83</v>
      </c>
      <c r="H4456" s="7" t="s">
        <v>1178</v>
      </c>
    </row>
    <row r="4457">
      <c r="A4457" s="7" t="s">
        <v>32</v>
      </c>
      <c r="B4457" s="7" t="s">
        <v>172</v>
      </c>
      <c r="C4457" s="8">
        <f>IFERROR(__xludf.DUMMYFUNCTION("SPLIT(B4457,""RM"")"),580000.0)</f>
        <v>580000</v>
      </c>
      <c r="D4457" s="7" t="s">
        <v>19</v>
      </c>
      <c r="E4457" s="7">
        <v>2.0</v>
      </c>
      <c r="F4457" s="7">
        <v>1.0</v>
      </c>
      <c r="G4457" s="7" t="s">
        <v>20</v>
      </c>
      <c r="H4457" s="7" t="s">
        <v>976</v>
      </c>
      <c r="I4457" s="7" t="s">
        <v>27</v>
      </c>
    </row>
    <row r="4458">
      <c r="A4458" s="7" t="s">
        <v>37</v>
      </c>
      <c r="B4458" s="7" t="s">
        <v>34</v>
      </c>
      <c r="C4458" s="8">
        <f>IFERROR(__xludf.DUMMYFUNCTION("SPLIT(B4458,""RM"")"),900000.0)</f>
        <v>900000</v>
      </c>
      <c r="D4458" s="7">
        <v>3.0</v>
      </c>
      <c r="E4458" s="7">
        <v>2.0</v>
      </c>
      <c r="F4458" s="7">
        <v>1.0</v>
      </c>
      <c r="G4458" s="7" t="s">
        <v>83</v>
      </c>
      <c r="H4458" s="7" t="s">
        <v>471</v>
      </c>
      <c r="I4458" s="7" t="s">
        <v>27</v>
      </c>
    </row>
    <row r="4459">
      <c r="A4459" s="7" t="s">
        <v>37</v>
      </c>
      <c r="B4459" s="7" t="s">
        <v>327</v>
      </c>
      <c r="C4459" s="8">
        <f>IFERROR(__xludf.DUMMYFUNCTION("SPLIT(B4459,""RM"")"),1300000.0)</f>
        <v>1300000</v>
      </c>
      <c r="D4459" s="7" t="s">
        <v>79</v>
      </c>
      <c r="E4459" s="7">
        <v>2.0</v>
      </c>
      <c r="F4459" s="7">
        <v>1.0</v>
      </c>
      <c r="G4459" s="7" t="s">
        <v>83</v>
      </c>
      <c r="H4459" s="7" t="s">
        <v>1922</v>
      </c>
      <c r="I4459" s="7" t="s">
        <v>27</v>
      </c>
    </row>
    <row r="4460">
      <c r="A4460" s="7" t="s">
        <v>100</v>
      </c>
      <c r="B4460" s="7" t="s">
        <v>890</v>
      </c>
      <c r="C4460" s="8">
        <f>IFERROR(__xludf.DUMMYFUNCTION("SPLIT(B4460,""RM"")"),450000.0)</f>
        <v>450000</v>
      </c>
      <c r="D4460" s="7">
        <v>3.0</v>
      </c>
      <c r="E4460" s="7">
        <v>2.0</v>
      </c>
      <c r="G4460" s="7" t="s">
        <v>82</v>
      </c>
      <c r="H4460" s="7" t="s">
        <v>491</v>
      </c>
      <c r="I4460" s="7" t="s">
        <v>27</v>
      </c>
    </row>
    <row r="4461">
      <c r="A4461" s="7" t="s">
        <v>37</v>
      </c>
      <c r="B4461" s="7" t="s">
        <v>245</v>
      </c>
      <c r="C4461" s="8">
        <f>IFERROR(__xludf.DUMMYFUNCTION("SPLIT(B4461,""RM"")"),800000.0)</f>
        <v>800000</v>
      </c>
      <c r="D4461" s="7">
        <v>3.0</v>
      </c>
      <c r="E4461" s="7">
        <v>2.0</v>
      </c>
      <c r="F4461" s="7">
        <v>1.0</v>
      </c>
      <c r="G4461" s="7" t="s">
        <v>83</v>
      </c>
      <c r="H4461" s="7" t="s">
        <v>287</v>
      </c>
      <c r="I4461" s="7" t="s">
        <v>27</v>
      </c>
    </row>
    <row r="4462">
      <c r="A4462" s="7" t="s">
        <v>32</v>
      </c>
      <c r="B4462" s="7" t="s">
        <v>1784</v>
      </c>
      <c r="C4462" s="8">
        <f>IFERROR(__xludf.DUMMYFUNCTION("SPLIT(B4462,""RM"")"),295000.0)</f>
        <v>295000</v>
      </c>
      <c r="D4462" s="7">
        <v>1.0</v>
      </c>
      <c r="E4462" s="7">
        <v>1.0</v>
      </c>
      <c r="F4462" s="7">
        <v>1.0</v>
      </c>
      <c r="G4462" s="7" t="s">
        <v>30</v>
      </c>
      <c r="H4462" s="7" t="s">
        <v>408</v>
      </c>
      <c r="I4462" s="7" t="s">
        <v>27</v>
      </c>
    </row>
    <row r="4463">
      <c r="A4463" s="7" t="s">
        <v>37</v>
      </c>
      <c r="B4463" s="7" t="s">
        <v>81</v>
      </c>
      <c r="C4463" s="8">
        <f>IFERROR(__xludf.DUMMYFUNCTION("SPLIT(B4463,""RM"")"),1550000.0)</f>
        <v>1550000</v>
      </c>
      <c r="D4463" s="7" t="s">
        <v>35</v>
      </c>
      <c r="E4463" s="7">
        <v>4.0</v>
      </c>
      <c r="F4463" s="7">
        <v>2.0</v>
      </c>
      <c r="G4463" s="7" t="s">
        <v>93</v>
      </c>
      <c r="H4463" s="7" t="s">
        <v>2756</v>
      </c>
      <c r="I4463" s="7" t="s">
        <v>27</v>
      </c>
    </row>
    <row r="4464">
      <c r="A4464" s="7" t="s">
        <v>37</v>
      </c>
      <c r="B4464" s="7" t="s">
        <v>151</v>
      </c>
      <c r="C4464" s="8">
        <f>IFERROR(__xludf.DUMMYFUNCTION("SPLIT(B4464,""RM"")"),4800000.0)</f>
        <v>4800000</v>
      </c>
      <c r="D4464" s="7" t="s">
        <v>57</v>
      </c>
      <c r="E4464" s="7">
        <v>3.0</v>
      </c>
      <c r="G4464" s="7" t="s">
        <v>25</v>
      </c>
      <c r="H4464" s="7" t="s">
        <v>2757</v>
      </c>
      <c r="I4464" s="7" t="s">
        <v>103</v>
      </c>
    </row>
    <row r="4465">
      <c r="A4465" s="7" t="s">
        <v>37</v>
      </c>
      <c r="B4465" s="7" t="s">
        <v>34</v>
      </c>
      <c r="C4465" s="8">
        <f>IFERROR(__xludf.DUMMYFUNCTION("SPLIT(B4465,""RM"")"),900000.0)</f>
        <v>900000</v>
      </c>
      <c r="D4465" s="7">
        <v>3.0</v>
      </c>
      <c r="E4465" s="7">
        <v>2.0</v>
      </c>
      <c r="F4465" s="7">
        <v>1.0</v>
      </c>
      <c r="G4465" s="7" t="s">
        <v>30</v>
      </c>
      <c r="H4465" s="7" t="s">
        <v>2758</v>
      </c>
      <c r="I4465" s="7" t="s">
        <v>27</v>
      </c>
    </row>
    <row r="4466">
      <c r="A4466" s="7" t="s">
        <v>100</v>
      </c>
      <c r="B4466" s="7" t="s">
        <v>107</v>
      </c>
      <c r="C4466" s="8">
        <f>IFERROR(__xludf.DUMMYFUNCTION("SPLIT(B4466,""RM"")"),460000.0)</f>
        <v>460000</v>
      </c>
      <c r="D4466" s="7">
        <v>3.0</v>
      </c>
      <c r="E4466" s="7">
        <v>2.0</v>
      </c>
      <c r="F4466" s="7">
        <v>2.0</v>
      </c>
      <c r="G4466" s="7" t="s">
        <v>82</v>
      </c>
      <c r="H4466" s="7" t="s">
        <v>491</v>
      </c>
      <c r="I4466" s="7" t="s">
        <v>27</v>
      </c>
    </row>
    <row r="4467">
      <c r="A4467" s="7" t="s">
        <v>37</v>
      </c>
      <c r="B4467" s="7" t="s">
        <v>78</v>
      </c>
      <c r="C4467" s="8">
        <f>IFERROR(__xludf.DUMMYFUNCTION("SPLIT(B4467,""RM"")"),1500000.0)</f>
        <v>1500000</v>
      </c>
      <c r="D4467" s="7" t="s">
        <v>35</v>
      </c>
      <c r="E4467" s="7">
        <v>3.0</v>
      </c>
      <c r="F4467" s="7">
        <v>2.0</v>
      </c>
      <c r="G4467" s="7" t="s">
        <v>83</v>
      </c>
      <c r="H4467" s="7" t="s">
        <v>1863</v>
      </c>
      <c r="I4467" s="7" t="s">
        <v>27</v>
      </c>
    </row>
    <row r="4468">
      <c r="A4468" s="7" t="s">
        <v>37</v>
      </c>
      <c r="B4468" s="7" t="s">
        <v>193</v>
      </c>
      <c r="C4468" s="8">
        <f>IFERROR(__xludf.DUMMYFUNCTION("SPLIT(B4468,""RM"")"),1650000.0)</f>
        <v>1650000</v>
      </c>
      <c r="D4468" s="7">
        <v>4.0</v>
      </c>
      <c r="E4468" s="7">
        <v>3.0</v>
      </c>
      <c r="G4468" s="7" t="s">
        <v>169</v>
      </c>
      <c r="H4468" s="7" t="s">
        <v>558</v>
      </c>
      <c r="I4468" s="7" t="s">
        <v>27</v>
      </c>
    </row>
    <row r="4469">
      <c r="A4469" s="7" t="s">
        <v>37</v>
      </c>
      <c r="B4469" s="7" t="s">
        <v>193</v>
      </c>
      <c r="C4469" s="8">
        <f>IFERROR(__xludf.DUMMYFUNCTION("SPLIT(B4469,""RM"")"),1650000.0)</f>
        <v>1650000</v>
      </c>
      <c r="D4469" s="7">
        <v>4.0</v>
      </c>
      <c r="E4469" s="7">
        <v>3.0</v>
      </c>
      <c r="G4469" s="7" t="s">
        <v>54</v>
      </c>
      <c r="H4469" s="7" t="s">
        <v>1197</v>
      </c>
      <c r="I4469" s="7" t="s">
        <v>27</v>
      </c>
    </row>
    <row r="4470">
      <c r="A4470" s="7" t="s">
        <v>37</v>
      </c>
      <c r="B4470" s="7" t="s">
        <v>329</v>
      </c>
      <c r="C4470" s="8">
        <f>IFERROR(__xludf.DUMMYFUNCTION("SPLIT(B4470,""RM"")"),1200000.0)</f>
        <v>1200000</v>
      </c>
      <c r="D4470" s="7">
        <v>3.0</v>
      </c>
      <c r="E4470" s="7">
        <v>2.0</v>
      </c>
      <c r="F4470" s="7">
        <v>1.0</v>
      </c>
      <c r="G4470" s="7" t="s">
        <v>30</v>
      </c>
      <c r="H4470" s="7" t="s">
        <v>276</v>
      </c>
      <c r="I4470" s="7" t="s">
        <v>22</v>
      </c>
    </row>
    <row r="4471">
      <c r="A4471" s="7" t="s">
        <v>100</v>
      </c>
      <c r="B4471" s="7" t="s">
        <v>691</v>
      </c>
      <c r="C4471" s="8">
        <f>IFERROR(__xludf.DUMMYFUNCTION("SPLIT(B4471,""RM"")"),370000.0)</f>
        <v>370000</v>
      </c>
      <c r="D4471" s="7">
        <v>3.0</v>
      </c>
      <c r="E4471" s="7">
        <v>2.0</v>
      </c>
      <c r="F4471" s="7">
        <v>2.0</v>
      </c>
      <c r="G4471" s="7" t="s">
        <v>20</v>
      </c>
      <c r="H4471" s="7" t="s">
        <v>491</v>
      </c>
      <c r="I4471" s="7" t="s">
        <v>27</v>
      </c>
    </row>
    <row r="4472">
      <c r="A4472" s="7" t="s">
        <v>33</v>
      </c>
      <c r="B4472" s="7" t="s">
        <v>761</v>
      </c>
      <c r="C4472" s="8">
        <f>IFERROR(__xludf.DUMMYFUNCTION("SPLIT(B4472,""RM"")"),480000.0)</f>
        <v>480000</v>
      </c>
      <c r="D4472" s="7">
        <v>3.0</v>
      </c>
      <c r="E4472" s="7">
        <v>2.0</v>
      </c>
      <c r="F4472" s="7">
        <v>1.0</v>
      </c>
      <c r="G4472" s="7" t="s">
        <v>354</v>
      </c>
      <c r="H4472" s="7" t="s">
        <v>2630</v>
      </c>
    </row>
    <row r="4473">
      <c r="A4473" s="7" t="s">
        <v>241</v>
      </c>
      <c r="B4473" s="7" t="s">
        <v>361</v>
      </c>
      <c r="C4473" s="8">
        <f>IFERROR(__xludf.DUMMYFUNCTION("SPLIT(B4473,""RM"")"),530000.0)</f>
        <v>530000</v>
      </c>
      <c r="D4473" s="7">
        <v>3.0</v>
      </c>
      <c r="E4473" s="7">
        <v>2.0</v>
      </c>
      <c r="F4473" s="7">
        <v>2.0</v>
      </c>
      <c r="G4473" s="7" t="s">
        <v>30</v>
      </c>
      <c r="H4473" s="7" t="s">
        <v>2215</v>
      </c>
      <c r="I4473" s="7" t="s">
        <v>27</v>
      </c>
    </row>
    <row r="4474">
      <c r="A4474" s="7" t="s">
        <v>65</v>
      </c>
      <c r="B4474" s="7" t="s">
        <v>281</v>
      </c>
      <c r="C4474" s="8">
        <f>IFERROR(__xludf.DUMMYFUNCTION("SPLIT(B4474,""RM"")"),2500000.0)</f>
        <v>2500000</v>
      </c>
      <c r="D4474" s="7" t="s">
        <v>35</v>
      </c>
      <c r="E4474" s="7">
        <v>5.0</v>
      </c>
      <c r="F4474" s="7">
        <v>5.0</v>
      </c>
      <c r="G4474" s="7" t="s">
        <v>83</v>
      </c>
      <c r="H4474" s="7" t="s">
        <v>2759</v>
      </c>
      <c r="I4474" s="7" t="s">
        <v>27</v>
      </c>
    </row>
    <row r="4475">
      <c r="A4475" s="7" t="s">
        <v>28</v>
      </c>
      <c r="B4475" s="7" t="s">
        <v>2760</v>
      </c>
      <c r="C4475" s="8">
        <f>IFERROR(__xludf.DUMMYFUNCTION("SPLIT(B4475,""RM"")"),1038000.0)</f>
        <v>1038000</v>
      </c>
      <c r="D4475" s="7" t="s">
        <v>57</v>
      </c>
      <c r="E4475" s="7">
        <v>5.0</v>
      </c>
      <c r="F4475" s="7">
        <v>2.0</v>
      </c>
      <c r="G4475" s="7" t="s">
        <v>93</v>
      </c>
      <c r="H4475" s="7" t="s">
        <v>250</v>
      </c>
      <c r="I4475" s="7" t="s">
        <v>27</v>
      </c>
    </row>
    <row r="4476">
      <c r="A4476" s="7" t="s">
        <v>65</v>
      </c>
      <c r="B4476" s="7" t="s">
        <v>125</v>
      </c>
      <c r="C4476" s="8">
        <f>IFERROR(__xludf.DUMMYFUNCTION("SPLIT(B4476,""RM"")"),2300000.0)</f>
        <v>2300000</v>
      </c>
      <c r="D4476" s="7" t="s">
        <v>35</v>
      </c>
      <c r="E4476" s="7">
        <v>5.0</v>
      </c>
      <c r="F4476" s="7">
        <v>4.0</v>
      </c>
      <c r="G4476" s="7" t="s">
        <v>793</v>
      </c>
      <c r="H4476" s="7" t="s">
        <v>2761</v>
      </c>
      <c r="I4476" s="7" t="s">
        <v>22</v>
      </c>
    </row>
    <row r="4477">
      <c r="A4477" s="7" t="s">
        <v>86</v>
      </c>
      <c r="B4477" s="7" t="s">
        <v>2174</v>
      </c>
      <c r="C4477" s="8">
        <f>IFERROR(__xludf.DUMMYFUNCTION("SPLIT(B4477,""RM"")"),7800000.0)</f>
        <v>7800000</v>
      </c>
      <c r="D4477" s="7">
        <v>2.0</v>
      </c>
      <c r="E4477" s="7">
        <v>2.0</v>
      </c>
      <c r="F4477" s="7">
        <v>1.0</v>
      </c>
      <c r="G4477" s="7" t="s">
        <v>20</v>
      </c>
      <c r="H4477" s="7" t="s">
        <v>821</v>
      </c>
    </row>
    <row r="4478">
      <c r="A4478" s="7" t="s">
        <v>23</v>
      </c>
      <c r="B4478" s="7" t="s">
        <v>1180</v>
      </c>
      <c r="C4478" s="8">
        <f>IFERROR(__xludf.DUMMYFUNCTION("SPLIT(B4478,""RM"")"),4600000.0)</f>
        <v>4600000</v>
      </c>
      <c r="D4478" s="7" t="s">
        <v>60</v>
      </c>
      <c r="E4478" s="7">
        <v>6.0</v>
      </c>
      <c r="F4478" s="7">
        <v>3.0</v>
      </c>
      <c r="G4478" s="7" t="s">
        <v>61</v>
      </c>
      <c r="H4478" s="7" t="s">
        <v>2762</v>
      </c>
      <c r="I4478" s="7" t="s">
        <v>27</v>
      </c>
    </row>
    <row r="4479">
      <c r="A4479" s="7" t="s">
        <v>72</v>
      </c>
      <c r="B4479" s="7" t="s">
        <v>281</v>
      </c>
      <c r="C4479" s="8">
        <f>IFERROR(__xludf.DUMMYFUNCTION("SPLIT(B4479,""RM"")"),2500000.0)</f>
        <v>2500000</v>
      </c>
      <c r="D4479" s="7" t="s">
        <v>70</v>
      </c>
      <c r="E4479" s="7">
        <v>6.0</v>
      </c>
      <c r="F4479" s="7">
        <v>3.0</v>
      </c>
      <c r="G4479" s="7" t="s">
        <v>30</v>
      </c>
      <c r="H4479" s="7" t="s">
        <v>498</v>
      </c>
      <c r="I4479" s="7" t="s">
        <v>103</v>
      </c>
    </row>
    <row r="4480">
      <c r="A4480" s="7" t="s">
        <v>72</v>
      </c>
      <c r="B4480" s="7" t="s">
        <v>193</v>
      </c>
      <c r="C4480" s="8">
        <f>IFERROR(__xludf.DUMMYFUNCTION("SPLIT(B4480,""RM"")"),1650000.0)</f>
        <v>1650000</v>
      </c>
      <c r="D4480" s="7" t="s">
        <v>79</v>
      </c>
      <c r="E4480" s="7">
        <v>5.0</v>
      </c>
      <c r="F4480" s="7">
        <v>2.0</v>
      </c>
      <c r="G4480" s="7" t="s">
        <v>30</v>
      </c>
      <c r="H4480" s="7" t="s">
        <v>2763</v>
      </c>
      <c r="I4480" s="7" t="s">
        <v>22</v>
      </c>
    </row>
    <row r="4481">
      <c r="A4481" s="7" t="s">
        <v>23</v>
      </c>
      <c r="B4481" s="7" t="s">
        <v>151</v>
      </c>
      <c r="C4481" s="8">
        <f>IFERROR(__xludf.DUMMYFUNCTION("SPLIT(B4481,""RM"")"),4800000.0)</f>
        <v>4800000</v>
      </c>
      <c r="D4481" s="7" t="s">
        <v>35</v>
      </c>
      <c r="E4481" s="7">
        <v>4.0</v>
      </c>
      <c r="G4481" s="7" t="s">
        <v>61</v>
      </c>
      <c r="H4481" s="7" t="s">
        <v>62</v>
      </c>
      <c r="I4481" s="7" t="s">
        <v>27</v>
      </c>
    </row>
    <row r="4482">
      <c r="A4482" s="7" t="s">
        <v>23</v>
      </c>
      <c r="B4482" s="7" t="s">
        <v>2297</v>
      </c>
      <c r="C4482" s="8">
        <f>IFERROR(__xludf.DUMMYFUNCTION("SPLIT(B4482,""RM"")"),1.5E7)</f>
        <v>15000000</v>
      </c>
      <c r="D4482" s="7" t="s">
        <v>70</v>
      </c>
      <c r="E4482" s="7">
        <v>6.0</v>
      </c>
      <c r="F4482" s="7">
        <v>4.0</v>
      </c>
      <c r="G4482" s="7" t="s">
        <v>61</v>
      </c>
      <c r="H4482" s="7" t="s">
        <v>271</v>
      </c>
      <c r="I4482" s="7" t="s">
        <v>103</v>
      </c>
    </row>
    <row r="4483">
      <c r="A4483" s="7" t="s">
        <v>180</v>
      </c>
      <c r="B4483" s="7" t="s">
        <v>277</v>
      </c>
      <c r="C4483" s="8">
        <f>IFERROR(__xludf.DUMMYFUNCTION("SPLIT(B4483,""RM"")"),2200000.0)</f>
        <v>2200000</v>
      </c>
      <c r="D4483" s="7" t="s">
        <v>19</v>
      </c>
      <c r="E4483" s="7">
        <v>4.0</v>
      </c>
      <c r="G4483" s="7" t="s">
        <v>93</v>
      </c>
      <c r="H4483" s="7" t="s">
        <v>2764</v>
      </c>
      <c r="I4483" s="7" t="s">
        <v>27</v>
      </c>
    </row>
    <row r="4484">
      <c r="A4484" s="7" t="s">
        <v>72</v>
      </c>
      <c r="B4484" s="7" t="s">
        <v>327</v>
      </c>
      <c r="C4484" s="8">
        <f>IFERROR(__xludf.DUMMYFUNCTION("SPLIT(B4484,""RM"")"),1300000.0)</f>
        <v>1300000</v>
      </c>
      <c r="D4484" s="7">
        <v>4.0</v>
      </c>
      <c r="E4484" s="7">
        <v>4.0</v>
      </c>
      <c r="F4484" s="7">
        <v>3.0</v>
      </c>
      <c r="G4484" s="7" t="s">
        <v>30</v>
      </c>
      <c r="H4484" s="7" t="s">
        <v>176</v>
      </c>
      <c r="I4484" s="7" t="s">
        <v>27</v>
      </c>
    </row>
    <row r="4485">
      <c r="A4485" s="7" t="s">
        <v>23</v>
      </c>
      <c r="B4485" s="7" t="s">
        <v>1238</v>
      </c>
      <c r="C4485" s="8">
        <f>IFERROR(__xludf.DUMMYFUNCTION("SPLIT(B4485,""RM"")"),2.2E7)</f>
        <v>22000000</v>
      </c>
      <c r="D4485" s="7" t="s">
        <v>1754</v>
      </c>
      <c r="E4485" s="7">
        <v>7.0</v>
      </c>
      <c r="F4485" s="7">
        <v>6.0</v>
      </c>
      <c r="G4485" s="7" t="s">
        <v>67</v>
      </c>
      <c r="H4485" s="7" t="s">
        <v>2483</v>
      </c>
      <c r="I4485" s="7" t="s">
        <v>27</v>
      </c>
    </row>
    <row r="4486">
      <c r="A4486" s="7" t="s">
        <v>72</v>
      </c>
      <c r="B4486" s="7" t="s">
        <v>2765</v>
      </c>
      <c r="C4486" s="8">
        <f>IFERROR(__xludf.DUMMYFUNCTION("SPLIT(B4486,""RM"")"),2008000.0)</f>
        <v>2008000</v>
      </c>
      <c r="D4486" s="7" t="s">
        <v>35</v>
      </c>
      <c r="E4486" s="7">
        <v>6.0</v>
      </c>
      <c r="G4486" s="7" t="s">
        <v>30</v>
      </c>
      <c r="H4486" s="7" t="s">
        <v>2766</v>
      </c>
      <c r="I4486" s="7" t="s">
        <v>22</v>
      </c>
    </row>
    <row r="4487">
      <c r="A4487" s="7" t="s">
        <v>23</v>
      </c>
      <c r="B4487" s="7" t="s">
        <v>858</v>
      </c>
      <c r="C4487" s="8">
        <f>IFERROR(__xludf.DUMMYFUNCTION("SPLIT(B4487,""RM"")"),1.05E7)</f>
        <v>10500000</v>
      </c>
      <c r="D4487" s="7" t="s">
        <v>70</v>
      </c>
      <c r="E4487" s="7">
        <v>6.0</v>
      </c>
      <c r="F4487" s="7">
        <v>5.0</v>
      </c>
      <c r="G4487" s="7" t="s">
        <v>25</v>
      </c>
      <c r="H4487" s="7" t="s">
        <v>2767</v>
      </c>
      <c r="I4487" s="7" t="s">
        <v>103</v>
      </c>
    </row>
    <row r="4488">
      <c r="A4488" s="7" t="s">
        <v>177</v>
      </c>
      <c r="B4488" s="7" t="s">
        <v>779</v>
      </c>
      <c r="C4488" s="8">
        <f>IFERROR(__xludf.DUMMYFUNCTION("SPLIT(B4488,""RM"")"),1.8E7)</f>
        <v>18000000</v>
      </c>
      <c r="D4488" s="7" t="s">
        <v>60</v>
      </c>
      <c r="E4488" s="7">
        <v>8.0</v>
      </c>
      <c r="F4488" s="7">
        <v>5.0</v>
      </c>
      <c r="G4488" s="7" t="s">
        <v>61</v>
      </c>
      <c r="H4488" s="7" t="s">
        <v>780</v>
      </c>
      <c r="I4488" s="7" t="s">
        <v>27</v>
      </c>
    </row>
    <row r="4489">
      <c r="A4489" s="7" t="s">
        <v>177</v>
      </c>
      <c r="B4489" s="7" t="s">
        <v>2601</v>
      </c>
      <c r="C4489" s="8">
        <f>IFERROR(__xludf.DUMMYFUNCTION("SPLIT(B4489,""RM"")"),9300000.0)</f>
        <v>9300000</v>
      </c>
      <c r="D4489" s="7" t="s">
        <v>60</v>
      </c>
      <c r="E4489" s="7">
        <v>7.0</v>
      </c>
      <c r="F4489" s="7">
        <v>5.0</v>
      </c>
      <c r="G4489" s="7" t="s">
        <v>25</v>
      </c>
      <c r="H4489" s="7" t="s">
        <v>2768</v>
      </c>
    </row>
    <row r="4490">
      <c r="A4490" s="7" t="s">
        <v>177</v>
      </c>
      <c r="B4490" s="7" t="s">
        <v>658</v>
      </c>
      <c r="C4490" s="8">
        <f>IFERROR(__xludf.DUMMYFUNCTION("SPLIT(B4490,""RM"")"),2650000.0)</f>
        <v>2650000</v>
      </c>
      <c r="D4490" s="7" t="s">
        <v>39</v>
      </c>
      <c r="E4490" s="7">
        <v>4.0</v>
      </c>
      <c r="F4490" s="7">
        <v>3.0</v>
      </c>
      <c r="G4490" s="7" t="s">
        <v>54</v>
      </c>
      <c r="H4490" s="7" t="s">
        <v>2769</v>
      </c>
      <c r="I4490" s="7" t="s">
        <v>27</v>
      </c>
    </row>
    <row r="4491">
      <c r="A4491" s="7" t="s">
        <v>65</v>
      </c>
      <c r="B4491" s="7" t="s">
        <v>2297</v>
      </c>
      <c r="C4491" s="8">
        <f>IFERROR(__xludf.DUMMYFUNCTION("SPLIT(B4491,""RM"")"),1.5E7)</f>
        <v>15000000</v>
      </c>
      <c r="D4491" s="7" t="s">
        <v>299</v>
      </c>
      <c r="E4491" s="7">
        <v>8.0</v>
      </c>
      <c r="F4491" s="7">
        <v>6.0</v>
      </c>
      <c r="G4491" s="7" t="s">
        <v>25</v>
      </c>
      <c r="H4491" s="7" t="s">
        <v>593</v>
      </c>
      <c r="I4491" s="7" t="s">
        <v>103</v>
      </c>
    </row>
    <row r="4492">
      <c r="A4492" s="7" t="s">
        <v>23</v>
      </c>
      <c r="B4492" s="7" t="s">
        <v>465</v>
      </c>
      <c r="C4492" s="8">
        <f>IFERROR(__xludf.DUMMYFUNCTION("SPLIT(B4492,""RM"")"),8000000.0)</f>
        <v>8000000</v>
      </c>
      <c r="D4492" s="7" t="s">
        <v>70</v>
      </c>
      <c r="E4492" s="7">
        <v>6.0</v>
      </c>
      <c r="G4492" s="7" t="s">
        <v>67</v>
      </c>
      <c r="H4492" s="7" t="s">
        <v>2770</v>
      </c>
      <c r="I4492" s="7" t="s">
        <v>27</v>
      </c>
    </row>
    <row r="4493">
      <c r="A4493" s="7" t="s">
        <v>72</v>
      </c>
      <c r="B4493" s="7" t="s">
        <v>1180</v>
      </c>
      <c r="C4493" s="8">
        <f>IFERROR(__xludf.DUMMYFUNCTION("SPLIT(B4493,""RM"")"),4600000.0)</f>
        <v>4600000</v>
      </c>
      <c r="D4493" s="7" t="s">
        <v>39</v>
      </c>
      <c r="E4493" s="7">
        <v>6.0</v>
      </c>
      <c r="G4493" s="7" t="s">
        <v>300</v>
      </c>
      <c r="H4493" s="7" t="s">
        <v>2771</v>
      </c>
      <c r="I4493" s="7" t="s">
        <v>27</v>
      </c>
    </row>
    <row r="4494">
      <c r="A4494" s="7" t="s">
        <v>180</v>
      </c>
      <c r="B4494" s="7" t="s">
        <v>411</v>
      </c>
      <c r="C4494" s="8">
        <f>IFERROR(__xludf.DUMMYFUNCTION("SPLIT(B4494,""RM"")"),2150000.0)</f>
        <v>2150000</v>
      </c>
      <c r="D4494" s="7" t="s">
        <v>288</v>
      </c>
      <c r="E4494" s="7">
        <v>4.0</v>
      </c>
      <c r="G4494" s="7" t="s">
        <v>93</v>
      </c>
      <c r="H4494" s="7" t="s">
        <v>2772</v>
      </c>
      <c r="I4494" s="7" t="s">
        <v>27</v>
      </c>
    </row>
    <row r="4495">
      <c r="A4495" s="7" t="s">
        <v>180</v>
      </c>
      <c r="B4495" s="7" t="s">
        <v>484</v>
      </c>
      <c r="C4495" s="8">
        <f>IFERROR(__xludf.DUMMYFUNCTION("SPLIT(B4495,""RM"")"),2950000.0)</f>
        <v>2950000</v>
      </c>
      <c r="D4495" s="7" t="s">
        <v>57</v>
      </c>
      <c r="E4495" s="7">
        <v>6.0</v>
      </c>
      <c r="G4495" s="7" t="s">
        <v>30</v>
      </c>
      <c r="H4495" s="7" t="s">
        <v>1027</v>
      </c>
      <c r="I4495" s="7" t="s">
        <v>27</v>
      </c>
    </row>
    <row r="4496">
      <c r="A4496" s="7" t="s">
        <v>358</v>
      </c>
      <c r="B4496" s="7" t="s">
        <v>641</v>
      </c>
      <c r="C4496" s="8">
        <f>IFERROR(__xludf.DUMMYFUNCTION("SPLIT(B4496,""RM"")"),830000.0)</f>
        <v>830000</v>
      </c>
      <c r="D4496" s="7">
        <v>3.0</v>
      </c>
      <c r="E4496" s="7">
        <v>2.0</v>
      </c>
      <c r="F4496" s="7">
        <v>2.0</v>
      </c>
      <c r="G4496" s="7" t="s">
        <v>93</v>
      </c>
      <c r="H4496" s="7" t="s">
        <v>2773</v>
      </c>
      <c r="I4496" s="7" t="s">
        <v>27</v>
      </c>
    </row>
    <row r="4497">
      <c r="A4497" s="7" t="s">
        <v>358</v>
      </c>
      <c r="B4497" s="7" t="s">
        <v>899</v>
      </c>
      <c r="C4497" s="8">
        <f>IFERROR(__xludf.DUMMYFUNCTION("SPLIT(B4497,""RM"")"),1160000.0)</f>
        <v>1160000</v>
      </c>
      <c r="D4497" s="7" t="s">
        <v>57</v>
      </c>
      <c r="E4497" s="7">
        <v>4.0</v>
      </c>
      <c r="F4497" s="7">
        <v>2.0</v>
      </c>
      <c r="G4497" s="7" t="s">
        <v>93</v>
      </c>
      <c r="H4497" s="7" t="s">
        <v>1411</v>
      </c>
      <c r="I4497" s="7" t="s">
        <v>27</v>
      </c>
    </row>
    <row r="4498">
      <c r="A4498" s="7" t="s">
        <v>358</v>
      </c>
      <c r="B4498" s="7" t="s">
        <v>329</v>
      </c>
      <c r="C4498" s="8">
        <f>IFERROR(__xludf.DUMMYFUNCTION("SPLIT(B4498,""RM"")"),1200000.0)</f>
        <v>1200000</v>
      </c>
      <c r="D4498" s="7" t="s">
        <v>57</v>
      </c>
      <c r="E4498" s="7">
        <v>4.0</v>
      </c>
      <c r="F4498" s="7">
        <v>2.0</v>
      </c>
      <c r="G4498" s="7" t="s">
        <v>30</v>
      </c>
      <c r="H4498" s="7" t="s">
        <v>2036</v>
      </c>
      <c r="I4498" s="7" t="s">
        <v>27</v>
      </c>
    </row>
    <row r="4499">
      <c r="A4499" s="7" t="s">
        <v>28</v>
      </c>
      <c r="B4499" s="7" t="s">
        <v>2774</v>
      </c>
      <c r="C4499" s="8">
        <f>IFERROR(__xludf.DUMMYFUNCTION("SPLIT(B4499,""RM"")"),608000.0)</f>
        <v>608000</v>
      </c>
      <c r="D4499" s="7">
        <v>3.0</v>
      </c>
      <c r="E4499" s="7">
        <v>3.0</v>
      </c>
      <c r="F4499" s="7">
        <v>1.0</v>
      </c>
      <c r="G4499" s="7" t="s">
        <v>30</v>
      </c>
      <c r="H4499" s="7" t="s">
        <v>2775</v>
      </c>
      <c r="I4499" s="7" t="s">
        <v>27</v>
      </c>
    </row>
    <row r="4500">
      <c r="A4500" s="7" t="s">
        <v>104</v>
      </c>
      <c r="B4500" s="7" t="s">
        <v>1786</v>
      </c>
      <c r="C4500" s="8">
        <f>IFERROR(__xludf.DUMMYFUNCTION("SPLIT(B4500,""RM"")"),838000.0)</f>
        <v>838000</v>
      </c>
      <c r="D4500" s="7">
        <v>4.0</v>
      </c>
      <c r="E4500" s="7">
        <v>3.0</v>
      </c>
      <c r="G4500" s="7" t="s">
        <v>169</v>
      </c>
      <c r="H4500" s="7" t="s">
        <v>2776</v>
      </c>
    </row>
    <row r="4501">
      <c r="A4501" s="7" t="s">
        <v>104</v>
      </c>
      <c r="B4501" s="7" t="s">
        <v>407</v>
      </c>
      <c r="C4501" s="8">
        <f>IFERROR(__xludf.DUMMYFUNCTION("SPLIT(B4501,""RM"")"),880000.0)</f>
        <v>880000</v>
      </c>
      <c r="D4501" s="7">
        <v>4.0</v>
      </c>
      <c r="E4501" s="7">
        <v>3.0</v>
      </c>
      <c r="G4501" s="7" t="s">
        <v>54</v>
      </c>
      <c r="H4501" s="7" t="s">
        <v>719</v>
      </c>
      <c r="I4501" s="7" t="s">
        <v>27</v>
      </c>
    </row>
    <row r="4502">
      <c r="A4502" s="7" t="s">
        <v>2777</v>
      </c>
      <c r="B4502" s="7" t="s">
        <v>78</v>
      </c>
      <c r="C4502" s="8">
        <f>IFERROR(__xludf.DUMMYFUNCTION("SPLIT(B4502,""RM"")"),1500000.0)</f>
        <v>1500000</v>
      </c>
      <c r="D4502" s="7">
        <v>5.0</v>
      </c>
      <c r="E4502" s="7">
        <v>3.0</v>
      </c>
      <c r="G4502" s="7" t="s">
        <v>169</v>
      </c>
      <c r="H4502" s="7" t="s">
        <v>1508</v>
      </c>
    </row>
    <row r="4503">
      <c r="A4503" s="7" t="s">
        <v>32</v>
      </c>
      <c r="B4503" s="7" t="s">
        <v>890</v>
      </c>
      <c r="C4503" s="8">
        <f>IFERROR(__xludf.DUMMYFUNCTION("SPLIT(B4503,""RM"")"),450000.0)</f>
        <v>450000</v>
      </c>
      <c r="D4503" s="7">
        <v>4.0</v>
      </c>
      <c r="E4503" s="7">
        <v>2.0</v>
      </c>
      <c r="F4503" s="7">
        <v>2.0</v>
      </c>
      <c r="G4503" s="7" t="s">
        <v>83</v>
      </c>
      <c r="H4503" s="7" t="s">
        <v>747</v>
      </c>
      <c r="I4503" s="7" t="s">
        <v>27</v>
      </c>
    </row>
    <row r="4504">
      <c r="A4504" s="7" t="s">
        <v>32</v>
      </c>
      <c r="B4504" s="7" t="s">
        <v>890</v>
      </c>
      <c r="C4504" s="8">
        <f>IFERROR(__xludf.DUMMYFUNCTION("SPLIT(B4504,""RM"")"),450000.0)</f>
        <v>450000</v>
      </c>
      <c r="D4504" s="7">
        <v>4.0</v>
      </c>
      <c r="E4504" s="7">
        <v>2.0</v>
      </c>
      <c r="F4504" s="7">
        <v>2.0</v>
      </c>
      <c r="G4504" s="7" t="s">
        <v>83</v>
      </c>
      <c r="H4504" s="7" t="s">
        <v>747</v>
      </c>
      <c r="I4504" s="7" t="s">
        <v>27</v>
      </c>
    </row>
    <row r="4505">
      <c r="A4505" s="7" t="s">
        <v>2237</v>
      </c>
      <c r="B4505" s="7" t="s">
        <v>890</v>
      </c>
      <c r="C4505" s="8">
        <f>IFERROR(__xludf.DUMMYFUNCTION("SPLIT(B4505,""RM"")"),450000.0)</f>
        <v>450000</v>
      </c>
      <c r="D4505" s="7">
        <v>3.0</v>
      </c>
      <c r="E4505" s="7">
        <v>2.0</v>
      </c>
      <c r="F4505" s="7">
        <v>2.0</v>
      </c>
      <c r="G4505" s="7" t="s">
        <v>20</v>
      </c>
      <c r="H4505" s="7" t="s">
        <v>747</v>
      </c>
    </row>
    <row r="4506">
      <c r="A4506" s="7" t="s">
        <v>2237</v>
      </c>
      <c r="B4506" s="7" t="s">
        <v>510</v>
      </c>
      <c r="C4506" s="8">
        <f>IFERROR(__xludf.DUMMYFUNCTION("SPLIT(B4506,""RM"")"),380000.0)</f>
        <v>380000</v>
      </c>
      <c r="D4506" s="7">
        <v>2.0</v>
      </c>
      <c r="E4506" s="7">
        <v>2.0</v>
      </c>
      <c r="F4506" s="7">
        <v>1.0</v>
      </c>
      <c r="G4506" s="7" t="s">
        <v>20</v>
      </c>
      <c r="H4506" s="7" t="s">
        <v>1273</v>
      </c>
    </row>
    <row r="4507">
      <c r="A4507" s="7" t="s">
        <v>109</v>
      </c>
      <c r="B4507" s="7" t="s">
        <v>2674</v>
      </c>
      <c r="C4507" s="8">
        <f>IFERROR(__xludf.DUMMYFUNCTION("SPLIT(B4507,""RM"")"),448000.0)</f>
        <v>448000</v>
      </c>
      <c r="D4507" s="7" t="s">
        <v>19</v>
      </c>
      <c r="E4507" s="7">
        <v>2.0</v>
      </c>
      <c r="F4507" s="7">
        <v>2.0</v>
      </c>
      <c r="G4507" s="7" t="s">
        <v>20</v>
      </c>
      <c r="H4507" s="7" t="s">
        <v>2663</v>
      </c>
    </row>
    <row r="4508">
      <c r="A4508" s="7" t="s">
        <v>109</v>
      </c>
      <c r="B4508" s="7" t="s">
        <v>890</v>
      </c>
      <c r="C4508" s="8">
        <f>IFERROR(__xludf.DUMMYFUNCTION("SPLIT(B4508,""RM"")"),450000.0)</f>
        <v>450000</v>
      </c>
      <c r="D4508" s="7" t="s">
        <v>19</v>
      </c>
      <c r="E4508" s="7">
        <v>3.0</v>
      </c>
      <c r="F4508" s="7">
        <v>2.0</v>
      </c>
      <c r="G4508" s="7" t="s">
        <v>20</v>
      </c>
      <c r="H4508" s="7" t="s">
        <v>2663</v>
      </c>
    </row>
    <row r="4509">
      <c r="A4509" s="7" t="s">
        <v>109</v>
      </c>
      <c r="B4509" s="7" t="s">
        <v>890</v>
      </c>
      <c r="C4509" s="8">
        <f>IFERROR(__xludf.DUMMYFUNCTION("SPLIT(B4509,""RM"")"),450000.0)</f>
        <v>450000</v>
      </c>
      <c r="D4509" s="7" t="s">
        <v>19</v>
      </c>
      <c r="E4509" s="7">
        <v>3.0</v>
      </c>
      <c r="F4509" s="7">
        <v>2.0</v>
      </c>
      <c r="G4509" s="7" t="s">
        <v>20</v>
      </c>
      <c r="H4509" s="7" t="s">
        <v>2663</v>
      </c>
    </row>
    <row r="4510">
      <c r="A4510" s="7" t="s">
        <v>72</v>
      </c>
      <c r="B4510" s="7" t="s">
        <v>134</v>
      </c>
      <c r="C4510" s="8">
        <f>IFERROR(__xludf.DUMMYFUNCTION("SPLIT(B4510,""RM"")"),1150000.0)</f>
        <v>1150000</v>
      </c>
      <c r="D4510" s="7">
        <v>2.0</v>
      </c>
      <c r="E4510" s="7">
        <v>3.0</v>
      </c>
      <c r="F4510" s="7">
        <v>2.0</v>
      </c>
      <c r="G4510" s="7" t="s">
        <v>121</v>
      </c>
      <c r="H4510" s="7" t="s">
        <v>1502</v>
      </c>
      <c r="I4510" s="7" t="s">
        <v>27</v>
      </c>
    </row>
    <row r="4511">
      <c r="A4511" s="7" t="s">
        <v>72</v>
      </c>
      <c r="B4511" s="7" t="s">
        <v>657</v>
      </c>
      <c r="C4511" s="8">
        <f>IFERROR(__xludf.DUMMYFUNCTION("SPLIT(B4511,""RM"")"),980000.0)</f>
        <v>980000</v>
      </c>
      <c r="D4511" s="7">
        <v>2.0</v>
      </c>
      <c r="E4511" s="7">
        <v>3.0</v>
      </c>
      <c r="F4511" s="7">
        <v>2.0</v>
      </c>
      <c r="G4511" s="7" t="s">
        <v>121</v>
      </c>
      <c r="H4511" s="7" t="s">
        <v>1502</v>
      </c>
      <c r="I4511" s="7" t="s">
        <v>22</v>
      </c>
    </row>
    <row r="4512">
      <c r="A4512" s="7" t="s">
        <v>72</v>
      </c>
      <c r="B4512" s="7" t="s">
        <v>422</v>
      </c>
      <c r="C4512" s="8">
        <f>IFERROR(__xludf.DUMMYFUNCTION("SPLIT(B4512,""RM"")"),2050000.0)</f>
        <v>2050000</v>
      </c>
      <c r="D4512" s="7">
        <v>4.0</v>
      </c>
      <c r="E4512" s="7">
        <v>5.0</v>
      </c>
      <c r="F4512" s="7">
        <v>3.0</v>
      </c>
      <c r="G4512" s="7" t="s">
        <v>121</v>
      </c>
      <c r="H4512" s="7" t="s">
        <v>2778</v>
      </c>
      <c r="I4512" s="7" t="s">
        <v>27</v>
      </c>
    </row>
    <row r="4513">
      <c r="A4513" s="7" t="s">
        <v>72</v>
      </c>
      <c r="B4513" s="7" t="s">
        <v>967</v>
      </c>
      <c r="C4513" s="8">
        <f>IFERROR(__xludf.DUMMYFUNCTION("SPLIT(B4513,""RM"")"),680000.0)</f>
        <v>680000</v>
      </c>
      <c r="D4513" s="7">
        <v>1.0</v>
      </c>
      <c r="E4513" s="7">
        <v>1.0</v>
      </c>
      <c r="F4513" s="7">
        <v>1.0</v>
      </c>
      <c r="G4513" s="7" t="s">
        <v>82</v>
      </c>
      <c r="H4513" s="7" t="s">
        <v>753</v>
      </c>
      <c r="I4513" s="7" t="s">
        <v>22</v>
      </c>
    </row>
    <row r="4514">
      <c r="A4514" s="7" t="s">
        <v>37</v>
      </c>
      <c r="B4514" s="7" t="s">
        <v>599</v>
      </c>
      <c r="C4514" s="8">
        <f>IFERROR(__xludf.DUMMYFUNCTION("SPLIT(B4514,""RM"")"),950000.0)</f>
        <v>950000</v>
      </c>
      <c r="D4514" s="7">
        <v>2.0</v>
      </c>
      <c r="E4514" s="7">
        <v>2.0</v>
      </c>
      <c r="G4514" s="7" t="s">
        <v>93</v>
      </c>
      <c r="H4514" s="7" t="s">
        <v>334</v>
      </c>
      <c r="I4514" s="7" t="s">
        <v>22</v>
      </c>
    </row>
    <row r="4515">
      <c r="A4515" s="7" t="s">
        <v>72</v>
      </c>
      <c r="B4515" s="7" t="s">
        <v>956</v>
      </c>
      <c r="C4515" s="8">
        <f>IFERROR(__xludf.DUMMYFUNCTION("SPLIT(B4515,""RM"")"),860000.0)</f>
        <v>860000</v>
      </c>
      <c r="D4515" s="7">
        <v>3.0</v>
      </c>
      <c r="E4515" s="7">
        <v>3.0</v>
      </c>
      <c r="F4515" s="7">
        <v>2.0</v>
      </c>
      <c r="G4515" s="7" t="s">
        <v>83</v>
      </c>
      <c r="H4515" s="7" t="s">
        <v>2779</v>
      </c>
      <c r="I4515" s="7" t="s">
        <v>27</v>
      </c>
    </row>
    <row r="4516">
      <c r="A4516" s="7" t="s">
        <v>1158</v>
      </c>
      <c r="B4516" s="7" t="s">
        <v>268</v>
      </c>
      <c r="C4516" s="8">
        <f>IFERROR(__xludf.DUMMYFUNCTION("SPLIT(B4516,""RM"")"),500000.0)</f>
        <v>500000</v>
      </c>
      <c r="D4516" s="7">
        <v>3.0</v>
      </c>
      <c r="E4516" s="7">
        <v>2.0</v>
      </c>
      <c r="F4516" s="7">
        <v>1.0</v>
      </c>
      <c r="G4516" s="7" t="s">
        <v>83</v>
      </c>
      <c r="H4516" s="7" t="s">
        <v>1548</v>
      </c>
    </row>
    <row r="4517">
      <c r="A4517" s="7" t="s">
        <v>1158</v>
      </c>
      <c r="B4517" s="7" t="s">
        <v>268</v>
      </c>
      <c r="C4517" s="8">
        <f>IFERROR(__xludf.DUMMYFUNCTION("SPLIT(B4517,""RM"")"),500000.0)</f>
        <v>500000</v>
      </c>
      <c r="D4517" s="7">
        <v>3.0</v>
      </c>
      <c r="E4517" s="7">
        <v>2.0</v>
      </c>
      <c r="F4517" s="7">
        <v>1.0</v>
      </c>
      <c r="G4517" s="7" t="s">
        <v>83</v>
      </c>
      <c r="H4517" s="7" t="s">
        <v>1548</v>
      </c>
      <c r="I4517" s="7" t="s">
        <v>27</v>
      </c>
    </row>
    <row r="4518">
      <c r="A4518" s="7" t="s">
        <v>171</v>
      </c>
      <c r="B4518" s="7" t="s">
        <v>1823</v>
      </c>
      <c r="C4518" s="8">
        <f>IFERROR(__xludf.DUMMYFUNCTION("SPLIT(B4518,""RM"")"),508000.0)</f>
        <v>508000</v>
      </c>
      <c r="D4518" s="7">
        <v>3.0</v>
      </c>
      <c r="E4518" s="7">
        <v>2.0</v>
      </c>
      <c r="F4518" s="7">
        <v>2.0</v>
      </c>
      <c r="G4518" s="7" t="s">
        <v>83</v>
      </c>
      <c r="H4518" s="7" t="s">
        <v>2780</v>
      </c>
    </row>
    <row r="4519">
      <c r="A4519" s="7" t="s">
        <v>17</v>
      </c>
      <c r="B4519" s="7" t="s">
        <v>45</v>
      </c>
      <c r="C4519" s="8">
        <f>IFERROR(__xludf.DUMMYFUNCTION("SPLIT(B4519,""RM"")"),1950000.0)</f>
        <v>1950000</v>
      </c>
      <c r="D4519" s="7" t="s">
        <v>19</v>
      </c>
      <c r="E4519" s="7">
        <v>2.0</v>
      </c>
      <c r="F4519" s="7">
        <v>1.0</v>
      </c>
      <c r="G4519" s="7" t="s">
        <v>83</v>
      </c>
      <c r="H4519" s="7" t="s">
        <v>323</v>
      </c>
    </row>
    <row r="4520">
      <c r="A4520" s="7" t="s">
        <v>1014</v>
      </c>
      <c r="B4520" s="7" t="s">
        <v>236</v>
      </c>
      <c r="C4520" s="8">
        <f>IFERROR(__xludf.DUMMYFUNCTION("SPLIT(B4520,""RM"")"),2000000.0)</f>
        <v>2000000</v>
      </c>
      <c r="D4520" s="7" t="s">
        <v>70</v>
      </c>
      <c r="E4520" s="7">
        <v>5.0</v>
      </c>
      <c r="G4520" s="7" t="s">
        <v>169</v>
      </c>
      <c r="H4520" s="7" t="s">
        <v>2781</v>
      </c>
    </row>
    <row r="4521">
      <c r="A4521" s="7" t="s">
        <v>171</v>
      </c>
      <c r="B4521" s="7" t="s">
        <v>890</v>
      </c>
      <c r="C4521" s="8">
        <f>IFERROR(__xludf.DUMMYFUNCTION("SPLIT(B4521,""RM"")"),450000.0)</f>
        <v>450000</v>
      </c>
      <c r="D4521" s="7">
        <v>3.0</v>
      </c>
      <c r="E4521" s="7">
        <v>2.0</v>
      </c>
      <c r="F4521" s="7">
        <v>1.0</v>
      </c>
      <c r="G4521" s="7" t="s">
        <v>562</v>
      </c>
      <c r="H4521" s="7" t="s">
        <v>2081</v>
      </c>
    </row>
    <row r="4522">
      <c r="A4522" s="7" t="s">
        <v>104</v>
      </c>
      <c r="B4522" s="7" t="s">
        <v>18</v>
      </c>
      <c r="C4522" s="8">
        <f>IFERROR(__xludf.DUMMYFUNCTION("SPLIT(B4522,""RM"")"),1250000.0)</f>
        <v>1250000</v>
      </c>
      <c r="D4522" s="7" t="s">
        <v>60</v>
      </c>
      <c r="E4522" s="7">
        <v>6.0</v>
      </c>
      <c r="G4522" s="7" t="s">
        <v>562</v>
      </c>
      <c r="H4522" s="7" t="s">
        <v>333</v>
      </c>
    </row>
    <row r="4523">
      <c r="A4523" s="7" t="s">
        <v>2782</v>
      </c>
      <c r="B4523" s="7" t="s">
        <v>239</v>
      </c>
      <c r="C4523" s="8">
        <f>IFERROR(__xludf.DUMMYFUNCTION("SPLIT(B4523,""RM"")"),1280000.0)</f>
        <v>1280000</v>
      </c>
      <c r="D4523" s="7">
        <v>5.0</v>
      </c>
      <c r="E4523" s="7">
        <v>4.0</v>
      </c>
      <c r="G4523" s="7" t="s">
        <v>562</v>
      </c>
      <c r="H4523" s="7" t="s">
        <v>1958</v>
      </c>
    </row>
    <row r="4524">
      <c r="A4524" s="7" t="s">
        <v>171</v>
      </c>
      <c r="B4524" s="7" t="s">
        <v>1011</v>
      </c>
      <c r="C4524" s="8">
        <f>IFERROR(__xludf.DUMMYFUNCTION("SPLIT(B4524,""RM"")"),398000.0)</f>
        <v>398000</v>
      </c>
      <c r="D4524" s="7">
        <v>2.0</v>
      </c>
      <c r="E4524" s="7">
        <v>2.0</v>
      </c>
      <c r="F4524" s="7">
        <v>1.0</v>
      </c>
      <c r="G4524" s="7" t="s">
        <v>83</v>
      </c>
      <c r="H4524" s="7" t="s">
        <v>2783</v>
      </c>
      <c r="I4524" s="7" t="s">
        <v>22</v>
      </c>
    </row>
    <row r="4525">
      <c r="A4525" s="7" t="s">
        <v>100</v>
      </c>
      <c r="B4525" s="7" t="s">
        <v>78</v>
      </c>
      <c r="C4525" s="8">
        <f>IFERROR(__xludf.DUMMYFUNCTION("SPLIT(B4525,""RM"")"),1500000.0)</f>
        <v>1500000</v>
      </c>
      <c r="D4525" s="7" t="s">
        <v>57</v>
      </c>
      <c r="E4525" s="7">
        <v>4.0</v>
      </c>
      <c r="G4525" s="7" t="s">
        <v>30</v>
      </c>
      <c r="H4525" s="7" t="s">
        <v>735</v>
      </c>
      <c r="I4525" s="7" t="s">
        <v>22</v>
      </c>
    </row>
    <row r="4526">
      <c r="A4526" s="7" t="s">
        <v>100</v>
      </c>
      <c r="B4526" s="7" t="s">
        <v>1011</v>
      </c>
      <c r="C4526" s="8">
        <f>IFERROR(__xludf.DUMMYFUNCTION("SPLIT(B4526,""RM"")"),398000.0)</f>
        <v>398000</v>
      </c>
      <c r="D4526" s="7">
        <v>3.0</v>
      </c>
      <c r="E4526" s="7">
        <v>2.0</v>
      </c>
      <c r="F4526" s="7">
        <v>1.0</v>
      </c>
      <c r="G4526" s="7" t="s">
        <v>93</v>
      </c>
      <c r="I4526" s="7" t="s">
        <v>27</v>
      </c>
    </row>
    <row r="4527">
      <c r="A4527" s="7" t="s">
        <v>48</v>
      </c>
      <c r="B4527" s="7" t="s">
        <v>245</v>
      </c>
      <c r="C4527" s="8">
        <f>IFERROR(__xludf.DUMMYFUNCTION("SPLIT(B4527,""RM"")"),800000.0)</f>
        <v>800000</v>
      </c>
      <c r="D4527" s="7">
        <v>4.0</v>
      </c>
      <c r="E4527" s="7">
        <v>3.0</v>
      </c>
      <c r="G4527" s="7" t="s">
        <v>54</v>
      </c>
      <c r="H4527" s="7" t="s">
        <v>211</v>
      </c>
      <c r="I4527" s="7" t="s">
        <v>27</v>
      </c>
    </row>
    <row r="4528">
      <c r="A4528" s="7" t="s">
        <v>32</v>
      </c>
      <c r="B4528" s="7" t="s">
        <v>2784</v>
      </c>
      <c r="C4528" s="8">
        <f>IFERROR(__xludf.DUMMYFUNCTION("SPLIT(B4528,""RM"")"),672300.0)</f>
        <v>672300</v>
      </c>
      <c r="D4528" s="7">
        <v>3.0</v>
      </c>
      <c r="E4528" s="7">
        <v>2.0</v>
      </c>
      <c r="F4528" s="7">
        <v>2.0</v>
      </c>
      <c r="G4528" s="7" t="s">
        <v>20</v>
      </c>
      <c r="H4528" s="7" t="s">
        <v>1681</v>
      </c>
    </row>
    <row r="4529">
      <c r="A4529" s="7" t="s">
        <v>72</v>
      </c>
      <c r="B4529" s="7" t="s">
        <v>2785</v>
      </c>
      <c r="C4529" s="8">
        <f>IFERROR(__xludf.DUMMYFUNCTION("SPLIT(B4529,""RM"")"),1.19E7)</f>
        <v>11900000</v>
      </c>
      <c r="D4529" s="7" t="s">
        <v>70</v>
      </c>
      <c r="E4529" s="7">
        <v>6.0</v>
      </c>
      <c r="G4529" s="7" t="s">
        <v>25</v>
      </c>
      <c r="H4529" s="7" t="s">
        <v>2786</v>
      </c>
      <c r="I4529" s="7" t="s">
        <v>27</v>
      </c>
    </row>
    <row r="4530">
      <c r="A4530" s="7" t="s">
        <v>23</v>
      </c>
      <c r="B4530" s="7" t="s">
        <v>1240</v>
      </c>
      <c r="C4530" s="8">
        <f>IFERROR(__xludf.DUMMYFUNCTION("SPLIT(B4530,""RM"")"),1.25E7)</f>
        <v>12500000</v>
      </c>
      <c r="G4530" s="7" t="s">
        <v>25</v>
      </c>
      <c r="H4530" s="7" t="s">
        <v>696</v>
      </c>
    </row>
    <row r="4531">
      <c r="A4531" s="7" t="s">
        <v>72</v>
      </c>
      <c r="B4531" s="7" t="s">
        <v>2787</v>
      </c>
      <c r="C4531" s="8">
        <f>IFERROR(__xludf.DUMMYFUNCTION("SPLIT(B4531,""RM"")"),5751200.0)</f>
        <v>5751200</v>
      </c>
      <c r="G4531" s="7" t="s">
        <v>1453</v>
      </c>
      <c r="H4531" s="7" t="s">
        <v>2685</v>
      </c>
      <c r="I4531" s="7" t="s">
        <v>251</v>
      </c>
    </row>
    <row r="4532">
      <c r="A4532" s="7" t="s">
        <v>72</v>
      </c>
      <c r="B4532" s="7" t="s">
        <v>1452</v>
      </c>
      <c r="C4532" s="8">
        <f>IFERROR(__xludf.DUMMYFUNCTION("SPLIT(B4532,""RM"")"),4030000.0)</f>
        <v>4030000</v>
      </c>
      <c r="G4532" s="7" t="s">
        <v>1453</v>
      </c>
      <c r="H4532" s="7" t="s">
        <v>1120</v>
      </c>
      <c r="I4532" s="7" t="s">
        <v>251</v>
      </c>
    </row>
    <row r="4533">
      <c r="A4533" s="7" t="s">
        <v>48</v>
      </c>
      <c r="B4533" s="7" t="s">
        <v>648</v>
      </c>
      <c r="C4533" s="8">
        <f>IFERROR(__xludf.DUMMYFUNCTION("SPLIT(B4533,""RM"")"),568000.0)</f>
        <v>568000</v>
      </c>
      <c r="D4533" s="7">
        <v>3.0</v>
      </c>
      <c r="E4533" s="7">
        <v>2.0</v>
      </c>
      <c r="F4533" s="7">
        <v>2.0</v>
      </c>
      <c r="G4533" s="7" t="s">
        <v>83</v>
      </c>
      <c r="H4533" s="7" t="s">
        <v>2788</v>
      </c>
      <c r="I4533" s="7" t="s">
        <v>27</v>
      </c>
    </row>
    <row r="4534">
      <c r="A4534" s="7" t="s">
        <v>72</v>
      </c>
      <c r="B4534" s="7" t="s">
        <v>329</v>
      </c>
      <c r="C4534" s="8">
        <f>IFERROR(__xludf.DUMMYFUNCTION("SPLIT(B4534,""RM"")"),1200000.0)</f>
        <v>1200000</v>
      </c>
      <c r="D4534" s="7" t="s">
        <v>57</v>
      </c>
      <c r="E4534" s="7">
        <v>3.0</v>
      </c>
      <c r="G4534" s="7" t="s">
        <v>83</v>
      </c>
      <c r="H4534" s="7" t="s">
        <v>2227</v>
      </c>
      <c r="I4534" s="7" t="s">
        <v>27</v>
      </c>
    </row>
    <row r="4535">
      <c r="A4535" s="7" t="s">
        <v>89</v>
      </c>
      <c r="B4535" s="7" t="s">
        <v>87</v>
      </c>
      <c r="C4535" s="8">
        <f>IFERROR(__xludf.DUMMYFUNCTION("SPLIT(B4535,""RM"")"),490000.0)</f>
        <v>490000</v>
      </c>
      <c r="D4535" s="7">
        <v>3.0</v>
      </c>
      <c r="E4535" s="7">
        <v>2.0</v>
      </c>
      <c r="F4535" s="7">
        <v>2.0</v>
      </c>
      <c r="G4535" s="7" t="s">
        <v>83</v>
      </c>
      <c r="H4535" s="7" t="s">
        <v>1271</v>
      </c>
      <c r="I4535" s="7" t="s">
        <v>27</v>
      </c>
    </row>
    <row r="4536">
      <c r="A4536" s="7" t="s">
        <v>72</v>
      </c>
      <c r="B4536" s="7" t="s">
        <v>18</v>
      </c>
      <c r="C4536" s="8">
        <f>IFERROR(__xludf.DUMMYFUNCTION("SPLIT(B4536,""RM"")"),1250000.0)</f>
        <v>1250000</v>
      </c>
      <c r="D4536" s="7" t="s">
        <v>57</v>
      </c>
      <c r="E4536" s="7">
        <v>3.0</v>
      </c>
      <c r="G4536" s="7" t="s">
        <v>83</v>
      </c>
      <c r="H4536" s="7" t="s">
        <v>2789</v>
      </c>
      <c r="I4536" s="7" t="s">
        <v>22</v>
      </c>
    </row>
    <row r="4537">
      <c r="A4537" s="7" t="s">
        <v>72</v>
      </c>
      <c r="B4537" s="7" t="s">
        <v>85</v>
      </c>
      <c r="C4537" s="8">
        <f>IFERROR(__xludf.DUMMYFUNCTION("SPLIT(B4537,""RM"")"),1450000.0)</f>
        <v>1450000</v>
      </c>
      <c r="D4537" s="7" t="s">
        <v>57</v>
      </c>
      <c r="E4537" s="7">
        <v>4.0</v>
      </c>
      <c r="F4537" s="7">
        <v>2.0</v>
      </c>
      <c r="G4537" s="7" t="s">
        <v>30</v>
      </c>
      <c r="H4537" s="7" t="s">
        <v>1027</v>
      </c>
      <c r="I4537" s="7" t="s">
        <v>27</v>
      </c>
    </row>
    <row r="4538">
      <c r="A4538" s="7" t="s">
        <v>72</v>
      </c>
      <c r="B4538" s="7" t="s">
        <v>81</v>
      </c>
      <c r="C4538" s="8">
        <f>IFERROR(__xludf.DUMMYFUNCTION("SPLIT(B4538,""RM"")"),1550000.0)</f>
        <v>1550000</v>
      </c>
      <c r="D4538" s="7" t="s">
        <v>57</v>
      </c>
      <c r="E4538" s="7">
        <v>3.0</v>
      </c>
      <c r="F4538" s="7">
        <v>2.0</v>
      </c>
      <c r="G4538" s="7" t="s">
        <v>83</v>
      </c>
      <c r="H4538" s="7" t="s">
        <v>2790</v>
      </c>
      <c r="I4538" s="7" t="s">
        <v>27</v>
      </c>
    </row>
    <row r="4539">
      <c r="A4539" s="7" t="s">
        <v>72</v>
      </c>
      <c r="B4539" s="7" t="s">
        <v>311</v>
      </c>
      <c r="C4539" s="8">
        <f>IFERROR(__xludf.DUMMYFUNCTION("SPLIT(B4539,""RM"")"),1100000.0)</f>
        <v>1100000</v>
      </c>
      <c r="D4539" s="7" t="s">
        <v>57</v>
      </c>
      <c r="E4539" s="7">
        <v>4.0</v>
      </c>
      <c r="G4539" s="7" t="s">
        <v>83</v>
      </c>
      <c r="H4539" s="7" t="s">
        <v>2226</v>
      </c>
      <c r="I4539" s="7" t="s">
        <v>22</v>
      </c>
    </row>
    <row r="4540">
      <c r="A4540" s="7" t="s">
        <v>188</v>
      </c>
      <c r="B4540" s="7" t="s">
        <v>85</v>
      </c>
      <c r="C4540" s="8">
        <f>IFERROR(__xludf.DUMMYFUNCTION("SPLIT(B4540,""RM"")"),1450000.0)</f>
        <v>1450000</v>
      </c>
      <c r="D4540" s="7">
        <v>2.0</v>
      </c>
      <c r="E4540" s="7">
        <v>2.0</v>
      </c>
      <c r="F4540" s="7">
        <v>1.0</v>
      </c>
      <c r="G4540" s="7" t="s">
        <v>30</v>
      </c>
      <c r="H4540" s="7" t="s">
        <v>2668</v>
      </c>
      <c r="I4540" s="7" t="s">
        <v>22</v>
      </c>
    </row>
    <row r="4541">
      <c r="A4541" s="7" t="s">
        <v>48</v>
      </c>
      <c r="B4541" s="7" t="s">
        <v>1869</v>
      </c>
      <c r="C4541" s="8">
        <f>IFERROR(__xludf.DUMMYFUNCTION("SPLIT(B4541,""RM"")"),458000.0)</f>
        <v>458000</v>
      </c>
      <c r="D4541" s="7">
        <v>3.0</v>
      </c>
      <c r="E4541" s="7">
        <v>2.0</v>
      </c>
      <c r="G4541" s="7" t="s">
        <v>169</v>
      </c>
      <c r="H4541" s="7" t="s">
        <v>1103</v>
      </c>
      <c r="I4541" s="7" t="s">
        <v>103</v>
      </c>
    </row>
    <row r="4542">
      <c r="A4542" s="7" t="s">
        <v>48</v>
      </c>
      <c r="B4542" s="7" t="s">
        <v>329</v>
      </c>
      <c r="C4542" s="8">
        <f>IFERROR(__xludf.DUMMYFUNCTION("SPLIT(B4542,""RM"")"),1200000.0)</f>
        <v>1200000</v>
      </c>
      <c r="D4542" s="7">
        <v>4.0</v>
      </c>
      <c r="E4542" s="7">
        <v>4.0</v>
      </c>
      <c r="G4542" s="7" t="s">
        <v>681</v>
      </c>
      <c r="H4542" s="7" t="s">
        <v>719</v>
      </c>
    </row>
    <row r="4543">
      <c r="A4543" s="7" t="s">
        <v>1456</v>
      </c>
      <c r="B4543" s="7" t="s">
        <v>1679</v>
      </c>
      <c r="C4543" s="8">
        <f>IFERROR(__xludf.DUMMYFUNCTION("SPLIT(B4543,""RM"")"),828000.0)</f>
        <v>828000</v>
      </c>
      <c r="D4543" s="7">
        <v>4.0</v>
      </c>
      <c r="E4543" s="7">
        <v>2.0</v>
      </c>
      <c r="G4543" s="7" t="s">
        <v>169</v>
      </c>
      <c r="H4543" s="7" t="s">
        <v>1839</v>
      </c>
      <c r="I4543" s="7" t="s">
        <v>27</v>
      </c>
    </row>
    <row r="4544">
      <c r="A4544" s="7" t="s">
        <v>89</v>
      </c>
      <c r="B4544" s="7" t="s">
        <v>229</v>
      </c>
      <c r="C4544" s="8">
        <f>IFERROR(__xludf.DUMMYFUNCTION("SPLIT(B4544,""RM"")"),1050000.0)</f>
        <v>1050000</v>
      </c>
      <c r="D4544" s="7">
        <v>5.0</v>
      </c>
      <c r="E4544" s="7">
        <v>4.0</v>
      </c>
      <c r="G4544" s="7" t="s">
        <v>562</v>
      </c>
      <c r="H4544" s="7" t="s">
        <v>91</v>
      </c>
    </row>
    <row r="4545">
      <c r="A4545" s="7" t="s">
        <v>72</v>
      </c>
      <c r="B4545" s="7" t="s">
        <v>127</v>
      </c>
      <c r="C4545" s="8">
        <f>IFERROR(__xludf.DUMMYFUNCTION("SPLIT(B4545,""RM"")"),4200000.0)</f>
        <v>4200000</v>
      </c>
      <c r="D4545" s="7" t="s">
        <v>70</v>
      </c>
      <c r="E4545" s="7">
        <v>5.0</v>
      </c>
      <c r="F4545" s="7">
        <v>2.0</v>
      </c>
      <c r="G4545" s="7" t="s">
        <v>43</v>
      </c>
      <c r="H4545" s="7" t="s">
        <v>1935</v>
      </c>
      <c r="I4545" s="7" t="s">
        <v>27</v>
      </c>
    </row>
    <row r="4546">
      <c r="A4546" s="7" t="s">
        <v>100</v>
      </c>
      <c r="B4546" s="7" t="s">
        <v>641</v>
      </c>
      <c r="C4546" s="8">
        <f>IFERROR(__xludf.DUMMYFUNCTION("SPLIT(B4546,""RM"")"),830000.0)</f>
        <v>830000</v>
      </c>
      <c r="D4546" s="7">
        <v>3.0</v>
      </c>
      <c r="E4546" s="7">
        <v>2.0</v>
      </c>
      <c r="F4546" s="7">
        <v>2.0</v>
      </c>
      <c r="G4546" s="7" t="s">
        <v>20</v>
      </c>
      <c r="H4546" s="7" t="s">
        <v>1657</v>
      </c>
      <c r="I4546" s="7" t="s">
        <v>22</v>
      </c>
    </row>
    <row r="4547">
      <c r="A4547" s="7" t="s">
        <v>1476</v>
      </c>
      <c r="B4547" s="7" t="s">
        <v>2791</v>
      </c>
      <c r="C4547" s="8">
        <f>IFERROR(__xludf.DUMMYFUNCTION("SPLIT(B4547,""RM"")"),339000.0)</f>
        <v>339000</v>
      </c>
      <c r="D4547" s="7">
        <v>3.0</v>
      </c>
      <c r="E4547" s="7">
        <v>2.0</v>
      </c>
      <c r="F4547" s="7">
        <v>1.0</v>
      </c>
      <c r="G4547" s="7" t="s">
        <v>83</v>
      </c>
      <c r="H4547" s="7" t="s">
        <v>2667</v>
      </c>
      <c r="I4547" s="7" t="s">
        <v>27</v>
      </c>
    </row>
    <row r="4548">
      <c r="A4548" s="7" t="s">
        <v>1476</v>
      </c>
      <c r="B4548" s="7" t="s">
        <v>1426</v>
      </c>
      <c r="C4548" s="8">
        <f>IFERROR(__xludf.DUMMYFUNCTION("SPLIT(B4548,""RM"")"),298000.0)</f>
        <v>298000</v>
      </c>
      <c r="D4548" s="7">
        <v>3.0</v>
      </c>
      <c r="E4548" s="7">
        <v>2.0</v>
      </c>
      <c r="F4548" s="7">
        <v>1.0</v>
      </c>
      <c r="G4548" s="7" t="s">
        <v>83</v>
      </c>
      <c r="H4548" s="7" t="s">
        <v>1319</v>
      </c>
      <c r="I4548" s="7" t="s">
        <v>27</v>
      </c>
    </row>
    <row r="4549">
      <c r="A4549" s="7" t="s">
        <v>2237</v>
      </c>
      <c r="B4549" s="7" t="s">
        <v>1318</v>
      </c>
      <c r="C4549" s="8">
        <f>IFERROR(__xludf.DUMMYFUNCTION("SPLIT(B4549,""RM"")"),470000.0)</f>
        <v>470000</v>
      </c>
      <c r="D4549" s="7">
        <v>2.0</v>
      </c>
      <c r="E4549" s="7">
        <v>2.0</v>
      </c>
      <c r="F4549" s="7">
        <v>2.0</v>
      </c>
      <c r="G4549" s="7" t="s">
        <v>20</v>
      </c>
      <c r="H4549" s="7" t="s">
        <v>31</v>
      </c>
      <c r="I4549" s="7" t="s">
        <v>27</v>
      </c>
    </row>
    <row r="4550">
      <c r="A4550" s="7" t="s">
        <v>48</v>
      </c>
      <c r="B4550" s="7" t="s">
        <v>353</v>
      </c>
      <c r="C4550" s="8">
        <f>IFERROR(__xludf.DUMMYFUNCTION("SPLIT(B4550,""RM"")"),350000.0)</f>
        <v>350000</v>
      </c>
      <c r="D4550" s="7">
        <v>3.0</v>
      </c>
      <c r="E4550" s="7">
        <v>2.0</v>
      </c>
      <c r="F4550" s="7">
        <v>1.0</v>
      </c>
      <c r="G4550" s="7" t="s">
        <v>169</v>
      </c>
      <c r="H4550" s="7" t="s">
        <v>2081</v>
      </c>
      <c r="I4550" s="7" t="s">
        <v>27</v>
      </c>
    </row>
    <row r="4551">
      <c r="A4551" s="7" t="s">
        <v>1476</v>
      </c>
      <c r="B4551" s="7" t="s">
        <v>702</v>
      </c>
      <c r="C4551" s="8">
        <f>IFERROR(__xludf.DUMMYFUNCTION("SPLIT(B4551,""RM"")"),410000.0)</f>
        <v>410000</v>
      </c>
      <c r="D4551" s="7">
        <v>3.0</v>
      </c>
      <c r="E4551" s="7">
        <v>2.0</v>
      </c>
      <c r="F4551" s="7">
        <v>1.0</v>
      </c>
      <c r="G4551" s="7" t="s">
        <v>83</v>
      </c>
      <c r="H4551" s="7" t="s">
        <v>1684</v>
      </c>
      <c r="I4551" s="7" t="s">
        <v>27</v>
      </c>
    </row>
    <row r="4552">
      <c r="A4552" s="7" t="s">
        <v>1476</v>
      </c>
      <c r="B4552" s="7" t="s">
        <v>1673</v>
      </c>
      <c r="C4552" s="8">
        <f>IFERROR(__xludf.DUMMYFUNCTION("SPLIT(B4552,""RM"")"),345000.0)</f>
        <v>345000</v>
      </c>
      <c r="D4552" s="7" t="s">
        <v>197</v>
      </c>
      <c r="E4552" s="7">
        <v>2.0</v>
      </c>
      <c r="F4552" s="7">
        <v>1.0</v>
      </c>
      <c r="G4552" s="7" t="s">
        <v>83</v>
      </c>
      <c r="H4552" s="7" t="s">
        <v>226</v>
      </c>
      <c r="I4552" s="7" t="s">
        <v>27</v>
      </c>
    </row>
    <row r="4553">
      <c r="A4553" s="7" t="s">
        <v>1476</v>
      </c>
      <c r="B4553" s="7" t="s">
        <v>2792</v>
      </c>
      <c r="C4553" s="8">
        <f>IFERROR(__xludf.DUMMYFUNCTION("SPLIT(B4553,""RM"")"),328000.0)</f>
        <v>328000</v>
      </c>
      <c r="D4553" s="7">
        <v>3.0</v>
      </c>
      <c r="E4553" s="7">
        <v>2.0</v>
      </c>
      <c r="F4553" s="7">
        <v>1.0</v>
      </c>
      <c r="G4553" s="7" t="s">
        <v>354</v>
      </c>
      <c r="H4553" s="7" t="s">
        <v>2662</v>
      </c>
      <c r="I4553" s="7" t="s">
        <v>27</v>
      </c>
    </row>
    <row r="4554">
      <c r="A4554" s="7" t="s">
        <v>32</v>
      </c>
      <c r="B4554" s="7" t="s">
        <v>311</v>
      </c>
      <c r="C4554" s="8">
        <f>IFERROR(__xludf.DUMMYFUNCTION("SPLIT(B4554,""RM"")"),1100000.0)</f>
        <v>1100000</v>
      </c>
      <c r="D4554" s="7" t="s">
        <v>35</v>
      </c>
      <c r="E4554" s="7">
        <v>4.0</v>
      </c>
      <c r="F4554" s="7">
        <v>2.0</v>
      </c>
      <c r="G4554" s="7" t="s">
        <v>83</v>
      </c>
      <c r="H4554" s="7" t="s">
        <v>2793</v>
      </c>
      <c r="I4554" s="7" t="s">
        <v>27</v>
      </c>
    </row>
    <row r="4555">
      <c r="A4555" s="7" t="s">
        <v>1476</v>
      </c>
      <c r="B4555" s="7" t="s">
        <v>2794</v>
      </c>
      <c r="C4555" s="8">
        <f>IFERROR(__xludf.DUMMYFUNCTION("SPLIT(B4555,""RM"")"),138000.0)</f>
        <v>138000</v>
      </c>
      <c r="D4555" s="7">
        <v>2.0</v>
      </c>
      <c r="E4555" s="7">
        <v>1.0</v>
      </c>
      <c r="G4555" s="7" t="s">
        <v>2473</v>
      </c>
      <c r="H4555" s="7" t="s">
        <v>2795</v>
      </c>
      <c r="I4555" s="7" t="s">
        <v>27</v>
      </c>
    </row>
    <row r="4556">
      <c r="A4556" s="7" t="s">
        <v>72</v>
      </c>
      <c r="B4556" s="7" t="s">
        <v>1135</v>
      </c>
      <c r="C4556" s="8">
        <f>IFERROR(__xludf.DUMMYFUNCTION("SPLIT(B4556,""RM"")"),1270000.0)</f>
        <v>1270000</v>
      </c>
      <c r="D4556" s="7" t="s">
        <v>57</v>
      </c>
      <c r="E4556" s="7">
        <v>3.0</v>
      </c>
      <c r="F4556" s="7">
        <v>2.0</v>
      </c>
      <c r="G4556" s="7" t="s">
        <v>83</v>
      </c>
      <c r="H4556" s="7" t="s">
        <v>1830</v>
      </c>
      <c r="I4556" s="7" t="s">
        <v>22</v>
      </c>
    </row>
    <row r="4557">
      <c r="A4557" s="7" t="s">
        <v>72</v>
      </c>
      <c r="B4557" s="7" t="s">
        <v>69</v>
      </c>
      <c r="C4557" s="8">
        <f>IFERROR(__xludf.DUMMYFUNCTION("SPLIT(B4557,""RM"")"),4500000.0)</f>
        <v>4500000</v>
      </c>
      <c r="D4557" s="7" t="s">
        <v>70</v>
      </c>
      <c r="E4557" s="7">
        <v>5.0</v>
      </c>
      <c r="F4557" s="7">
        <v>2.0</v>
      </c>
      <c r="G4557" s="7" t="s">
        <v>43</v>
      </c>
      <c r="H4557" s="7" t="s">
        <v>1935</v>
      </c>
      <c r="I4557" s="7" t="s">
        <v>27</v>
      </c>
    </row>
    <row r="4558">
      <c r="A4558" s="7" t="s">
        <v>177</v>
      </c>
      <c r="B4558" s="7" t="s">
        <v>525</v>
      </c>
      <c r="C4558" s="8">
        <f>IFERROR(__xludf.DUMMYFUNCTION("SPLIT(B4558,""RM"")"),1090000.0)</f>
        <v>1090000</v>
      </c>
      <c r="D4558" s="7">
        <v>3.0</v>
      </c>
      <c r="E4558" s="7">
        <v>3.0</v>
      </c>
      <c r="F4558" s="7">
        <v>1.0</v>
      </c>
      <c r="G4558" s="7" t="s">
        <v>83</v>
      </c>
      <c r="H4558" s="7" t="s">
        <v>1863</v>
      </c>
      <c r="I4558" s="7" t="s">
        <v>22</v>
      </c>
    </row>
    <row r="4559">
      <c r="A4559" s="7" t="s">
        <v>358</v>
      </c>
      <c r="B4559" s="7" t="s">
        <v>599</v>
      </c>
      <c r="C4559" s="8">
        <f>IFERROR(__xludf.DUMMYFUNCTION("SPLIT(B4559,""RM"")"),950000.0)</f>
        <v>950000</v>
      </c>
      <c r="D4559" s="7">
        <v>3.0</v>
      </c>
      <c r="E4559" s="7">
        <v>2.0</v>
      </c>
      <c r="F4559" s="7">
        <v>2.0</v>
      </c>
      <c r="G4559" s="7" t="s">
        <v>83</v>
      </c>
      <c r="H4559" s="7" t="s">
        <v>394</v>
      </c>
      <c r="I4559" s="7" t="s">
        <v>27</v>
      </c>
    </row>
    <row r="4560">
      <c r="A4560" s="7" t="s">
        <v>104</v>
      </c>
      <c r="B4560" s="7" t="s">
        <v>1625</v>
      </c>
      <c r="C4560" s="8">
        <f>IFERROR(__xludf.DUMMYFUNCTION("SPLIT(B4560,""RM"")"),798000.0)</f>
        <v>798000</v>
      </c>
      <c r="D4560" s="7">
        <v>6.0</v>
      </c>
      <c r="E4560" s="7">
        <v>3.0</v>
      </c>
      <c r="G4560" s="7" t="s">
        <v>562</v>
      </c>
      <c r="H4560" s="7" t="s">
        <v>2796</v>
      </c>
    </row>
    <row r="4561">
      <c r="A4561" s="7" t="s">
        <v>72</v>
      </c>
      <c r="B4561" s="7" t="s">
        <v>329</v>
      </c>
      <c r="C4561" s="8">
        <f>IFERROR(__xludf.DUMMYFUNCTION("SPLIT(B4561,""RM"")"),1200000.0)</f>
        <v>1200000</v>
      </c>
      <c r="D4561" s="7" t="s">
        <v>57</v>
      </c>
      <c r="E4561" s="7">
        <v>3.0</v>
      </c>
      <c r="G4561" s="7" t="s">
        <v>83</v>
      </c>
      <c r="H4561" s="7" t="s">
        <v>1885</v>
      </c>
      <c r="I4561" s="7" t="s">
        <v>22</v>
      </c>
    </row>
    <row r="4562">
      <c r="A4562" s="7" t="s">
        <v>72</v>
      </c>
      <c r="B4562" s="7" t="s">
        <v>255</v>
      </c>
      <c r="C4562" s="8">
        <f>IFERROR(__xludf.DUMMYFUNCTION("SPLIT(B4562,""RM"")"),4900000.0)</f>
        <v>4900000</v>
      </c>
      <c r="D4562" s="7" t="s">
        <v>70</v>
      </c>
      <c r="E4562" s="7">
        <v>6.0</v>
      </c>
      <c r="F4562" s="7">
        <v>4.0</v>
      </c>
      <c r="G4562" s="7" t="s">
        <v>20</v>
      </c>
      <c r="H4562" s="7" t="s">
        <v>2797</v>
      </c>
      <c r="I4562" s="7" t="s">
        <v>22</v>
      </c>
    </row>
    <row r="4563">
      <c r="A4563" s="7" t="s">
        <v>72</v>
      </c>
      <c r="B4563" s="7" t="s">
        <v>81</v>
      </c>
      <c r="C4563" s="8">
        <f>IFERROR(__xludf.DUMMYFUNCTION("SPLIT(B4563,""RM"")"),1550000.0)</f>
        <v>1550000</v>
      </c>
      <c r="D4563" s="7" t="s">
        <v>57</v>
      </c>
      <c r="E4563" s="7">
        <v>4.0</v>
      </c>
      <c r="F4563" s="7">
        <v>2.0</v>
      </c>
      <c r="G4563" s="7" t="s">
        <v>83</v>
      </c>
      <c r="H4563" s="7" t="s">
        <v>2798</v>
      </c>
      <c r="I4563" s="7" t="s">
        <v>22</v>
      </c>
    </row>
    <row r="4564">
      <c r="A4564" s="7" t="s">
        <v>72</v>
      </c>
      <c r="B4564" s="7" t="s">
        <v>462</v>
      </c>
      <c r="C4564" s="8">
        <f>IFERROR(__xludf.DUMMYFUNCTION("SPLIT(B4564,""RM"")"),1620000.0)</f>
        <v>1620000</v>
      </c>
      <c r="D4564" s="7" t="s">
        <v>79</v>
      </c>
      <c r="E4564" s="7">
        <v>4.0</v>
      </c>
      <c r="F4564" s="7">
        <v>2.0</v>
      </c>
      <c r="G4564" s="7" t="s">
        <v>83</v>
      </c>
      <c r="H4564" s="7" t="s">
        <v>2709</v>
      </c>
      <c r="I4564" s="7" t="s">
        <v>27</v>
      </c>
    </row>
    <row r="4565">
      <c r="A4565" s="7" t="s">
        <v>72</v>
      </c>
      <c r="B4565" s="7" t="s">
        <v>18</v>
      </c>
      <c r="C4565" s="8">
        <f>IFERROR(__xludf.DUMMYFUNCTION("SPLIT(B4565,""RM"")"),1250000.0)</f>
        <v>1250000</v>
      </c>
      <c r="D4565" s="7" t="s">
        <v>57</v>
      </c>
      <c r="E4565" s="7">
        <v>3.0</v>
      </c>
      <c r="F4565" s="7">
        <v>2.0</v>
      </c>
      <c r="G4565" s="7" t="s">
        <v>83</v>
      </c>
      <c r="H4565" s="7" t="s">
        <v>1830</v>
      </c>
      <c r="I4565" s="7" t="s">
        <v>27</v>
      </c>
    </row>
    <row r="4566">
      <c r="A4566" s="7" t="s">
        <v>17</v>
      </c>
      <c r="B4566" s="7" t="s">
        <v>81</v>
      </c>
      <c r="C4566" s="8">
        <f>IFERROR(__xludf.DUMMYFUNCTION("SPLIT(B4566,""RM"")"),1550000.0)</f>
        <v>1550000</v>
      </c>
      <c r="D4566" s="7">
        <v>2.0</v>
      </c>
      <c r="E4566" s="7">
        <v>2.0</v>
      </c>
      <c r="F4566" s="7">
        <v>1.0</v>
      </c>
      <c r="G4566" s="7" t="s">
        <v>93</v>
      </c>
      <c r="H4566" s="7" t="s">
        <v>2799</v>
      </c>
      <c r="I4566" s="7" t="s">
        <v>22</v>
      </c>
    </row>
    <row r="4567">
      <c r="A4567" s="7" t="s">
        <v>32</v>
      </c>
      <c r="B4567" s="7" t="s">
        <v>898</v>
      </c>
      <c r="C4567" s="8">
        <f>IFERROR(__xludf.DUMMYFUNCTION("SPLIT(B4567,""RM"")"),485000.0)</f>
        <v>485000</v>
      </c>
      <c r="D4567" s="7" t="s">
        <v>57</v>
      </c>
      <c r="E4567" s="7">
        <v>2.0</v>
      </c>
      <c r="F4567" s="7">
        <v>1.0</v>
      </c>
      <c r="G4567" s="7" t="s">
        <v>83</v>
      </c>
      <c r="H4567" s="7" t="s">
        <v>1687</v>
      </c>
      <c r="I4567" s="7" t="s">
        <v>22</v>
      </c>
    </row>
    <row r="4568">
      <c r="A4568" s="7" t="s">
        <v>104</v>
      </c>
      <c r="B4568" s="7" t="s">
        <v>510</v>
      </c>
      <c r="C4568" s="8">
        <f>IFERROR(__xludf.DUMMYFUNCTION("SPLIT(B4568,""RM"")"),380000.0)</f>
        <v>380000</v>
      </c>
      <c r="D4568" s="7" t="s">
        <v>57</v>
      </c>
      <c r="E4568" s="7">
        <v>2.0</v>
      </c>
      <c r="F4568" s="7">
        <v>1.0</v>
      </c>
      <c r="G4568" s="7" t="s">
        <v>83</v>
      </c>
      <c r="H4568" s="7" t="s">
        <v>1548</v>
      </c>
    </row>
    <row r="4569">
      <c r="A4569" s="7" t="s">
        <v>33</v>
      </c>
      <c r="B4569" s="7" t="s">
        <v>1836</v>
      </c>
      <c r="C4569" s="8">
        <f>IFERROR(__xludf.DUMMYFUNCTION("SPLIT(B4569,""RM"")"),675000.0)</f>
        <v>675000</v>
      </c>
      <c r="D4569" s="7">
        <v>3.0</v>
      </c>
      <c r="E4569" s="7">
        <v>2.0</v>
      </c>
      <c r="F4569" s="7">
        <v>3.0</v>
      </c>
      <c r="G4569" s="7" t="s">
        <v>83</v>
      </c>
      <c r="H4569" s="7" t="s">
        <v>1196</v>
      </c>
      <c r="I4569" s="7" t="s">
        <v>22</v>
      </c>
    </row>
    <row r="4570">
      <c r="A4570" s="7" t="s">
        <v>77</v>
      </c>
      <c r="B4570" s="7" t="s">
        <v>73</v>
      </c>
      <c r="C4570" s="8">
        <f>IFERROR(__xludf.DUMMYFUNCTION("SPLIT(B4570,""RM"")"),1780000.0)</f>
        <v>1780000</v>
      </c>
      <c r="D4570" s="7" t="s">
        <v>57</v>
      </c>
      <c r="E4570" s="7">
        <v>3.0</v>
      </c>
      <c r="F4570" s="7">
        <v>2.0</v>
      </c>
      <c r="G4570" s="7" t="s">
        <v>54</v>
      </c>
      <c r="H4570" s="7" t="s">
        <v>400</v>
      </c>
      <c r="I4570" s="7" t="s">
        <v>27</v>
      </c>
    </row>
    <row r="4571">
      <c r="A4571" s="7" t="s">
        <v>432</v>
      </c>
      <c r="B4571" s="7" t="s">
        <v>56</v>
      </c>
      <c r="C4571" s="8">
        <f>IFERROR(__xludf.DUMMYFUNCTION("SPLIT(B4571,""RM"")"),1700000.0)</f>
        <v>1700000</v>
      </c>
      <c r="D4571" s="7">
        <v>4.0</v>
      </c>
      <c r="E4571" s="7">
        <v>3.0</v>
      </c>
      <c r="F4571" s="7">
        <v>2.0</v>
      </c>
      <c r="G4571" s="7" t="s">
        <v>54</v>
      </c>
      <c r="H4571" s="7" t="s">
        <v>2250</v>
      </c>
      <c r="I4571" s="7" t="s">
        <v>27</v>
      </c>
    </row>
    <row r="4572">
      <c r="A4572" s="7" t="s">
        <v>72</v>
      </c>
      <c r="B4572" s="7" t="s">
        <v>281</v>
      </c>
      <c r="C4572" s="8">
        <f>IFERROR(__xludf.DUMMYFUNCTION("SPLIT(B4572,""RM"")"),2500000.0)</f>
        <v>2500000</v>
      </c>
      <c r="D4572" s="7" t="s">
        <v>70</v>
      </c>
      <c r="F4572" s="7">
        <v>3.0</v>
      </c>
      <c r="G4572" s="7" t="s">
        <v>793</v>
      </c>
      <c r="H4572" s="7" t="s">
        <v>498</v>
      </c>
    </row>
    <row r="4573">
      <c r="A4573" s="7" t="s">
        <v>72</v>
      </c>
      <c r="B4573" s="7" t="s">
        <v>329</v>
      </c>
      <c r="C4573" s="8">
        <f>IFERROR(__xludf.DUMMYFUNCTION("SPLIT(B4573,""RM"")"),1200000.0)</f>
        <v>1200000</v>
      </c>
      <c r="D4573" s="7">
        <v>4.0</v>
      </c>
      <c r="E4573" s="7">
        <v>4.0</v>
      </c>
      <c r="F4573" s="7">
        <v>2.0</v>
      </c>
      <c r="G4573" s="7" t="s">
        <v>83</v>
      </c>
      <c r="H4573" s="7" t="s">
        <v>2800</v>
      </c>
    </row>
    <row r="4574">
      <c r="A4574" s="7" t="s">
        <v>72</v>
      </c>
      <c r="B4574" s="7" t="s">
        <v>132</v>
      </c>
      <c r="C4574" s="8">
        <f>IFERROR(__xludf.DUMMYFUNCTION("SPLIT(B4574,""RM"")"),1080000.0)</f>
        <v>1080000</v>
      </c>
      <c r="D4574" s="7">
        <v>2.0</v>
      </c>
      <c r="E4574" s="7">
        <v>2.0</v>
      </c>
      <c r="G4574" s="7" t="s">
        <v>20</v>
      </c>
      <c r="H4574" s="7" t="s">
        <v>964</v>
      </c>
    </row>
    <row r="4575">
      <c r="A4575" s="7" t="s">
        <v>72</v>
      </c>
      <c r="B4575" s="7" t="s">
        <v>98</v>
      </c>
      <c r="C4575" s="8">
        <f>IFERROR(__xludf.DUMMYFUNCTION("SPLIT(B4575,""RM"")"),1830000.0)</f>
        <v>1830000</v>
      </c>
      <c r="D4575" s="7" t="s">
        <v>35</v>
      </c>
      <c r="E4575" s="7">
        <v>4.0</v>
      </c>
      <c r="F4575" s="7">
        <v>2.0</v>
      </c>
      <c r="G4575" s="7" t="s">
        <v>83</v>
      </c>
      <c r="H4575" s="7" t="s">
        <v>74</v>
      </c>
      <c r="I4575" s="7" t="s">
        <v>27</v>
      </c>
    </row>
    <row r="4576">
      <c r="A4576" s="7" t="s">
        <v>72</v>
      </c>
      <c r="B4576" s="7" t="s">
        <v>243</v>
      </c>
      <c r="C4576" s="8">
        <f>IFERROR(__xludf.DUMMYFUNCTION("SPLIT(B4576,""RM"")"),1350000.0)</f>
        <v>1350000</v>
      </c>
      <c r="D4576" s="7" t="s">
        <v>57</v>
      </c>
      <c r="E4576" s="7">
        <v>4.0</v>
      </c>
      <c r="F4576" s="7">
        <v>2.0</v>
      </c>
      <c r="G4576" s="7" t="s">
        <v>30</v>
      </c>
      <c r="H4576" s="7" t="s">
        <v>1691</v>
      </c>
      <c r="I4576" s="7" t="s">
        <v>22</v>
      </c>
    </row>
    <row r="4577">
      <c r="A4577" s="7" t="s">
        <v>432</v>
      </c>
      <c r="B4577" s="7" t="s">
        <v>411</v>
      </c>
      <c r="C4577" s="8">
        <f>IFERROR(__xludf.DUMMYFUNCTION("SPLIT(B4577,""RM"")"),2150000.0)</f>
        <v>2150000</v>
      </c>
      <c r="D4577" s="7" t="s">
        <v>57</v>
      </c>
      <c r="E4577" s="7">
        <v>5.0</v>
      </c>
      <c r="G4577" s="7" t="s">
        <v>83</v>
      </c>
      <c r="H4577" s="7" t="s">
        <v>307</v>
      </c>
      <c r="I4577" s="7" t="s">
        <v>22</v>
      </c>
    </row>
    <row r="4578">
      <c r="A4578" s="7" t="s">
        <v>100</v>
      </c>
      <c r="B4578" s="7" t="s">
        <v>2801</v>
      </c>
      <c r="C4578" s="8">
        <f>IFERROR(__xludf.DUMMYFUNCTION("SPLIT(B4578,""RM"")"),548000.0)</f>
        <v>548000</v>
      </c>
      <c r="D4578" s="7">
        <v>2.0</v>
      </c>
      <c r="E4578" s="7">
        <v>2.0</v>
      </c>
      <c r="F4578" s="7">
        <v>1.0</v>
      </c>
      <c r="G4578" s="7" t="s">
        <v>121</v>
      </c>
      <c r="H4578" s="7" t="s">
        <v>2802</v>
      </c>
      <c r="I4578" s="7" t="s">
        <v>27</v>
      </c>
    </row>
    <row r="4579">
      <c r="A4579" s="7" t="s">
        <v>100</v>
      </c>
      <c r="B4579" s="7" t="s">
        <v>1328</v>
      </c>
      <c r="C4579" s="8">
        <f>IFERROR(__xludf.DUMMYFUNCTION("SPLIT(B4579,""RM"")"),650000.0)</f>
        <v>650000</v>
      </c>
      <c r="G4579" s="7" t="s">
        <v>83</v>
      </c>
      <c r="H4579" s="7" t="s">
        <v>1004</v>
      </c>
    </row>
    <row r="4580">
      <c r="A4580" s="7" t="s">
        <v>148</v>
      </c>
      <c r="B4580" s="7" t="s">
        <v>759</v>
      </c>
      <c r="C4580" s="8">
        <f>IFERROR(__xludf.DUMMYFUNCTION("SPLIT(B4580,""RM"")"),520000.0)</f>
        <v>520000</v>
      </c>
      <c r="D4580" s="7">
        <v>3.0</v>
      </c>
      <c r="E4580" s="7">
        <v>2.0</v>
      </c>
      <c r="F4580" s="7">
        <v>1.0</v>
      </c>
      <c r="G4580" s="7" t="s">
        <v>54</v>
      </c>
      <c r="H4580" s="7" t="s">
        <v>2076</v>
      </c>
      <c r="I4580" s="7" t="s">
        <v>103</v>
      </c>
    </row>
    <row r="4581">
      <c r="A4581" s="7" t="s">
        <v>368</v>
      </c>
      <c r="B4581" s="7" t="s">
        <v>2803</v>
      </c>
      <c r="C4581" s="8">
        <f>IFERROR(__xludf.DUMMYFUNCTION("SPLIT(B4581,""RM"")"),538500.0)</f>
        <v>538500</v>
      </c>
      <c r="D4581" s="7">
        <v>3.0</v>
      </c>
      <c r="E4581" s="7">
        <v>2.0</v>
      </c>
      <c r="G4581" s="7" t="s">
        <v>20</v>
      </c>
      <c r="H4581" s="7" t="s">
        <v>2403</v>
      </c>
      <c r="I4581" s="7" t="s">
        <v>22</v>
      </c>
    </row>
    <row r="4582">
      <c r="A4582" s="7" t="s">
        <v>171</v>
      </c>
      <c r="B4582" s="7" t="s">
        <v>257</v>
      </c>
      <c r="C4582" s="8">
        <f>IFERROR(__xludf.DUMMYFUNCTION("SPLIT(B4582,""RM"")"),2480000.0)</f>
        <v>2480000</v>
      </c>
      <c r="D4582" s="7" t="s">
        <v>299</v>
      </c>
      <c r="E4582" s="7">
        <v>7.0</v>
      </c>
      <c r="F4582" s="7">
        <v>6.0</v>
      </c>
      <c r="G4582" s="7" t="s">
        <v>83</v>
      </c>
      <c r="H4582" s="7" t="s">
        <v>2804</v>
      </c>
    </row>
    <row r="4583">
      <c r="A4583" s="7" t="s">
        <v>171</v>
      </c>
      <c r="B4583" s="7" t="s">
        <v>2805</v>
      </c>
      <c r="C4583" s="8">
        <f>IFERROR(__xludf.DUMMYFUNCTION("SPLIT(B4583,""RM"")"),2146000.0)</f>
        <v>2146000</v>
      </c>
      <c r="D4583" s="7" t="s">
        <v>35</v>
      </c>
      <c r="E4583" s="7">
        <v>5.0</v>
      </c>
      <c r="F4583" s="7">
        <v>4.0</v>
      </c>
      <c r="G4583" s="7" t="s">
        <v>83</v>
      </c>
      <c r="H4583" s="7" t="s">
        <v>1762</v>
      </c>
    </row>
    <row r="4584">
      <c r="A4584" s="7" t="s">
        <v>171</v>
      </c>
      <c r="B4584" s="7" t="s">
        <v>2806</v>
      </c>
      <c r="C4584" s="8">
        <f>IFERROR(__xludf.DUMMYFUNCTION("SPLIT(B4584,""RM"")"),1532576.0)</f>
        <v>1532576</v>
      </c>
      <c r="D4584" s="7" t="s">
        <v>70</v>
      </c>
      <c r="E4584" s="7">
        <v>6.0</v>
      </c>
      <c r="F4584" s="7">
        <v>3.0</v>
      </c>
      <c r="G4584" s="7" t="s">
        <v>83</v>
      </c>
      <c r="H4584" s="7" t="s">
        <v>1373</v>
      </c>
      <c r="I4584" s="7" t="s">
        <v>103</v>
      </c>
    </row>
    <row r="4585">
      <c r="A4585" s="7" t="s">
        <v>368</v>
      </c>
      <c r="B4585" s="7" t="s">
        <v>2807</v>
      </c>
      <c r="C4585" s="8">
        <f>IFERROR(__xludf.DUMMYFUNCTION("SPLIT(B4585,""RM"")"),800760.0)</f>
        <v>800760</v>
      </c>
      <c r="D4585" s="7" t="s">
        <v>57</v>
      </c>
      <c r="E4585" s="7">
        <v>3.0</v>
      </c>
      <c r="F4585" s="7">
        <v>3.0</v>
      </c>
      <c r="G4585" s="7" t="s">
        <v>20</v>
      </c>
      <c r="H4585" s="7" t="s">
        <v>1242</v>
      </c>
      <c r="I4585" s="7" t="s">
        <v>27</v>
      </c>
    </row>
    <row r="4586">
      <c r="A4586" s="7" t="s">
        <v>171</v>
      </c>
      <c r="B4586" s="7" t="s">
        <v>2808</v>
      </c>
      <c r="C4586" s="8">
        <f>IFERROR(__xludf.DUMMYFUNCTION("SPLIT(B4586,""RM"")"),1431886.0)</f>
        <v>1431886</v>
      </c>
      <c r="D4586" s="7" t="s">
        <v>35</v>
      </c>
      <c r="E4586" s="7">
        <v>5.0</v>
      </c>
      <c r="F4586" s="7">
        <v>3.0</v>
      </c>
      <c r="G4586" s="7" t="s">
        <v>83</v>
      </c>
      <c r="H4586" s="7" t="s">
        <v>1375</v>
      </c>
      <c r="I4586" s="7" t="s">
        <v>103</v>
      </c>
    </row>
    <row r="4587">
      <c r="A4587" s="7" t="s">
        <v>368</v>
      </c>
      <c r="B4587" s="7" t="s">
        <v>396</v>
      </c>
      <c r="C4587" s="8">
        <f>IFERROR(__xludf.DUMMYFUNCTION("SPLIT(B4587,""RM"")"),676775.0)</f>
        <v>676775</v>
      </c>
      <c r="D4587" s="7" t="s">
        <v>57</v>
      </c>
      <c r="E4587" s="7">
        <v>3.0</v>
      </c>
      <c r="F4587" s="7">
        <v>2.0</v>
      </c>
      <c r="G4587" s="7" t="s">
        <v>20</v>
      </c>
      <c r="H4587" s="7" t="s">
        <v>397</v>
      </c>
    </row>
    <row r="4588">
      <c r="A4588" s="7" t="s">
        <v>171</v>
      </c>
      <c r="B4588" s="7" t="s">
        <v>2809</v>
      </c>
      <c r="C4588" s="8">
        <f>IFERROR(__xludf.DUMMYFUNCTION("SPLIT(B4588,""RM"")"),961158.0)</f>
        <v>961158</v>
      </c>
      <c r="D4588" s="7" t="s">
        <v>57</v>
      </c>
      <c r="E4588" s="7">
        <v>3.0</v>
      </c>
      <c r="F4588" s="7">
        <v>3.0</v>
      </c>
      <c r="G4588" s="7" t="s">
        <v>83</v>
      </c>
      <c r="H4588" s="7" t="s">
        <v>2810</v>
      </c>
      <c r="I4588" s="7" t="s">
        <v>103</v>
      </c>
    </row>
    <row r="4589">
      <c r="A4589" s="7" t="s">
        <v>37</v>
      </c>
      <c r="B4589" s="7" t="s">
        <v>616</v>
      </c>
      <c r="C4589" s="8">
        <f>IFERROR(__xludf.DUMMYFUNCTION("SPLIT(B4589,""RM"")"),7500000.0)</f>
        <v>7500000</v>
      </c>
      <c r="D4589" s="7" t="s">
        <v>299</v>
      </c>
      <c r="E4589" s="7">
        <v>6.0</v>
      </c>
      <c r="F4589" s="7">
        <v>5.0</v>
      </c>
      <c r="G4589" s="7" t="s">
        <v>61</v>
      </c>
      <c r="H4589" s="7" t="s">
        <v>2610</v>
      </c>
      <c r="I4589" s="7" t="s">
        <v>27</v>
      </c>
    </row>
    <row r="4590">
      <c r="A4590" s="7" t="s">
        <v>32</v>
      </c>
      <c r="B4590" s="7" t="s">
        <v>2665</v>
      </c>
      <c r="C4590" s="8">
        <f>IFERROR(__xludf.DUMMYFUNCTION("SPLIT(B4590,""RM"")"),170000.0)</f>
        <v>170000</v>
      </c>
      <c r="D4590" s="7">
        <v>2.0</v>
      </c>
      <c r="E4590" s="7">
        <v>1.0</v>
      </c>
      <c r="G4590" s="7" t="s">
        <v>1566</v>
      </c>
      <c r="H4590" s="7" t="s">
        <v>537</v>
      </c>
      <c r="I4590" s="7" t="s">
        <v>27</v>
      </c>
    </row>
    <row r="4591">
      <c r="A4591" s="7" t="s">
        <v>180</v>
      </c>
      <c r="B4591" s="7" t="s">
        <v>657</v>
      </c>
      <c r="C4591" s="8">
        <f>IFERROR(__xludf.DUMMYFUNCTION("SPLIT(B4591,""RM"")"),980000.0)</f>
        <v>980000</v>
      </c>
      <c r="D4591" s="7" t="s">
        <v>35</v>
      </c>
      <c r="E4591" s="7">
        <v>5.0</v>
      </c>
      <c r="F4591" s="7">
        <v>1.0</v>
      </c>
      <c r="G4591" s="7" t="s">
        <v>30</v>
      </c>
      <c r="H4591" s="7" t="s">
        <v>74</v>
      </c>
      <c r="I4591" s="7" t="s">
        <v>27</v>
      </c>
    </row>
    <row r="4592">
      <c r="A4592" s="7" t="s">
        <v>180</v>
      </c>
      <c r="B4592" s="7" t="s">
        <v>191</v>
      </c>
      <c r="C4592" s="8">
        <f>IFERROR(__xludf.DUMMYFUNCTION("SPLIT(B4592,""RM"")"),1000000.0)</f>
        <v>1000000</v>
      </c>
      <c r="D4592" s="7">
        <v>5.0</v>
      </c>
      <c r="E4592" s="7">
        <v>6.0</v>
      </c>
      <c r="F4592" s="7">
        <v>1.0</v>
      </c>
      <c r="G4592" s="7" t="s">
        <v>83</v>
      </c>
      <c r="H4592" s="7" t="s">
        <v>74</v>
      </c>
      <c r="I4592" s="7" t="s">
        <v>27</v>
      </c>
    </row>
    <row r="4593">
      <c r="A4593" s="7" t="s">
        <v>180</v>
      </c>
      <c r="B4593" s="7" t="s">
        <v>327</v>
      </c>
      <c r="C4593" s="8">
        <f>IFERROR(__xludf.DUMMYFUNCTION("SPLIT(B4593,""RM"")"),1300000.0)</f>
        <v>1300000</v>
      </c>
      <c r="D4593" s="7">
        <v>5.0</v>
      </c>
      <c r="E4593" s="7">
        <v>3.0</v>
      </c>
      <c r="G4593" s="7" t="s">
        <v>83</v>
      </c>
      <c r="H4593" s="7" t="s">
        <v>2811</v>
      </c>
    </row>
    <row r="4594">
      <c r="A4594" s="7" t="s">
        <v>17</v>
      </c>
      <c r="B4594" s="7" t="s">
        <v>18</v>
      </c>
      <c r="C4594" s="8">
        <f>IFERROR(__xludf.DUMMYFUNCTION("SPLIT(B4594,""RM"")"),1250000.0)</f>
        <v>1250000</v>
      </c>
      <c r="D4594" s="7">
        <v>2.0</v>
      </c>
      <c r="E4594" s="7">
        <v>2.0</v>
      </c>
      <c r="G4594" s="7" t="s">
        <v>20</v>
      </c>
      <c r="H4594" s="7" t="s">
        <v>738</v>
      </c>
      <c r="I4594" s="7" t="s">
        <v>22</v>
      </c>
    </row>
    <row r="4595">
      <c r="A4595" s="7" t="s">
        <v>32</v>
      </c>
      <c r="B4595" s="7" t="s">
        <v>715</v>
      </c>
      <c r="C4595" s="8">
        <f>IFERROR(__xludf.DUMMYFUNCTION("SPLIT(B4595,""RM"")"),550000.0)</f>
        <v>550000</v>
      </c>
      <c r="D4595" s="7">
        <v>3.0</v>
      </c>
      <c r="E4595" s="7">
        <v>3.0</v>
      </c>
      <c r="F4595" s="7">
        <v>2.0</v>
      </c>
      <c r="G4595" s="7" t="s">
        <v>30</v>
      </c>
      <c r="H4595" s="7" t="s">
        <v>1657</v>
      </c>
      <c r="I4595" s="7" t="s">
        <v>103</v>
      </c>
    </row>
    <row r="4596">
      <c r="A4596" s="7" t="s">
        <v>32</v>
      </c>
      <c r="B4596" s="7" t="s">
        <v>710</v>
      </c>
      <c r="C4596" s="8">
        <f>IFERROR(__xludf.DUMMYFUNCTION("SPLIT(B4596,""RM"")"),570000.0)</f>
        <v>570000</v>
      </c>
      <c r="D4596" s="7">
        <v>2.0</v>
      </c>
      <c r="E4596" s="7">
        <v>1.0</v>
      </c>
      <c r="G4596" s="7" t="s">
        <v>184</v>
      </c>
      <c r="H4596" s="7" t="s">
        <v>2812</v>
      </c>
      <c r="I4596" s="7" t="s">
        <v>27</v>
      </c>
    </row>
    <row r="4597">
      <c r="A4597" s="7" t="s">
        <v>17</v>
      </c>
      <c r="B4597" s="7" t="s">
        <v>42</v>
      </c>
      <c r="C4597" s="8">
        <f>IFERROR(__xludf.DUMMYFUNCTION("SPLIT(B4597,""RM"")"),2600000.0)</f>
        <v>2600000</v>
      </c>
      <c r="D4597" s="7" t="s">
        <v>35</v>
      </c>
      <c r="E4597" s="7">
        <v>6.0</v>
      </c>
      <c r="G4597" s="7" t="s">
        <v>378</v>
      </c>
      <c r="H4597" s="7" t="s">
        <v>2634</v>
      </c>
      <c r="I4597" s="7" t="s">
        <v>27</v>
      </c>
    </row>
    <row r="4598">
      <c r="A4598" s="7" t="s">
        <v>17</v>
      </c>
      <c r="B4598" s="7" t="s">
        <v>970</v>
      </c>
      <c r="C4598" s="8">
        <f>IFERROR(__xludf.DUMMYFUNCTION("SPLIT(B4598,""RM"")"),5200000.0)</f>
        <v>5200000</v>
      </c>
      <c r="D4598" s="7">
        <v>4.0</v>
      </c>
      <c r="E4598" s="7">
        <v>4.0</v>
      </c>
      <c r="G4598" s="7" t="s">
        <v>82</v>
      </c>
      <c r="H4598" s="7" t="s">
        <v>122</v>
      </c>
      <c r="I4598" s="7" t="s">
        <v>22</v>
      </c>
    </row>
    <row r="4599">
      <c r="A4599" s="7" t="s">
        <v>17</v>
      </c>
      <c r="B4599" s="7" t="s">
        <v>296</v>
      </c>
      <c r="C4599" s="8">
        <f>IFERROR(__xludf.DUMMYFUNCTION("SPLIT(B4599,""RM"")"),2580000.0)</f>
        <v>2580000</v>
      </c>
      <c r="D4599" s="7" t="s">
        <v>57</v>
      </c>
      <c r="E4599" s="7">
        <v>5.0</v>
      </c>
      <c r="G4599" s="7" t="s">
        <v>20</v>
      </c>
      <c r="H4599" s="7" t="s">
        <v>205</v>
      </c>
      <c r="I4599" s="7" t="s">
        <v>27</v>
      </c>
    </row>
    <row r="4600">
      <c r="A4600" s="7" t="s">
        <v>180</v>
      </c>
      <c r="B4600" s="7" t="s">
        <v>279</v>
      </c>
      <c r="C4600" s="8">
        <f>IFERROR(__xludf.DUMMYFUNCTION("SPLIT(B4600,""RM"")"),1380000.0)</f>
        <v>1380000</v>
      </c>
      <c r="D4600" s="7">
        <v>1.0</v>
      </c>
      <c r="E4600" s="7">
        <v>1.0</v>
      </c>
      <c r="F4600" s="7">
        <v>1.0</v>
      </c>
      <c r="G4600" s="7" t="s">
        <v>82</v>
      </c>
      <c r="H4600" s="7" t="s">
        <v>1113</v>
      </c>
      <c r="I4600" s="7" t="s">
        <v>22</v>
      </c>
    </row>
    <row r="4601">
      <c r="A4601" s="7" t="s">
        <v>17</v>
      </c>
      <c r="B4601" s="7" t="s">
        <v>2813</v>
      </c>
      <c r="C4601" s="8">
        <f>IFERROR(__xludf.DUMMYFUNCTION("SPLIT(B4601,""RM"")"),1.16E7)</f>
        <v>11600000</v>
      </c>
      <c r="D4601" s="7" t="s">
        <v>35</v>
      </c>
      <c r="E4601" s="7">
        <v>5.0</v>
      </c>
      <c r="F4601" s="7">
        <v>3.0</v>
      </c>
      <c r="G4601" s="7" t="s">
        <v>30</v>
      </c>
      <c r="H4601" s="7" t="s">
        <v>2814</v>
      </c>
      <c r="I4601" s="7" t="s">
        <v>27</v>
      </c>
    </row>
    <row r="4602">
      <c r="A4602" s="7" t="s">
        <v>17</v>
      </c>
      <c r="B4602" s="7" t="s">
        <v>701</v>
      </c>
      <c r="C4602" s="8">
        <f>IFERROR(__xludf.DUMMYFUNCTION("SPLIT(B4602,""RM"")"),8400000.0)</f>
        <v>8400000</v>
      </c>
      <c r="D4602" s="7" t="s">
        <v>79</v>
      </c>
      <c r="E4602" s="7">
        <v>5.0</v>
      </c>
      <c r="F4602" s="7">
        <v>2.0</v>
      </c>
      <c r="G4602" s="7" t="s">
        <v>30</v>
      </c>
      <c r="H4602" s="7" t="s">
        <v>2815</v>
      </c>
      <c r="I4602" s="7" t="s">
        <v>27</v>
      </c>
    </row>
    <row r="4603">
      <c r="A4603" s="7" t="s">
        <v>17</v>
      </c>
      <c r="B4603" s="7" t="s">
        <v>390</v>
      </c>
      <c r="C4603" s="8">
        <f>IFERROR(__xludf.DUMMYFUNCTION("SPLIT(B4603,""RM"")"),6300000.0)</f>
        <v>6300000</v>
      </c>
      <c r="D4603" s="7" t="s">
        <v>57</v>
      </c>
      <c r="E4603" s="7">
        <v>4.0</v>
      </c>
      <c r="F4603" s="7">
        <v>2.0</v>
      </c>
      <c r="G4603" s="7" t="s">
        <v>93</v>
      </c>
      <c r="H4603" s="7" t="s">
        <v>2816</v>
      </c>
      <c r="I4603" s="7" t="s">
        <v>27</v>
      </c>
    </row>
    <row r="4604">
      <c r="A4604" s="7" t="s">
        <v>17</v>
      </c>
      <c r="B4604" s="7" t="s">
        <v>350</v>
      </c>
      <c r="C4604" s="8">
        <f>IFERROR(__xludf.DUMMYFUNCTION("SPLIT(B4604,""RM"")"),6500000.0)</f>
        <v>6500000</v>
      </c>
      <c r="D4604" s="7" t="s">
        <v>57</v>
      </c>
      <c r="E4604" s="7">
        <v>4.0</v>
      </c>
      <c r="F4604" s="7">
        <v>2.0</v>
      </c>
      <c r="G4604" s="7" t="s">
        <v>30</v>
      </c>
      <c r="H4604" s="7" t="s">
        <v>680</v>
      </c>
      <c r="I4604" s="7" t="s">
        <v>27</v>
      </c>
    </row>
    <row r="4605">
      <c r="A4605" s="7" t="s">
        <v>52</v>
      </c>
      <c r="B4605" s="7" t="s">
        <v>842</v>
      </c>
      <c r="C4605" s="8">
        <f>IFERROR(__xludf.DUMMYFUNCTION("SPLIT(B4605,""RM"")"),5800000.0)</f>
        <v>5800000</v>
      </c>
      <c r="D4605" s="7" t="s">
        <v>39</v>
      </c>
      <c r="E4605" s="7">
        <v>5.0</v>
      </c>
      <c r="F4605" s="7">
        <v>3.0</v>
      </c>
      <c r="G4605" s="7" t="s">
        <v>30</v>
      </c>
      <c r="H4605" s="7" t="s">
        <v>2744</v>
      </c>
      <c r="I4605" s="7" t="s">
        <v>22</v>
      </c>
    </row>
    <row r="4606">
      <c r="A4606" s="7" t="s">
        <v>17</v>
      </c>
      <c r="B4606" s="7" t="s">
        <v>475</v>
      </c>
      <c r="C4606" s="8">
        <f>IFERROR(__xludf.DUMMYFUNCTION("SPLIT(B4606,""RM"")"),2800000.0)</f>
        <v>2800000</v>
      </c>
      <c r="D4606" s="7" t="s">
        <v>35</v>
      </c>
      <c r="E4606" s="7">
        <v>5.0</v>
      </c>
      <c r="F4606" s="7">
        <v>2.0</v>
      </c>
      <c r="G4606" s="7" t="s">
        <v>30</v>
      </c>
      <c r="H4606" s="7" t="s">
        <v>295</v>
      </c>
      <c r="I4606" s="7" t="s">
        <v>27</v>
      </c>
    </row>
    <row r="4607">
      <c r="A4607" s="7" t="s">
        <v>17</v>
      </c>
      <c r="B4607" s="7" t="s">
        <v>309</v>
      </c>
      <c r="C4607" s="8">
        <f>IFERROR(__xludf.DUMMYFUNCTION("SPLIT(B4607,""RM"")"),2100000.0)</f>
        <v>2100000</v>
      </c>
      <c r="D4607" s="7" t="s">
        <v>57</v>
      </c>
      <c r="E4607" s="7">
        <v>4.0</v>
      </c>
      <c r="F4607" s="7">
        <v>2.0</v>
      </c>
      <c r="G4607" s="7" t="s">
        <v>30</v>
      </c>
      <c r="H4607" s="7" t="s">
        <v>387</v>
      </c>
      <c r="I4607" s="7" t="s">
        <v>27</v>
      </c>
    </row>
    <row r="4608">
      <c r="A4608" s="7" t="s">
        <v>17</v>
      </c>
      <c r="B4608" s="7" t="s">
        <v>263</v>
      </c>
      <c r="C4608" s="8">
        <f>IFERROR(__xludf.DUMMYFUNCTION("SPLIT(B4608,""RM"")"),9500000.0)</f>
        <v>9500000</v>
      </c>
      <c r="D4608" s="7" t="s">
        <v>70</v>
      </c>
      <c r="E4608" s="7">
        <v>7.0</v>
      </c>
      <c r="F4608" s="7">
        <v>4.0</v>
      </c>
      <c r="G4608" s="7" t="s">
        <v>312</v>
      </c>
      <c r="H4608" s="7" t="s">
        <v>2817</v>
      </c>
      <c r="I4608" s="7" t="s">
        <v>22</v>
      </c>
    </row>
    <row r="4609">
      <c r="A4609" s="7" t="s">
        <v>17</v>
      </c>
      <c r="B4609" s="7" t="s">
        <v>1254</v>
      </c>
      <c r="C4609" s="8">
        <f>IFERROR(__xludf.DUMMYFUNCTION("SPLIT(B4609,""RM"")"),6950000.0)</f>
        <v>6950000</v>
      </c>
      <c r="D4609" s="7" t="s">
        <v>70</v>
      </c>
      <c r="E4609" s="7">
        <v>6.0</v>
      </c>
      <c r="F4609" s="7">
        <v>3.0</v>
      </c>
      <c r="G4609" s="7" t="s">
        <v>793</v>
      </c>
      <c r="H4609" s="7" t="s">
        <v>2818</v>
      </c>
      <c r="I4609" s="7" t="s">
        <v>27</v>
      </c>
    </row>
    <row r="4610">
      <c r="A4610" s="7" t="s">
        <v>180</v>
      </c>
      <c r="B4610" s="7" t="s">
        <v>1553</v>
      </c>
      <c r="C4610" s="8">
        <f>IFERROR(__xludf.DUMMYFUNCTION("SPLIT(B4610,""RM"")"),1.1E7)</f>
        <v>11000000</v>
      </c>
      <c r="D4610" s="7" t="s">
        <v>79</v>
      </c>
      <c r="E4610" s="7">
        <v>5.0</v>
      </c>
      <c r="F4610" s="7">
        <v>2.0</v>
      </c>
      <c r="G4610" s="7" t="s">
        <v>793</v>
      </c>
      <c r="H4610" s="7" t="s">
        <v>2818</v>
      </c>
      <c r="I4610" s="7" t="s">
        <v>27</v>
      </c>
    </row>
    <row r="4611">
      <c r="A4611" s="7" t="s">
        <v>180</v>
      </c>
      <c r="B4611" s="7" t="s">
        <v>920</v>
      </c>
      <c r="C4611" s="8">
        <f>IFERROR(__xludf.DUMMYFUNCTION("SPLIT(B4611,""RM"")"),3650000.0)</f>
        <v>3650000</v>
      </c>
      <c r="D4611" s="7" t="s">
        <v>57</v>
      </c>
      <c r="E4611" s="7">
        <v>5.0</v>
      </c>
      <c r="F4611" s="7">
        <v>2.0</v>
      </c>
      <c r="G4611" s="7" t="s">
        <v>378</v>
      </c>
      <c r="H4611" s="7" t="s">
        <v>1280</v>
      </c>
      <c r="I4611" s="7" t="s">
        <v>27</v>
      </c>
    </row>
    <row r="4612">
      <c r="A4612" s="7" t="s">
        <v>180</v>
      </c>
      <c r="B4612" s="7" t="s">
        <v>151</v>
      </c>
      <c r="C4612" s="8">
        <f>IFERROR(__xludf.DUMMYFUNCTION("SPLIT(B4612,""RM"")"),4800000.0)</f>
        <v>4800000</v>
      </c>
      <c r="D4612" s="7" t="s">
        <v>57</v>
      </c>
      <c r="E4612" s="7">
        <v>5.0</v>
      </c>
      <c r="F4612" s="7">
        <v>2.0</v>
      </c>
      <c r="G4612" s="7" t="s">
        <v>378</v>
      </c>
      <c r="H4612" s="7" t="s">
        <v>1280</v>
      </c>
      <c r="I4612" s="7" t="s">
        <v>27</v>
      </c>
    </row>
    <row r="4613">
      <c r="A4613" s="7" t="s">
        <v>180</v>
      </c>
      <c r="B4613" s="7" t="s">
        <v>277</v>
      </c>
      <c r="C4613" s="8">
        <f>IFERROR(__xludf.DUMMYFUNCTION("SPLIT(B4613,""RM"")"),2200000.0)</f>
        <v>2200000</v>
      </c>
      <c r="D4613" s="7">
        <v>3.0</v>
      </c>
      <c r="E4613" s="7">
        <v>2.0</v>
      </c>
      <c r="F4613" s="7">
        <v>2.0</v>
      </c>
      <c r="G4613" s="7" t="s">
        <v>82</v>
      </c>
      <c r="H4613" s="7" t="s">
        <v>1078</v>
      </c>
      <c r="I4613" s="7" t="s">
        <v>22</v>
      </c>
    </row>
    <row r="4614">
      <c r="A4614" s="7" t="s">
        <v>17</v>
      </c>
      <c r="B4614" s="7" t="s">
        <v>351</v>
      </c>
      <c r="C4614" s="8">
        <f>IFERROR(__xludf.DUMMYFUNCTION("SPLIT(B4614,""RM"")"),3800000.0)</f>
        <v>3800000</v>
      </c>
      <c r="D4614" s="7" t="s">
        <v>35</v>
      </c>
      <c r="E4614" s="7">
        <v>5.0</v>
      </c>
      <c r="F4614" s="7">
        <v>2.0</v>
      </c>
      <c r="G4614" s="7" t="s">
        <v>30</v>
      </c>
      <c r="H4614" s="7" t="s">
        <v>1652</v>
      </c>
      <c r="I4614" s="7" t="s">
        <v>27</v>
      </c>
    </row>
    <row r="4615">
      <c r="A4615" s="7" t="s">
        <v>17</v>
      </c>
      <c r="B4615" s="7" t="s">
        <v>530</v>
      </c>
      <c r="C4615" s="8">
        <f>IFERROR(__xludf.DUMMYFUNCTION("SPLIT(B4615,""RM"")"),5000000.0)</f>
        <v>5000000</v>
      </c>
      <c r="D4615" s="7">
        <v>4.0</v>
      </c>
      <c r="E4615" s="7">
        <v>4.0</v>
      </c>
      <c r="G4615" s="7" t="s">
        <v>121</v>
      </c>
      <c r="H4615" s="7" t="s">
        <v>122</v>
      </c>
      <c r="I4615" s="7" t="s">
        <v>22</v>
      </c>
    </row>
    <row r="4616">
      <c r="A4616" s="7" t="s">
        <v>17</v>
      </c>
      <c r="B4616" s="7" t="s">
        <v>920</v>
      </c>
      <c r="C4616" s="8">
        <f>IFERROR(__xludf.DUMMYFUNCTION("SPLIT(B4616,""RM"")"),3650000.0)</f>
        <v>3650000</v>
      </c>
      <c r="D4616" s="7">
        <v>4.0</v>
      </c>
      <c r="E4616" s="7">
        <v>4.0</v>
      </c>
      <c r="F4616" s="7">
        <v>2.0</v>
      </c>
      <c r="G4616" s="7" t="s">
        <v>121</v>
      </c>
      <c r="H4616" s="7" t="s">
        <v>122</v>
      </c>
      <c r="I4616" s="7" t="s">
        <v>27</v>
      </c>
    </row>
    <row r="4617">
      <c r="A4617" s="7" t="s">
        <v>52</v>
      </c>
      <c r="B4617" s="7" t="s">
        <v>2819</v>
      </c>
      <c r="C4617" s="8">
        <f>IFERROR(__xludf.DUMMYFUNCTION("SPLIT(B4617,""RM"")"),1.026E7)</f>
        <v>10260000</v>
      </c>
      <c r="D4617" s="7" t="s">
        <v>35</v>
      </c>
      <c r="E4617" s="7">
        <v>6.0</v>
      </c>
      <c r="G4617" s="7" t="s">
        <v>793</v>
      </c>
      <c r="H4617" s="7" t="s">
        <v>2820</v>
      </c>
      <c r="I4617" s="7" t="s">
        <v>27</v>
      </c>
    </row>
    <row r="4618">
      <c r="A4618" s="7" t="s">
        <v>52</v>
      </c>
      <c r="B4618" s="7" t="s">
        <v>1222</v>
      </c>
      <c r="C4618" s="8">
        <f>IFERROR(__xludf.DUMMYFUNCTION("SPLIT(B4618,""RM"")"),6350000.0)</f>
        <v>6350000</v>
      </c>
      <c r="D4618" s="7" t="s">
        <v>35</v>
      </c>
      <c r="E4618" s="7">
        <v>6.0</v>
      </c>
      <c r="G4618" s="7" t="s">
        <v>83</v>
      </c>
      <c r="H4618" s="7" t="s">
        <v>663</v>
      </c>
      <c r="I4618" s="7" t="s">
        <v>22</v>
      </c>
    </row>
    <row r="4619">
      <c r="A4619" s="7" t="s">
        <v>52</v>
      </c>
      <c r="B4619" s="7" t="s">
        <v>2821</v>
      </c>
      <c r="C4619" s="8">
        <f>IFERROR(__xludf.DUMMYFUNCTION("SPLIT(B4619,""RM"")"),9490000.0)</f>
        <v>9490000</v>
      </c>
      <c r="D4619" s="7">
        <v>6.0</v>
      </c>
      <c r="E4619" s="7">
        <v>6.0</v>
      </c>
      <c r="G4619" s="7" t="s">
        <v>793</v>
      </c>
      <c r="H4619" s="7" t="s">
        <v>2742</v>
      </c>
      <c r="I4619" s="7" t="s">
        <v>27</v>
      </c>
    </row>
    <row r="4620">
      <c r="A4620" s="7" t="s">
        <v>52</v>
      </c>
      <c r="B4620" s="7" t="s">
        <v>530</v>
      </c>
      <c r="C4620" s="8">
        <f>IFERROR(__xludf.DUMMYFUNCTION("SPLIT(B4620,""RM"")"),5000000.0)</f>
        <v>5000000</v>
      </c>
      <c r="D4620" s="7" t="s">
        <v>35</v>
      </c>
      <c r="E4620" s="7">
        <v>5.0</v>
      </c>
      <c r="G4620" s="7" t="s">
        <v>83</v>
      </c>
      <c r="H4620" s="7" t="s">
        <v>2744</v>
      </c>
      <c r="I4620" s="7" t="s">
        <v>27</v>
      </c>
    </row>
    <row r="4621">
      <c r="A4621" s="7" t="s">
        <v>17</v>
      </c>
      <c r="B4621" s="7" t="s">
        <v>545</v>
      </c>
      <c r="C4621" s="8">
        <f>IFERROR(__xludf.DUMMYFUNCTION("SPLIT(B4621,""RM"")"),1.0E7)</f>
        <v>10000000</v>
      </c>
      <c r="D4621" s="7" t="s">
        <v>70</v>
      </c>
      <c r="E4621" s="7">
        <v>7.0</v>
      </c>
      <c r="G4621" s="7" t="s">
        <v>378</v>
      </c>
      <c r="H4621" s="7" t="s">
        <v>2822</v>
      </c>
      <c r="I4621" s="7" t="s">
        <v>27</v>
      </c>
    </row>
    <row r="4622">
      <c r="A4622" s="7" t="s">
        <v>17</v>
      </c>
      <c r="B4622" s="7" t="s">
        <v>1512</v>
      </c>
      <c r="C4622" s="8">
        <f>IFERROR(__xludf.DUMMYFUNCTION("SPLIT(B4622,""RM"")"),5750000.0)</f>
        <v>5750000</v>
      </c>
      <c r="D4622" s="7">
        <v>7.0</v>
      </c>
      <c r="E4622" s="7">
        <v>7.0</v>
      </c>
      <c r="F4622" s="7">
        <v>3.0</v>
      </c>
      <c r="G4622" s="7" t="s">
        <v>83</v>
      </c>
      <c r="H4622" s="7" t="s">
        <v>2823</v>
      </c>
      <c r="I4622" s="7" t="s">
        <v>27</v>
      </c>
    </row>
    <row r="4623">
      <c r="A4623" s="7" t="s">
        <v>17</v>
      </c>
      <c r="B4623" s="7" t="s">
        <v>101</v>
      </c>
      <c r="C4623" s="8">
        <f>IFERROR(__xludf.DUMMYFUNCTION("SPLIT(B4623,""RM"")"),3300000.0)</f>
        <v>3300000</v>
      </c>
      <c r="D4623" s="7">
        <v>4.0</v>
      </c>
      <c r="E4623" s="7">
        <v>5.0</v>
      </c>
      <c r="F4623" s="7">
        <v>3.0</v>
      </c>
      <c r="G4623" s="7" t="s">
        <v>83</v>
      </c>
      <c r="H4623" s="7" t="s">
        <v>1174</v>
      </c>
      <c r="I4623" s="7" t="s">
        <v>27</v>
      </c>
    </row>
    <row r="4624">
      <c r="A4624" s="7" t="s">
        <v>17</v>
      </c>
      <c r="B4624" s="7" t="s">
        <v>2441</v>
      </c>
      <c r="C4624" s="8">
        <f>IFERROR(__xludf.DUMMYFUNCTION("SPLIT(B4624,""RM"")"),7700000.0)</f>
        <v>7700000</v>
      </c>
      <c r="D4624" s="7" t="s">
        <v>60</v>
      </c>
      <c r="E4624" s="7">
        <v>7.0</v>
      </c>
      <c r="F4624" s="7">
        <v>5.0</v>
      </c>
      <c r="G4624" s="7" t="s">
        <v>2824</v>
      </c>
      <c r="H4624" s="7" t="s">
        <v>1689</v>
      </c>
      <c r="I4624" s="7" t="s">
        <v>22</v>
      </c>
    </row>
    <row r="4625">
      <c r="A4625" s="7" t="s">
        <v>17</v>
      </c>
      <c r="B4625" s="7" t="s">
        <v>339</v>
      </c>
      <c r="C4625" s="8">
        <f>IFERROR(__xludf.DUMMYFUNCTION("SPLIT(B4625,""RM"")"),3330000.0)</f>
        <v>3330000</v>
      </c>
      <c r="D4625" s="7" t="s">
        <v>57</v>
      </c>
      <c r="E4625" s="7">
        <v>3.0</v>
      </c>
      <c r="G4625" s="7" t="s">
        <v>20</v>
      </c>
      <c r="H4625" s="7" t="s">
        <v>205</v>
      </c>
      <c r="I4625" s="7" t="s">
        <v>27</v>
      </c>
    </row>
    <row r="4626">
      <c r="A4626" s="7" t="s">
        <v>17</v>
      </c>
      <c r="B4626" s="7" t="s">
        <v>298</v>
      </c>
      <c r="C4626" s="8">
        <f>IFERROR(__xludf.DUMMYFUNCTION("SPLIT(B4626,""RM"")"),5600000.0)</f>
        <v>5600000</v>
      </c>
      <c r="D4626" s="7" t="s">
        <v>70</v>
      </c>
      <c r="E4626" s="7">
        <v>6.0</v>
      </c>
      <c r="G4626" s="7" t="s">
        <v>145</v>
      </c>
      <c r="H4626" s="7" t="s">
        <v>2825</v>
      </c>
      <c r="I4626" s="7" t="s">
        <v>22</v>
      </c>
    </row>
    <row r="4627">
      <c r="A4627" s="7" t="s">
        <v>52</v>
      </c>
      <c r="B4627" s="7" t="s">
        <v>149</v>
      </c>
      <c r="C4627" s="8">
        <f>IFERROR(__xludf.DUMMYFUNCTION("SPLIT(B4627,""RM"")"),4000000.0)</f>
        <v>4000000</v>
      </c>
      <c r="D4627" s="7" t="s">
        <v>35</v>
      </c>
      <c r="E4627" s="7">
        <v>5.0</v>
      </c>
      <c r="G4627" s="7" t="s">
        <v>30</v>
      </c>
      <c r="H4627" s="7" t="s">
        <v>2826</v>
      </c>
      <c r="I4627" s="7" t="s">
        <v>27</v>
      </c>
    </row>
    <row r="4628">
      <c r="A4628" s="7" t="s">
        <v>52</v>
      </c>
      <c r="B4628" s="7" t="s">
        <v>2827</v>
      </c>
      <c r="C4628" s="8">
        <f>IFERROR(__xludf.DUMMYFUNCTION("SPLIT(B4628,""RM"")"),7230000.0)</f>
        <v>7230000</v>
      </c>
      <c r="D4628" s="7" t="s">
        <v>35</v>
      </c>
      <c r="E4628" s="7">
        <v>5.0</v>
      </c>
      <c r="G4628" s="7" t="s">
        <v>793</v>
      </c>
      <c r="H4628" s="7" t="s">
        <v>2828</v>
      </c>
      <c r="I4628" s="7" t="s">
        <v>27</v>
      </c>
    </row>
    <row r="4629">
      <c r="A4629" s="7" t="s">
        <v>17</v>
      </c>
      <c r="B4629" s="7" t="s">
        <v>69</v>
      </c>
      <c r="C4629" s="8">
        <f>IFERROR(__xludf.DUMMYFUNCTION("SPLIT(B4629,""RM"")"),4500000.0)</f>
        <v>4500000</v>
      </c>
      <c r="D4629" s="7" t="s">
        <v>70</v>
      </c>
      <c r="E4629" s="7">
        <v>6.0</v>
      </c>
      <c r="G4629" s="7" t="s">
        <v>30</v>
      </c>
      <c r="H4629" s="7" t="s">
        <v>2829</v>
      </c>
      <c r="I4629" s="7" t="s">
        <v>27</v>
      </c>
    </row>
    <row r="4630">
      <c r="A4630" s="7" t="s">
        <v>17</v>
      </c>
      <c r="B4630" s="7" t="s">
        <v>98</v>
      </c>
      <c r="C4630" s="8">
        <f>IFERROR(__xludf.DUMMYFUNCTION("SPLIT(B4630,""RM"")"),1830000.0)</f>
        <v>1830000</v>
      </c>
      <c r="D4630" s="7" t="s">
        <v>35</v>
      </c>
      <c r="E4630" s="7">
        <v>5.0</v>
      </c>
      <c r="F4630" s="7">
        <v>2.0</v>
      </c>
      <c r="G4630" s="7" t="s">
        <v>83</v>
      </c>
      <c r="H4630" s="7" t="s">
        <v>387</v>
      </c>
      <c r="I4630" s="7" t="s">
        <v>27</v>
      </c>
    </row>
    <row r="4631">
      <c r="A4631" s="7" t="s">
        <v>1315</v>
      </c>
      <c r="B4631" s="7" t="s">
        <v>329</v>
      </c>
      <c r="C4631" s="8">
        <f>IFERROR(__xludf.DUMMYFUNCTION("SPLIT(B4631,""RM"")"),1200000.0)</f>
        <v>1200000</v>
      </c>
      <c r="D4631" s="7" t="s">
        <v>57</v>
      </c>
      <c r="E4631" s="7">
        <v>4.0</v>
      </c>
      <c r="F4631" s="7">
        <v>2.0</v>
      </c>
      <c r="G4631" s="7" t="s">
        <v>30</v>
      </c>
      <c r="H4631" s="7" t="s">
        <v>74</v>
      </c>
      <c r="I4631" s="7" t="s">
        <v>103</v>
      </c>
    </row>
    <row r="4632">
      <c r="A4632" s="7" t="s">
        <v>72</v>
      </c>
      <c r="B4632" s="7" t="s">
        <v>534</v>
      </c>
      <c r="C4632" s="8">
        <f>IFERROR(__xludf.DUMMYFUNCTION("SPLIT(B4632,""RM"")"),3200000.0)</f>
        <v>3200000</v>
      </c>
      <c r="D4632" s="7" t="s">
        <v>35</v>
      </c>
      <c r="E4632" s="7">
        <v>5.0</v>
      </c>
      <c r="F4632" s="7">
        <v>3.0</v>
      </c>
      <c r="G4632" s="7" t="s">
        <v>83</v>
      </c>
      <c r="H4632" s="7" t="s">
        <v>2713</v>
      </c>
      <c r="I4632" s="7" t="s">
        <v>27</v>
      </c>
    </row>
    <row r="4633">
      <c r="A4633" s="7" t="s">
        <v>77</v>
      </c>
      <c r="B4633" s="7" t="s">
        <v>73</v>
      </c>
      <c r="C4633" s="8">
        <f>IFERROR(__xludf.DUMMYFUNCTION("SPLIT(B4633,""RM"")"),1780000.0)</f>
        <v>1780000</v>
      </c>
      <c r="D4633" s="7" t="s">
        <v>57</v>
      </c>
      <c r="E4633" s="7">
        <v>4.0</v>
      </c>
      <c r="G4633" s="7" t="s">
        <v>169</v>
      </c>
      <c r="H4633" s="7" t="s">
        <v>91</v>
      </c>
    </row>
    <row r="4634">
      <c r="A4634" s="7" t="s">
        <v>180</v>
      </c>
      <c r="B4634" s="7" t="s">
        <v>465</v>
      </c>
      <c r="C4634" s="8">
        <f>IFERROR(__xludf.DUMMYFUNCTION("SPLIT(B4634,""RM"")"),8000000.0)</f>
        <v>8000000</v>
      </c>
      <c r="D4634" s="7">
        <v>5.0</v>
      </c>
      <c r="E4634" s="7">
        <v>5.0</v>
      </c>
      <c r="F4634" s="7">
        <v>2.0</v>
      </c>
      <c r="G4634" s="7" t="s">
        <v>61</v>
      </c>
      <c r="H4634" s="7" t="s">
        <v>466</v>
      </c>
      <c r="I4634" s="7" t="s">
        <v>251</v>
      </c>
    </row>
    <row r="4635">
      <c r="A4635" s="7" t="s">
        <v>37</v>
      </c>
      <c r="B4635" s="7" t="s">
        <v>458</v>
      </c>
      <c r="C4635" s="8">
        <f>IFERROR(__xludf.DUMMYFUNCTION("SPLIT(B4635,""RM"")"),2930000.0)</f>
        <v>2930000</v>
      </c>
      <c r="D4635" s="7">
        <v>5.0</v>
      </c>
      <c r="E4635" s="7">
        <v>3.0</v>
      </c>
      <c r="G4635" s="7" t="s">
        <v>43</v>
      </c>
      <c r="H4635" s="7" t="s">
        <v>672</v>
      </c>
      <c r="I4635" s="7" t="s">
        <v>27</v>
      </c>
    </row>
    <row r="4636">
      <c r="A4636" s="7" t="s">
        <v>72</v>
      </c>
      <c r="B4636" s="7" t="s">
        <v>530</v>
      </c>
      <c r="C4636" s="8">
        <f>IFERROR(__xludf.DUMMYFUNCTION("SPLIT(B4636,""RM"")"),5000000.0)</f>
        <v>5000000</v>
      </c>
      <c r="D4636" s="7" t="s">
        <v>70</v>
      </c>
      <c r="E4636" s="7">
        <v>5.0</v>
      </c>
      <c r="F4636" s="7">
        <v>2.0</v>
      </c>
      <c r="G4636" s="7" t="s">
        <v>93</v>
      </c>
      <c r="H4636" s="7" t="s">
        <v>2744</v>
      </c>
      <c r="I4636" s="7" t="s">
        <v>22</v>
      </c>
    </row>
    <row r="4637">
      <c r="A4637" s="7" t="s">
        <v>52</v>
      </c>
      <c r="B4637" s="7" t="s">
        <v>309</v>
      </c>
      <c r="C4637" s="8">
        <f>IFERROR(__xludf.DUMMYFUNCTION("SPLIT(B4637,""RM"")"),2100000.0)</f>
        <v>2100000</v>
      </c>
      <c r="D4637" s="7" t="s">
        <v>57</v>
      </c>
      <c r="E4637" s="7">
        <v>4.0</v>
      </c>
      <c r="G4637" s="7" t="s">
        <v>83</v>
      </c>
      <c r="H4637" s="7" t="s">
        <v>2830</v>
      </c>
      <c r="I4637" s="7" t="s">
        <v>27</v>
      </c>
    </row>
    <row r="4638">
      <c r="A4638" s="7" t="s">
        <v>17</v>
      </c>
      <c r="B4638" s="7" t="s">
        <v>149</v>
      </c>
      <c r="C4638" s="8">
        <f>IFERROR(__xludf.DUMMYFUNCTION("SPLIT(B4638,""RM"")"),4000000.0)</f>
        <v>4000000</v>
      </c>
      <c r="D4638" s="7" t="s">
        <v>35</v>
      </c>
      <c r="E4638" s="7">
        <v>5.0</v>
      </c>
      <c r="G4638" s="7" t="s">
        <v>83</v>
      </c>
      <c r="H4638" s="7" t="s">
        <v>1174</v>
      </c>
      <c r="I4638" s="7" t="s">
        <v>27</v>
      </c>
    </row>
    <row r="4639">
      <c r="A4639" s="7" t="s">
        <v>17</v>
      </c>
      <c r="B4639" s="7" t="s">
        <v>309</v>
      </c>
      <c r="C4639" s="8">
        <f>IFERROR(__xludf.DUMMYFUNCTION("SPLIT(B4639,""RM"")"),2100000.0)</f>
        <v>2100000</v>
      </c>
      <c r="D4639" s="7">
        <v>2.0</v>
      </c>
      <c r="E4639" s="7">
        <v>2.0</v>
      </c>
      <c r="G4639" s="7" t="s">
        <v>20</v>
      </c>
      <c r="H4639" s="7" t="s">
        <v>237</v>
      </c>
      <c r="I4639" s="7" t="s">
        <v>22</v>
      </c>
    </row>
    <row r="4640">
      <c r="A4640" s="7" t="s">
        <v>17</v>
      </c>
      <c r="B4640" s="7" t="s">
        <v>257</v>
      </c>
      <c r="C4640" s="8">
        <f>IFERROR(__xludf.DUMMYFUNCTION("SPLIT(B4640,""RM"")"),2480000.0)</f>
        <v>2480000</v>
      </c>
      <c r="D4640" s="7" t="s">
        <v>197</v>
      </c>
      <c r="E4640" s="7">
        <v>2.0</v>
      </c>
      <c r="G4640" s="7" t="s">
        <v>20</v>
      </c>
      <c r="H4640" s="7" t="s">
        <v>342</v>
      </c>
      <c r="I4640" s="7" t="s">
        <v>22</v>
      </c>
    </row>
    <row r="4641">
      <c r="A4641" s="7" t="s">
        <v>17</v>
      </c>
      <c r="B4641" s="7" t="s">
        <v>475</v>
      </c>
      <c r="C4641" s="8">
        <f>IFERROR(__xludf.DUMMYFUNCTION("SPLIT(B4641,""RM"")"),2800000.0)</f>
        <v>2800000</v>
      </c>
      <c r="D4641" s="7" t="s">
        <v>197</v>
      </c>
      <c r="E4641" s="7">
        <v>2.0</v>
      </c>
      <c r="G4641" s="7" t="s">
        <v>20</v>
      </c>
      <c r="H4641" s="7" t="s">
        <v>237</v>
      </c>
      <c r="I4641" s="7" t="s">
        <v>22</v>
      </c>
    </row>
    <row r="4642">
      <c r="A4642" s="7" t="s">
        <v>52</v>
      </c>
      <c r="B4642" s="7" t="s">
        <v>940</v>
      </c>
      <c r="C4642" s="8">
        <f>IFERROR(__xludf.DUMMYFUNCTION("SPLIT(B4642,""RM"")"),4300000.0)</f>
        <v>4300000</v>
      </c>
      <c r="D4642" s="7" t="s">
        <v>35</v>
      </c>
      <c r="E4642" s="7">
        <v>4.0</v>
      </c>
      <c r="G4642" s="7" t="s">
        <v>83</v>
      </c>
      <c r="H4642" s="7" t="s">
        <v>2831</v>
      </c>
      <c r="I4642" s="7" t="s">
        <v>22</v>
      </c>
    </row>
    <row r="4643">
      <c r="A4643" s="7" t="s">
        <v>52</v>
      </c>
      <c r="B4643" s="7" t="s">
        <v>281</v>
      </c>
      <c r="C4643" s="8">
        <f>IFERROR(__xludf.DUMMYFUNCTION("SPLIT(B4643,""RM"")"),2500000.0)</f>
        <v>2500000</v>
      </c>
      <c r="D4643" s="7" t="s">
        <v>57</v>
      </c>
      <c r="E4643" s="7">
        <v>3.0</v>
      </c>
      <c r="G4643" s="7" t="s">
        <v>83</v>
      </c>
      <c r="H4643" s="7" t="s">
        <v>2832</v>
      </c>
      <c r="I4643" s="7" t="s">
        <v>27</v>
      </c>
    </row>
    <row r="4644">
      <c r="A4644" s="7" t="s">
        <v>86</v>
      </c>
      <c r="B4644" s="7" t="s">
        <v>172</v>
      </c>
      <c r="C4644" s="8">
        <f>IFERROR(__xludf.DUMMYFUNCTION("SPLIT(B4644,""RM"")"),580000.0)</f>
        <v>580000</v>
      </c>
      <c r="D4644" s="7">
        <v>1.0</v>
      </c>
      <c r="E4644" s="7">
        <v>1.0</v>
      </c>
      <c r="G4644" s="7" t="s">
        <v>20</v>
      </c>
      <c r="H4644" s="7" t="s">
        <v>673</v>
      </c>
      <c r="I4644" s="7" t="s">
        <v>22</v>
      </c>
    </row>
    <row r="4645">
      <c r="A4645" s="7" t="s">
        <v>52</v>
      </c>
      <c r="B4645" s="7" t="s">
        <v>530</v>
      </c>
      <c r="C4645" s="8">
        <f>IFERROR(__xludf.DUMMYFUNCTION("SPLIT(B4645,""RM"")"),5000000.0)</f>
        <v>5000000</v>
      </c>
      <c r="D4645" s="7" t="s">
        <v>35</v>
      </c>
      <c r="E4645" s="7">
        <v>5.0</v>
      </c>
      <c r="G4645" s="7" t="s">
        <v>83</v>
      </c>
      <c r="H4645" s="7" t="s">
        <v>2744</v>
      </c>
      <c r="I4645" s="7" t="s">
        <v>27</v>
      </c>
    </row>
    <row r="4646">
      <c r="A4646" s="7" t="s">
        <v>52</v>
      </c>
      <c r="B4646" s="7" t="s">
        <v>395</v>
      </c>
      <c r="C4646" s="8">
        <f>IFERROR(__xludf.DUMMYFUNCTION("SPLIT(B4646,""RM"")"),6380000.0)</f>
        <v>6380000</v>
      </c>
      <c r="D4646" s="7" t="s">
        <v>35</v>
      </c>
      <c r="E4646" s="7">
        <v>5.0</v>
      </c>
      <c r="G4646" s="7" t="s">
        <v>83</v>
      </c>
      <c r="H4646" s="7" t="s">
        <v>2833</v>
      </c>
      <c r="I4646" s="7" t="s">
        <v>27</v>
      </c>
    </row>
    <row r="4647">
      <c r="A4647" s="7" t="s">
        <v>52</v>
      </c>
      <c r="B4647" s="7" t="s">
        <v>2834</v>
      </c>
      <c r="C4647" s="8">
        <f>IFERROR(__xludf.DUMMYFUNCTION("SPLIT(B4647,""RM"")"),5480000.0)</f>
        <v>5480000</v>
      </c>
      <c r="D4647" s="7" t="s">
        <v>35</v>
      </c>
      <c r="E4647" s="7">
        <v>5.0</v>
      </c>
      <c r="G4647" s="7" t="s">
        <v>83</v>
      </c>
      <c r="H4647" s="7" t="s">
        <v>291</v>
      </c>
      <c r="I4647" s="7" t="s">
        <v>27</v>
      </c>
    </row>
    <row r="4648">
      <c r="A4648" s="7" t="s">
        <v>52</v>
      </c>
      <c r="B4648" s="7" t="s">
        <v>263</v>
      </c>
      <c r="C4648" s="8">
        <f>IFERROR(__xludf.DUMMYFUNCTION("SPLIT(B4648,""RM"")"),9500000.0)</f>
        <v>9500000</v>
      </c>
      <c r="D4648" s="7" t="s">
        <v>35</v>
      </c>
      <c r="E4648" s="7">
        <v>5.0</v>
      </c>
      <c r="G4648" s="7" t="s">
        <v>83</v>
      </c>
      <c r="H4648" s="7" t="s">
        <v>2742</v>
      </c>
      <c r="I4648" s="7" t="s">
        <v>103</v>
      </c>
    </row>
    <row r="4649">
      <c r="A4649" s="7" t="s">
        <v>52</v>
      </c>
      <c r="B4649" s="7" t="s">
        <v>545</v>
      </c>
      <c r="C4649" s="8">
        <f>IFERROR(__xludf.DUMMYFUNCTION("SPLIT(B4649,""RM"")"),1.0E7)</f>
        <v>10000000</v>
      </c>
      <c r="D4649" s="7" t="s">
        <v>35</v>
      </c>
      <c r="E4649" s="7">
        <v>6.0</v>
      </c>
      <c r="G4649" s="7" t="s">
        <v>793</v>
      </c>
      <c r="H4649" s="7" t="s">
        <v>1713</v>
      </c>
      <c r="I4649" s="7" t="s">
        <v>27</v>
      </c>
    </row>
    <row r="4650">
      <c r="A4650" s="7" t="s">
        <v>17</v>
      </c>
      <c r="B4650" s="7" t="s">
        <v>351</v>
      </c>
      <c r="C4650" s="8">
        <f>IFERROR(__xludf.DUMMYFUNCTION("SPLIT(B4650,""RM"")"),3800000.0)</f>
        <v>3800000</v>
      </c>
      <c r="D4650" s="7" t="s">
        <v>35</v>
      </c>
      <c r="E4650" s="7">
        <v>5.0</v>
      </c>
      <c r="G4650" s="7" t="s">
        <v>83</v>
      </c>
      <c r="H4650" s="7" t="s">
        <v>1652</v>
      </c>
      <c r="I4650" s="7" t="s">
        <v>27</v>
      </c>
    </row>
    <row r="4651">
      <c r="A4651" s="7" t="s">
        <v>17</v>
      </c>
      <c r="B4651" s="7" t="s">
        <v>475</v>
      </c>
      <c r="C4651" s="8">
        <f>IFERROR(__xludf.DUMMYFUNCTION("SPLIT(B4651,""RM"")"),2800000.0)</f>
        <v>2800000</v>
      </c>
      <c r="D4651" s="7" t="s">
        <v>57</v>
      </c>
      <c r="E4651" s="7">
        <v>4.0</v>
      </c>
      <c r="G4651" s="7" t="s">
        <v>20</v>
      </c>
      <c r="H4651" s="7" t="s">
        <v>2835</v>
      </c>
      <c r="I4651" s="7" t="s">
        <v>22</v>
      </c>
    </row>
    <row r="4652">
      <c r="A4652" s="7" t="s">
        <v>52</v>
      </c>
      <c r="B4652" s="7" t="s">
        <v>2836</v>
      </c>
      <c r="C4652" s="8">
        <f>IFERROR(__xludf.DUMMYFUNCTION("SPLIT(B4652,""RM"")"),2453000.0)</f>
        <v>2453000</v>
      </c>
      <c r="D4652" s="7" t="s">
        <v>57</v>
      </c>
      <c r="E4652" s="7">
        <v>3.0</v>
      </c>
      <c r="G4652" s="7" t="s">
        <v>83</v>
      </c>
      <c r="H4652" s="7" t="s">
        <v>2837</v>
      </c>
      <c r="I4652" s="7" t="s">
        <v>27</v>
      </c>
    </row>
    <row r="4653">
      <c r="A4653" s="7" t="s">
        <v>52</v>
      </c>
      <c r="B4653" s="7" t="s">
        <v>1222</v>
      </c>
      <c r="C4653" s="8">
        <f>IFERROR(__xludf.DUMMYFUNCTION("SPLIT(B4653,""RM"")"),6350000.0)</f>
        <v>6350000</v>
      </c>
      <c r="D4653" s="7" t="s">
        <v>35</v>
      </c>
      <c r="E4653" s="7">
        <v>6.0</v>
      </c>
      <c r="F4653" s="7">
        <v>3.0</v>
      </c>
      <c r="G4653" s="7" t="s">
        <v>83</v>
      </c>
      <c r="H4653" s="7" t="s">
        <v>663</v>
      </c>
      <c r="I4653" s="7" t="s">
        <v>22</v>
      </c>
    </row>
    <row r="4654">
      <c r="A4654" s="7" t="s">
        <v>52</v>
      </c>
      <c r="B4654" s="7" t="s">
        <v>2838</v>
      </c>
      <c r="C4654" s="8">
        <f>IFERROR(__xludf.DUMMYFUNCTION("SPLIT(B4654,""RM"")"),1.0267E7)</f>
        <v>10267000</v>
      </c>
      <c r="D4654" s="7" t="s">
        <v>35</v>
      </c>
      <c r="E4654" s="7">
        <v>6.0</v>
      </c>
      <c r="F4654" s="7">
        <v>6.0</v>
      </c>
      <c r="G4654" s="7" t="s">
        <v>793</v>
      </c>
      <c r="H4654" s="7" t="s">
        <v>2820</v>
      </c>
      <c r="I4654" s="7" t="s">
        <v>27</v>
      </c>
    </row>
    <row r="4655">
      <c r="A4655" s="7" t="s">
        <v>17</v>
      </c>
      <c r="B4655" s="7" t="s">
        <v>281</v>
      </c>
      <c r="C4655" s="8">
        <f>IFERROR(__xludf.DUMMYFUNCTION("SPLIT(B4655,""RM"")"),2500000.0)</f>
        <v>2500000</v>
      </c>
      <c r="D4655" s="7" t="s">
        <v>197</v>
      </c>
      <c r="E4655" s="7">
        <v>2.0</v>
      </c>
      <c r="G4655" s="7" t="s">
        <v>20</v>
      </c>
      <c r="H4655" s="7" t="s">
        <v>342</v>
      </c>
      <c r="I4655" s="7" t="s">
        <v>27</v>
      </c>
    </row>
    <row r="4656">
      <c r="A4656" s="7" t="s">
        <v>17</v>
      </c>
      <c r="B4656" s="7" t="s">
        <v>350</v>
      </c>
      <c r="C4656" s="8">
        <f>IFERROR(__xludf.DUMMYFUNCTION("SPLIT(B4656,""RM"")"),6500000.0)</f>
        <v>6500000</v>
      </c>
      <c r="D4656" s="7" t="s">
        <v>57</v>
      </c>
      <c r="E4656" s="7">
        <v>3.0</v>
      </c>
      <c r="G4656" s="7" t="s">
        <v>20</v>
      </c>
      <c r="H4656" s="7" t="s">
        <v>124</v>
      </c>
      <c r="I4656" s="7" t="s">
        <v>27</v>
      </c>
    </row>
    <row r="4657">
      <c r="A4657" s="7" t="s">
        <v>17</v>
      </c>
      <c r="B4657" s="7" t="s">
        <v>313</v>
      </c>
      <c r="C4657" s="8">
        <f>IFERROR(__xludf.DUMMYFUNCTION("SPLIT(B4657,""RM"")"),2900000.0)</f>
        <v>2900000</v>
      </c>
      <c r="D4657" s="7" t="s">
        <v>35</v>
      </c>
      <c r="E4657" s="7">
        <v>5.0</v>
      </c>
      <c r="G4657" s="7" t="s">
        <v>83</v>
      </c>
      <c r="H4657" s="7" t="s">
        <v>1174</v>
      </c>
      <c r="I4657" s="7" t="s">
        <v>27</v>
      </c>
    </row>
    <row r="4658">
      <c r="A4658" s="7" t="s">
        <v>17</v>
      </c>
      <c r="B4658" s="7" t="s">
        <v>2839</v>
      </c>
      <c r="C4658" s="8">
        <f>IFERROR(__xludf.DUMMYFUNCTION("SPLIT(B4658,""RM"")"),9388000.0)</f>
        <v>9388000</v>
      </c>
      <c r="D4658" s="7" t="s">
        <v>35</v>
      </c>
      <c r="E4658" s="7">
        <v>6.0</v>
      </c>
      <c r="G4658" s="7" t="s">
        <v>20</v>
      </c>
      <c r="H4658" s="7" t="s">
        <v>2840</v>
      </c>
      <c r="I4658" s="7" t="s">
        <v>22</v>
      </c>
    </row>
    <row r="4659">
      <c r="A4659" s="7" t="s">
        <v>17</v>
      </c>
      <c r="B4659" s="7" t="s">
        <v>2841</v>
      </c>
      <c r="C4659" s="8">
        <f>IFERROR(__xludf.DUMMYFUNCTION("SPLIT(B4659,""RM"")"),4247000.0)</f>
        <v>4247000</v>
      </c>
      <c r="D4659" s="7">
        <v>3.0</v>
      </c>
      <c r="E4659" s="7">
        <v>3.0</v>
      </c>
      <c r="G4659" s="7" t="s">
        <v>20</v>
      </c>
      <c r="H4659" s="7" t="s">
        <v>276</v>
      </c>
      <c r="I4659" s="7" t="s">
        <v>22</v>
      </c>
    </row>
    <row r="4660">
      <c r="A4660" s="7" t="s">
        <v>17</v>
      </c>
      <c r="B4660" s="7" t="s">
        <v>2842</v>
      </c>
      <c r="C4660" s="8">
        <f>IFERROR(__xludf.DUMMYFUNCTION("SPLIT(B4660,""RM"")"),5231000.0)</f>
        <v>5231000</v>
      </c>
      <c r="D4660" s="7">
        <v>3.0</v>
      </c>
      <c r="E4660" s="7">
        <v>3.0</v>
      </c>
      <c r="G4660" s="7" t="s">
        <v>20</v>
      </c>
      <c r="H4660" s="7" t="s">
        <v>2843</v>
      </c>
      <c r="I4660" s="7" t="s">
        <v>22</v>
      </c>
    </row>
    <row r="4661">
      <c r="A4661" s="7" t="s">
        <v>17</v>
      </c>
      <c r="B4661" s="7" t="s">
        <v>2844</v>
      </c>
      <c r="C4661" s="8">
        <f>IFERROR(__xludf.DUMMYFUNCTION("SPLIT(B4661,""RM"")"),4260000.0)</f>
        <v>4260000</v>
      </c>
      <c r="D4661" s="7">
        <v>3.0</v>
      </c>
      <c r="E4661" s="7">
        <v>3.0</v>
      </c>
      <c r="G4661" s="7" t="s">
        <v>20</v>
      </c>
      <c r="H4661" s="7" t="s">
        <v>276</v>
      </c>
      <c r="I4661" s="7" t="s">
        <v>22</v>
      </c>
    </row>
    <row r="4662">
      <c r="A4662" s="7" t="s">
        <v>17</v>
      </c>
      <c r="B4662" s="7" t="s">
        <v>2845</v>
      </c>
      <c r="C4662" s="8">
        <f>IFERROR(__xludf.DUMMYFUNCTION("SPLIT(B4662,""RM"")"),4657000.0)</f>
        <v>4657000</v>
      </c>
      <c r="D4662" s="7">
        <v>3.0</v>
      </c>
      <c r="E4662" s="7">
        <v>3.0</v>
      </c>
      <c r="G4662" s="7" t="s">
        <v>20</v>
      </c>
      <c r="H4662" s="7" t="s">
        <v>1007</v>
      </c>
      <c r="I4662" s="7" t="s">
        <v>22</v>
      </c>
    </row>
    <row r="4663">
      <c r="A4663" s="7" t="s">
        <v>17</v>
      </c>
      <c r="B4663" s="7" t="s">
        <v>2846</v>
      </c>
      <c r="C4663" s="8">
        <f>IFERROR(__xludf.DUMMYFUNCTION("SPLIT(B4663,""RM"")"),2982000.0)</f>
        <v>2982000</v>
      </c>
      <c r="D4663" s="7">
        <v>2.0</v>
      </c>
      <c r="E4663" s="7">
        <v>2.0</v>
      </c>
      <c r="G4663" s="7" t="s">
        <v>20</v>
      </c>
      <c r="H4663" s="7" t="s">
        <v>595</v>
      </c>
      <c r="I4663" s="7" t="s">
        <v>22</v>
      </c>
    </row>
    <row r="4664">
      <c r="A4664" s="7" t="s">
        <v>17</v>
      </c>
      <c r="B4664" s="7" t="s">
        <v>2847</v>
      </c>
      <c r="C4664" s="8">
        <f>IFERROR(__xludf.DUMMYFUNCTION("SPLIT(B4664,""RM"")"),4344000.0)</f>
        <v>4344000</v>
      </c>
      <c r="D4664" s="7">
        <v>3.0</v>
      </c>
      <c r="E4664" s="7">
        <v>3.0</v>
      </c>
      <c r="G4664" s="7" t="s">
        <v>20</v>
      </c>
      <c r="H4664" s="7" t="s">
        <v>2848</v>
      </c>
      <c r="I4664" s="7" t="s">
        <v>22</v>
      </c>
    </row>
    <row r="4665">
      <c r="A4665" s="7" t="s">
        <v>17</v>
      </c>
      <c r="B4665" s="7" t="s">
        <v>2849</v>
      </c>
      <c r="C4665" s="8">
        <f>IFERROR(__xludf.DUMMYFUNCTION("SPLIT(B4665,""RM"")"),3738000.0)</f>
        <v>3738000</v>
      </c>
      <c r="D4665" s="7" t="s">
        <v>19</v>
      </c>
      <c r="E4665" s="7">
        <v>2.0</v>
      </c>
      <c r="G4665" s="7" t="s">
        <v>20</v>
      </c>
      <c r="H4665" s="7" t="s">
        <v>234</v>
      </c>
      <c r="I4665" s="7" t="s">
        <v>22</v>
      </c>
    </row>
    <row r="4666">
      <c r="A4666" s="7" t="s">
        <v>17</v>
      </c>
      <c r="B4666" s="7" t="s">
        <v>2850</v>
      </c>
      <c r="C4666" s="8">
        <f>IFERROR(__xludf.DUMMYFUNCTION("SPLIT(B4666,""RM"")"),3264000.0)</f>
        <v>3264000</v>
      </c>
      <c r="D4666" s="7">
        <v>2.0</v>
      </c>
      <c r="E4666" s="7">
        <v>2.0</v>
      </c>
      <c r="G4666" s="7" t="s">
        <v>20</v>
      </c>
      <c r="H4666" s="7" t="s">
        <v>459</v>
      </c>
      <c r="I4666" s="7" t="s">
        <v>22</v>
      </c>
    </row>
    <row r="4667">
      <c r="A4667" s="7" t="s">
        <v>17</v>
      </c>
      <c r="B4667" s="7" t="s">
        <v>2851</v>
      </c>
      <c r="C4667" s="8">
        <f>IFERROR(__xludf.DUMMYFUNCTION("SPLIT(B4667,""RM"")"),3244000.0)</f>
        <v>3244000</v>
      </c>
      <c r="D4667" s="7">
        <v>2.0</v>
      </c>
      <c r="E4667" s="7">
        <v>2.0</v>
      </c>
      <c r="G4667" s="7" t="s">
        <v>20</v>
      </c>
      <c r="H4667" s="7" t="s">
        <v>459</v>
      </c>
      <c r="I4667" s="7" t="s">
        <v>22</v>
      </c>
    </row>
    <row r="4668">
      <c r="A4668" s="7" t="s">
        <v>17</v>
      </c>
      <c r="B4668" s="7" t="s">
        <v>174</v>
      </c>
      <c r="C4668" s="8">
        <f>IFERROR(__xludf.DUMMYFUNCTION("SPLIT(B4668,""RM"")"),3000000.0)</f>
        <v>3000000</v>
      </c>
      <c r="D4668" s="7" t="s">
        <v>39</v>
      </c>
      <c r="E4668" s="7">
        <v>5.0</v>
      </c>
      <c r="G4668" s="7" t="s">
        <v>83</v>
      </c>
      <c r="H4668" s="7" t="s">
        <v>1174</v>
      </c>
      <c r="I4668" s="7" t="s">
        <v>27</v>
      </c>
    </row>
    <row r="4669">
      <c r="A4669" s="7" t="s">
        <v>17</v>
      </c>
      <c r="B4669" s="7" t="s">
        <v>2852</v>
      </c>
      <c r="C4669" s="8">
        <f>IFERROR(__xludf.DUMMYFUNCTION("SPLIT(B4669,""RM"")"),3320000.0)</f>
        <v>3320000</v>
      </c>
      <c r="D4669" s="7" t="s">
        <v>57</v>
      </c>
      <c r="E4669" s="7">
        <v>4.0</v>
      </c>
      <c r="G4669" s="7" t="s">
        <v>20</v>
      </c>
      <c r="H4669" s="7" t="s">
        <v>205</v>
      </c>
      <c r="I4669" s="7" t="s">
        <v>27</v>
      </c>
    </row>
    <row r="4670">
      <c r="A4670" s="7" t="s">
        <v>17</v>
      </c>
      <c r="B4670" s="7" t="s">
        <v>421</v>
      </c>
      <c r="C4670" s="8">
        <f>IFERROR(__xludf.DUMMYFUNCTION("SPLIT(B4670,""RM"")"),5460000.0)</f>
        <v>5460000</v>
      </c>
      <c r="D4670" s="7" t="s">
        <v>70</v>
      </c>
      <c r="E4670" s="7">
        <v>5.0</v>
      </c>
      <c r="G4670" s="7" t="s">
        <v>20</v>
      </c>
      <c r="H4670" s="7" t="s">
        <v>1181</v>
      </c>
      <c r="I4670" s="7" t="s">
        <v>27</v>
      </c>
    </row>
    <row r="4671">
      <c r="A4671" s="7" t="s">
        <v>17</v>
      </c>
      <c r="B4671" s="7" t="s">
        <v>257</v>
      </c>
      <c r="C4671" s="8">
        <f>IFERROR(__xludf.DUMMYFUNCTION("SPLIT(B4671,""RM"")"),2480000.0)</f>
        <v>2480000</v>
      </c>
      <c r="D4671" s="7" t="s">
        <v>57</v>
      </c>
      <c r="E4671" s="7">
        <v>4.0</v>
      </c>
      <c r="G4671" s="7" t="s">
        <v>20</v>
      </c>
      <c r="H4671" s="7" t="s">
        <v>1879</v>
      </c>
      <c r="I4671" s="7" t="s">
        <v>22</v>
      </c>
    </row>
    <row r="4672">
      <c r="A4672" s="7" t="s">
        <v>17</v>
      </c>
      <c r="B4672" s="7" t="s">
        <v>2853</v>
      </c>
      <c r="C4672" s="8">
        <f>IFERROR(__xludf.DUMMYFUNCTION("SPLIT(B4672,""RM"")"),3368000.0)</f>
        <v>3368000</v>
      </c>
      <c r="D4672" s="7" t="s">
        <v>57</v>
      </c>
      <c r="E4672" s="7">
        <v>3.0</v>
      </c>
      <c r="G4672" s="7" t="s">
        <v>20</v>
      </c>
      <c r="H4672" s="7" t="s">
        <v>1009</v>
      </c>
      <c r="I4672" s="7" t="s">
        <v>27</v>
      </c>
    </row>
    <row r="4673">
      <c r="A4673" s="7" t="s">
        <v>17</v>
      </c>
      <c r="B4673" s="7" t="s">
        <v>2854</v>
      </c>
      <c r="C4673" s="8">
        <f>IFERROR(__xludf.DUMMYFUNCTION("SPLIT(B4673,""RM"")"),5179400.0)</f>
        <v>5179400</v>
      </c>
      <c r="D4673" s="7" t="s">
        <v>57</v>
      </c>
      <c r="E4673" s="7">
        <v>3.0</v>
      </c>
      <c r="F4673" s="7">
        <v>2.0</v>
      </c>
      <c r="G4673" s="7" t="s">
        <v>20</v>
      </c>
      <c r="H4673" s="7" t="s">
        <v>1136</v>
      </c>
      <c r="I4673" s="7" t="s">
        <v>22</v>
      </c>
    </row>
    <row r="4674">
      <c r="A4674" s="7" t="s">
        <v>17</v>
      </c>
      <c r="B4674" s="7" t="s">
        <v>2855</v>
      </c>
      <c r="C4674" s="8">
        <f>IFERROR(__xludf.DUMMYFUNCTION("SPLIT(B4674,""RM"")"),3261000.0)</f>
        <v>3261000</v>
      </c>
      <c r="D4674" s="7">
        <v>2.0</v>
      </c>
      <c r="E4674" s="7">
        <v>2.0</v>
      </c>
      <c r="F4674" s="7">
        <v>1.0</v>
      </c>
      <c r="G4674" s="7" t="s">
        <v>20</v>
      </c>
      <c r="H4674" s="7" t="s">
        <v>237</v>
      </c>
      <c r="I4674" s="7" t="s">
        <v>22</v>
      </c>
    </row>
    <row r="4675">
      <c r="A4675" s="7" t="s">
        <v>17</v>
      </c>
      <c r="B4675" s="7" t="s">
        <v>281</v>
      </c>
      <c r="C4675" s="8">
        <f>IFERROR(__xludf.DUMMYFUNCTION("SPLIT(B4675,""RM"")"),2500000.0)</f>
        <v>2500000</v>
      </c>
      <c r="D4675" s="7" t="s">
        <v>197</v>
      </c>
      <c r="E4675" s="7">
        <v>2.0</v>
      </c>
      <c r="G4675" s="7" t="s">
        <v>20</v>
      </c>
      <c r="H4675" s="7" t="s">
        <v>342</v>
      </c>
      <c r="I4675" s="7" t="s">
        <v>27</v>
      </c>
    </row>
    <row r="4676">
      <c r="A4676" s="7" t="s">
        <v>72</v>
      </c>
      <c r="B4676" s="7" t="s">
        <v>530</v>
      </c>
      <c r="C4676" s="8">
        <f>IFERROR(__xludf.DUMMYFUNCTION("SPLIT(B4676,""RM"")"),5000000.0)</f>
        <v>5000000</v>
      </c>
      <c r="D4676" s="7" t="s">
        <v>70</v>
      </c>
      <c r="E4676" s="7">
        <v>5.0</v>
      </c>
      <c r="F4676" s="7">
        <v>2.0</v>
      </c>
      <c r="G4676" s="7" t="s">
        <v>64</v>
      </c>
      <c r="H4676" s="7" t="s">
        <v>2744</v>
      </c>
      <c r="I4676" s="7" t="s">
        <v>22</v>
      </c>
    </row>
    <row r="4677">
      <c r="A4677" s="7" t="s">
        <v>17</v>
      </c>
      <c r="B4677" s="7" t="s">
        <v>422</v>
      </c>
      <c r="C4677" s="8">
        <f>IFERROR(__xludf.DUMMYFUNCTION("SPLIT(B4677,""RM"")"),2050000.0)</f>
        <v>2050000</v>
      </c>
      <c r="D4677" s="7">
        <v>2.0</v>
      </c>
      <c r="E4677" s="7">
        <v>2.0</v>
      </c>
      <c r="G4677" s="7" t="s">
        <v>20</v>
      </c>
      <c r="H4677" s="7" t="s">
        <v>930</v>
      </c>
      <c r="I4677" s="7" t="s">
        <v>22</v>
      </c>
    </row>
    <row r="4678">
      <c r="A4678" s="7" t="s">
        <v>428</v>
      </c>
      <c r="B4678" s="7" t="s">
        <v>151</v>
      </c>
      <c r="C4678" s="8">
        <f>IFERROR(__xludf.DUMMYFUNCTION("SPLIT(B4678,""RM"")"),4800000.0)</f>
        <v>4800000</v>
      </c>
      <c r="D4678" s="7" t="s">
        <v>35</v>
      </c>
      <c r="E4678" s="7">
        <v>4.0</v>
      </c>
      <c r="G4678" s="7" t="s">
        <v>83</v>
      </c>
      <c r="H4678" s="7" t="s">
        <v>2856</v>
      </c>
      <c r="I4678" s="7" t="s">
        <v>27</v>
      </c>
    </row>
    <row r="4679">
      <c r="A4679" s="7" t="s">
        <v>428</v>
      </c>
      <c r="B4679" s="7" t="s">
        <v>1255</v>
      </c>
      <c r="C4679" s="8">
        <f>IFERROR(__xludf.DUMMYFUNCTION("SPLIT(B4679,""RM"")"),6480000.0)</f>
        <v>6480000</v>
      </c>
      <c r="D4679" s="7" t="s">
        <v>35</v>
      </c>
      <c r="E4679" s="7">
        <v>5.0</v>
      </c>
      <c r="G4679" s="7" t="s">
        <v>83</v>
      </c>
      <c r="H4679" s="7" t="s">
        <v>2857</v>
      </c>
      <c r="I4679" s="7" t="s">
        <v>27</v>
      </c>
    </row>
    <row r="4680">
      <c r="A4680" s="7" t="s">
        <v>428</v>
      </c>
      <c r="B4680" s="7" t="s">
        <v>534</v>
      </c>
      <c r="C4680" s="8">
        <f>IFERROR(__xludf.DUMMYFUNCTION("SPLIT(B4680,""RM"")"),3200000.0)</f>
        <v>3200000</v>
      </c>
      <c r="D4680" s="7">
        <v>4.0</v>
      </c>
      <c r="E4680" s="7">
        <v>4.0</v>
      </c>
      <c r="G4680" s="7" t="s">
        <v>83</v>
      </c>
      <c r="H4680" s="7" t="s">
        <v>933</v>
      </c>
      <c r="I4680" s="7" t="s">
        <v>27</v>
      </c>
    </row>
    <row r="4681">
      <c r="A4681" s="7" t="s">
        <v>428</v>
      </c>
      <c r="B4681" s="7" t="s">
        <v>165</v>
      </c>
      <c r="C4681" s="8">
        <f>IFERROR(__xludf.DUMMYFUNCTION("SPLIT(B4681,""RM"")"),3500000.0)</f>
        <v>3500000</v>
      </c>
      <c r="D4681" s="7">
        <v>4.0</v>
      </c>
      <c r="E4681" s="7">
        <v>4.0</v>
      </c>
      <c r="G4681" s="7" t="s">
        <v>83</v>
      </c>
      <c r="H4681" s="7" t="s">
        <v>933</v>
      </c>
      <c r="I4681" s="7" t="s">
        <v>22</v>
      </c>
    </row>
    <row r="4682">
      <c r="A4682" s="7" t="s">
        <v>52</v>
      </c>
      <c r="B4682" s="7" t="s">
        <v>1825</v>
      </c>
      <c r="C4682" s="8">
        <f>IFERROR(__xludf.DUMMYFUNCTION("SPLIT(B4682,""RM"")"),3750000.0)</f>
        <v>3750000</v>
      </c>
      <c r="D4682" s="7" t="s">
        <v>57</v>
      </c>
      <c r="E4682" s="7">
        <v>3.0</v>
      </c>
      <c r="G4682" s="7" t="s">
        <v>83</v>
      </c>
      <c r="H4682" s="7" t="s">
        <v>1013</v>
      </c>
      <c r="I4682" s="7" t="s">
        <v>27</v>
      </c>
    </row>
    <row r="4683">
      <c r="A4683" s="7" t="s">
        <v>17</v>
      </c>
      <c r="B4683" s="7" t="s">
        <v>149</v>
      </c>
      <c r="C4683" s="8">
        <f>IFERROR(__xludf.DUMMYFUNCTION("SPLIT(B4683,""RM"")"),4000000.0)</f>
        <v>4000000</v>
      </c>
      <c r="D4683" s="7" t="s">
        <v>57</v>
      </c>
      <c r="E4683" s="7">
        <v>5.0</v>
      </c>
      <c r="G4683" s="7" t="s">
        <v>20</v>
      </c>
      <c r="H4683" s="7" t="s">
        <v>2858</v>
      </c>
      <c r="I4683" s="7" t="s">
        <v>22</v>
      </c>
    </row>
    <row r="4684">
      <c r="A4684" s="7" t="s">
        <v>72</v>
      </c>
      <c r="B4684" s="7" t="s">
        <v>309</v>
      </c>
      <c r="C4684" s="8">
        <f>IFERROR(__xludf.DUMMYFUNCTION("SPLIT(B4684,""RM"")"),2100000.0)</f>
        <v>2100000</v>
      </c>
      <c r="D4684" s="7" t="s">
        <v>35</v>
      </c>
      <c r="E4684" s="7">
        <v>4.0</v>
      </c>
      <c r="G4684" s="7" t="s">
        <v>83</v>
      </c>
      <c r="H4684" s="7" t="s">
        <v>555</v>
      </c>
      <c r="I4684" s="7" t="s">
        <v>22</v>
      </c>
    </row>
    <row r="4685">
      <c r="A4685" s="7" t="s">
        <v>52</v>
      </c>
      <c r="B4685" s="7" t="s">
        <v>1827</v>
      </c>
      <c r="C4685" s="8">
        <f>IFERROR(__xludf.DUMMYFUNCTION("SPLIT(B4685,""RM"")"),4400000.0)</f>
        <v>4400000</v>
      </c>
      <c r="D4685" s="7">
        <v>4.0</v>
      </c>
      <c r="E4685" s="7">
        <v>4.0</v>
      </c>
      <c r="G4685" s="7" t="s">
        <v>83</v>
      </c>
      <c r="H4685" s="7" t="s">
        <v>2721</v>
      </c>
      <c r="I4685" s="7" t="s">
        <v>22</v>
      </c>
    </row>
    <row r="4686">
      <c r="A4686" s="7" t="s">
        <v>52</v>
      </c>
      <c r="B4686" s="7" t="s">
        <v>530</v>
      </c>
      <c r="C4686" s="8">
        <f>IFERROR(__xludf.DUMMYFUNCTION("SPLIT(B4686,""RM"")"),5000000.0)</f>
        <v>5000000</v>
      </c>
      <c r="D4686" s="7" t="s">
        <v>35</v>
      </c>
      <c r="E4686" s="7">
        <v>4.0</v>
      </c>
      <c r="F4686" s="7">
        <v>3.0</v>
      </c>
      <c r="G4686" s="7" t="s">
        <v>83</v>
      </c>
      <c r="H4686" s="7" t="s">
        <v>2859</v>
      </c>
      <c r="I4686" s="7" t="s">
        <v>27</v>
      </c>
    </row>
    <row r="4687">
      <c r="A4687" s="7" t="s">
        <v>52</v>
      </c>
      <c r="B4687" s="7" t="s">
        <v>101</v>
      </c>
      <c r="C4687" s="8">
        <f>IFERROR(__xludf.DUMMYFUNCTION("SPLIT(B4687,""RM"")"),3300000.0)</f>
        <v>3300000</v>
      </c>
      <c r="D4687" s="7" t="s">
        <v>35</v>
      </c>
      <c r="E4687" s="7">
        <v>4.0</v>
      </c>
      <c r="G4687" s="7" t="s">
        <v>83</v>
      </c>
      <c r="H4687" s="7" t="s">
        <v>2826</v>
      </c>
      <c r="I4687" s="7" t="s">
        <v>27</v>
      </c>
    </row>
    <row r="4688">
      <c r="A4688" s="7" t="s">
        <v>188</v>
      </c>
      <c r="B4688" s="7" t="s">
        <v>151</v>
      </c>
      <c r="C4688" s="8">
        <f>IFERROR(__xludf.DUMMYFUNCTION("SPLIT(B4688,""RM"")"),4800000.0)</f>
        <v>4800000</v>
      </c>
      <c r="D4688" s="7" t="s">
        <v>57</v>
      </c>
      <c r="E4688" s="7">
        <v>4.0</v>
      </c>
      <c r="G4688" s="7" t="s">
        <v>20</v>
      </c>
      <c r="H4688" s="7" t="s">
        <v>1896</v>
      </c>
      <c r="I4688" s="7" t="s">
        <v>22</v>
      </c>
    </row>
    <row r="4689">
      <c r="A4689" s="7" t="s">
        <v>32</v>
      </c>
      <c r="B4689" s="7" t="s">
        <v>81</v>
      </c>
      <c r="C4689" s="8">
        <f>IFERROR(__xludf.DUMMYFUNCTION("SPLIT(B4689,""RM"")"),1550000.0)</f>
        <v>1550000</v>
      </c>
      <c r="D4689" s="7" t="s">
        <v>35</v>
      </c>
      <c r="E4689" s="7">
        <v>4.0</v>
      </c>
      <c r="G4689" s="7" t="s">
        <v>43</v>
      </c>
      <c r="H4689" s="7" t="s">
        <v>478</v>
      </c>
      <c r="I4689" s="7" t="s">
        <v>27</v>
      </c>
    </row>
    <row r="4690">
      <c r="A4690" s="7" t="s">
        <v>171</v>
      </c>
      <c r="B4690" s="7" t="s">
        <v>268</v>
      </c>
      <c r="C4690" s="8">
        <f>IFERROR(__xludf.DUMMYFUNCTION("SPLIT(B4690,""RM"")"),500000.0)</f>
        <v>500000</v>
      </c>
      <c r="D4690" s="7">
        <v>3.0</v>
      </c>
      <c r="E4690" s="7">
        <v>2.0</v>
      </c>
      <c r="F4690" s="7">
        <v>2.0</v>
      </c>
      <c r="G4690" s="7" t="s">
        <v>93</v>
      </c>
      <c r="H4690" s="7" t="s">
        <v>2860</v>
      </c>
      <c r="I4690" s="7" t="s">
        <v>27</v>
      </c>
    </row>
    <row r="4691">
      <c r="A4691" s="7" t="s">
        <v>89</v>
      </c>
      <c r="B4691" s="7" t="s">
        <v>2646</v>
      </c>
      <c r="C4691" s="8">
        <f>IFERROR(__xludf.DUMMYFUNCTION("SPLIT(B4691,""RM"")"),545000.0)</f>
        <v>545000</v>
      </c>
      <c r="D4691" s="7">
        <v>3.0</v>
      </c>
      <c r="E4691" s="7">
        <v>2.0</v>
      </c>
      <c r="F4691" s="7">
        <v>2.0</v>
      </c>
      <c r="G4691" s="7" t="s">
        <v>30</v>
      </c>
      <c r="H4691" s="7" t="s">
        <v>2861</v>
      </c>
      <c r="I4691" s="7" t="s">
        <v>27</v>
      </c>
    </row>
    <row r="4692">
      <c r="A4692" s="7" t="s">
        <v>100</v>
      </c>
      <c r="B4692" s="7" t="s">
        <v>1199</v>
      </c>
      <c r="C4692" s="8">
        <f>IFERROR(__xludf.DUMMYFUNCTION("SPLIT(B4692,""RM"")"),855000.0)</f>
        <v>855000</v>
      </c>
      <c r="D4692" s="7" t="s">
        <v>19</v>
      </c>
      <c r="E4692" s="7">
        <v>3.0</v>
      </c>
      <c r="F4692" s="7">
        <v>2.0</v>
      </c>
      <c r="G4692" s="7" t="s">
        <v>83</v>
      </c>
      <c r="H4692" s="7" t="s">
        <v>729</v>
      </c>
      <c r="I4692" s="7" t="s">
        <v>22</v>
      </c>
    </row>
    <row r="4693">
      <c r="A4693" s="7" t="s">
        <v>171</v>
      </c>
      <c r="B4693" s="7" t="s">
        <v>1659</v>
      </c>
      <c r="C4693" s="8">
        <f>IFERROR(__xludf.DUMMYFUNCTION("SPLIT(B4693,""RM"")"),540000.0)</f>
        <v>540000</v>
      </c>
      <c r="D4693" s="7">
        <v>3.0</v>
      </c>
      <c r="E4693" s="7">
        <v>2.0</v>
      </c>
      <c r="F4693" s="7">
        <v>2.0</v>
      </c>
      <c r="G4693" s="7" t="s">
        <v>20</v>
      </c>
    </row>
    <row r="4694">
      <c r="A4694" s="7" t="s">
        <v>17</v>
      </c>
      <c r="B4694" s="7" t="s">
        <v>844</v>
      </c>
      <c r="C4694" s="8">
        <f>IFERROR(__xludf.DUMMYFUNCTION("SPLIT(B4694,""RM"")"),1690000.0)</f>
        <v>1690000</v>
      </c>
      <c r="D4694" s="7" t="s">
        <v>57</v>
      </c>
      <c r="E4694" s="7">
        <v>3.0</v>
      </c>
      <c r="F4694" s="7">
        <v>1.0</v>
      </c>
      <c r="G4694" s="7" t="s">
        <v>20</v>
      </c>
      <c r="H4694" s="7" t="s">
        <v>729</v>
      </c>
      <c r="I4694" s="7" t="s">
        <v>27</v>
      </c>
    </row>
    <row r="4695">
      <c r="A4695" s="7" t="s">
        <v>48</v>
      </c>
      <c r="B4695" s="7" t="s">
        <v>499</v>
      </c>
      <c r="C4695" s="8">
        <f>IFERROR(__xludf.DUMMYFUNCTION("SPLIT(B4695,""RM"")"),3900000.0)</f>
        <v>3900000</v>
      </c>
      <c r="D4695" s="7" t="s">
        <v>60</v>
      </c>
      <c r="E4695" s="7">
        <v>7.0</v>
      </c>
      <c r="G4695" s="7" t="s">
        <v>43</v>
      </c>
      <c r="H4695" s="7" t="s">
        <v>2862</v>
      </c>
      <c r="I4695" s="7" t="s">
        <v>22</v>
      </c>
    </row>
    <row r="4696">
      <c r="A4696" s="7" t="s">
        <v>48</v>
      </c>
      <c r="B4696" s="7" t="s">
        <v>292</v>
      </c>
      <c r="C4696" s="8">
        <f>IFERROR(__xludf.DUMMYFUNCTION("SPLIT(B4696,""RM"")"),3400000.0)</f>
        <v>3400000</v>
      </c>
      <c r="D4696" s="7" t="s">
        <v>60</v>
      </c>
      <c r="E4696" s="7">
        <v>7.0</v>
      </c>
      <c r="G4696" s="7" t="s">
        <v>43</v>
      </c>
      <c r="H4696" s="7" t="s">
        <v>2863</v>
      </c>
      <c r="I4696" s="7" t="s">
        <v>22</v>
      </c>
    </row>
    <row r="4697">
      <c r="A4697" s="7" t="s">
        <v>28</v>
      </c>
      <c r="B4697" s="7" t="s">
        <v>1114</v>
      </c>
      <c r="C4697" s="8">
        <f>IFERROR(__xludf.DUMMYFUNCTION("SPLIT(B4697,""RM"")"),890000.0)</f>
        <v>890000</v>
      </c>
      <c r="D4697" s="7" t="s">
        <v>35</v>
      </c>
      <c r="E4697" s="7">
        <v>5.0</v>
      </c>
      <c r="F4697" s="7">
        <v>2.0</v>
      </c>
      <c r="G4697" s="7" t="s">
        <v>30</v>
      </c>
      <c r="H4697" s="7" t="s">
        <v>412</v>
      </c>
      <c r="I4697" s="7" t="s">
        <v>27</v>
      </c>
    </row>
    <row r="4698">
      <c r="A4698" s="7" t="s">
        <v>1315</v>
      </c>
      <c r="B4698" s="7" t="s">
        <v>1479</v>
      </c>
      <c r="C4698" s="8">
        <f>IFERROR(__xludf.DUMMYFUNCTION("SPLIT(B4698,""RM"")"),130000.0)</f>
        <v>130000</v>
      </c>
      <c r="D4698" s="7">
        <v>2.0</v>
      </c>
      <c r="E4698" s="7">
        <v>1.0</v>
      </c>
      <c r="F4698" s="7">
        <v>1.0</v>
      </c>
      <c r="G4698" s="7" t="s">
        <v>1566</v>
      </c>
      <c r="H4698" s="7" t="s">
        <v>2864</v>
      </c>
    </row>
    <row r="4699">
      <c r="A4699" s="7" t="s">
        <v>148</v>
      </c>
      <c r="B4699" s="7" t="s">
        <v>168</v>
      </c>
      <c r="C4699" s="8">
        <f>IFERROR(__xludf.DUMMYFUNCTION("SPLIT(B4699,""RM"")"),750000.0)</f>
        <v>750000</v>
      </c>
      <c r="D4699" s="7">
        <v>4.0</v>
      </c>
      <c r="E4699" s="7">
        <v>3.0</v>
      </c>
      <c r="F4699" s="7">
        <v>3.0</v>
      </c>
      <c r="G4699" s="7" t="s">
        <v>54</v>
      </c>
      <c r="H4699" s="7" t="s">
        <v>1523</v>
      </c>
      <c r="I4699" s="7" t="s">
        <v>27</v>
      </c>
    </row>
    <row r="4700">
      <c r="A4700" s="7" t="s">
        <v>33</v>
      </c>
      <c r="B4700" s="7" t="s">
        <v>236</v>
      </c>
      <c r="C4700" s="8">
        <f>IFERROR(__xludf.DUMMYFUNCTION("SPLIT(B4700,""RM"")"),2000000.0)</f>
        <v>2000000</v>
      </c>
      <c r="D4700" s="7" t="s">
        <v>70</v>
      </c>
      <c r="E4700" s="7">
        <v>5.0</v>
      </c>
      <c r="F4700" s="7">
        <v>6.0</v>
      </c>
      <c r="G4700" s="7" t="s">
        <v>43</v>
      </c>
      <c r="H4700" s="7" t="s">
        <v>876</v>
      </c>
      <c r="I4700" s="7" t="s">
        <v>27</v>
      </c>
    </row>
    <row r="4701">
      <c r="A4701" s="7" t="s">
        <v>109</v>
      </c>
      <c r="B4701" s="7" t="s">
        <v>715</v>
      </c>
      <c r="C4701" s="8">
        <f>IFERROR(__xludf.DUMMYFUNCTION("SPLIT(B4701,""RM"")"),550000.0)</f>
        <v>550000</v>
      </c>
      <c r="D4701" s="7" t="s">
        <v>57</v>
      </c>
      <c r="E4701" s="7">
        <v>2.0</v>
      </c>
      <c r="F4701" s="7">
        <v>1.0</v>
      </c>
      <c r="G4701" s="7" t="s">
        <v>83</v>
      </c>
      <c r="H4701" s="7" t="s">
        <v>845</v>
      </c>
      <c r="I4701" s="7" t="s">
        <v>27</v>
      </c>
    </row>
    <row r="4702">
      <c r="A4702" s="7" t="s">
        <v>48</v>
      </c>
      <c r="B4702" s="7" t="s">
        <v>2865</v>
      </c>
      <c r="C4702" s="8">
        <f>IFERROR(__xludf.DUMMYFUNCTION("SPLIT(B4702,""RM"")"),405000.0)</f>
        <v>405000</v>
      </c>
      <c r="D4702" s="7">
        <v>3.0</v>
      </c>
      <c r="E4702" s="7">
        <v>2.0</v>
      </c>
      <c r="G4702" s="7" t="s">
        <v>30</v>
      </c>
      <c r="H4702" s="7" t="s">
        <v>729</v>
      </c>
      <c r="I4702" s="7" t="s">
        <v>27</v>
      </c>
    </row>
    <row r="4703">
      <c r="A4703" s="7" t="s">
        <v>33</v>
      </c>
      <c r="B4703" s="7" t="s">
        <v>18</v>
      </c>
      <c r="C4703" s="8">
        <f>IFERROR(__xludf.DUMMYFUNCTION("SPLIT(B4703,""RM"")"),1250000.0)</f>
        <v>1250000</v>
      </c>
      <c r="D4703" s="7" t="s">
        <v>57</v>
      </c>
      <c r="E4703" s="7">
        <v>4.0</v>
      </c>
      <c r="F4703" s="7">
        <v>2.0</v>
      </c>
      <c r="G4703" s="7" t="s">
        <v>83</v>
      </c>
      <c r="H4703" s="7" t="s">
        <v>726</v>
      </c>
      <c r="I4703" s="7" t="s">
        <v>27</v>
      </c>
    </row>
    <row r="4704">
      <c r="A4704" s="7" t="s">
        <v>32</v>
      </c>
      <c r="B4704" s="7" t="s">
        <v>1981</v>
      </c>
      <c r="C4704" s="8">
        <f>IFERROR(__xludf.DUMMYFUNCTION("SPLIT(B4704,""RM"")"),310000.0)</f>
        <v>310000</v>
      </c>
      <c r="D4704" s="7">
        <v>2.0</v>
      </c>
      <c r="E4704" s="7">
        <v>2.0</v>
      </c>
      <c r="G4704" s="7" t="s">
        <v>93</v>
      </c>
      <c r="H4704" s="7" t="s">
        <v>2187</v>
      </c>
      <c r="I4704" s="7" t="s">
        <v>22</v>
      </c>
    </row>
    <row r="4705">
      <c r="A4705" s="7" t="s">
        <v>267</v>
      </c>
      <c r="B4705" s="7" t="s">
        <v>2866</v>
      </c>
      <c r="C4705" s="8">
        <f>IFERROR(__xludf.DUMMYFUNCTION("SPLIT(B4705,""RM"")"),497000.0)</f>
        <v>497000</v>
      </c>
      <c r="D4705" s="7">
        <v>2.0</v>
      </c>
      <c r="E4705" s="7">
        <v>2.0</v>
      </c>
      <c r="F4705" s="7">
        <v>1.0</v>
      </c>
      <c r="G4705" s="7" t="s">
        <v>20</v>
      </c>
      <c r="H4705" s="7" t="s">
        <v>269</v>
      </c>
      <c r="I4705" s="7" t="s">
        <v>27</v>
      </c>
    </row>
    <row r="4706">
      <c r="A4706" s="7" t="s">
        <v>33</v>
      </c>
      <c r="B4706" s="7" t="s">
        <v>2615</v>
      </c>
      <c r="C4706" s="8">
        <f>IFERROR(__xludf.DUMMYFUNCTION("SPLIT(B4706,""RM"")"),455000.0)</f>
        <v>455000</v>
      </c>
      <c r="D4706" s="7">
        <v>2.0</v>
      </c>
      <c r="E4706" s="7">
        <v>2.0</v>
      </c>
      <c r="F4706" s="7">
        <v>1.0</v>
      </c>
      <c r="G4706" s="7" t="s">
        <v>354</v>
      </c>
      <c r="H4706" s="7" t="s">
        <v>1734</v>
      </c>
      <c r="I4706" s="7" t="s">
        <v>22</v>
      </c>
    </row>
    <row r="4707">
      <c r="A4707" s="7" t="s">
        <v>32</v>
      </c>
      <c r="B4707" s="7" t="s">
        <v>520</v>
      </c>
      <c r="C4707" s="8">
        <f>IFERROR(__xludf.DUMMYFUNCTION("SPLIT(B4707,""RM"")"),320000.0)</f>
        <v>320000</v>
      </c>
      <c r="D4707" s="7">
        <v>2.0</v>
      </c>
      <c r="E4707" s="7">
        <v>2.0</v>
      </c>
      <c r="F4707" s="7">
        <v>1.0</v>
      </c>
      <c r="G4707" s="7" t="s">
        <v>121</v>
      </c>
      <c r="H4707" s="7" t="s">
        <v>242</v>
      </c>
    </row>
    <row r="4708">
      <c r="A4708" s="7" t="s">
        <v>580</v>
      </c>
      <c r="B4708" s="7" t="s">
        <v>1551</v>
      </c>
      <c r="C4708" s="8">
        <f>IFERROR(__xludf.DUMMYFUNCTION("SPLIT(B4708,""RM"")"),399000.0)</f>
        <v>399000</v>
      </c>
      <c r="D4708" s="7">
        <v>3.0</v>
      </c>
      <c r="E4708" s="7">
        <v>2.0</v>
      </c>
      <c r="F4708" s="7">
        <v>1.0</v>
      </c>
      <c r="G4708" s="7" t="s">
        <v>93</v>
      </c>
      <c r="H4708" s="7" t="s">
        <v>2867</v>
      </c>
      <c r="I4708" s="7" t="s">
        <v>22</v>
      </c>
    </row>
    <row r="4709">
      <c r="A4709" s="7" t="s">
        <v>32</v>
      </c>
      <c r="B4709" s="7" t="s">
        <v>510</v>
      </c>
      <c r="C4709" s="8">
        <f>IFERROR(__xludf.DUMMYFUNCTION("SPLIT(B4709,""RM"")"),380000.0)</f>
        <v>380000</v>
      </c>
      <c r="D4709" s="7">
        <v>3.0</v>
      </c>
      <c r="E4709" s="7">
        <v>2.0</v>
      </c>
      <c r="G4709" s="7" t="s">
        <v>83</v>
      </c>
      <c r="H4709" s="7" t="s">
        <v>1273</v>
      </c>
      <c r="I4709" s="7" t="s">
        <v>22</v>
      </c>
    </row>
    <row r="4710">
      <c r="A4710" s="7" t="s">
        <v>33</v>
      </c>
      <c r="B4710" s="7" t="s">
        <v>936</v>
      </c>
      <c r="C4710" s="8">
        <f>IFERROR(__xludf.DUMMYFUNCTION("SPLIT(B4710,""RM"")"),940000.0)</f>
        <v>940000</v>
      </c>
      <c r="D4710" s="7">
        <v>4.0</v>
      </c>
      <c r="E4710" s="7">
        <v>3.0</v>
      </c>
      <c r="G4710" s="7" t="s">
        <v>83</v>
      </c>
      <c r="H4710" s="7" t="s">
        <v>36</v>
      </c>
      <c r="I4710" s="7" t="s">
        <v>27</v>
      </c>
    </row>
    <row r="4711">
      <c r="A4711" s="7" t="s">
        <v>171</v>
      </c>
      <c r="B4711" s="7" t="s">
        <v>759</v>
      </c>
      <c r="C4711" s="8">
        <f>IFERROR(__xludf.DUMMYFUNCTION("SPLIT(B4711,""RM"")"),520000.0)</f>
        <v>520000</v>
      </c>
      <c r="D4711" s="7">
        <v>4.0</v>
      </c>
      <c r="E4711" s="7">
        <v>2.0</v>
      </c>
      <c r="G4711" s="7" t="s">
        <v>83</v>
      </c>
      <c r="H4711" s="7" t="s">
        <v>760</v>
      </c>
      <c r="I4711" s="7" t="s">
        <v>27</v>
      </c>
    </row>
    <row r="4712">
      <c r="A4712" s="7" t="s">
        <v>1014</v>
      </c>
      <c r="B4712" s="7" t="s">
        <v>983</v>
      </c>
      <c r="C4712" s="8">
        <f>IFERROR(__xludf.DUMMYFUNCTION("SPLIT(B4712,""RM"")"),440000.0)</f>
        <v>440000</v>
      </c>
      <c r="D4712" s="7" t="s">
        <v>197</v>
      </c>
      <c r="E4712" s="7">
        <v>1.0</v>
      </c>
      <c r="G4712" s="7" t="s">
        <v>83</v>
      </c>
      <c r="H4712" s="7" t="s">
        <v>2868</v>
      </c>
    </row>
    <row r="4713">
      <c r="A4713" s="7" t="s">
        <v>171</v>
      </c>
      <c r="B4713" s="7" t="s">
        <v>1994</v>
      </c>
      <c r="C4713" s="8">
        <f>IFERROR(__xludf.DUMMYFUNCTION("SPLIT(B4713,""RM"")"),335000.0)</f>
        <v>335000</v>
      </c>
      <c r="D4713" s="7">
        <v>1.0</v>
      </c>
      <c r="E4713" s="7">
        <v>1.0</v>
      </c>
      <c r="G4713" s="7" t="s">
        <v>20</v>
      </c>
      <c r="H4713" s="7" t="s">
        <v>2869</v>
      </c>
      <c r="I4713" s="7" t="s">
        <v>27</v>
      </c>
    </row>
    <row r="4714">
      <c r="A4714" s="7" t="s">
        <v>109</v>
      </c>
      <c r="B4714" s="7" t="s">
        <v>2870</v>
      </c>
      <c r="C4714" s="8">
        <f>IFERROR(__xludf.DUMMYFUNCTION("SPLIT(B4714,""RM"")"),483000.0)</f>
        <v>483000</v>
      </c>
      <c r="D4714" s="7" t="s">
        <v>19</v>
      </c>
      <c r="E4714" s="7">
        <v>2.0</v>
      </c>
      <c r="G4714" s="7" t="s">
        <v>20</v>
      </c>
      <c r="H4714" s="7" t="s">
        <v>910</v>
      </c>
    </row>
    <row r="4715">
      <c r="A4715" s="7" t="s">
        <v>32</v>
      </c>
      <c r="B4715" s="7" t="s">
        <v>361</v>
      </c>
      <c r="C4715" s="8">
        <f>IFERROR(__xludf.DUMMYFUNCTION("SPLIT(B4715,""RM"")"),530000.0)</f>
        <v>530000</v>
      </c>
      <c r="D4715" s="7">
        <v>2.0</v>
      </c>
      <c r="E4715" s="7">
        <v>2.0</v>
      </c>
      <c r="G4715" s="7" t="s">
        <v>20</v>
      </c>
      <c r="H4715" s="7" t="s">
        <v>2871</v>
      </c>
      <c r="I4715" s="7" t="s">
        <v>27</v>
      </c>
    </row>
    <row r="4716">
      <c r="A4716" s="7" t="s">
        <v>32</v>
      </c>
      <c r="B4716" s="7" t="s">
        <v>1910</v>
      </c>
      <c r="C4716" s="8">
        <f>IFERROR(__xludf.DUMMYFUNCTION("SPLIT(B4716,""RM"")"),378000.0)</f>
        <v>378000</v>
      </c>
      <c r="D4716" s="7">
        <v>3.0</v>
      </c>
      <c r="E4716" s="7">
        <v>2.0</v>
      </c>
      <c r="F4716" s="7">
        <v>1.0</v>
      </c>
      <c r="G4716" s="7" t="s">
        <v>93</v>
      </c>
      <c r="H4716" s="7" t="s">
        <v>1782</v>
      </c>
      <c r="I4716" s="7" t="s">
        <v>22</v>
      </c>
    </row>
    <row r="4717">
      <c r="A4717" s="7" t="s">
        <v>32</v>
      </c>
      <c r="B4717" s="7" t="s">
        <v>969</v>
      </c>
      <c r="C4717" s="8">
        <f>IFERROR(__xludf.DUMMYFUNCTION("SPLIT(B4717,""RM"")"),430000.0)</f>
        <v>430000</v>
      </c>
      <c r="D4717" s="7">
        <v>3.0</v>
      </c>
      <c r="E4717" s="7">
        <v>2.0</v>
      </c>
      <c r="F4717" s="7">
        <v>1.0</v>
      </c>
      <c r="G4717" s="7" t="s">
        <v>83</v>
      </c>
      <c r="H4717" s="7" t="s">
        <v>1178</v>
      </c>
      <c r="I4717" s="7" t="s">
        <v>27</v>
      </c>
    </row>
    <row r="4718">
      <c r="A4718" s="7" t="s">
        <v>28</v>
      </c>
      <c r="B4718" s="7" t="s">
        <v>311</v>
      </c>
      <c r="C4718" s="8">
        <f>IFERROR(__xludf.DUMMYFUNCTION("SPLIT(B4718,""RM"")"),1100000.0)</f>
        <v>1100000</v>
      </c>
      <c r="D4718" s="7">
        <v>2.0</v>
      </c>
      <c r="E4718" s="7">
        <v>2.0</v>
      </c>
      <c r="G4718" s="7" t="s">
        <v>20</v>
      </c>
      <c r="H4718" s="7" t="s">
        <v>1847</v>
      </c>
      <c r="I4718" s="7" t="s">
        <v>22</v>
      </c>
    </row>
    <row r="4719">
      <c r="A4719" s="7" t="s">
        <v>72</v>
      </c>
      <c r="B4719" s="7" t="s">
        <v>351</v>
      </c>
      <c r="C4719" s="8">
        <f>IFERROR(__xludf.DUMMYFUNCTION("SPLIT(B4719,""RM"")"),3800000.0)</f>
        <v>3800000</v>
      </c>
      <c r="D4719" s="7" t="s">
        <v>35</v>
      </c>
      <c r="E4719" s="7">
        <v>5.0</v>
      </c>
      <c r="G4719" s="7" t="s">
        <v>83</v>
      </c>
      <c r="H4719" s="7" t="s">
        <v>147</v>
      </c>
      <c r="I4719" s="7" t="s">
        <v>27</v>
      </c>
    </row>
    <row r="4720">
      <c r="A4720" s="7" t="s">
        <v>72</v>
      </c>
      <c r="B4720" s="7" t="s">
        <v>81</v>
      </c>
      <c r="C4720" s="8">
        <f>IFERROR(__xludf.DUMMYFUNCTION("SPLIT(B4720,""RM"")"),1550000.0)</f>
        <v>1550000</v>
      </c>
      <c r="D4720" s="7" t="s">
        <v>57</v>
      </c>
      <c r="E4720" s="7">
        <v>4.0</v>
      </c>
      <c r="G4720" s="7" t="s">
        <v>83</v>
      </c>
      <c r="H4720" s="7" t="s">
        <v>84</v>
      </c>
      <c r="I4720" s="7" t="s">
        <v>22</v>
      </c>
    </row>
    <row r="4721">
      <c r="A4721" s="7" t="s">
        <v>32</v>
      </c>
      <c r="B4721" s="7" t="s">
        <v>2872</v>
      </c>
      <c r="C4721" s="7">
        <f>IFERROR(__xludf.DUMMYFUNCTION("SPLIT(B4721,""RM"")"),408.0)</f>
        <v>408</v>
      </c>
      <c r="D4721" s="7">
        <v>3.0</v>
      </c>
      <c r="E4721" s="7">
        <v>2.0</v>
      </c>
      <c r="G4721" s="7" t="s">
        <v>83</v>
      </c>
    </row>
    <row r="4722">
      <c r="A4722" s="7" t="s">
        <v>104</v>
      </c>
      <c r="B4722" s="7" t="s">
        <v>34</v>
      </c>
      <c r="C4722" s="8">
        <f>IFERROR(__xludf.DUMMYFUNCTION("SPLIT(B4722,""RM"")"),900000.0)</f>
        <v>900000</v>
      </c>
      <c r="D4722" s="7">
        <v>4.0</v>
      </c>
      <c r="E4722" s="7">
        <v>3.0</v>
      </c>
      <c r="F4722" s="7">
        <v>2.0</v>
      </c>
      <c r="G4722" s="7" t="s">
        <v>54</v>
      </c>
      <c r="H4722" s="7" t="s">
        <v>1434</v>
      </c>
      <c r="I4722" s="7" t="s">
        <v>27</v>
      </c>
    </row>
    <row r="4723">
      <c r="A4723" s="7" t="s">
        <v>262</v>
      </c>
      <c r="B4723" s="7" t="s">
        <v>616</v>
      </c>
      <c r="C4723" s="8">
        <f>IFERROR(__xludf.DUMMYFUNCTION("SPLIT(B4723,""RM"")"),7500000.0)</f>
        <v>7500000</v>
      </c>
      <c r="D4723" s="7">
        <v>9.0</v>
      </c>
      <c r="E4723" s="7">
        <v>8.0</v>
      </c>
      <c r="F4723" s="7">
        <v>6.0</v>
      </c>
      <c r="G4723" s="7" t="s">
        <v>67</v>
      </c>
      <c r="H4723" s="7" t="s">
        <v>2084</v>
      </c>
    </row>
    <row r="4724">
      <c r="A4724" s="7" t="s">
        <v>262</v>
      </c>
      <c r="B4724" s="7" t="s">
        <v>616</v>
      </c>
      <c r="C4724" s="8">
        <f>IFERROR(__xludf.DUMMYFUNCTION("SPLIT(B4724,""RM"")"),7500000.0)</f>
        <v>7500000</v>
      </c>
      <c r="D4724" s="7">
        <v>9.0</v>
      </c>
      <c r="E4724" s="7">
        <v>8.0</v>
      </c>
      <c r="F4724" s="7">
        <v>6.0</v>
      </c>
      <c r="G4724" s="7" t="s">
        <v>67</v>
      </c>
      <c r="H4724" s="7" t="s">
        <v>2084</v>
      </c>
    </row>
    <row r="4725">
      <c r="A4725" s="7" t="s">
        <v>77</v>
      </c>
      <c r="B4725" s="7" t="s">
        <v>1079</v>
      </c>
      <c r="C4725" s="8">
        <f>IFERROR(__xludf.DUMMYFUNCTION("SPLIT(B4725,""RM"")"),2350000.0)</f>
        <v>2350000</v>
      </c>
      <c r="D4725" s="7">
        <v>3.0</v>
      </c>
      <c r="E4725" s="7">
        <v>4.0</v>
      </c>
      <c r="F4725" s="7">
        <v>2.0</v>
      </c>
      <c r="G4725" s="7" t="s">
        <v>169</v>
      </c>
      <c r="H4725" s="7" t="s">
        <v>1197</v>
      </c>
      <c r="I4725" s="7" t="s">
        <v>22</v>
      </c>
    </row>
    <row r="4726">
      <c r="A4726" s="7" t="s">
        <v>104</v>
      </c>
      <c r="B4726" s="7" t="s">
        <v>2086</v>
      </c>
      <c r="C4726" s="8">
        <f>IFERROR(__xludf.DUMMYFUNCTION("SPLIT(B4726,""RM"")"),748000.0)</f>
        <v>748000</v>
      </c>
      <c r="D4726" s="7">
        <v>3.0</v>
      </c>
      <c r="E4726" s="7">
        <v>2.0</v>
      </c>
      <c r="F4726" s="7">
        <v>2.0</v>
      </c>
      <c r="G4726" s="7" t="s">
        <v>343</v>
      </c>
      <c r="H4726" s="7" t="s">
        <v>1732</v>
      </c>
      <c r="I4726" s="7" t="s">
        <v>27</v>
      </c>
    </row>
    <row r="4727">
      <c r="A4727" s="7" t="s">
        <v>104</v>
      </c>
      <c r="B4727" s="7" t="s">
        <v>648</v>
      </c>
      <c r="C4727" s="8">
        <f>IFERROR(__xludf.DUMMYFUNCTION("SPLIT(B4727,""RM"")"),568000.0)</f>
        <v>568000</v>
      </c>
      <c r="D4727" s="7">
        <v>3.0</v>
      </c>
      <c r="E4727" s="7">
        <v>2.0</v>
      </c>
      <c r="F4727" s="7">
        <v>2.0</v>
      </c>
      <c r="G4727" s="7" t="s">
        <v>343</v>
      </c>
      <c r="H4727" s="7" t="s">
        <v>1732</v>
      </c>
      <c r="I4727" s="7" t="s">
        <v>27</v>
      </c>
    </row>
    <row r="4728">
      <c r="A4728" s="7" t="s">
        <v>262</v>
      </c>
      <c r="B4728" s="7" t="s">
        <v>616</v>
      </c>
      <c r="C4728" s="8">
        <f>IFERROR(__xludf.DUMMYFUNCTION("SPLIT(B4728,""RM"")"),7500000.0)</f>
        <v>7500000</v>
      </c>
      <c r="D4728" s="7">
        <v>8.0</v>
      </c>
      <c r="E4728" s="7">
        <v>9.0</v>
      </c>
      <c r="F4728" s="7">
        <v>6.0</v>
      </c>
      <c r="G4728" s="7" t="s">
        <v>67</v>
      </c>
      <c r="H4728" s="7" t="s">
        <v>1496</v>
      </c>
    </row>
    <row r="4729">
      <c r="A4729" s="7" t="s">
        <v>104</v>
      </c>
      <c r="B4729" s="7" t="s">
        <v>2801</v>
      </c>
      <c r="C4729" s="8">
        <f>IFERROR(__xludf.DUMMYFUNCTION("SPLIT(B4729,""RM"")"),548000.0)</f>
        <v>548000</v>
      </c>
      <c r="D4729" s="7">
        <v>3.0</v>
      </c>
      <c r="E4729" s="7">
        <v>2.0</v>
      </c>
      <c r="G4729" s="7" t="s">
        <v>343</v>
      </c>
      <c r="H4729" s="7" t="s">
        <v>1732</v>
      </c>
      <c r="I4729" s="7" t="s">
        <v>103</v>
      </c>
    </row>
    <row r="4730">
      <c r="A4730" s="7" t="s">
        <v>104</v>
      </c>
      <c r="B4730" s="7" t="s">
        <v>2086</v>
      </c>
      <c r="C4730" s="8">
        <f>IFERROR(__xludf.DUMMYFUNCTION("SPLIT(B4730,""RM"")"),748000.0)</f>
        <v>748000</v>
      </c>
      <c r="D4730" s="7">
        <v>3.0</v>
      </c>
      <c r="E4730" s="7">
        <v>2.0</v>
      </c>
      <c r="F4730" s="7">
        <v>2.0</v>
      </c>
      <c r="G4730" s="7" t="s">
        <v>1185</v>
      </c>
      <c r="H4730" s="7" t="s">
        <v>1732</v>
      </c>
      <c r="I4730" s="7" t="s">
        <v>27</v>
      </c>
    </row>
    <row r="4731">
      <c r="A4731" s="7" t="s">
        <v>104</v>
      </c>
      <c r="B4731" s="7" t="s">
        <v>965</v>
      </c>
      <c r="C4731" s="8">
        <f>IFERROR(__xludf.DUMMYFUNCTION("SPLIT(B4731,""RM"")"),695000.0)</f>
        <v>695000</v>
      </c>
      <c r="D4731" s="7">
        <v>3.0</v>
      </c>
      <c r="E4731" s="7">
        <v>2.0</v>
      </c>
      <c r="G4731" s="7" t="s">
        <v>343</v>
      </c>
      <c r="H4731" s="7" t="s">
        <v>845</v>
      </c>
      <c r="I4731" s="7" t="s">
        <v>27</v>
      </c>
    </row>
    <row r="4732">
      <c r="A4732" s="7" t="s">
        <v>104</v>
      </c>
      <c r="B4732" s="7" t="s">
        <v>619</v>
      </c>
      <c r="C4732" s="8">
        <f>IFERROR(__xludf.DUMMYFUNCTION("SPLIT(B4732,""RM"")"),640000.0)</f>
        <v>640000</v>
      </c>
      <c r="D4732" s="7">
        <v>3.0</v>
      </c>
      <c r="E4732" s="7">
        <v>2.0</v>
      </c>
      <c r="F4732" s="7">
        <v>2.0</v>
      </c>
      <c r="G4732" s="7" t="s">
        <v>343</v>
      </c>
      <c r="H4732" s="7" t="s">
        <v>1732</v>
      </c>
      <c r="I4732" s="7" t="s">
        <v>103</v>
      </c>
    </row>
    <row r="4733">
      <c r="A4733" s="7" t="s">
        <v>72</v>
      </c>
      <c r="B4733" s="7" t="s">
        <v>386</v>
      </c>
      <c r="C4733" s="8">
        <f>IFERROR(__xludf.DUMMYFUNCTION("SPLIT(B4733,""RM"")"),2380000.0)</f>
        <v>2380000</v>
      </c>
      <c r="D4733" s="7" t="s">
        <v>70</v>
      </c>
      <c r="E4733" s="7">
        <v>4.0</v>
      </c>
      <c r="G4733" s="7" t="s">
        <v>804</v>
      </c>
      <c r="H4733" s="7" t="s">
        <v>2873</v>
      </c>
      <c r="I4733" s="7" t="s">
        <v>27</v>
      </c>
    </row>
    <row r="4734">
      <c r="A4734" s="7" t="s">
        <v>432</v>
      </c>
      <c r="B4734" s="7" t="s">
        <v>386</v>
      </c>
      <c r="C4734" s="8">
        <f>IFERROR(__xludf.DUMMYFUNCTION("SPLIT(B4734,""RM"")"),2380000.0)</f>
        <v>2380000</v>
      </c>
      <c r="D4734" s="7" t="s">
        <v>70</v>
      </c>
      <c r="E4734" s="7">
        <v>4.0</v>
      </c>
      <c r="G4734" s="7" t="s">
        <v>804</v>
      </c>
      <c r="H4734" s="7" t="s">
        <v>2873</v>
      </c>
      <c r="I4734" s="7" t="s">
        <v>27</v>
      </c>
    </row>
    <row r="4735">
      <c r="A4735" s="7" t="s">
        <v>72</v>
      </c>
      <c r="B4735" s="7" t="s">
        <v>1926</v>
      </c>
      <c r="C4735" s="8">
        <f>IFERROR(__xludf.DUMMYFUNCTION("SPLIT(B4735,""RM"")"),3050000.0)</f>
        <v>3050000</v>
      </c>
      <c r="D4735" s="7" t="s">
        <v>70</v>
      </c>
      <c r="E4735" s="7">
        <v>6.0</v>
      </c>
      <c r="G4735" s="7" t="s">
        <v>64</v>
      </c>
      <c r="H4735" s="7" t="s">
        <v>2874</v>
      </c>
      <c r="I4735" s="7" t="s">
        <v>27</v>
      </c>
    </row>
    <row r="4736">
      <c r="A4736" s="7" t="s">
        <v>580</v>
      </c>
      <c r="B4736" s="7" t="s">
        <v>702</v>
      </c>
      <c r="C4736" s="8">
        <f>IFERROR(__xludf.DUMMYFUNCTION("SPLIT(B4736,""RM"")"),410000.0)</f>
        <v>410000</v>
      </c>
      <c r="D4736" s="7" t="s">
        <v>57</v>
      </c>
      <c r="E4736" s="7">
        <v>2.0</v>
      </c>
      <c r="F4736" s="7">
        <v>1.0</v>
      </c>
      <c r="G4736" s="7" t="s">
        <v>82</v>
      </c>
      <c r="H4736" s="7" t="s">
        <v>607</v>
      </c>
      <c r="I4736" s="7" t="s">
        <v>27</v>
      </c>
    </row>
    <row r="4737">
      <c r="A4737" s="7" t="s">
        <v>100</v>
      </c>
      <c r="B4737" s="7" t="s">
        <v>2268</v>
      </c>
      <c r="C4737" s="8">
        <f>IFERROR(__xludf.DUMMYFUNCTION("SPLIT(B4737,""RM"")"),278000.0)</f>
        <v>278000</v>
      </c>
      <c r="D4737" s="7">
        <v>3.0</v>
      </c>
      <c r="E4737" s="7">
        <v>2.0</v>
      </c>
      <c r="G4737" s="7" t="s">
        <v>503</v>
      </c>
      <c r="H4737" s="7" t="s">
        <v>1945</v>
      </c>
      <c r="I4737" s="7" t="s">
        <v>103</v>
      </c>
    </row>
    <row r="4738">
      <c r="A4738" s="7" t="s">
        <v>177</v>
      </c>
      <c r="B4738" s="7" t="s">
        <v>193</v>
      </c>
      <c r="C4738" s="8">
        <f>IFERROR(__xludf.DUMMYFUNCTION("SPLIT(B4738,""RM"")"),1650000.0)</f>
        <v>1650000</v>
      </c>
      <c r="D4738" s="7">
        <v>4.0</v>
      </c>
      <c r="E4738" s="7">
        <v>3.0</v>
      </c>
      <c r="G4738" s="7" t="s">
        <v>54</v>
      </c>
      <c r="H4738" s="7" t="s">
        <v>2875</v>
      </c>
    </row>
    <row r="4739">
      <c r="A4739" s="7" t="s">
        <v>155</v>
      </c>
      <c r="B4739" s="7" t="s">
        <v>311</v>
      </c>
      <c r="C4739" s="8">
        <f>IFERROR(__xludf.DUMMYFUNCTION("SPLIT(B4739,""RM"")"),1100000.0)</f>
        <v>1100000</v>
      </c>
      <c r="G4739" s="7" t="s">
        <v>667</v>
      </c>
      <c r="H4739" s="7" t="s">
        <v>2876</v>
      </c>
    </row>
    <row r="4740">
      <c r="A4740" s="7" t="s">
        <v>72</v>
      </c>
      <c r="B4740" s="7" t="s">
        <v>172</v>
      </c>
      <c r="C4740" s="8">
        <f>IFERROR(__xludf.DUMMYFUNCTION("SPLIT(B4740,""RM"")"),580000.0)</f>
        <v>580000</v>
      </c>
      <c r="D4740" s="7">
        <v>3.0</v>
      </c>
      <c r="E4740" s="7">
        <v>2.0</v>
      </c>
      <c r="F4740" s="7">
        <v>2.0</v>
      </c>
      <c r="G4740" s="7" t="s">
        <v>93</v>
      </c>
      <c r="H4740" s="7" t="s">
        <v>2485</v>
      </c>
      <c r="I4740" s="7" t="s">
        <v>103</v>
      </c>
    </row>
    <row r="4741">
      <c r="A4741" s="7" t="s">
        <v>188</v>
      </c>
      <c r="B4741" s="7" t="s">
        <v>715</v>
      </c>
      <c r="C4741" s="8">
        <f>IFERROR(__xludf.DUMMYFUNCTION("SPLIT(B4741,""RM"")"),550000.0)</f>
        <v>550000</v>
      </c>
      <c r="D4741" s="7">
        <v>1.0</v>
      </c>
      <c r="E4741" s="7">
        <v>1.0</v>
      </c>
      <c r="F4741" s="7">
        <v>1.0</v>
      </c>
      <c r="G4741" s="7" t="s">
        <v>93</v>
      </c>
      <c r="H4741" s="7" t="s">
        <v>2802</v>
      </c>
      <c r="I4741" s="7" t="s">
        <v>27</v>
      </c>
    </row>
    <row r="4742">
      <c r="A4742" s="7" t="s">
        <v>17</v>
      </c>
      <c r="B4742" s="7" t="s">
        <v>34</v>
      </c>
      <c r="C4742" s="8">
        <f>IFERROR(__xludf.DUMMYFUNCTION("SPLIT(B4742,""RM"")"),900000.0)</f>
        <v>900000</v>
      </c>
      <c r="D4742" s="7">
        <v>3.0</v>
      </c>
      <c r="E4742" s="7">
        <v>2.0</v>
      </c>
      <c r="F4742" s="7">
        <v>2.0</v>
      </c>
      <c r="G4742" s="7" t="s">
        <v>30</v>
      </c>
      <c r="H4742" s="7" t="s">
        <v>2877</v>
      </c>
      <c r="I4742" s="7" t="s">
        <v>22</v>
      </c>
    </row>
    <row r="4743">
      <c r="A4743" s="7" t="s">
        <v>72</v>
      </c>
      <c r="B4743" s="7" t="s">
        <v>2878</v>
      </c>
      <c r="C4743" s="8">
        <f>IFERROR(__xludf.DUMMYFUNCTION("SPLIT(B4743,""RM"")"),704880.0)</f>
        <v>704880</v>
      </c>
      <c r="D4743" s="7">
        <v>3.0</v>
      </c>
      <c r="E4743" s="7">
        <v>2.0</v>
      </c>
      <c r="F4743" s="7">
        <v>2.0</v>
      </c>
      <c r="G4743" s="7" t="s">
        <v>83</v>
      </c>
      <c r="H4743" s="7" t="s">
        <v>2485</v>
      </c>
    </row>
    <row r="4744">
      <c r="A4744" s="7" t="s">
        <v>23</v>
      </c>
      <c r="B4744" s="7" t="s">
        <v>69</v>
      </c>
      <c r="C4744" s="8">
        <f>IFERROR(__xludf.DUMMYFUNCTION("SPLIT(B4744,""RM"")"),4500000.0)</f>
        <v>4500000</v>
      </c>
      <c r="D4744" s="7" t="s">
        <v>70</v>
      </c>
      <c r="E4744" s="7">
        <v>7.0</v>
      </c>
      <c r="G4744" s="7" t="s">
        <v>25</v>
      </c>
      <c r="H4744" s="7" t="s">
        <v>697</v>
      </c>
      <c r="I4744" s="7" t="s">
        <v>27</v>
      </c>
    </row>
    <row r="4745">
      <c r="A4745" s="7" t="s">
        <v>241</v>
      </c>
      <c r="B4745" s="7" t="s">
        <v>245</v>
      </c>
      <c r="C4745" s="8">
        <f>IFERROR(__xludf.DUMMYFUNCTION("SPLIT(B4745,""RM"")"),800000.0)</f>
        <v>800000</v>
      </c>
      <c r="D4745" s="7" t="s">
        <v>70</v>
      </c>
      <c r="E4745" s="7">
        <v>6.0</v>
      </c>
      <c r="F4745" s="7">
        <v>2.0</v>
      </c>
      <c r="G4745" s="7" t="s">
        <v>793</v>
      </c>
      <c r="H4745" s="7" t="s">
        <v>2879</v>
      </c>
      <c r="I4745" s="7" t="s">
        <v>103</v>
      </c>
    </row>
    <row r="4746">
      <c r="A4746" s="7" t="s">
        <v>432</v>
      </c>
      <c r="B4746" s="7" t="s">
        <v>63</v>
      </c>
      <c r="C4746" s="8">
        <f>IFERROR(__xludf.DUMMYFUNCTION("SPLIT(B4746,""RM"")"),3100000.0)</f>
        <v>3100000</v>
      </c>
      <c r="D4746" s="7" t="s">
        <v>35</v>
      </c>
      <c r="E4746" s="7">
        <v>6.0</v>
      </c>
      <c r="F4746" s="7">
        <v>3.0</v>
      </c>
      <c r="G4746" s="7" t="s">
        <v>83</v>
      </c>
      <c r="H4746" s="7" t="s">
        <v>1674</v>
      </c>
      <c r="I4746" s="7" t="s">
        <v>22</v>
      </c>
    </row>
    <row r="4747">
      <c r="A4747" s="7" t="s">
        <v>23</v>
      </c>
      <c r="B4747" s="7" t="s">
        <v>1094</v>
      </c>
      <c r="C4747" s="8">
        <f>IFERROR(__xludf.DUMMYFUNCTION("SPLIT(B4747,""RM"")"),4700000.0)</f>
        <v>4700000</v>
      </c>
      <c r="D4747" s="7">
        <v>4.0</v>
      </c>
      <c r="E4747" s="7">
        <v>3.0</v>
      </c>
      <c r="G4747" s="7" t="s">
        <v>25</v>
      </c>
      <c r="H4747" s="7" t="s">
        <v>1063</v>
      </c>
      <c r="I4747" s="7" t="s">
        <v>103</v>
      </c>
    </row>
    <row r="4748">
      <c r="A4748" s="7" t="s">
        <v>23</v>
      </c>
      <c r="B4748" s="7" t="s">
        <v>1240</v>
      </c>
      <c r="C4748" s="8">
        <f>IFERROR(__xludf.DUMMYFUNCTION("SPLIT(B4748,""RM"")"),1.25E7)</f>
        <v>12500000</v>
      </c>
      <c r="D4748" s="7" t="s">
        <v>60</v>
      </c>
      <c r="E4748" s="7">
        <v>6.0</v>
      </c>
      <c r="G4748" s="7" t="s">
        <v>25</v>
      </c>
      <c r="H4748" s="7" t="s">
        <v>696</v>
      </c>
      <c r="I4748" s="7" t="s">
        <v>22</v>
      </c>
    </row>
    <row r="4749">
      <c r="A4749" s="7" t="s">
        <v>1315</v>
      </c>
      <c r="B4749" s="7" t="s">
        <v>268</v>
      </c>
      <c r="C4749" s="8">
        <f>IFERROR(__xludf.DUMMYFUNCTION("SPLIT(B4749,""RM"")"),500000.0)</f>
        <v>500000</v>
      </c>
      <c r="D4749" s="7">
        <v>3.0</v>
      </c>
      <c r="E4749" s="7">
        <v>2.0</v>
      </c>
      <c r="F4749" s="7">
        <v>3.0</v>
      </c>
      <c r="G4749" s="7" t="s">
        <v>83</v>
      </c>
      <c r="H4749" s="7" t="s">
        <v>747</v>
      </c>
      <c r="I4749" s="7" t="s">
        <v>103</v>
      </c>
    </row>
    <row r="4750">
      <c r="A4750" s="7" t="s">
        <v>177</v>
      </c>
      <c r="B4750" s="7" t="s">
        <v>327</v>
      </c>
      <c r="C4750" s="8">
        <f>IFERROR(__xludf.DUMMYFUNCTION("SPLIT(B4750,""RM"")"),1300000.0)</f>
        <v>1300000</v>
      </c>
      <c r="D4750" s="7">
        <v>2.0</v>
      </c>
      <c r="E4750" s="7">
        <v>3.0</v>
      </c>
      <c r="F4750" s="7">
        <v>2.0</v>
      </c>
      <c r="G4750" s="7" t="s">
        <v>343</v>
      </c>
      <c r="H4750" s="7" t="s">
        <v>280</v>
      </c>
      <c r="I4750" s="7" t="s">
        <v>27</v>
      </c>
    </row>
    <row r="4751">
      <c r="A4751" s="7" t="s">
        <v>32</v>
      </c>
      <c r="B4751" s="7" t="s">
        <v>2478</v>
      </c>
      <c r="C4751" s="8">
        <f>IFERROR(__xludf.DUMMYFUNCTION("SPLIT(B4751,""RM"")"),3250000.0)</f>
        <v>3250000</v>
      </c>
      <c r="D4751" s="7" t="s">
        <v>60</v>
      </c>
      <c r="E4751" s="7">
        <v>7.0</v>
      </c>
      <c r="F4751" s="7">
        <v>2.0</v>
      </c>
      <c r="G4751" s="7" t="s">
        <v>61</v>
      </c>
      <c r="H4751" s="7" t="s">
        <v>631</v>
      </c>
      <c r="I4751" s="7" t="s">
        <v>103</v>
      </c>
    </row>
    <row r="4752">
      <c r="A4752" s="7" t="s">
        <v>72</v>
      </c>
      <c r="B4752" s="7" t="s">
        <v>45</v>
      </c>
      <c r="C4752" s="8">
        <f>IFERROR(__xludf.DUMMYFUNCTION("SPLIT(B4752,""RM"")"),1950000.0)</f>
        <v>1950000</v>
      </c>
      <c r="D4752" s="7" t="s">
        <v>57</v>
      </c>
      <c r="E4752" s="7">
        <v>4.0</v>
      </c>
      <c r="G4752" s="7" t="s">
        <v>83</v>
      </c>
      <c r="H4752" s="7" t="s">
        <v>561</v>
      </c>
      <c r="I4752" s="7" t="s">
        <v>27</v>
      </c>
    </row>
    <row r="4753">
      <c r="A4753" s="7" t="s">
        <v>32</v>
      </c>
      <c r="B4753" s="7" t="s">
        <v>407</v>
      </c>
      <c r="C4753" s="8">
        <f>IFERROR(__xludf.DUMMYFUNCTION("SPLIT(B4753,""RM"")"),880000.0)</f>
        <v>880000</v>
      </c>
      <c r="D4753" s="7" t="s">
        <v>57</v>
      </c>
      <c r="E4753" s="7">
        <v>3.0</v>
      </c>
      <c r="F4753" s="7">
        <v>2.0</v>
      </c>
      <c r="G4753" s="7" t="s">
        <v>54</v>
      </c>
      <c r="H4753" s="7" t="s">
        <v>333</v>
      </c>
      <c r="I4753" s="7" t="s">
        <v>27</v>
      </c>
    </row>
    <row r="4754">
      <c r="A4754" s="7" t="s">
        <v>180</v>
      </c>
      <c r="B4754" s="7" t="s">
        <v>329</v>
      </c>
      <c r="C4754" s="8">
        <f>IFERROR(__xludf.DUMMYFUNCTION("SPLIT(B4754,""RM"")"),1200000.0)</f>
        <v>1200000</v>
      </c>
      <c r="D4754" s="7" t="s">
        <v>35</v>
      </c>
      <c r="E4754" s="7">
        <v>5.0</v>
      </c>
      <c r="F4754" s="7">
        <v>2.0</v>
      </c>
      <c r="G4754" s="7" t="s">
        <v>83</v>
      </c>
      <c r="I4754" s="7" t="s">
        <v>27</v>
      </c>
    </row>
    <row r="4755">
      <c r="A4755" s="7" t="s">
        <v>143</v>
      </c>
      <c r="B4755" s="7" t="s">
        <v>761</v>
      </c>
      <c r="C4755" s="8">
        <f>IFERROR(__xludf.DUMMYFUNCTION("SPLIT(B4755,""RM"")"),480000.0)</f>
        <v>480000</v>
      </c>
      <c r="D4755" s="7" t="s">
        <v>19</v>
      </c>
      <c r="E4755" s="7">
        <v>2.0</v>
      </c>
      <c r="F4755" s="7">
        <v>1.0</v>
      </c>
      <c r="G4755" s="7" t="s">
        <v>83</v>
      </c>
      <c r="H4755" s="7" t="s">
        <v>937</v>
      </c>
      <c r="I4755" s="7" t="s">
        <v>22</v>
      </c>
    </row>
    <row r="4756">
      <c r="A4756" s="7" t="s">
        <v>180</v>
      </c>
      <c r="B4756" s="7" t="s">
        <v>619</v>
      </c>
      <c r="C4756" s="8">
        <f>IFERROR(__xludf.DUMMYFUNCTION("SPLIT(B4756,""RM"")"),640000.0)</f>
        <v>640000</v>
      </c>
      <c r="D4756" s="7" t="s">
        <v>57</v>
      </c>
      <c r="E4756" s="7">
        <v>3.0</v>
      </c>
      <c r="G4756" s="7" t="s">
        <v>30</v>
      </c>
      <c r="I4756" s="7" t="s">
        <v>22</v>
      </c>
    </row>
    <row r="4757">
      <c r="A4757" s="7" t="s">
        <v>33</v>
      </c>
      <c r="B4757" s="7" t="s">
        <v>399</v>
      </c>
      <c r="C4757" s="8">
        <f>IFERROR(__xludf.DUMMYFUNCTION("SPLIT(B4757,""RM"")"),1750000.0)</f>
        <v>1750000</v>
      </c>
      <c r="D4757" s="7">
        <v>5.0</v>
      </c>
      <c r="E4757" s="7">
        <v>4.0</v>
      </c>
      <c r="F4757" s="7">
        <v>2.0</v>
      </c>
      <c r="G4757" s="7" t="s">
        <v>203</v>
      </c>
      <c r="H4757" s="7" t="s">
        <v>1193</v>
      </c>
      <c r="I4757" s="7" t="s">
        <v>22</v>
      </c>
    </row>
    <row r="4758">
      <c r="A4758" s="7" t="s">
        <v>33</v>
      </c>
      <c r="B4758" s="7" t="s">
        <v>599</v>
      </c>
      <c r="C4758" s="8">
        <f>IFERROR(__xludf.DUMMYFUNCTION("SPLIT(B4758,""RM"")"),950000.0)</f>
        <v>950000</v>
      </c>
      <c r="D4758" s="7" t="s">
        <v>35</v>
      </c>
      <c r="E4758" s="7">
        <v>3.0</v>
      </c>
      <c r="F4758" s="7">
        <v>2.0</v>
      </c>
      <c r="G4758" s="7" t="s">
        <v>30</v>
      </c>
      <c r="H4758" s="7" t="s">
        <v>36</v>
      </c>
      <c r="I4758" s="7" t="s">
        <v>27</v>
      </c>
    </row>
    <row r="4759">
      <c r="A4759" s="7" t="s">
        <v>515</v>
      </c>
      <c r="B4759" s="7" t="s">
        <v>923</v>
      </c>
      <c r="C4759" s="8">
        <f>IFERROR(__xludf.DUMMYFUNCTION("SPLIT(B4759,""RM"")"),715000.0)</f>
        <v>715000</v>
      </c>
      <c r="D4759" s="7">
        <v>3.0</v>
      </c>
      <c r="E4759" s="7">
        <v>2.0</v>
      </c>
      <c r="F4759" s="7">
        <v>2.0</v>
      </c>
      <c r="G4759" s="7" t="s">
        <v>494</v>
      </c>
      <c r="H4759" s="7" t="s">
        <v>2880</v>
      </c>
      <c r="I4759" s="7" t="s">
        <v>27</v>
      </c>
    </row>
    <row r="4760">
      <c r="A4760" s="7" t="s">
        <v>33</v>
      </c>
      <c r="B4760" s="7" t="s">
        <v>1926</v>
      </c>
      <c r="C4760" s="8">
        <f>IFERROR(__xludf.DUMMYFUNCTION("SPLIT(B4760,""RM"")"),3050000.0)</f>
        <v>3050000</v>
      </c>
      <c r="D4760" s="7" t="s">
        <v>60</v>
      </c>
      <c r="E4760" s="7">
        <v>6.0</v>
      </c>
      <c r="G4760" s="7" t="s">
        <v>487</v>
      </c>
      <c r="H4760" s="7" t="s">
        <v>2881</v>
      </c>
      <c r="I4760" s="7" t="s">
        <v>103</v>
      </c>
    </row>
    <row r="4761">
      <c r="A4761" s="7" t="s">
        <v>33</v>
      </c>
      <c r="B4761" s="7" t="s">
        <v>281</v>
      </c>
      <c r="C4761" s="8">
        <f>IFERROR(__xludf.DUMMYFUNCTION("SPLIT(B4761,""RM"")"),2500000.0)</f>
        <v>2500000</v>
      </c>
      <c r="D4761" s="7" t="s">
        <v>60</v>
      </c>
      <c r="E4761" s="7">
        <v>7.0</v>
      </c>
      <c r="G4761" s="7" t="s">
        <v>2331</v>
      </c>
      <c r="H4761" s="7" t="s">
        <v>2882</v>
      </c>
      <c r="I4761" s="7" t="s">
        <v>103</v>
      </c>
    </row>
    <row r="4762">
      <c r="A4762" s="7" t="s">
        <v>33</v>
      </c>
      <c r="B4762" s="7" t="s">
        <v>85</v>
      </c>
      <c r="C4762" s="8">
        <f>IFERROR(__xludf.DUMMYFUNCTION("SPLIT(B4762,""RM"")"),1450000.0)</f>
        <v>1450000</v>
      </c>
      <c r="D4762" s="7">
        <v>6.0</v>
      </c>
      <c r="E4762" s="7">
        <v>5.0</v>
      </c>
      <c r="G4762" s="7" t="s">
        <v>90</v>
      </c>
      <c r="H4762" s="7" t="s">
        <v>2205</v>
      </c>
      <c r="I4762" s="7" t="s">
        <v>103</v>
      </c>
    </row>
    <row r="4763">
      <c r="A4763" s="7" t="s">
        <v>33</v>
      </c>
      <c r="B4763" s="7" t="s">
        <v>206</v>
      </c>
      <c r="C4763" s="8">
        <f>IFERROR(__xludf.DUMMYFUNCTION("SPLIT(B4763,""RM"")"),920000.0)</f>
        <v>920000</v>
      </c>
      <c r="D4763" s="7" t="s">
        <v>57</v>
      </c>
      <c r="E4763" s="7">
        <v>3.0</v>
      </c>
      <c r="F4763" s="7">
        <v>2.0</v>
      </c>
      <c r="G4763" s="7" t="s">
        <v>83</v>
      </c>
      <c r="H4763" s="7" t="s">
        <v>2883</v>
      </c>
      <c r="I4763" s="7" t="s">
        <v>22</v>
      </c>
    </row>
    <row r="4764">
      <c r="A4764" s="7" t="s">
        <v>33</v>
      </c>
      <c r="B4764" s="7" t="s">
        <v>78</v>
      </c>
      <c r="C4764" s="8">
        <f>IFERROR(__xludf.DUMMYFUNCTION("SPLIT(B4764,""RM"")"),1500000.0)</f>
        <v>1500000</v>
      </c>
      <c r="D4764" s="7" t="s">
        <v>57</v>
      </c>
      <c r="E4764" s="7">
        <v>4.0</v>
      </c>
      <c r="G4764" s="7" t="s">
        <v>30</v>
      </c>
      <c r="H4764" s="7" t="s">
        <v>726</v>
      </c>
      <c r="I4764" s="7" t="s">
        <v>27</v>
      </c>
    </row>
    <row r="4765">
      <c r="A4765" s="7" t="s">
        <v>33</v>
      </c>
      <c r="B4765" s="7" t="s">
        <v>144</v>
      </c>
      <c r="C4765" s="8">
        <f>IFERROR(__xludf.DUMMYFUNCTION("SPLIT(B4765,""RM"")"),1800000.0)</f>
        <v>1800000</v>
      </c>
      <c r="D4765" s="7">
        <v>5.0</v>
      </c>
      <c r="E4765" s="7">
        <v>4.0</v>
      </c>
      <c r="G4765" s="7" t="s">
        <v>203</v>
      </c>
      <c r="H4765" s="7" t="s">
        <v>2884</v>
      </c>
      <c r="I4765" s="7" t="s">
        <v>27</v>
      </c>
    </row>
    <row r="4766">
      <c r="A4766" s="7" t="s">
        <v>267</v>
      </c>
      <c r="B4766" s="7" t="s">
        <v>351</v>
      </c>
      <c r="C4766" s="8">
        <f>IFERROR(__xludf.DUMMYFUNCTION("SPLIT(B4766,""RM"")"),3800000.0)</f>
        <v>3800000</v>
      </c>
      <c r="D4766" s="7">
        <v>5.0</v>
      </c>
      <c r="E4766" s="7">
        <v>4.0</v>
      </c>
      <c r="G4766" s="7" t="s">
        <v>25</v>
      </c>
      <c r="H4766" s="7" t="s">
        <v>2885</v>
      </c>
      <c r="I4766" s="7" t="s">
        <v>27</v>
      </c>
    </row>
    <row r="4767">
      <c r="A4767" s="7" t="s">
        <v>33</v>
      </c>
      <c r="B4767" s="7" t="s">
        <v>309</v>
      </c>
      <c r="C4767" s="8">
        <f>IFERROR(__xludf.DUMMYFUNCTION("SPLIT(B4767,""RM"")"),2100000.0)</f>
        <v>2100000</v>
      </c>
      <c r="D4767" s="7">
        <v>5.0</v>
      </c>
      <c r="E4767" s="7">
        <v>4.0</v>
      </c>
      <c r="F4767" s="7">
        <v>2.0</v>
      </c>
      <c r="G4767" s="7" t="s">
        <v>282</v>
      </c>
      <c r="H4767" s="7" t="s">
        <v>2886</v>
      </c>
      <c r="I4767" s="7" t="s">
        <v>22</v>
      </c>
    </row>
    <row r="4768">
      <c r="A4768" s="7" t="s">
        <v>33</v>
      </c>
      <c r="B4768" s="7" t="s">
        <v>403</v>
      </c>
      <c r="C4768" s="8">
        <f>IFERROR(__xludf.DUMMYFUNCTION("SPLIT(B4768,""RM"")"),1600000.0)</f>
        <v>1600000</v>
      </c>
      <c r="D4768" s="7">
        <v>5.0</v>
      </c>
      <c r="E4768" s="7">
        <v>4.0</v>
      </c>
      <c r="G4768" s="7" t="s">
        <v>203</v>
      </c>
      <c r="H4768" s="7" t="s">
        <v>2887</v>
      </c>
      <c r="I4768" s="7" t="s">
        <v>22</v>
      </c>
    </row>
    <row r="4769">
      <c r="A4769" s="7" t="s">
        <v>33</v>
      </c>
      <c r="B4769" s="7" t="s">
        <v>227</v>
      </c>
      <c r="C4769" s="8">
        <f>IFERROR(__xludf.DUMMYFUNCTION("SPLIT(B4769,""RM"")"),2850000.0)</f>
        <v>2850000</v>
      </c>
      <c r="D4769" s="7">
        <v>5.0</v>
      </c>
      <c r="E4769" s="7">
        <v>4.0</v>
      </c>
      <c r="F4769" s="7">
        <v>2.0</v>
      </c>
      <c r="G4769" s="7" t="s">
        <v>273</v>
      </c>
      <c r="H4769" s="7" t="s">
        <v>2888</v>
      </c>
      <c r="I4769" s="7" t="s">
        <v>27</v>
      </c>
    </row>
    <row r="4770">
      <c r="A4770" s="7" t="s">
        <v>33</v>
      </c>
      <c r="B4770" s="7" t="s">
        <v>158</v>
      </c>
      <c r="C4770" s="8">
        <f>IFERROR(__xludf.DUMMYFUNCTION("SPLIT(B4770,""RM"")"),1850000.0)</f>
        <v>1850000</v>
      </c>
      <c r="D4770" s="7" t="s">
        <v>60</v>
      </c>
      <c r="E4770" s="7">
        <v>7.0</v>
      </c>
      <c r="G4770" s="7" t="s">
        <v>203</v>
      </c>
      <c r="H4770" s="7" t="s">
        <v>2889</v>
      </c>
      <c r="I4770" s="7" t="s">
        <v>103</v>
      </c>
    </row>
    <row r="4771">
      <c r="A4771" s="7" t="s">
        <v>33</v>
      </c>
      <c r="B4771" s="7" t="s">
        <v>759</v>
      </c>
      <c r="C4771" s="8">
        <f>IFERROR(__xludf.DUMMYFUNCTION("SPLIT(B4771,""RM"")"),520000.0)</f>
        <v>520000</v>
      </c>
      <c r="D4771" s="7" t="s">
        <v>19</v>
      </c>
      <c r="E4771" s="7">
        <v>2.0</v>
      </c>
      <c r="F4771" s="7">
        <v>1.0</v>
      </c>
      <c r="G4771" s="7" t="s">
        <v>50</v>
      </c>
      <c r="H4771" s="7" t="s">
        <v>2353</v>
      </c>
      <c r="I4771" s="7" t="s">
        <v>22</v>
      </c>
    </row>
    <row r="4772">
      <c r="A4772" s="7" t="s">
        <v>33</v>
      </c>
      <c r="B4772" s="7" t="s">
        <v>144</v>
      </c>
      <c r="C4772" s="8">
        <f>IFERROR(__xludf.DUMMYFUNCTION("SPLIT(B4772,""RM"")"),1800000.0)</f>
        <v>1800000</v>
      </c>
      <c r="D4772" s="7">
        <v>4.0</v>
      </c>
      <c r="E4772" s="7">
        <v>4.0</v>
      </c>
      <c r="G4772" s="7" t="s">
        <v>203</v>
      </c>
      <c r="H4772" s="7" t="s">
        <v>2417</v>
      </c>
      <c r="I4772" s="7" t="s">
        <v>22</v>
      </c>
    </row>
    <row r="4773">
      <c r="A4773" s="7" t="s">
        <v>100</v>
      </c>
      <c r="B4773" s="7" t="s">
        <v>1114</v>
      </c>
      <c r="C4773" s="8">
        <f>IFERROR(__xludf.DUMMYFUNCTION("SPLIT(B4773,""RM"")"),890000.0)</f>
        <v>890000</v>
      </c>
      <c r="D4773" s="7" t="s">
        <v>57</v>
      </c>
      <c r="E4773" s="7">
        <v>3.0</v>
      </c>
      <c r="G4773" s="7" t="s">
        <v>54</v>
      </c>
      <c r="H4773" s="7" t="s">
        <v>333</v>
      </c>
      <c r="I4773" s="7" t="s">
        <v>103</v>
      </c>
    </row>
    <row r="4774">
      <c r="A4774" s="7" t="s">
        <v>33</v>
      </c>
      <c r="B4774" s="7" t="s">
        <v>309</v>
      </c>
      <c r="C4774" s="8">
        <f>IFERROR(__xludf.DUMMYFUNCTION("SPLIT(B4774,""RM"")"),2100000.0)</f>
        <v>2100000</v>
      </c>
      <c r="D4774" s="7" t="s">
        <v>60</v>
      </c>
      <c r="E4774" s="7">
        <v>5.0</v>
      </c>
      <c r="G4774" s="7" t="s">
        <v>203</v>
      </c>
      <c r="H4774" s="7" t="s">
        <v>2890</v>
      </c>
      <c r="I4774" s="7" t="s">
        <v>22</v>
      </c>
    </row>
    <row r="4775">
      <c r="A4775" s="7" t="s">
        <v>33</v>
      </c>
      <c r="B4775" s="7" t="s">
        <v>138</v>
      </c>
      <c r="C4775" s="8">
        <f>IFERROR(__xludf.DUMMYFUNCTION("SPLIT(B4775,""RM"")"),930000.0)</f>
        <v>930000</v>
      </c>
      <c r="D4775" s="7" t="s">
        <v>57</v>
      </c>
      <c r="E4775" s="7">
        <v>3.0</v>
      </c>
      <c r="F4775" s="7">
        <v>2.0</v>
      </c>
      <c r="G4775" s="7" t="s">
        <v>93</v>
      </c>
      <c r="H4775" s="7" t="s">
        <v>2883</v>
      </c>
      <c r="I4775" s="7" t="s">
        <v>22</v>
      </c>
    </row>
    <row r="4776">
      <c r="A4776" s="7" t="s">
        <v>33</v>
      </c>
      <c r="B4776" s="7" t="s">
        <v>1696</v>
      </c>
      <c r="C4776" s="8">
        <f>IFERROR(__xludf.DUMMYFUNCTION("SPLIT(B4776,""RM"")"),785000.0)</f>
        <v>785000</v>
      </c>
      <c r="D4776" s="7">
        <v>3.0</v>
      </c>
      <c r="E4776" s="7">
        <v>2.0</v>
      </c>
      <c r="G4776" s="7" t="s">
        <v>30</v>
      </c>
      <c r="H4776" s="7" t="s">
        <v>1196</v>
      </c>
      <c r="I4776" s="7" t="s">
        <v>22</v>
      </c>
    </row>
    <row r="4777">
      <c r="A4777" s="7" t="s">
        <v>33</v>
      </c>
      <c r="B4777" s="7" t="s">
        <v>63</v>
      </c>
      <c r="C4777" s="8">
        <f>IFERROR(__xludf.DUMMYFUNCTION("SPLIT(B4777,""RM"")"),3100000.0)</f>
        <v>3100000</v>
      </c>
      <c r="D4777" s="7" t="s">
        <v>218</v>
      </c>
      <c r="E4777" s="7">
        <v>7.0</v>
      </c>
      <c r="G4777" s="7" t="s">
        <v>43</v>
      </c>
      <c r="H4777" s="7" t="s">
        <v>402</v>
      </c>
      <c r="I4777" s="7" t="s">
        <v>103</v>
      </c>
    </row>
    <row r="4778">
      <c r="A4778" s="7" t="s">
        <v>267</v>
      </c>
      <c r="B4778" s="7" t="s">
        <v>18</v>
      </c>
      <c r="C4778" s="8">
        <f>IFERROR(__xludf.DUMMYFUNCTION("SPLIT(B4778,""RM"")"),1250000.0)</f>
        <v>1250000</v>
      </c>
      <c r="D4778" s="7">
        <v>4.0</v>
      </c>
      <c r="E4778" s="7">
        <v>3.0</v>
      </c>
      <c r="G4778" s="7" t="s">
        <v>54</v>
      </c>
      <c r="H4778" s="7" t="s">
        <v>2891</v>
      </c>
      <c r="I4778" s="7" t="s">
        <v>27</v>
      </c>
    </row>
    <row r="4779">
      <c r="A4779" s="7" t="s">
        <v>33</v>
      </c>
      <c r="B4779" s="7" t="s">
        <v>239</v>
      </c>
      <c r="C4779" s="8">
        <f>IFERROR(__xludf.DUMMYFUNCTION("SPLIT(B4779,""RM"")"),1280000.0)</f>
        <v>1280000</v>
      </c>
      <c r="D4779" s="7" t="s">
        <v>57</v>
      </c>
      <c r="E4779" s="7">
        <v>4.0</v>
      </c>
      <c r="G4779" s="7" t="s">
        <v>30</v>
      </c>
      <c r="H4779" s="7" t="s">
        <v>2892</v>
      </c>
      <c r="I4779" s="7" t="s">
        <v>27</v>
      </c>
    </row>
    <row r="4780">
      <c r="A4780" s="7" t="s">
        <v>33</v>
      </c>
      <c r="B4780" s="7" t="s">
        <v>45</v>
      </c>
      <c r="C4780" s="8">
        <f>IFERROR(__xludf.DUMMYFUNCTION("SPLIT(B4780,""RM"")"),1950000.0)</f>
        <v>1950000</v>
      </c>
      <c r="D4780" s="7" t="s">
        <v>60</v>
      </c>
      <c r="E4780" s="7">
        <v>7.0</v>
      </c>
      <c r="F4780" s="7">
        <v>2.0</v>
      </c>
      <c r="G4780" s="7" t="s">
        <v>203</v>
      </c>
      <c r="H4780" s="7" t="s">
        <v>1193</v>
      </c>
      <c r="I4780" s="7" t="s">
        <v>27</v>
      </c>
    </row>
    <row r="4781">
      <c r="A4781" s="7" t="s">
        <v>515</v>
      </c>
      <c r="B4781" s="7" t="s">
        <v>56</v>
      </c>
      <c r="C4781" s="8">
        <f>IFERROR(__xludf.DUMMYFUNCTION("SPLIT(B4781,""RM"")"),1700000.0)</f>
        <v>1700000</v>
      </c>
      <c r="D4781" s="7">
        <v>4.0</v>
      </c>
      <c r="E4781" s="7">
        <v>5.0</v>
      </c>
      <c r="G4781" s="7" t="s">
        <v>64</v>
      </c>
      <c r="H4781" s="7" t="s">
        <v>478</v>
      </c>
      <c r="I4781" s="7" t="s">
        <v>27</v>
      </c>
    </row>
    <row r="4782">
      <c r="A4782" s="7" t="s">
        <v>33</v>
      </c>
      <c r="B4782" s="7" t="s">
        <v>599</v>
      </c>
      <c r="C4782" s="8">
        <f>IFERROR(__xludf.DUMMYFUNCTION("SPLIT(B4782,""RM"")"),950000.0)</f>
        <v>950000</v>
      </c>
      <c r="D4782" s="7">
        <v>3.0</v>
      </c>
      <c r="E4782" s="7">
        <v>3.0</v>
      </c>
      <c r="G4782" s="7" t="s">
        <v>30</v>
      </c>
      <c r="H4782" s="7" t="s">
        <v>2883</v>
      </c>
      <c r="I4782" s="7" t="s">
        <v>22</v>
      </c>
    </row>
    <row r="4783">
      <c r="A4783" s="7" t="s">
        <v>100</v>
      </c>
      <c r="B4783" s="7" t="s">
        <v>931</v>
      </c>
      <c r="C4783" s="8">
        <f>IFERROR(__xludf.DUMMYFUNCTION("SPLIT(B4783,""RM"")"),2450000.0)</f>
        <v>2450000</v>
      </c>
      <c r="D4783" s="7">
        <v>5.0</v>
      </c>
      <c r="E4783" s="7">
        <v>5.0</v>
      </c>
      <c r="G4783" s="7" t="s">
        <v>43</v>
      </c>
      <c r="H4783" s="7" t="s">
        <v>2893</v>
      </c>
      <c r="I4783" s="7" t="s">
        <v>27</v>
      </c>
    </row>
    <row r="4784">
      <c r="A4784" s="7" t="s">
        <v>33</v>
      </c>
      <c r="B4784" s="7" t="s">
        <v>268</v>
      </c>
      <c r="C4784" s="8">
        <f>IFERROR(__xludf.DUMMYFUNCTION("SPLIT(B4784,""RM"")"),500000.0)</f>
        <v>500000</v>
      </c>
      <c r="D4784" s="7" t="s">
        <v>57</v>
      </c>
      <c r="E4784" s="7">
        <v>2.0</v>
      </c>
      <c r="G4784" s="7" t="s">
        <v>30</v>
      </c>
      <c r="H4784" s="7" t="s">
        <v>1391</v>
      </c>
      <c r="I4784" s="7" t="s">
        <v>27</v>
      </c>
    </row>
    <row r="4785">
      <c r="A4785" s="7" t="s">
        <v>33</v>
      </c>
      <c r="B4785" s="7" t="s">
        <v>931</v>
      </c>
      <c r="C4785" s="8">
        <f>IFERROR(__xludf.DUMMYFUNCTION("SPLIT(B4785,""RM"")"),2450000.0)</f>
        <v>2450000</v>
      </c>
      <c r="D4785" s="7">
        <v>5.0</v>
      </c>
      <c r="E4785" s="7">
        <v>4.0</v>
      </c>
      <c r="F4785" s="7">
        <v>2.0</v>
      </c>
      <c r="G4785" s="7" t="s">
        <v>282</v>
      </c>
      <c r="H4785" s="7" t="s">
        <v>2889</v>
      </c>
      <c r="I4785" s="7" t="s">
        <v>27</v>
      </c>
    </row>
    <row r="4786">
      <c r="A4786" s="7" t="s">
        <v>100</v>
      </c>
      <c r="B4786" s="7" t="s">
        <v>45</v>
      </c>
      <c r="C4786" s="8">
        <f>IFERROR(__xludf.DUMMYFUNCTION("SPLIT(B4786,""RM"")"),1950000.0)</f>
        <v>1950000</v>
      </c>
      <c r="D4786" s="7">
        <v>4.0</v>
      </c>
      <c r="E4786" s="7">
        <v>3.0</v>
      </c>
      <c r="F4786" s="7">
        <v>2.0</v>
      </c>
      <c r="G4786" s="7" t="s">
        <v>64</v>
      </c>
      <c r="H4786" s="7" t="s">
        <v>2894</v>
      </c>
      <c r="I4786" s="7" t="s">
        <v>27</v>
      </c>
    </row>
    <row r="4787">
      <c r="A4787" s="7" t="s">
        <v>89</v>
      </c>
      <c r="B4787" s="7" t="s">
        <v>1079</v>
      </c>
      <c r="C4787" s="8">
        <f>IFERROR(__xludf.DUMMYFUNCTION("SPLIT(B4787,""RM"")"),2350000.0)</f>
        <v>2350000</v>
      </c>
      <c r="D4787" s="7">
        <v>5.0</v>
      </c>
      <c r="E4787" s="7">
        <v>5.0</v>
      </c>
      <c r="G4787" s="7" t="s">
        <v>64</v>
      </c>
      <c r="H4787" s="7" t="s">
        <v>2895</v>
      </c>
      <c r="I4787" s="7" t="s">
        <v>27</v>
      </c>
    </row>
    <row r="4788">
      <c r="A4788" s="7" t="s">
        <v>33</v>
      </c>
      <c r="B4788" s="7" t="s">
        <v>101</v>
      </c>
      <c r="C4788" s="8">
        <f>IFERROR(__xludf.DUMMYFUNCTION("SPLIT(B4788,""RM"")"),3300000.0)</f>
        <v>3300000</v>
      </c>
      <c r="D4788" s="7" t="s">
        <v>60</v>
      </c>
      <c r="E4788" s="7">
        <v>6.0</v>
      </c>
      <c r="G4788" s="7" t="s">
        <v>64</v>
      </c>
      <c r="H4788" s="7" t="s">
        <v>2673</v>
      </c>
      <c r="I4788" s="7" t="s">
        <v>103</v>
      </c>
    </row>
    <row r="4789">
      <c r="A4789" s="7" t="s">
        <v>180</v>
      </c>
      <c r="B4789" s="7" t="s">
        <v>1659</v>
      </c>
      <c r="C4789" s="8">
        <f>IFERROR(__xludf.DUMMYFUNCTION("SPLIT(B4789,""RM"")"),540000.0)</f>
        <v>540000</v>
      </c>
      <c r="D4789" s="7" t="s">
        <v>19</v>
      </c>
      <c r="E4789" s="7">
        <v>2.0</v>
      </c>
      <c r="G4789" s="7" t="s">
        <v>83</v>
      </c>
      <c r="I4789" s="7" t="s">
        <v>22</v>
      </c>
    </row>
    <row r="4790">
      <c r="A4790" s="7" t="s">
        <v>100</v>
      </c>
      <c r="B4790" s="7" t="s">
        <v>639</v>
      </c>
      <c r="C4790" s="8">
        <f>IFERROR(__xludf.DUMMYFUNCTION("SPLIT(B4790,""RM"")"),360000.0)</f>
        <v>360000</v>
      </c>
      <c r="D4790" s="7">
        <v>3.0</v>
      </c>
      <c r="E4790" s="7">
        <v>2.0</v>
      </c>
      <c r="F4790" s="7">
        <v>2.0</v>
      </c>
      <c r="G4790" s="7" t="s">
        <v>82</v>
      </c>
      <c r="H4790" s="7" t="s">
        <v>491</v>
      </c>
      <c r="I4790" s="7" t="s">
        <v>27</v>
      </c>
    </row>
    <row r="4791">
      <c r="A4791" s="7" t="s">
        <v>1960</v>
      </c>
      <c r="B4791" s="7" t="s">
        <v>361</v>
      </c>
      <c r="C4791" s="8">
        <f>IFERROR(__xludf.DUMMYFUNCTION("SPLIT(B4791,""RM"")"),530000.0)</f>
        <v>530000</v>
      </c>
      <c r="D4791" s="7">
        <v>3.0</v>
      </c>
      <c r="E4791" s="7">
        <v>2.0</v>
      </c>
      <c r="G4791" s="7" t="s">
        <v>1185</v>
      </c>
      <c r="H4791" s="7" t="s">
        <v>750</v>
      </c>
    </row>
    <row r="4792">
      <c r="A4792" s="7" t="s">
        <v>100</v>
      </c>
      <c r="B4792" s="7" t="s">
        <v>639</v>
      </c>
      <c r="C4792" s="8">
        <f>IFERROR(__xludf.DUMMYFUNCTION("SPLIT(B4792,""RM"")"),360000.0)</f>
        <v>360000</v>
      </c>
      <c r="D4792" s="7">
        <v>3.0</v>
      </c>
      <c r="E4792" s="7">
        <v>2.0</v>
      </c>
      <c r="F4792" s="7">
        <v>2.0</v>
      </c>
      <c r="G4792" s="7" t="s">
        <v>20</v>
      </c>
      <c r="H4792" s="7" t="s">
        <v>491</v>
      </c>
      <c r="I4792" s="7" t="s">
        <v>27</v>
      </c>
    </row>
    <row r="4793">
      <c r="A4793" s="7" t="s">
        <v>100</v>
      </c>
      <c r="B4793" s="7" t="s">
        <v>543</v>
      </c>
      <c r="C4793" s="8">
        <f>IFERROR(__xludf.DUMMYFUNCTION("SPLIT(B4793,""RM"")"),425000.0)</f>
        <v>425000</v>
      </c>
      <c r="D4793" s="7">
        <v>3.0</v>
      </c>
      <c r="E4793" s="7">
        <v>2.0</v>
      </c>
      <c r="F4793" s="7">
        <v>2.0</v>
      </c>
      <c r="G4793" s="7" t="s">
        <v>121</v>
      </c>
      <c r="H4793" s="7" t="s">
        <v>491</v>
      </c>
      <c r="I4793" s="7" t="s">
        <v>27</v>
      </c>
    </row>
    <row r="4794">
      <c r="A4794" s="7" t="s">
        <v>100</v>
      </c>
      <c r="B4794" s="7" t="s">
        <v>2016</v>
      </c>
      <c r="C4794" s="8">
        <f>IFERROR(__xludf.DUMMYFUNCTION("SPLIT(B4794,""RM"")"),435000.0)</f>
        <v>435000</v>
      </c>
      <c r="D4794" s="7">
        <v>3.0</v>
      </c>
      <c r="E4794" s="7">
        <v>2.0</v>
      </c>
      <c r="F4794" s="7">
        <v>1.0</v>
      </c>
      <c r="G4794" s="7" t="s">
        <v>82</v>
      </c>
      <c r="H4794" s="7" t="s">
        <v>491</v>
      </c>
      <c r="I4794" s="7" t="s">
        <v>27</v>
      </c>
    </row>
    <row r="4795">
      <c r="A4795" s="7" t="s">
        <v>100</v>
      </c>
      <c r="B4795" s="7" t="s">
        <v>1111</v>
      </c>
      <c r="C4795" s="8">
        <f>IFERROR(__xludf.DUMMYFUNCTION("SPLIT(B4795,""RM"")"),390000.0)</f>
        <v>390000</v>
      </c>
      <c r="D4795" s="7">
        <v>3.0</v>
      </c>
      <c r="E4795" s="7">
        <v>2.0</v>
      </c>
      <c r="G4795" s="7" t="s">
        <v>121</v>
      </c>
      <c r="H4795" s="7" t="s">
        <v>491</v>
      </c>
      <c r="I4795" s="7" t="s">
        <v>27</v>
      </c>
    </row>
    <row r="4796">
      <c r="A4796" s="7" t="s">
        <v>1960</v>
      </c>
      <c r="B4796" s="7" t="s">
        <v>1075</v>
      </c>
      <c r="C4796" s="8">
        <f>IFERROR(__xludf.DUMMYFUNCTION("SPLIT(B4796,""RM"")"),790000.0)</f>
        <v>790000</v>
      </c>
      <c r="D4796" s="7">
        <v>4.0</v>
      </c>
      <c r="E4796" s="7">
        <v>3.0</v>
      </c>
      <c r="G4796" s="7" t="s">
        <v>169</v>
      </c>
      <c r="H4796" s="7" t="s">
        <v>2896</v>
      </c>
    </row>
    <row r="4797">
      <c r="A4797" s="7" t="s">
        <v>1476</v>
      </c>
      <c r="B4797" s="7" t="s">
        <v>1559</v>
      </c>
      <c r="C4797" s="8">
        <f>IFERROR(__xludf.DUMMYFUNCTION("SPLIT(B4797,""RM"")"),300000.0)</f>
        <v>300000</v>
      </c>
      <c r="G4797" s="7" t="s">
        <v>83</v>
      </c>
      <c r="H4797" s="7" t="s">
        <v>2897</v>
      </c>
    </row>
    <row r="4798">
      <c r="A4798" s="7" t="s">
        <v>32</v>
      </c>
      <c r="B4798" s="7" t="s">
        <v>1659</v>
      </c>
      <c r="C4798" s="8">
        <f>IFERROR(__xludf.DUMMYFUNCTION("SPLIT(B4798,""RM"")"),540000.0)</f>
        <v>540000</v>
      </c>
      <c r="D4798" s="7">
        <v>4.0</v>
      </c>
      <c r="E4798" s="7">
        <v>3.0</v>
      </c>
      <c r="G4798" s="7" t="s">
        <v>169</v>
      </c>
      <c r="H4798" s="7" t="s">
        <v>2898</v>
      </c>
    </row>
    <row r="4799">
      <c r="A4799" s="7" t="s">
        <v>428</v>
      </c>
      <c r="B4799" s="7" t="s">
        <v>201</v>
      </c>
      <c r="C4799" s="8">
        <f>IFERROR(__xludf.DUMMYFUNCTION("SPLIT(B4799,""RM"")"),620000.0)</f>
        <v>620000</v>
      </c>
      <c r="D4799" s="7">
        <v>4.0</v>
      </c>
      <c r="E4799" s="7">
        <v>3.0</v>
      </c>
      <c r="G4799" s="7" t="s">
        <v>169</v>
      </c>
      <c r="H4799" s="7" t="s">
        <v>1444</v>
      </c>
    </row>
    <row r="4800">
      <c r="A4800" s="7" t="s">
        <v>65</v>
      </c>
      <c r="B4800" s="7" t="s">
        <v>281</v>
      </c>
      <c r="C4800" s="8">
        <f>IFERROR(__xludf.DUMMYFUNCTION("SPLIT(B4800,""RM"")"),2500000.0)</f>
        <v>2500000</v>
      </c>
      <c r="D4800" s="7">
        <v>3.0</v>
      </c>
      <c r="E4800" s="7">
        <v>3.0</v>
      </c>
      <c r="F4800" s="7">
        <v>2.0</v>
      </c>
      <c r="G4800" s="7" t="s">
        <v>83</v>
      </c>
      <c r="H4800" s="7" t="s">
        <v>1999</v>
      </c>
      <c r="I4800" s="7" t="s">
        <v>27</v>
      </c>
    </row>
    <row r="4801">
      <c r="A4801" s="7" t="s">
        <v>177</v>
      </c>
      <c r="B4801" s="7" t="s">
        <v>1114</v>
      </c>
      <c r="C4801" s="8">
        <f>IFERROR(__xludf.DUMMYFUNCTION("SPLIT(B4801,""RM"")"),890000.0)</f>
        <v>890000</v>
      </c>
      <c r="D4801" s="7">
        <v>2.0</v>
      </c>
      <c r="E4801" s="7">
        <v>1.0</v>
      </c>
      <c r="F4801" s="7">
        <v>1.0</v>
      </c>
      <c r="G4801" s="7" t="s">
        <v>30</v>
      </c>
      <c r="H4801" s="7" t="s">
        <v>734</v>
      </c>
      <c r="I4801" s="7" t="s">
        <v>22</v>
      </c>
    </row>
    <row r="4802">
      <c r="A4802" s="7" t="s">
        <v>33</v>
      </c>
      <c r="B4802" s="7" t="s">
        <v>105</v>
      </c>
      <c r="C4802" s="8">
        <f>IFERROR(__xludf.DUMMYFUNCTION("SPLIT(B4802,""RM"")"),560000.0)</f>
        <v>560000</v>
      </c>
      <c r="D4802" s="7" t="s">
        <v>57</v>
      </c>
      <c r="E4802" s="7">
        <v>2.0</v>
      </c>
      <c r="F4802" s="7">
        <v>2.0</v>
      </c>
      <c r="G4802" s="7" t="s">
        <v>83</v>
      </c>
      <c r="H4802" s="7" t="s">
        <v>1004</v>
      </c>
    </row>
    <row r="4803">
      <c r="A4803" s="7" t="s">
        <v>177</v>
      </c>
      <c r="B4803" s="7" t="s">
        <v>811</v>
      </c>
      <c r="C4803" s="8">
        <f>IFERROR(__xludf.DUMMYFUNCTION("SPLIT(B4803,""RM"")"),3560000.0)</f>
        <v>3560000</v>
      </c>
      <c r="D4803" s="7" t="s">
        <v>57</v>
      </c>
      <c r="E4803" s="7">
        <v>4.0</v>
      </c>
      <c r="G4803" s="7" t="s">
        <v>184</v>
      </c>
      <c r="H4803" s="7" t="s">
        <v>2899</v>
      </c>
      <c r="I4803" s="7" t="s">
        <v>22</v>
      </c>
    </row>
    <row r="4804">
      <c r="A4804" s="7" t="s">
        <v>177</v>
      </c>
      <c r="B4804" s="7" t="s">
        <v>2900</v>
      </c>
      <c r="C4804" s="8">
        <f>IFERROR(__xludf.DUMMYFUNCTION("SPLIT(B4804,""RM"")"),805000.0)</f>
        <v>805000</v>
      </c>
      <c r="D4804" s="7" t="s">
        <v>197</v>
      </c>
      <c r="E4804" s="7">
        <v>1.0</v>
      </c>
      <c r="F4804" s="7">
        <v>1.0</v>
      </c>
      <c r="G4804" s="7" t="s">
        <v>20</v>
      </c>
      <c r="H4804" s="7" t="s">
        <v>2901</v>
      </c>
      <c r="I4804" s="7" t="s">
        <v>22</v>
      </c>
    </row>
    <row r="4805">
      <c r="A4805" s="7" t="s">
        <v>709</v>
      </c>
      <c r="B4805" s="7" t="s">
        <v>2587</v>
      </c>
      <c r="C4805" s="8">
        <f>IFERROR(__xludf.DUMMYFUNCTION("SPLIT(B4805,""RM"")"),735000.0)</f>
        <v>735000</v>
      </c>
      <c r="D4805" s="7">
        <v>3.0</v>
      </c>
      <c r="E4805" s="7">
        <v>2.0</v>
      </c>
      <c r="G4805" s="7" t="s">
        <v>93</v>
      </c>
      <c r="H4805" s="7" t="s">
        <v>1557</v>
      </c>
      <c r="I4805" s="7" t="s">
        <v>27</v>
      </c>
    </row>
    <row r="4806">
      <c r="A4806" s="7" t="s">
        <v>177</v>
      </c>
      <c r="B4806" s="7" t="s">
        <v>314</v>
      </c>
      <c r="C4806" s="8">
        <f>IFERROR(__xludf.DUMMYFUNCTION("SPLIT(B4806,""RM"")"),670000.0)</f>
        <v>670000</v>
      </c>
      <c r="D4806" s="7" t="s">
        <v>197</v>
      </c>
      <c r="E4806" s="7">
        <v>1.0</v>
      </c>
      <c r="G4806" s="7" t="s">
        <v>83</v>
      </c>
      <c r="H4806" s="7" t="s">
        <v>2902</v>
      </c>
      <c r="I4806" s="7" t="s">
        <v>22</v>
      </c>
    </row>
    <row r="4807">
      <c r="A4807" s="7" t="s">
        <v>32</v>
      </c>
      <c r="B4807" s="7" t="s">
        <v>639</v>
      </c>
      <c r="C4807" s="8">
        <f>IFERROR(__xludf.DUMMYFUNCTION("SPLIT(B4807,""RM"")"),360000.0)</f>
        <v>360000</v>
      </c>
      <c r="D4807" s="7">
        <v>3.0</v>
      </c>
      <c r="E4807" s="7">
        <v>3.0</v>
      </c>
      <c r="F4807" s="7">
        <v>2.0</v>
      </c>
      <c r="G4807" s="7" t="s">
        <v>30</v>
      </c>
    </row>
    <row r="4808">
      <c r="A4808" s="7" t="s">
        <v>177</v>
      </c>
      <c r="B4808" s="7" t="s">
        <v>2903</v>
      </c>
      <c r="C4808" s="8">
        <f>IFERROR(__xludf.DUMMYFUNCTION("SPLIT(B4808,""RM"")"),1.15E7)</f>
        <v>11500000</v>
      </c>
      <c r="D4808" s="7" t="s">
        <v>591</v>
      </c>
      <c r="E4808" s="7">
        <v>5.0</v>
      </c>
      <c r="G4808" s="7" t="s">
        <v>1755</v>
      </c>
      <c r="H4808" s="7" t="s">
        <v>2904</v>
      </c>
      <c r="I4808" s="7" t="s">
        <v>103</v>
      </c>
    </row>
    <row r="4809">
      <c r="A4809" s="7" t="s">
        <v>171</v>
      </c>
      <c r="B4809" s="7" t="s">
        <v>92</v>
      </c>
      <c r="C4809" s="8">
        <f>IFERROR(__xludf.DUMMYFUNCTION("SPLIT(B4809,""RM"")"),610000.0)</f>
        <v>610000</v>
      </c>
      <c r="D4809" s="7" t="s">
        <v>35</v>
      </c>
      <c r="E4809" s="7">
        <v>2.0</v>
      </c>
      <c r="F4809" s="7">
        <v>2.0</v>
      </c>
      <c r="G4809" s="7" t="s">
        <v>83</v>
      </c>
      <c r="H4809" s="7" t="s">
        <v>173</v>
      </c>
      <c r="I4809" s="7" t="s">
        <v>27</v>
      </c>
    </row>
    <row r="4810">
      <c r="A4810" s="7" t="s">
        <v>177</v>
      </c>
      <c r="B4810" s="7" t="s">
        <v>2451</v>
      </c>
      <c r="C4810" s="8">
        <f>IFERROR(__xludf.DUMMYFUNCTION("SPLIT(B4810,""RM"")"),5850000.0)</f>
        <v>5850000</v>
      </c>
      <c r="D4810" s="7" t="s">
        <v>218</v>
      </c>
      <c r="E4810" s="7">
        <v>6.0</v>
      </c>
      <c r="G4810" s="7" t="s">
        <v>25</v>
      </c>
      <c r="H4810" s="7" t="s">
        <v>2905</v>
      </c>
      <c r="I4810" s="7" t="s">
        <v>27</v>
      </c>
    </row>
    <row r="4811">
      <c r="A4811" s="7" t="s">
        <v>33</v>
      </c>
      <c r="B4811" s="7" t="s">
        <v>635</v>
      </c>
      <c r="C4811" s="8">
        <f>IFERROR(__xludf.DUMMYFUNCTION("SPLIT(B4811,""RM"")"),720000.0)</f>
        <v>720000</v>
      </c>
      <c r="D4811" s="7">
        <v>3.0</v>
      </c>
      <c r="E4811" s="7">
        <v>2.0</v>
      </c>
      <c r="F4811" s="7">
        <v>2.0</v>
      </c>
      <c r="G4811" s="7" t="s">
        <v>20</v>
      </c>
      <c r="H4811" s="7" t="s">
        <v>2906</v>
      </c>
      <c r="I4811" s="7" t="s">
        <v>103</v>
      </c>
    </row>
    <row r="4812">
      <c r="A4812" s="7" t="s">
        <v>143</v>
      </c>
      <c r="B4812" s="7" t="s">
        <v>1559</v>
      </c>
      <c r="C4812" s="8">
        <f>IFERROR(__xludf.DUMMYFUNCTION("SPLIT(B4812,""RM"")"),300000.0)</f>
        <v>300000</v>
      </c>
      <c r="D4812" s="7">
        <v>3.0</v>
      </c>
      <c r="E4812" s="7">
        <v>2.0</v>
      </c>
      <c r="F4812" s="7">
        <v>2.0</v>
      </c>
      <c r="G4812" s="7" t="s">
        <v>83</v>
      </c>
      <c r="H4812" s="7" t="s">
        <v>505</v>
      </c>
      <c r="I4812" s="7" t="s">
        <v>27</v>
      </c>
    </row>
    <row r="4813">
      <c r="A4813" s="7" t="s">
        <v>48</v>
      </c>
      <c r="B4813" s="7" t="s">
        <v>2907</v>
      </c>
      <c r="C4813" s="8">
        <f>IFERROR(__xludf.DUMMYFUNCTION("SPLIT(B4813,""RM"")"),432000.0)</f>
        <v>432000</v>
      </c>
      <c r="D4813" s="7">
        <v>3.0</v>
      </c>
      <c r="E4813" s="7">
        <v>2.0</v>
      </c>
      <c r="F4813" s="7">
        <v>1.0</v>
      </c>
      <c r="G4813" s="7" t="s">
        <v>93</v>
      </c>
      <c r="H4813" s="7" t="s">
        <v>324</v>
      </c>
      <c r="I4813" s="7" t="s">
        <v>22</v>
      </c>
    </row>
    <row r="4814">
      <c r="A4814" s="7" t="s">
        <v>709</v>
      </c>
      <c r="B4814" s="7" t="s">
        <v>563</v>
      </c>
      <c r="C4814" s="8">
        <f>IFERROR(__xludf.DUMMYFUNCTION("SPLIT(B4814,""RM"")"),600000.0)</f>
        <v>600000</v>
      </c>
      <c r="D4814" s="7">
        <v>1.0</v>
      </c>
      <c r="E4814" s="7">
        <v>2.0</v>
      </c>
      <c r="F4814" s="7">
        <v>1.0</v>
      </c>
      <c r="G4814" s="7" t="s">
        <v>20</v>
      </c>
      <c r="H4814" s="7" t="s">
        <v>879</v>
      </c>
      <c r="I4814" s="7" t="s">
        <v>22</v>
      </c>
    </row>
    <row r="4815">
      <c r="A4815" s="7" t="s">
        <v>89</v>
      </c>
      <c r="B4815" s="7" t="s">
        <v>353</v>
      </c>
      <c r="C4815" s="8">
        <f>IFERROR(__xludf.DUMMYFUNCTION("SPLIT(B4815,""RM"")"),350000.0)</f>
        <v>350000</v>
      </c>
      <c r="D4815" s="7">
        <v>3.0</v>
      </c>
      <c r="E4815" s="7">
        <v>2.0</v>
      </c>
      <c r="F4815" s="7">
        <v>2.0</v>
      </c>
      <c r="G4815" s="7" t="s">
        <v>20</v>
      </c>
      <c r="H4815" s="7" t="s">
        <v>392</v>
      </c>
    </row>
    <row r="4816">
      <c r="A4816" s="7" t="s">
        <v>709</v>
      </c>
      <c r="B4816" s="7" t="s">
        <v>936</v>
      </c>
      <c r="C4816" s="8">
        <f>IFERROR(__xludf.DUMMYFUNCTION("SPLIT(B4816,""RM"")"),940000.0)</f>
        <v>940000</v>
      </c>
      <c r="D4816" s="7" t="s">
        <v>57</v>
      </c>
      <c r="E4816" s="7">
        <v>2.0</v>
      </c>
      <c r="G4816" s="7" t="s">
        <v>93</v>
      </c>
      <c r="H4816" s="7" t="s">
        <v>2603</v>
      </c>
      <c r="I4816" s="7" t="s">
        <v>103</v>
      </c>
    </row>
    <row r="4817">
      <c r="A4817" s="7" t="s">
        <v>515</v>
      </c>
      <c r="B4817" s="7" t="s">
        <v>399</v>
      </c>
      <c r="C4817" s="8">
        <f>IFERROR(__xludf.DUMMYFUNCTION("SPLIT(B4817,""RM"")"),1750000.0)</f>
        <v>1750000</v>
      </c>
      <c r="D4817" s="7" t="s">
        <v>299</v>
      </c>
      <c r="E4817" s="7">
        <v>7.0</v>
      </c>
      <c r="F4817" s="7">
        <v>5.0</v>
      </c>
      <c r="G4817" s="7" t="s">
        <v>184</v>
      </c>
      <c r="H4817" s="7" t="s">
        <v>498</v>
      </c>
      <c r="I4817" s="7" t="s">
        <v>22</v>
      </c>
    </row>
    <row r="4818">
      <c r="A4818" s="7" t="s">
        <v>267</v>
      </c>
      <c r="B4818" s="7" t="s">
        <v>353</v>
      </c>
      <c r="C4818" s="8">
        <f>IFERROR(__xludf.DUMMYFUNCTION("SPLIT(B4818,""RM"")"),350000.0)</f>
        <v>350000</v>
      </c>
      <c r="D4818" s="7">
        <v>3.0</v>
      </c>
      <c r="E4818" s="7">
        <v>2.0</v>
      </c>
      <c r="F4818" s="7">
        <v>1.0</v>
      </c>
      <c r="G4818" s="7" t="s">
        <v>354</v>
      </c>
      <c r="H4818" s="7" t="s">
        <v>1478</v>
      </c>
      <c r="I4818" s="7" t="s">
        <v>22</v>
      </c>
    </row>
    <row r="4819">
      <c r="A4819" s="7" t="s">
        <v>89</v>
      </c>
      <c r="B4819" s="7" t="s">
        <v>2908</v>
      </c>
      <c r="C4819" s="8">
        <f>IFERROR(__xludf.DUMMYFUNCTION("SPLIT(B4819,""RM"")"),2000.0)</f>
        <v>2000</v>
      </c>
      <c r="D4819" s="7">
        <v>3.0</v>
      </c>
      <c r="E4819" s="7">
        <v>2.0</v>
      </c>
      <c r="F4819" s="7">
        <v>2.0</v>
      </c>
      <c r="G4819" s="7" t="s">
        <v>83</v>
      </c>
      <c r="H4819" s="7" t="s">
        <v>1391</v>
      </c>
      <c r="I4819" s="7" t="s">
        <v>27</v>
      </c>
    </row>
    <row r="4820">
      <c r="A4820" s="7" t="s">
        <v>100</v>
      </c>
      <c r="B4820" s="7" t="s">
        <v>1328</v>
      </c>
      <c r="C4820" s="8">
        <f>IFERROR(__xludf.DUMMYFUNCTION("SPLIT(B4820,""RM"")"),650000.0)</f>
        <v>650000</v>
      </c>
      <c r="D4820" s="7">
        <v>3.0</v>
      </c>
      <c r="E4820" s="7">
        <v>2.0</v>
      </c>
      <c r="G4820" s="7" t="s">
        <v>20</v>
      </c>
    </row>
    <row r="4821">
      <c r="A4821" s="7" t="s">
        <v>32</v>
      </c>
      <c r="B4821" s="7" t="s">
        <v>715</v>
      </c>
      <c r="C4821" s="8">
        <f>IFERROR(__xludf.DUMMYFUNCTION("SPLIT(B4821,""RM"")"),550000.0)</f>
        <v>550000</v>
      </c>
      <c r="D4821" s="7">
        <v>3.0</v>
      </c>
      <c r="E4821" s="7">
        <v>2.0</v>
      </c>
      <c r="F4821" s="7">
        <v>1.0</v>
      </c>
      <c r="G4821" s="7" t="s">
        <v>121</v>
      </c>
      <c r="H4821" s="7" t="s">
        <v>1918</v>
      </c>
      <c r="I4821" s="7" t="s">
        <v>22</v>
      </c>
    </row>
    <row r="4822">
      <c r="A4822" s="7" t="s">
        <v>100</v>
      </c>
      <c r="B4822" s="7" t="s">
        <v>268</v>
      </c>
      <c r="C4822" s="8">
        <f>IFERROR(__xludf.DUMMYFUNCTION("SPLIT(B4822,""RM"")"),500000.0)</f>
        <v>500000</v>
      </c>
      <c r="D4822" s="7">
        <v>3.0</v>
      </c>
      <c r="E4822" s="7">
        <v>3.0</v>
      </c>
      <c r="F4822" s="7">
        <v>3.0</v>
      </c>
      <c r="G4822" s="7" t="s">
        <v>83</v>
      </c>
      <c r="H4822" s="7" t="s">
        <v>1688</v>
      </c>
    </row>
    <row r="4823">
      <c r="A4823" s="7" t="s">
        <v>177</v>
      </c>
      <c r="B4823" s="7" t="s">
        <v>81</v>
      </c>
      <c r="C4823" s="8">
        <f>IFERROR(__xludf.DUMMYFUNCTION("SPLIT(B4823,""RM"")"),1550000.0)</f>
        <v>1550000</v>
      </c>
      <c r="D4823" s="7" t="s">
        <v>57</v>
      </c>
      <c r="E4823" s="7">
        <v>4.0</v>
      </c>
      <c r="G4823" s="7" t="s">
        <v>83</v>
      </c>
      <c r="H4823" s="7" t="s">
        <v>2909</v>
      </c>
      <c r="I4823" s="7" t="s">
        <v>22</v>
      </c>
    </row>
    <row r="4824">
      <c r="A4824" s="7" t="s">
        <v>177</v>
      </c>
      <c r="B4824" s="7" t="s">
        <v>85</v>
      </c>
      <c r="C4824" s="8">
        <f>IFERROR(__xludf.DUMMYFUNCTION("SPLIT(B4824,""RM"")"),1450000.0)</f>
        <v>1450000</v>
      </c>
      <c r="D4824" s="7">
        <v>2.0</v>
      </c>
      <c r="E4824" s="7">
        <v>2.0</v>
      </c>
      <c r="F4824" s="7">
        <v>1.0</v>
      </c>
      <c r="G4824" s="7" t="s">
        <v>30</v>
      </c>
      <c r="H4824" s="7" t="s">
        <v>2910</v>
      </c>
      <c r="I4824" s="7" t="s">
        <v>22</v>
      </c>
    </row>
    <row r="4825">
      <c r="A4825" s="7" t="s">
        <v>177</v>
      </c>
      <c r="B4825" s="7" t="s">
        <v>78</v>
      </c>
      <c r="C4825" s="8">
        <f>IFERROR(__xludf.DUMMYFUNCTION("SPLIT(B4825,""RM"")"),1500000.0)</f>
        <v>1500000</v>
      </c>
      <c r="D4825" s="7">
        <v>3.0</v>
      </c>
      <c r="E4825" s="7">
        <v>2.0</v>
      </c>
      <c r="G4825" s="7" t="s">
        <v>93</v>
      </c>
      <c r="H4825" s="7" t="s">
        <v>2911</v>
      </c>
      <c r="I4825" s="7" t="s">
        <v>22</v>
      </c>
    </row>
    <row r="4826">
      <c r="A4826" s="7" t="s">
        <v>177</v>
      </c>
      <c r="B4826" s="7" t="s">
        <v>165</v>
      </c>
      <c r="C4826" s="8">
        <f>IFERROR(__xludf.DUMMYFUNCTION("SPLIT(B4826,""RM"")"),3500000.0)</f>
        <v>3500000</v>
      </c>
      <c r="D4826" s="7">
        <v>4.0</v>
      </c>
      <c r="E4826" s="7">
        <v>4.0</v>
      </c>
      <c r="F4826" s="7">
        <v>2.0</v>
      </c>
      <c r="G4826" s="7" t="s">
        <v>184</v>
      </c>
      <c r="H4826" s="7" t="s">
        <v>2912</v>
      </c>
    </row>
    <row r="4827">
      <c r="A4827" s="7" t="s">
        <v>177</v>
      </c>
      <c r="B4827" s="7" t="s">
        <v>156</v>
      </c>
      <c r="C4827" s="8">
        <f>IFERROR(__xludf.DUMMYFUNCTION("SPLIT(B4827,""RM"")"),850000.0)</f>
        <v>850000</v>
      </c>
      <c r="D4827" s="7">
        <v>2.0</v>
      </c>
      <c r="E4827" s="7">
        <v>1.0</v>
      </c>
      <c r="F4827" s="7">
        <v>1.0</v>
      </c>
      <c r="G4827" s="7" t="s">
        <v>20</v>
      </c>
      <c r="H4827" s="7" t="s">
        <v>747</v>
      </c>
      <c r="I4827" s="7" t="s">
        <v>22</v>
      </c>
    </row>
    <row r="4828">
      <c r="A4828" s="7" t="s">
        <v>267</v>
      </c>
      <c r="B4828" s="7" t="s">
        <v>130</v>
      </c>
      <c r="C4828" s="8">
        <f>IFERROR(__xludf.DUMMYFUNCTION("SPLIT(B4828,""RM"")"),2700000.0)</f>
        <v>2700000</v>
      </c>
      <c r="D4828" s="7" t="s">
        <v>35</v>
      </c>
      <c r="E4828" s="7">
        <v>6.0</v>
      </c>
      <c r="G4828" s="7" t="s">
        <v>30</v>
      </c>
      <c r="H4828" s="7" t="s">
        <v>989</v>
      </c>
      <c r="I4828" s="7" t="s">
        <v>103</v>
      </c>
    </row>
    <row r="4829">
      <c r="A4829" s="7" t="s">
        <v>143</v>
      </c>
      <c r="B4829" s="7" t="s">
        <v>2913</v>
      </c>
      <c r="C4829" s="8">
        <f>IFERROR(__xludf.DUMMYFUNCTION("SPLIT(B4829,""RM"")"),7875000.0)</f>
        <v>7875000</v>
      </c>
      <c r="G4829" s="7" t="s">
        <v>667</v>
      </c>
      <c r="H4829" s="7" t="s">
        <v>780</v>
      </c>
    </row>
    <row r="4830">
      <c r="A4830" s="7" t="s">
        <v>709</v>
      </c>
      <c r="B4830" s="7" t="s">
        <v>2914</v>
      </c>
      <c r="C4830" s="8">
        <f>IFERROR(__xludf.DUMMYFUNCTION("SPLIT(B4830,""RM"")"),1.3E8)</f>
        <v>130000000</v>
      </c>
      <c r="G4830" s="7" t="s">
        <v>667</v>
      </c>
      <c r="H4830" s="7" t="s">
        <v>2915</v>
      </c>
    </row>
    <row r="4831">
      <c r="A4831" s="7" t="s">
        <v>1158</v>
      </c>
      <c r="B4831" s="7" t="s">
        <v>2916</v>
      </c>
      <c r="C4831" s="8">
        <f>IFERROR(__xludf.DUMMYFUNCTION("SPLIT(B4831,""RM"")"),6.2262E7)</f>
        <v>62262000</v>
      </c>
      <c r="G4831" s="7" t="s">
        <v>667</v>
      </c>
      <c r="H4831" s="7" t="s">
        <v>2917</v>
      </c>
    </row>
    <row r="4832">
      <c r="A4832" s="7" t="s">
        <v>65</v>
      </c>
      <c r="B4832" s="7" t="s">
        <v>2918</v>
      </c>
      <c r="C4832" s="8">
        <f>IFERROR(__xludf.DUMMYFUNCTION("SPLIT(B4832,""RM"")"),7534038.0)</f>
        <v>7534038</v>
      </c>
      <c r="G4832" s="7" t="s">
        <v>1642</v>
      </c>
      <c r="H4832" s="7" t="s">
        <v>2919</v>
      </c>
    </row>
    <row r="4833">
      <c r="A4833" s="7" t="s">
        <v>1014</v>
      </c>
      <c r="B4833" s="7" t="s">
        <v>42</v>
      </c>
      <c r="C4833" s="8">
        <f>IFERROR(__xludf.DUMMYFUNCTION("SPLIT(B4833,""RM"")"),2600000.0)</f>
        <v>2600000</v>
      </c>
      <c r="G4833" s="7" t="s">
        <v>1804</v>
      </c>
      <c r="H4833" s="7" t="s">
        <v>2920</v>
      </c>
    </row>
    <row r="4834">
      <c r="A4834" s="7" t="s">
        <v>17</v>
      </c>
      <c r="B4834" s="7" t="s">
        <v>2921</v>
      </c>
      <c r="C4834" s="8">
        <f>IFERROR(__xludf.DUMMYFUNCTION("SPLIT(B4834,""RM"")"),4834740.0)</f>
        <v>4834740</v>
      </c>
      <c r="G4834" s="7" t="s">
        <v>1204</v>
      </c>
      <c r="H4834" s="7" t="s">
        <v>2922</v>
      </c>
      <c r="I4834" s="7" t="s">
        <v>103</v>
      </c>
    </row>
    <row r="4835">
      <c r="A4835" s="7" t="s">
        <v>100</v>
      </c>
      <c r="B4835" s="7" t="s">
        <v>893</v>
      </c>
      <c r="C4835" s="8">
        <f>IFERROR(__xludf.DUMMYFUNCTION("SPLIT(B4835,""RM"")"),7000000.0)</f>
        <v>7000000</v>
      </c>
      <c r="G4835" s="7" t="s">
        <v>2689</v>
      </c>
      <c r="H4835" s="7" t="s">
        <v>2923</v>
      </c>
      <c r="I4835" s="7" t="s">
        <v>103</v>
      </c>
    </row>
    <row r="4836">
      <c r="A4836" s="7" t="s">
        <v>77</v>
      </c>
      <c r="B4836" s="7" t="s">
        <v>395</v>
      </c>
      <c r="C4836" s="8">
        <f>IFERROR(__xludf.DUMMYFUNCTION("SPLIT(B4836,""RM"")"),6380000.0)</f>
        <v>6380000</v>
      </c>
      <c r="G4836" s="7" t="s">
        <v>1453</v>
      </c>
      <c r="H4836" s="7" t="s">
        <v>1542</v>
      </c>
      <c r="I4836" s="7" t="s">
        <v>103</v>
      </c>
    </row>
    <row r="4837">
      <c r="A4837" s="7" t="s">
        <v>100</v>
      </c>
      <c r="B4837" s="7" t="s">
        <v>409</v>
      </c>
      <c r="C4837" s="8">
        <f>IFERROR(__xludf.DUMMYFUNCTION("SPLIT(B4837,""RM"")"),655000.0)</f>
        <v>655000</v>
      </c>
      <c r="D4837" s="7">
        <v>3.0</v>
      </c>
      <c r="E4837" s="7">
        <v>2.0</v>
      </c>
      <c r="F4837" s="7">
        <v>2.0</v>
      </c>
      <c r="G4837" s="7" t="s">
        <v>83</v>
      </c>
      <c r="H4837" s="7" t="s">
        <v>954</v>
      </c>
      <c r="I4837" s="7" t="s">
        <v>27</v>
      </c>
    </row>
    <row r="4838">
      <c r="A4838" s="7" t="s">
        <v>33</v>
      </c>
      <c r="B4838" s="7" t="s">
        <v>974</v>
      </c>
      <c r="C4838" s="8">
        <f>IFERROR(__xludf.DUMMYFUNCTION("SPLIT(B4838,""RM"")"),488000.0)</f>
        <v>488000</v>
      </c>
      <c r="D4838" s="7" t="s">
        <v>197</v>
      </c>
      <c r="E4838" s="7">
        <v>1.0</v>
      </c>
      <c r="F4838" s="7">
        <v>1.0</v>
      </c>
      <c r="G4838" s="7" t="s">
        <v>20</v>
      </c>
      <c r="I4838" s="7" t="s">
        <v>27</v>
      </c>
    </row>
    <row r="4839">
      <c r="A4839" s="7" t="s">
        <v>100</v>
      </c>
      <c r="B4839" s="7" t="s">
        <v>409</v>
      </c>
      <c r="C4839" s="8">
        <f>IFERROR(__xludf.DUMMYFUNCTION("SPLIT(B4839,""RM"")"),655000.0)</f>
        <v>655000</v>
      </c>
      <c r="D4839" s="7">
        <v>2.0</v>
      </c>
      <c r="E4839" s="7">
        <v>2.0</v>
      </c>
      <c r="F4839" s="7">
        <v>2.0</v>
      </c>
      <c r="G4839" s="7" t="s">
        <v>83</v>
      </c>
      <c r="H4839" s="7" t="s">
        <v>954</v>
      </c>
      <c r="I4839" s="7" t="s">
        <v>27</v>
      </c>
    </row>
    <row r="4840">
      <c r="A4840" s="7" t="s">
        <v>100</v>
      </c>
      <c r="B4840" s="7" t="s">
        <v>1673</v>
      </c>
      <c r="C4840" s="8">
        <f>IFERROR(__xludf.DUMMYFUNCTION("SPLIT(B4840,""RM"")"),345000.0)</f>
        <v>345000</v>
      </c>
      <c r="D4840" s="7">
        <v>3.0</v>
      </c>
      <c r="E4840" s="7">
        <v>2.0</v>
      </c>
      <c r="F4840" s="7">
        <v>1.0</v>
      </c>
      <c r="G4840" s="7" t="s">
        <v>82</v>
      </c>
      <c r="H4840" s="7" t="s">
        <v>491</v>
      </c>
      <c r="I4840" s="7" t="s">
        <v>27</v>
      </c>
    </row>
    <row r="4841">
      <c r="A4841" s="7" t="s">
        <v>104</v>
      </c>
      <c r="B4841" s="7" t="s">
        <v>229</v>
      </c>
      <c r="C4841" s="8">
        <f>IFERROR(__xludf.DUMMYFUNCTION("SPLIT(B4841,""RM"")"),1050000.0)</f>
        <v>1050000</v>
      </c>
      <c r="D4841" s="7">
        <v>5.0</v>
      </c>
      <c r="E4841" s="7">
        <v>3.0</v>
      </c>
      <c r="F4841" s="7">
        <v>2.0</v>
      </c>
      <c r="G4841" s="7" t="s">
        <v>46</v>
      </c>
      <c r="H4841" s="7" t="s">
        <v>283</v>
      </c>
      <c r="I4841" s="7" t="s">
        <v>27</v>
      </c>
    </row>
    <row r="4842">
      <c r="A4842" s="7" t="s">
        <v>709</v>
      </c>
      <c r="B4842" s="7" t="s">
        <v>2666</v>
      </c>
      <c r="C4842" s="8">
        <f>IFERROR(__xludf.DUMMYFUNCTION("SPLIT(B4842,""RM"")"),250000.0)</f>
        <v>250000</v>
      </c>
      <c r="D4842" s="7">
        <v>3.0</v>
      </c>
      <c r="E4842" s="7">
        <v>2.0</v>
      </c>
      <c r="G4842" s="7" t="s">
        <v>83</v>
      </c>
      <c r="H4842" s="7" t="s">
        <v>242</v>
      </c>
      <c r="I4842" s="7" t="s">
        <v>27</v>
      </c>
    </row>
    <row r="4843">
      <c r="A4843" s="7" t="s">
        <v>32</v>
      </c>
      <c r="B4843" s="7" t="s">
        <v>311</v>
      </c>
      <c r="C4843" s="8">
        <f>IFERROR(__xludf.DUMMYFUNCTION("SPLIT(B4843,""RM"")"),1100000.0)</f>
        <v>1100000</v>
      </c>
      <c r="D4843" s="7" t="s">
        <v>35</v>
      </c>
      <c r="E4843" s="7">
        <v>3.0</v>
      </c>
      <c r="F4843" s="7">
        <v>2.0</v>
      </c>
      <c r="G4843" s="7" t="s">
        <v>20</v>
      </c>
      <c r="H4843" s="7" t="s">
        <v>1105</v>
      </c>
      <c r="I4843" s="7" t="s">
        <v>27</v>
      </c>
    </row>
    <row r="4844">
      <c r="A4844" s="7" t="s">
        <v>37</v>
      </c>
      <c r="B4844" s="7" t="s">
        <v>475</v>
      </c>
      <c r="C4844" s="8">
        <f>IFERROR(__xludf.DUMMYFUNCTION("SPLIT(B4844,""RM"")"),2800000.0)</f>
        <v>2800000</v>
      </c>
      <c r="D4844" s="7" t="s">
        <v>35</v>
      </c>
      <c r="E4844" s="7">
        <v>3.0</v>
      </c>
      <c r="G4844" s="7" t="s">
        <v>43</v>
      </c>
      <c r="H4844" s="7" t="s">
        <v>44</v>
      </c>
    </row>
    <row r="4845">
      <c r="A4845" s="7" t="s">
        <v>17</v>
      </c>
      <c r="B4845" s="7" t="s">
        <v>475</v>
      </c>
      <c r="C4845" s="8">
        <f>IFERROR(__xludf.DUMMYFUNCTION("SPLIT(B4845,""RM"")"),2800000.0)</f>
        <v>2800000</v>
      </c>
      <c r="D4845" s="7" t="s">
        <v>57</v>
      </c>
      <c r="E4845" s="7">
        <v>4.0</v>
      </c>
      <c r="F4845" s="7">
        <v>2.0</v>
      </c>
      <c r="G4845" s="7" t="s">
        <v>121</v>
      </c>
      <c r="H4845" s="7" t="s">
        <v>727</v>
      </c>
      <c r="I4845" s="7" t="s">
        <v>27</v>
      </c>
    </row>
    <row r="4846">
      <c r="A4846" s="7" t="s">
        <v>86</v>
      </c>
      <c r="B4846" s="7" t="s">
        <v>206</v>
      </c>
      <c r="C4846" s="8">
        <f>IFERROR(__xludf.DUMMYFUNCTION("SPLIT(B4846,""RM"")"),920000.0)</f>
        <v>920000</v>
      </c>
      <c r="D4846" s="7" t="s">
        <v>19</v>
      </c>
      <c r="E4846" s="7">
        <v>2.0</v>
      </c>
      <c r="F4846" s="7">
        <v>1.0</v>
      </c>
      <c r="G4846" s="7" t="s">
        <v>121</v>
      </c>
      <c r="H4846" s="7" t="s">
        <v>237</v>
      </c>
      <c r="I4846" s="7" t="s">
        <v>27</v>
      </c>
    </row>
    <row r="4847">
      <c r="A4847" s="7" t="s">
        <v>86</v>
      </c>
      <c r="B4847" s="7" t="s">
        <v>641</v>
      </c>
      <c r="C4847" s="8">
        <f>IFERROR(__xludf.DUMMYFUNCTION("SPLIT(B4847,""RM"")"),830000.0)</f>
        <v>830000</v>
      </c>
      <c r="D4847" s="7">
        <v>2.0</v>
      </c>
      <c r="E4847" s="7">
        <v>2.0</v>
      </c>
      <c r="F4847" s="7">
        <v>1.0</v>
      </c>
      <c r="G4847" s="7" t="s">
        <v>20</v>
      </c>
      <c r="H4847" s="7" t="s">
        <v>1884</v>
      </c>
      <c r="I4847" s="7" t="s">
        <v>22</v>
      </c>
    </row>
    <row r="4848">
      <c r="A4848" s="7" t="s">
        <v>86</v>
      </c>
      <c r="B4848" s="7" t="s">
        <v>87</v>
      </c>
      <c r="C4848" s="8">
        <f>IFERROR(__xludf.DUMMYFUNCTION("SPLIT(B4848,""RM"")"),490000.0)</f>
        <v>490000</v>
      </c>
      <c r="D4848" s="7">
        <v>1.0</v>
      </c>
      <c r="E4848" s="7">
        <v>1.0</v>
      </c>
      <c r="F4848" s="7">
        <v>1.0</v>
      </c>
      <c r="G4848" s="7" t="s">
        <v>82</v>
      </c>
      <c r="H4848" s="7" t="s">
        <v>244</v>
      </c>
      <c r="I4848" s="7" t="s">
        <v>22</v>
      </c>
    </row>
    <row r="4849">
      <c r="A4849" s="7" t="s">
        <v>86</v>
      </c>
      <c r="B4849" s="7" t="s">
        <v>715</v>
      </c>
      <c r="C4849" s="8">
        <f>IFERROR(__xludf.DUMMYFUNCTION("SPLIT(B4849,""RM"")"),550000.0)</f>
        <v>550000</v>
      </c>
      <c r="D4849" s="7" t="s">
        <v>197</v>
      </c>
      <c r="E4849" s="7">
        <v>1.0</v>
      </c>
      <c r="G4849" s="7" t="s">
        <v>20</v>
      </c>
      <c r="H4849" s="7" t="s">
        <v>2621</v>
      </c>
    </row>
    <row r="4850">
      <c r="A4850" s="7" t="s">
        <v>86</v>
      </c>
      <c r="B4850" s="7" t="s">
        <v>1114</v>
      </c>
      <c r="C4850" s="8">
        <f>IFERROR(__xludf.DUMMYFUNCTION("SPLIT(B4850,""RM"")"),890000.0)</f>
        <v>890000</v>
      </c>
      <c r="D4850" s="7">
        <v>3.0</v>
      </c>
      <c r="E4850" s="7">
        <v>2.0</v>
      </c>
      <c r="G4850" s="7" t="s">
        <v>20</v>
      </c>
      <c r="H4850" s="7" t="s">
        <v>621</v>
      </c>
    </row>
    <row r="4851">
      <c r="A4851" s="7" t="s">
        <v>86</v>
      </c>
      <c r="B4851" s="7" t="s">
        <v>1107</v>
      </c>
      <c r="C4851" s="8">
        <f>IFERROR(__xludf.DUMMYFUNCTION("SPLIT(B4851,""RM"")"),845000.0)</f>
        <v>845000</v>
      </c>
      <c r="D4851" s="7">
        <v>3.0</v>
      </c>
      <c r="E4851" s="7">
        <v>2.0</v>
      </c>
      <c r="G4851" s="7" t="s">
        <v>20</v>
      </c>
      <c r="H4851" s="7" t="s">
        <v>1509</v>
      </c>
    </row>
    <row r="4852">
      <c r="A4852" s="7" t="s">
        <v>171</v>
      </c>
      <c r="B4852" s="7" t="s">
        <v>507</v>
      </c>
      <c r="C4852" s="8">
        <f>IFERROR(__xludf.DUMMYFUNCTION("SPLIT(B4852,""RM"")"),590000.0)</f>
        <v>590000</v>
      </c>
      <c r="D4852" s="7">
        <v>3.0</v>
      </c>
      <c r="E4852" s="7">
        <v>2.0</v>
      </c>
      <c r="F4852" s="7">
        <v>2.0</v>
      </c>
      <c r="G4852" s="7" t="s">
        <v>83</v>
      </c>
      <c r="H4852" s="7" t="s">
        <v>173</v>
      </c>
      <c r="I4852" s="7" t="s">
        <v>27</v>
      </c>
    </row>
    <row r="4853">
      <c r="A4853" s="7" t="s">
        <v>86</v>
      </c>
      <c r="B4853" s="7" t="s">
        <v>245</v>
      </c>
      <c r="C4853" s="8">
        <f>IFERROR(__xludf.DUMMYFUNCTION("SPLIT(B4853,""RM"")"),800000.0)</f>
        <v>800000</v>
      </c>
      <c r="D4853" s="7">
        <v>3.0</v>
      </c>
      <c r="E4853" s="7">
        <v>2.0</v>
      </c>
      <c r="G4853" s="7" t="s">
        <v>20</v>
      </c>
      <c r="H4853" s="7" t="s">
        <v>1509</v>
      </c>
    </row>
    <row r="4854">
      <c r="A4854" s="7" t="s">
        <v>1476</v>
      </c>
      <c r="B4854" s="7" t="s">
        <v>2924</v>
      </c>
      <c r="C4854" s="8">
        <f>IFERROR(__xludf.DUMMYFUNCTION("SPLIT(B4854,""RM"")"),263000.0)</f>
        <v>263000</v>
      </c>
      <c r="D4854" s="7">
        <v>3.0</v>
      </c>
      <c r="E4854" s="7">
        <v>2.0</v>
      </c>
      <c r="F4854" s="7">
        <v>1.0</v>
      </c>
      <c r="G4854" s="7" t="s">
        <v>50</v>
      </c>
      <c r="H4854" s="7" t="s">
        <v>2925</v>
      </c>
      <c r="I4854" s="7" t="s">
        <v>27</v>
      </c>
    </row>
    <row r="4855">
      <c r="A4855" s="7" t="s">
        <v>77</v>
      </c>
      <c r="B4855" s="7" t="s">
        <v>327</v>
      </c>
      <c r="C4855" s="8">
        <f>IFERROR(__xludf.DUMMYFUNCTION("SPLIT(B4855,""RM"")"),1300000.0)</f>
        <v>1300000</v>
      </c>
      <c r="D4855" s="7">
        <v>3.0</v>
      </c>
      <c r="E4855" s="7">
        <v>2.0</v>
      </c>
      <c r="F4855" s="7">
        <v>2.0</v>
      </c>
      <c r="G4855" s="7" t="s">
        <v>83</v>
      </c>
      <c r="H4855" s="7" t="s">
        <v>230</v>
      </c>
    </row>
    <row r="4856">
      <c r="A4856" s="7" t="s">
        <v>77</v>
      </c>
      <c r="B4856" s="7" t="s">
        <v>53</v>
      </c>
      <c r="C4856" s="8">
        <f>IFERROR(__xludf.DUMMYFUNCTION("SPLIT(B4856,""RM"")"),1680000.0)</f>
        <v>1680000</v>
      </c>
      <c r="D4856" s="7">
        <v>3.0</v>
      </c>
      <c r="E4856" s="7">
        <v>2.0</v>
      </c>
      <c r="F4856" s="7">
        <v>2.0</v>
      </c>
      <c r="G4856" s="7" t="s">
        <v>83</v>
      </c>
      <c r="H4856" s="7" t="s">
        <v>594</v>
      </c>
    </row>
    <row r="4857">
      <c r="A4857" s="7" t="s">
        <v>428</v>
      </c>
      <c r="B4857" s="7" t="s">
        <v>993</v>
      </c>
      <c r="C4857" s="8">
        <f>IFERROR(__xludf.DUMMYFUNCTION("SPLIT(B4857,""RM"")"),2980000.0)</f>
        <v>2980000</v>
      </c>
      <c r="D4857" s="7" t="s">
        <v>60</v>
      </c>
      <c r="E4857" s="7">
        <v>7.0</v>
      </c>
      <c r="F4857" s="7">
        <v>2.0</v>
      </c>
      <c r="G4857" s="7" t="s">
        <v>67</v>
      </c>
      <c r="H4857" s="7" t="s">
        <v>62</v>
      </c>
      <c r="I4857" s="7" t="s">
        <v>103</v>
      </c>
    </row>
    <row r="4858">
      <c r="A4858" s="7" t="s">
        <v>77</v>
      </c>
      <c r="B4858" s="7" t="s">
        <v>311</v>
      </c>
      <c r="C4858" s="8">
        <f>IFERROR(__xludf.DUMMYFUNCTION("SPLIT(B4858,""RM"")"),1100000.0)</f>
        <v>1100000</v>
      </c>
      <c r="D4858" s="7">
        <v>2.0</v>
      </c>
      <c r="E4858" s="7">
        <v>2.0</v>
      </c>
      <c r="G4858" s="7" t="s">
        <v>83</v>
      </c>
      <c r="H4858" s="7" t="s">
        <v>230</v>
      </c>
    </row>
    <row r="4859">
      <c r="A4859" s="7" t="s">
        <v>1476</v>
      </c>
      <c r="B4859" s="7" t="s">
        <v>1565</v>
      </c>
      <c r="C4859" s="8">
        <f>IFERROR(__xludf.DUMMYFUNCTION("SPLIT(B4859,""RM"")"),268000.0)</f>
        <v>268000</v>
      </c>
      <c r="D4859" s="7">
        <v>3.0</v>
      </c>
      <c r="E4859" s="7">
        <v>2.0</v>
      </c>
      <c r="F4859" s="7">
        <v>1.0</v>
      </c>
      <c r="G4859" s="7" t="s">
        <v>2364</v>
      </c>
      <c r="H4859" s="7" t="s">
        <v>1454</v>
      </c>
      <c r="I4859" s="7" t="s">
        <v>27</v>
      </c>
    </row>
    <row r="4860">
      <c r="A4860" s="7" t="s">
        <v>17</v>
      </c>
      <c r="B4860" s="7" t="s">
        <v>2926</v>
      </c>
      <c r="C4860" s="8">
        <f>IFERROR(__xludf.DUMMYFUNCTION("SPLIT(B4860,""RM"")"),2140000.0)</f>
        <v>2140000</v>
      </c>
      <c r="D4860" s="7">
        <v>2.0</v>
      </c>
      <c r="E4860" s="7">
        <v>2.0</v>
      </c>
      <c r="G4860" s="7" t="s">
        <v>121</v>
      </c>
      <c r="H4860" s="7" t="s">
        <v>2667</v>
      </c>
    </row>
    <row r="4861">
      <c r="A4861" s="7" t="s">
        <v>23</v>
      </c>
      <c r="B4861" s="7" t="s">
        <v>2927</v>
      </c>
      <c r="C4861" s="8">
        <f>IFERROR(__xludf.DUMMYFUNCTION("SPLIT(B4861,""RM"")"),1429123.0)</f>
        <v>1429123</v>
      </c>
      <c r="D4861" s="7">
        <v>1.0</v>
      </c>
      <c r="E4861" s="7">
        <v>1.0</v>
      </c>
      <c r="G4861" s="7" t="s">
        <v>20</v>
      </c>
      <c r="H4861" s="7" t="s">
        <v>51</v>
      </c>
      <c r="I4861" s="7" t="s">
        <v>27</v>
      </c>
    </row>
    <row r="4862">
      <c r="A4862" s="7" t="s">
        <v>23</v>
      </c>
      <c r="B4862" s="7" t="s">
        <v>2928</v>
      </c>
      <c r="C4862" s="8">
        <f>IFERROR(__xludf.DUMMYFUNCTION("SPLIT(B4862,""RM"")"),1649999.0)</f>
        <v>1649999</v>
      </c>
      <c r="D4862" s="7" t="s">
        <v>197</v>
      </c>
      <c r="E4862" s="7">
        <v>2.0</v>
      </c>
      <c r="F4862" s="7">
        <v>2.0</v>
      </c>
      <c r="G4862" s="7" t="s">
        <v>20</v>
      </c>
      <c r="H4862" s="7" t="s">
        <v>373</v>
      </c>
    </row>
    <row r="4863">
      <c r="A4863" s="7" t="s">
        <v>23</v>
      </c>
      <c r="B4863" s="7" t="s">
        <v>2929</v>
      </c>
      <c r="C4863" s="8">
        <f>IFERROR(__xludf.DUMMYFUNCTION("SPLIT(B4863,""RM"")"),1719888.0)</f>
        <v>1719888</v>
      </c>
      <c r="D4863" s="7" t="s">
        <v>197</v>
      </c>
      <c r="E4863" s="7">
        <v>2.0</v>
      </c>
      <c r="F4863" s="7">
        <v>2.0</v>
      </c>
      <c r="G4863" s="7" t="s">
        <v>20</v>
      </c>
      <c r="H4863" s="7" t="s">
        <v>661</v>
      </c>
    </row>
    <row r="4864">
      <c r="A4864" s="7" t="s">
        <v>23</v>
      </c>
      <c r="B4864" s="7" t="s">
        <v>2930</v>
      </c>
      <c r="C4864" s="8">
        <f>IFERROR(__xludf.DUMMYFUNCTION("SPLIT(B4864,""RM"")"),2159999.0)</f>
        <v>2159999</v>
      </c>
      <c r="D4864" s="7" t="s">
        <v>19</v>
      </c>
      <c r="E4864" s="7">
        <v>4.0</v>
      </c>
      <c r="F4864" s="7">
        <v>2.0</v>
      </c>
      <c r="G4864" s="7" t="s">
        <v>20</v>
      </c>
      <c r="H4864" s="7" t="s">
        <v>2931</v>
      </c>
      <c r="I4864" s="7" t="s">
        <v>27</v>
      </c>
    </row>
    <row r="4865">
      <c r="A4865" s="7" t="s">
        <v>72</v>
      </c>
      <c r="B4865" s="7" t="s">
        <v>2932</v>
      </c>
      <c r="C4865" s="8">
        <f>IFERROR(__xludf.DUMMYFUNCTION("SPLIT(B4865,""RM"")"),949999.0)</f>
        <v>949999</v>
      </c>
      <c r="D4865" s="7" t="s">
        <v>19</v>
      </c>
      <c r="E4865" s="7">
        <v>2.0</v>
      </c>
      <c r="F4865" s="7">
        <v>2.0</v>
      </c>
      <c r="G4865" s="7" t="s">
        <v>83</v>
      </c>
      <c r="H4865" s="7" t="s">
        <v>2341</v>
      </c>
    </row>
    <row r="4866">
      <c r="A4866" s="7" t="s">
        <v>17</v>
      </c>
      <c r="B4866" s="7" t="s">
        <v>2933</v>
      </c>
      <c r="C4866" s="8">
        <f>IFERROR(__xludf.DUMMYFUNCTION("SPLIT(B4866,""RM"")"),2426016.0)</f>
        <v>2426016</v>
      </c>
      <c r="D4866" s="7" t="s">
        <v>35</v>
      </c>
      <c r="E4866" s="7">
        <v>5.0</v>
      </c>
      <c r="F4866" s="7">
        <v>6.0</v>
      </c>
      <c r="G4866" s="7" t="s">
        <v>30</v>
      </c>
      <c r="H4866" s="7" t="s">
        <v>2934</v>
      </c>
      <c r="I4866" s="7" t="s">
        <v>27</v>
      </c>
    </row>
    <row r="4867">
      <c r="A4867" s="7" t="s">
        <v>2237</v>
      </c>
      <c r="B4867" s="7" t="s">
        <v>1073</v>
      </c>
      <c r="C4867" s="8">
        <f>IFERROR(__xludf.DUMMYFUNCTION("SPLIT(B4867,""RM"")"),588000.0)</f>
        <v>588000</v>
      </c>
      <c r="D4867" s="7">
        <v>3.0</v>
      </c>
      <c r="E4867" s="7">
        <v>2.0</v>
      </c>
      <c r="F4867" s="7">
        <v>2.0</v>
      </c>
      <c r="G4867" s="7" t="s">
        <v>20</v>
      </c>
      <c r="H4867" s="7" t="s">
        <v>1657</v>
      </c>
      <c r="I4867" s="7" t="s">
        <v>27</v>
      </c>
    </row>
    <row r="4868">
      <c r="A4868" s="7" t="s">
        <v>2237</v>
      </c>
      <c r="B4868" s="7" t="s">
        <v>761</v>
      </c>
      <c r="C4868" s="8">
        <f>IFERROR(__xludf.DUMMYFUNCTION("SPLIT(B4868,""RM"")"),480000.0)</f>
        <v>480000</v>
      </c>
      <c r="D4868" s="7">
        <v>2.0</v>
      </c>
      <c r="E4868" s="7">
        <v>2.0</v>
      </c>
      <c r="F4868" s="7">
        <v>2.0</v>
      </c>
      <c r="G4868" s="7" t="s">
        <v>20</v>
      </c>
      <c r="H4868" s="7" t="s">
        <v>2935</v>
      </c>
      <c r="I4868" s="7" t="s">
        <v>27</v>
      </c>
    </row>
    <row r="4869">
      <c r="A4869" s="7" t="s">
        <v>23</v>
      </c>
      <c r="B4869" s="7" t="s">
        <v>616</v>
      </c>
      <c r="C4869" s="8">
        <f>IFERROR(__xludf.DUMMYFUNCTION("SPLIT(B4869,""RM"")"),7500000.0)</f>
        <v>7500000</v>
      </c>
      <c r="D4869" s="7" t="s">
        <v>60</v>
      </c>
      <c r="E4869" s="7">
        <v>6.0</v>
      </c>
      <c r="F4869" s="7">
        <v>6.0</v>
      </c>
      <c r="G4869" s="7" t="s">
        <v>61</v>
      </c>
      <c r="H4869" s="7" t="s">
        <v>2936</v>
      </c>
      <c r="I4869" s="7" t="s">
        <v>27</v>
      </c>
    </row>
    <row r="4870">
      <c r="A4870" s="7" t="s">
        <v>358</v>
      </c>
      <c r="B4870" s="7" t="s">
        <v>2937</v>
      </c>
      <c r="C4870" s="8">
        <f>IFERROR(__xludf.DUMMYFUNCTION("SPLIT(B4870,""RM"")"),693000.0)</f>
        <v>693000</v>
      </c>
      <c r="D4870" s="7">
        <v>3.0</v>
      </c>
      <c r="E4870" s="7">
        <v>3.0</v>
      </c>
      <c r="F4870" s="7">
        <v>2.0</v>
      </c>
      <c r="G4870" s="7" t="s">
        <v>30</v>
      </c>
      <c r="H4870" s="7" t="s">
        <v>341</v>
      </c>
      <c r="I4870" s="7" t="s">
        <v>27</v>
      </c>
    </row>
    <row r="4871">
      <c r="A4871" s="7" t="s">
        <v>358</v>
      </c>
      <c r="B4871" s="7" t="s">
        <v>2938</v>
      </c>
      <c r="C4871" s="8">
        <f>IFERROR(__xludf.DUMMYFUNCTION("SPLIT(B4871,""RM"")"),881100.0)</f>
        <v>881100</v>
      </c>
      <c r="D4871" s="7" t="s">
        <v>57</v>
      </c>
      <c r="E4871" s="7">
        <v>3.0</v>
      </c>
      <c r="F4871" s="7">
        <v>2.0</v>
      </c>
      <c r="G4871" s="7" t="s">
        <v>96</v>
      </c>
      <c r="H4871" s="7" t="s">
        <v>2758</v>
      </c>
    </row>
    <row r="4872">
      <c r="A4872" s="7" t="s">
        <v>358</v>
      </c>
      <c r="B4872" s="7" t="s">
        <v>599</v>
      </c>
      <c r="C4872" s="8">
        <f>IFERROR(__xludf.DUMMYFUNCTION("SPLIT(B4872,""RM"")"),950000.0)</f>
        <v>950000</v>
      </c>
      <c r="D4872" s="7" t="s">
        <v>35</v>
      </c>
      <c r="E4872" s="7">
        <v>4.0</v>
      </c>
      <c r="F4872" s="7">
        <v>3.0</v>
      </c>
      <c r="G4872" s="7" t="s">
        <v>30</v>
      </c>
      <c r="H4872" s="7" t="s">
        <v>2939</v>
      </c>
      <c r="I4872" s="7" t="s">
        <v>27</v>
      </c>
    </row>
    <row r="4873">
      <c r="A4873" s="7" t="s">
        <v>358</v>
      </c>
      <c r="B4873" s="7" t="s">
        <v>2940</v>
      </c>
      <c r="C4873" s="8">
        <f>IFERROR(__xludf.DUMMYFUNCTION("SPLIT(B4873,""RM"")"),1289600.0)</f>
        <v>1289600</v>
      </c>
      <c r="D4873" s="7" t="s">
        <v>35</v>
      </c>
      <c r="E4873" s="7">
        <v>4.0</v>
      </c>
      <c r="F4873" s="7">
        <v>5.0</v>
      </c>
      <c r="G4873" s="7" t="s">
        <v>793</v>
      </c>
      <c r="H4873" s="7" t="s">
        <v>2939</v>
      </c>
      <c r="I4873" s="7" t="s">
        <v>27</v>
      </c>
    </row>
    <row r="4874">
      <c r="A4874" s="7" t="s">
        <v>72</v>
      </c>
      <c r="B4874" s="7" t="s">
        <v>657</v>
      </c>
      <c r="C4874" s="8">
        <f>IFERROR(__xludf.DUMMYFUNCTION("SPLIT(B4874,""RM"")"),980000.0)</f>
        <v>980000</v>
      </c>
      <c r="D4874" s="7">
        <v>3.0</v>
      </c>
      <c r="E4874" s="7">
        <v>3.0</v>
      </c>
      <c r="F4874" s="7">
        <v>2.0</v>
      </c>
      <c r="G4874" s="7" t="s">
        <v>83</v>
      </c>
      <c r="H4874" s="7" t="s">
        <v>1929</v>
      </c>
      <c r="I4874" s="7" t="s">
        <v>27</v>
      </c>
    </row>
    <row r="4875">
      <c r="A4875" s="7" t="s">
        <v>33</v>
      </c>
      <c r="B4875" s="7" t="s">
        <v>2941</v>
      </c>
      <c r="C4875" s="8">
        <f>IFERROR(__xludf.DUMMYFUNCTION("SPLIT(B4875,""RM"")"),579999.0)</f>
        <v>579999</v>
      </c>
      <c r="D4875" s="7">
        <v>3.0</v>
      </c>
      <c r="E4875" s="7">
        <v>2.0</v>
      </c>
      <c r="F4875" s="7">
        <v>2.0</v>
      </c>
      <c r="G4875" s="7" t="s">
        <v>83</v>
      </c>
      <c r="H4875" s="7" t="s">
        <v>2541</v>
      </c>
      <c r="I4875" s="7" t="s">
        <v>27</v>
      </c>
    </row>
    <row r="4876">
      <c r="A4876" s="7" t="s">
        <v>33</v>
      </c>
      <c r="B4876" s="7" t="s">
        <v>2942</v>
      </c>
      <c r="C4876" s="8">
        <f>IFERROR(__xludf.DUMMYFUNCTION("SPLIT(B4876,""RM"")"),649999.0)</f>
        <v>649999</v>
      </c>
      <c r="D4876" s="7">
        <v>3.0</v>
      </c>
      <c r="E4876" s="7">
        <v>2.0</v>
      </c>
      <c r="F4876" s="7">
        <v>3.0</v>
      </c>
      <c r="G4876" s="7" t="s">
        <v>83</v>
      </c>
      <c r="H4876" s="7" t="s">
        <v>2541</v>
      </c>
      <c r="I4876" s="7" t="s">
        <v>22</v>
      </c>
    </row>
    <row r="4877">
      <c r="A4877" s="7" t="s">
        <v>33</v>
      </c>
      <c r="B4877" s="7" t="s">
        <v>2943</v>
      </c>
      <c r="C4877" s="8">
        <f>IFERROR(__xludf.DUMMYFUNCTION("SPLIT(B4877,""RM"")"),629999.0)</f>
        <v>629999</v>
      </c>
      <c r="D4877" s="7">
        <v>3.0</v>
      </c>
      <c r="E4877" s="7">
        <v>2.0</v>
      </c>
      <c r="F4877" s="7">
        <v>2.0</v>
      </c>
      <c r="G4877" s="7" t="s">
        <v>83</v>
      </c>
      <c r="H4877" s="7" t="s">
        <v>508</v>
      </c>
      <c r="I4877" s="7" t="s">
        <v>27</v>
      </c>
    </row>
    <row r="4878">
      <c r="A4878" s="7" t="s">
        <v>33</v>
      </c>
      <c r="B4878" s="7" t="s">
        <v>2944</v>
      </c>
      <c r="C4878" s="8">
        <f>IFERROR(__xludf.DUMMYFUNCTION("SPLIT(B4878,""RM"")"),799999.0)</f>
        <v>799999</v>
      </c>
      <c r="D4878" s="7" t="s">
        <v>57</v>
      </c>
      <c r="E4878" s="7">
        <v>3.0</v>
      </c>
      <c r="F4878" s="7">
        <v>3.0</v>
      </c>
      <c r="G4878" s="7" t="s">
        <v>83</v>
      </c>
      <c r="H4878" s="7" t="s">
        <v>2945</v>
      </c>
      <c r="I4878" s="7" t="s">
        <v>22</v>
      </c>
    </row>
    <row r="4879">
      <c r="A4879" s="7" t="s">
        <v>33</v>
      </c>
      <c r="B4879" s="7" t="s">
        <v>2946</v>
      </c>
      <c r="C4879" s="8">
        <f>IFERROR(__xludf.DUMMYFUNCTION("SPLIT(B4879,""RM"")"),699999.0)</f>
        <v>699999</v>
      </c>
      <c r="D4879" s="7" t="s">
        <v>57</v>
      </c>
      <c r="E4879" s="7">
        <v>3.0</v>
      </c>
      <c r="F4879" s="7">
        <v>2.0</v>
      </c>
      <c r="G4879" s="7" t="s">
        <v>83</v>
      </c>
      <c r="H4879" s="7" t="s">
        <v>2947</v>
      </c>
      <c r="I4879" s="7" t="s">
        <v>27</v>
      </c>
    </row>
    <row r="4880">
      <c r="A4880" s="7" t="s">
        <v>33</v>
      </c>
      <c r="B4880" s="7" t="s">
        <v>575</v>
      </c>
      <c r="C4880" s="8">
        <f>IFERROR(__xludf.DUMMYFUNCTION("SPLIT(B4880,""RM"")"),660000.0)</f>
        <v>660000</v>
      </c>
      <c r="D4880" s="7" t="s">
        <v>57</v>
      </c>
      <c r="E4880" s="7">
        <v>3.0</v>
      </c>
      <c r="F4880" s="7">
        <v>2.0</v>
      </c>
      <c r="G4880" s="7" t="s">
        <v>30</v>
      </c>
      <c r="H4880" s="7" t="s">
        <v>2948</v>
      </c>
      <c r="I4880" s="7" t="s">
        <v>27</v>
      </c>
    </row>
    <row r="4881">
      <c r="A4881" s="7" t="s">
        <v>17</v>
      </c>
      <c r="B4881" s="7" t="s">
        <v>243</v>
      </c>
      <c r="C4881" s="8">
        <f>IFERROR(__xludf.DUMMYFUNCTION("SPLIT(B4881,""RM"")"),1350000.0)</f>
        <v>1350000</v>
      </c>
      <c r="D4881" s="7" t="s">
        <v>19</v>
      </c>
      <c r="E4881" s="7">
        <v>3.0</v>
      </c>
      <c r="F4881" s="7">
        <v>1.0</v>
      </c>
      <c r="G4881" s="7" t="s">
        <v>20</v>
      </c>
      <c r="H4881" s="7" t="s">
        <v>1505</v>
      </c>
      <c r="I4881" s="7" t="s">
        <v>22</v>
      </c>
    </row>
    <row r="4882">
      <c r="A4882" s="7" t="s">
        <v>33</v>
      </c>
      <c r="B4882" s="7" t="s">
        <v>975</v>
      </c>
      <c r="C4882" s="8">
        <f>IFERROR(__xludf.DUMMYFUNCTION("SPLIT(B4882,""RM"")"),400000.0)</f>
        <v>400000</v>
      </c>
      <c r="G4882" s="7" t="s">
        <v>83</v>
      </c>
      <c r="H4882" s="7" t="s">
        <v>2949</v>
      </c>
    </row>
    <row r="4883">
      <c r="A4883" s="7" t="s">
        <v>37</v>
      </c>
      <c r="B4883" s="7" t="s">
        <v>398</v>
      </c>
      <c r="C4883" s="8">
        <f>IFERROR(__xludf.DUMMYFUNCTION("SPLIT(B4883,""RM"")"),2280000.0)</f>
        <v>2280000</v>
      </c>
      <c r="D4883" s="7">
        <v>3.0</v>
      </c>
      <c r="E4883" s="7">
        <v>2.0</v>
      </c>
      <c r="G4883" s="7" t="s">
        <v>1378</v>
      </c>
      <c r="H4883" s="7" t="s">
        <v>2950</v>
      </c>
      <c r="I4883" s="7" t="s">
        <v>27</v>
      </c>
    </row>
    <row r="4884">
      <c r="A4884" s="7" t="s">
        <v>267</v>
      </c>
      <c r="B4884" s="7" t="s">
        <v>1559</v>
      </c>
      <c r="C4884" s="8">
        <f>IFERROR(__xludf.DUMMYFUNCTION("SPLIT(B4884,""RM"")"),300000.0)</f>
        <v>300000</v>
      </c>
      <c r="D4884" s="7" t="s">
        <v>19</v>
      </c>
      <c r="E4884" s="7">
        <v>2.0</v>
      </c>
      <c r="F4884" s="7">
        <v>1.0</v>
      </c>
      <c r="G4884" s="7" t="s">
        <v>83</v>
      </c>
      <c r="H4884" s="7" t="s">
        <v>1273</v>
      </c>
      <c r="I4884" s="7" t="s">
        <v>27</v>
      </c>
    </row>
    <row r="4885">
      <c r="A4885" s="7" t="s">
        <v>100</v>
      </c>
      <c r="B4885" s="7" t="s">
        <v>563</v>
      </c>
      <c r="C4885" s="8">
        <f>IFERROR(__xludf.DUMMYFUNCTION("SPLIT(B4885,""RM"")"),600000.0)</f>
        <v>600000</v>
      </c>
      <c r="D4885" s="7" t="s">
        <v>325</v>
      </c>
      <c r="E4885" s="7">
        <v>2.0</v>
      </c>
      <c r="F4885" s="7">
        <v>1.0</v>
      </c>
      <c r="G4885" s="7" t="s">
        <v>121</v>
      </c>
      <c r="H4885" s="7" t="s">
        <v>2487</v>
      </c>
      <c r="I4885" s="7" t="s">
        <v>22</v>
      </c>
    </row>
    <row r="4886">
      <c r="A4886" s="7" t="s">
        <v>1315</v>
      </c>
      <c r="B4886" s="7" t="s">
        <v>78</v>
      </c>
      <c r="C4886" s="8">
        <f>IFERROR(__xludf.DUMMYFUNCTION("SPLIT(B4886,""RM"")"),1500000.0)</f>
        <v>1500000</v>
      </c>
      <c r="D4886" s="7">
        <v>10.0</v>
      </c>
      <c r="E4886" s="7">
        <v>9.0</v>
      </c>
      <c r="F4886" s="7">
        <v>6.0</v>
      </c>
      <c r="G4886" s="7" t="s">
        <v>25</v>
      </c>
      <c r="H4886" s="7" t="s">
        <v>2673</v>
      </c>
      <c r="I4886" s="7" t="s">
        <v>103</v>
      </c>
    </row>
    <row r="4887">
      <c r="A4887" s="7" t="s">
        <v>72</v>
      </c>
      <c r="B4887" s="7" t="s">
        <v>221</v>
      </c>
      <c r="C4887" s="8">
        <f>IFERROR(__xludf.DUMMYFUNCTION("SPLIT(B4887,""RM"")"),630000.0)</f>
        <v>630000</v>
      </c>
      <c r="D4887" s="7">
        <v>1.0</v>
      </c>
      <c r="E4887" s="7">
        <v>1.0</v>
      </c>
      <c r="F4887" s="7">
        <v>1.0</v>
      </c>
      <c r="G4887" s="7" t="s">
        <v>82</v>
      </c>
      <c r="H4887" s="7" t="s">
        <v>753</v>
      </c>
      <c r="I4887" s="7" t="s">
        <v>22</v>
      </c>
    </row>
    <row r="4888">
      <c r="A4888" s="7" t="s">
        <v>267</v>
      </c>
      <c r="B4888" s="7" t="s">
        <v>78</v>
      </c>
      <c r="C4888" s="8">
        <f>IFERROR(__xludf.DUMMYFUNCTION("SPLIT(B4888,""RM"")"),1500000.0)</f>
        <v>1500000</v>
      </c>
      <c r="D4888" s="7">
        <v>6.0</v>
      </c>
      <c r="E4888" s="7">
        <v>4.0</v>
      </c>
      <c r="F4888" s="7">
        <v>2.0</v>
      </c>
      <c r="G4888" s="7" t="s">
        <v>30</v>
      </c>
      <c r="H4888" s="7" t="s">
        <v>307</v>
      </c>
      <c r="I4888" s="7" t="s">
        <v>22</v>
      </c>
    </row>
    <row r="4889">
      <c r="A4889" s="7" t="s">
        <v>72</v>
      </c>
      <c r="B4889" s="7" t="s">
        <v>886</v>
      </c>
      <c r="C4889" s="8">
        <f>IFERROR(__xludf.DUMMYFUNCTION("SPLIT(B4889,""RM"")"),768000.0)</f>
        <v>768000</v>
      </c>
      <c r="D4889" s="7">
        <v>1.0</v>
      </c>
      <c r="E4889" s="7">
        <v>1.0</v>
      </c>
      <c r="F4889" s="7">
        <v>2.0</v>
      </c>
      <c r="G4889" s="7" t="s">
        <v>121</v>
      </c>
      <c r="H4889" s="7" t="s">
        <v>1127</v>
      </c>
      <c r="I4889" s="7" t="s">
        <v>22</v>
      </c>
    </row>
    <row r="4890">
      <c r="A4890" s="7" t="s">
        <v>428</v>
      </c>
      <c r="B4890" s="7" t="s">
        <v>134</v>
      </c>
      <c r="C4890" s="8">
        <f>IFERROR(__xludf.DUMMYFUNCTION("SPLIT(B4890,""RM"")"),1150000.0)</f>
        <v>1150000</v>
      </c>
      <c r="D4890" s="7">
        <v>1.0</v>
      </c>
      <c r="E4890" s="7">
        <v>1.0</v>
      </c>
      <c r="F4890" s="7">
        <v>1.0</v>
      </c>
      <c r="G4890" s="7" t="s">
        <v>20</v>
      </c>
      <c r="H4890" s="7" t="s">
        <v>880</v>
      </c>
      <c r="I4890" s="7" t="s">
        <v>22</v>
      </c>
    </row>
    <row r="4891">
      <c r="A4891" s="7" t="s">
        <v>358</v>
      </c>
      <c r="B4891" s="7" t="s">
        <v>1166</v>
      </c>
      <c r="C4891" s="8">
        <f>IFERROR(__xludf.DUMMYFUNCTION("SPLIT(B4891,""RM"")"),760000.0)</f>
        <v>760000</v>
      </c>
      <c r="D4891" s="7" t="s">
        <v>57</v>
      </c>
      <c r="E4891" s="7">
        <v>3.0</v>
      </c>
      <c r="F4891" s="7">
        <v>2.0</v>
      </c>
      <c r="G4891" s="7" t="s">
        <v>83</v>
      </c>
      <c r="H4891" s="7" t="s">
        <v>334</v>
      </c>
    </row>
    <row r="4892">
      <c r="A4892" s="7" t="s">
        <v>32</v>
      </c>
      <c r="B4892" s="7" t="s">
        <v>1111</v>
      </c>
      <c r="C4892" s="8">
        <f>IFERROR(__xludf.DUMMYFUNCTION("SPLIT(B4892,""RM"")"),390000.0)</f>
        <v>390000</v>
      </c>
      <c r="D4892" s="7">
        <v>3.0</v>
      </c>
      <c r="E4892" s="7">
        <v>2.0</v>
      </c>
      <c r="G4892" s="7" t="s">
        <v>83</v>
      </c>
      <c r="H4892" s="7" t="s">
        <v>1273</v>
      </c>
      <c r="I4892" s="7" t="s">
        <v>103</v>
      </c>
    </row>
    <row r="4893">
      <c r="A4893" s="7" t="s">
        <v>28</v>
      </c>
      <c r="B4893" s="7" t="s">
        <v>890</v>
      </c>
      <c r="C4893" s="8">
        <f>IFERROR(__xludf.DUMMYFUNCTION("SPLIT(B4893,""RM"")"),450000.0)</f>
        <v>450000</v>
      </c>
      <c r="D4893" s="7">
        <v>3.0</v>
      </c>
      <c r="E4893" s="7">
        <v>2.0</v>
      </c>
      <c r="F4893" s="7">
        <v>1.0</v>
      </c>
      <c r="G4893" s="7" t="s">
        <v>83</v>
      </c>
      <c r="H4893" s="7" t="s">
        <v>734</v>
      </c>
      <c r="I4893" s="7" t="s">
        <v>27</v>
      </c>
    </row>
    <row r="4894">
      <c r="A4894" s="7" t="s">
        <v>100</v>
      </c>
      <c r="B4894" s="7" t="s">
        <v>809</v>
      </c>
      <c r="C4894" s="8">
        <f>IFERROR(__xludf.DUMMYFUNCTION("SPLIT(B4894,""RM"")"),645000.0)</f>
        <v>645000</v>
      </c>
      <c r="D4894" s="7">
        <v>3.0</v>
      </c>
      <c r="E4894" s="7">
        <v>2.0</v>
      </c>
      <c r="F4894" s="7">
        <v>2.0</v>
      </c>
      <c r="G4894" s="7" t="s">
        <v>30</v>
      </c>
      <c r="H4894" s="7" t="s">
        <v>2951</v>
      </c>
      <c r="I4894" s="7" t="s">
        <v>22</v>
      </c>
    </row>
    <row r="4895">
      <c r="A4895" s="7" t="s">
        <v>2237</v>
      </c>
      <c r="B4895" s="7" t="s">
        <v>2665</v>
      </c>
      <c r="C4895" s="8">
        <f>IFERROR(__xludf.DUMMYFUNCTION("SPLIT(B4895,""RM"")"),170000.0)</f>
        <v>170000</v>
      </c>
      <c r="D4895" s="7">
        <v>3.0</v>
      </c>
      <c r="E4895" s="7">
        <v>2.0</v>
      </c>
      <c r="G4895" s="7" t="s">
        <v>50</v>
      </c>
      <c r="H4895" s="7" t="s">
        <v>1155</v>
      </c>
      <c r="I4895" s="7" t="s">
        <v>103</v>
      </c>
    </row>
    <row r="4896">
      <c r="A4896" s="7" t="s">
        <v>109</v>
      </c>
      <c r="B4896" s="7" t="s">
        <v>2865</v>
      </c>
      <c r="C4896" s="8">
        <f>IFERROR(__xludf.DUMMYFUNCTION("SPLIT(B4896,""RM"")"),405000.0)</f>
        <v>405000</v>
      </c>
      <c r="G4896" s="7" t="s">
        <v>83</v>
      </c>
    </row>
    <row r="4897">
      <c r="A4897" s="7" t="s">
        <v>28</v>
      </c>
      <c r="B4897" s="7" t="s">
        <v>130</v>
      </c>
      <c r="C4897" s="8">
        <f>IFERROR(__xludf.DUMMYFUNCTION("SPLIT(B4897,""RM"")"),2700000.0)</f>
        <v>2700000</v>
      </c>
      <c r="D4897" s="7" t="s">
        <v>70</v>
      </c>
      <c r="E4897" s="7">
        <v>6.0</v>
      </c>
      <c r="G4897" s="7" t="s">
        <v>43</v>
      </c>
      <c r="H4897" s="7" t="s">
        <v>2952</v>
      </c>
      <c r="I4897" s="7" t="s">
        <v>27</v>
      </c>
    </row>
    <row r="4898">
      <c r="A4898" s="7" t="s">
        <v>428</v>
      </c>
      <c r="B4898" s="7" t="s">
        <v>245</v>
      </c>
      <c r="C4898" s="8">
        <f>IFERROR(__xludf.DUMMYFUNCTION("SPLIT(B4898,""RM"")"),800000.0)</f>
        <v>800000</v>
      </c>
      <c r="D4898" s="7">
        <v>1.0</v>
      </c>
      <c r="E4898" s="7">
        <v>1.0</v>
      </c>
      <c r="F4898" s="7">
        <v>1.0</v>
      </c>
      <c r="G4898" s="7" t="s">
        <v>20</v>
      </c>
      <c r="H4898" s="7" t="s">
        <v>2560</v>
      </c>
      <c r="I4898" s="7" t="s">
        <v>22</v>
      </c>
    </row>
    <row r="4899">
      <c r="A4899" s="7" t="s">
        <v>33</v>
      </c>
      <c r="B4899" s="7" t="s">
        <v>349</v>
      </c>
      <c r="C4899" s="8">
        <f>IFERROR(__xludf.DUMMYFUNCTION("SPLIT(B4899,""RM"")"),1400000.0)</f>
        <v>1400000</v>
      </c>
      <c r="D4899" s="7" t="s">
        <v>57</v>
      </c>
      <c r="E4899" s="7">
        <v>4.0</v>
      </c>
      <c r="F4899" s="7">
        <v>2.0</v>
      </c>
      <c r="G4899" s="7" t="s">
        <v>83</v>
      </c>
      <c r="H4899" s="7" t="s">
        <v>404</v>
      </c>
      <c r="I4899" s="7" t="s">
        <v>27</v>
      </c>
    </row>
    <row r="4900">
      <c r="A4900" s="7" t="s">
        <v>358</v>
      </c>
      <c r="B4900" s="7" t="s">
        <v>139</v>
      </c>
      <c r="C4900" s="8">
        <f>IFERROR(__xludf.DUMMYFUNCTION("SPLIT(B4900,""RM"")"),780000.0)</f>
        <v>780000</v>
      </c>
      <c r="D4900" s="7">
        <v>3.0</v>
      </c>
      <c r="E4900" s="7">
        <v>3.0</v>
      </c>
      <c r="F4900" s="7">
        <v>2.0</v>
      </c>
      <c r="G4900" s="7" t="s">
        <v>83</v>
      </c>
      <c r="H4900" s="7" t="s">
        <v>2953</v>
      </c>
      <c r="I4900" s="7" t="s">
        <v>103</v>
      </c>
    </row>
    <row r="4901">
      <c r="A4901" s="7" t="s">
        <v>33</v>
      </c>
      <c r="B4901" s="7" t="s">
        <v>243</v>
      </c>
      <c r="C4901" s="8">
        <f>IFERROR(__xludf.DUMMYFUNCTION("SPLIT(B4901,""RM"")"),1350000.0)</f>
        <v>1350000</v>
      </c>
      <c r="D4901" s="7" t="s">
        <v>57</v>
      </c>
      <c r="E4901" s="7">
        <v>2.0</v>
      </c>
      <c r="F4901" s="7">
        <v>2.0</v>
      </c>
      <c r="G4901" s="7" t="s">
        <v>83</v>
      </c>
      <c r="H4901" s="7" t="s">
        <v>2087</v>
      </c>
      <c r="I4901" s="7" t="s">
        <v>27</v>
      </c>
    </row>
    <row r="4902">
      <c r="A4902" s="7" t="s">
        <v>32</v>
      </c>
      <c r="B4902" s="7" t="s">
        <v>1044</v>
      </c>
      <c r="C4902" s="8">
        <f>IFERROR(__xludf.DUMMYFUNCTION("SPLIT(B4902,""RM"")"),1170000.0)</f>
        <v>1170000</v>
      </c>
      <c r="D4902" s="7">
        <v>4.0</v>
      </c>
      <c r="E4902" s="7">
        <v>4.0</v>
      </c>
      <c r="F4902" s="7">
        <v>2.0</v>
      </c>
      <c r="G4902" s="7" t="s">
        <v>83</v>
      </c>
      <c r="H4902" s="7" t="s">
        <v>2793</v>
      </c>
      <c r="I4902" s="7" t="s">
        <v>27</v>
      </c>
    </row>
    <row r="4903">
      <c r="A4903" s="7" t="s">
        <v>171</v>
      </c>
      <c r="B4903" s="7" t="s">
        <v>361</v>
      </c>
      <c r="C4903" s="8">
        <f>IFERROR(__xludf.DUMMYFUNCTION("SPLIT(B4903,""RM"")"),530000.0)</f>
        <v>530000</v>
      </c>
      <c r="D4903" s="7">
        <v>4.0</v>
      </c>
      <c r="E4903" s="7">
        <v>2.0</v>
      </c>
      <c r="F4903" s="7">
        <v>3.0</v>
      </c>
      <c r="G4903" s="7" t="s">
        <v>83</v>
      </c>
      <c r="H4903" s="7" t="s">
        <v>1068</v>
      </c>
      <c r="I4903" s="7" t="s">
        <v>27</v>
      </c>
    </row>
    <row r="4904">
      <c r="A4904" s="7" t="s">
        <v>171</v>
      </c>
      <c r="B4904" s="7" t="s">
        <v>1659</v>
      </c>
      <c r="C4904" s="8">
        <f>IFERROR(__xludf.DUMMYFUNCTION("SPLIT(B4904,""RM"")"),540000.0)</f>
        <v>540000</v>
      </c>
      <c r="D4904" s="7">
        <v>3.0</v>
      </c>
      <c r="E4904" s="7">
        <v>2.0</v>
      </c>
      <c r="F4904" s="7">
        <v>2.0</v>
      </c>
      <c r="G4904" s="7" t="s">
        <v>83</v>
      </c>
      <c r="H4904" s="7" t="s">
        <v>192</v>
      </c>
      <c r="I4904" s="7" t="s">
        <v>27</v>
      </c>
    </row>
    <row r="4905">
      <c r="A4905" s="7" t="s">
        <v>171</v>
      </c>
      <c r="B4905" s="7" t="s">
        <v>201</v>
      </c>
      <c r="C4905" s="8">
        <f>IFERROR(__xludf.DUMMYFUNCTION("SPLIT(B4905,""RM"")"),620000.0)</f>
        <v>620000</v>
      </c>
      <c r="D4905" s="7">
        <v>3.0</v>
      </c>
      <c r="E4905" s="7">
        <v>2.0</v>
      </c>
      <c r="F4905" s="7">
        <v>2.0</v>
      </c>
      <c r="G4905" s="7" t="s">
        <v>83</v>
      </c>
      <c r="H4905" s="7" t="s">
        <v>845</v>
      </c>
      <c r="I4905" s="7" t="s">
        <v>27</v>
      </c>
    </row>
    <row r="4906">
      <c r="A4906" s="7" t="s">
        <v>171</v>
      </c>
      <c r="B4906" s="7" t="s">
        <v>268</v>
      </c>
      <c r="C4906" s="8">
        <f>IFERROR(__xludf.DUMMYFUNCTION("SPLIT(B4906,""RM"")"),500000.0)</f>
        <v>500000</v>
      </c>
      <c r="D4906" s="7">
        <v>4.0</v>
      </c>
      <c r="E4906" s="7">
        <v>2.0</v>
      </c>
      <c r="F4906" s="7">
        <v>3.0</v>
      </c>
      <c r="G4906" s="7" t="s">
        <v>83</v>
      </c>
      <c r="H4906" s="7" t="s">
        <v>1068</v>
      </c>
      <c r="I4906" s="7" t="s">
        <v>27</v>
      </c>
    </row>
    <row r="4907">
      <c r="A4907" s="7" t="s">
        <v>100</v>
      </c>
      <c r="B4907" s="7" t="s">
        <v>2106</v>
      </c>
      <c r="C4907" s="8">
        <f>IFERROR(__xludf.DUMMYFUNCTION("SPLIT(B4907,""RM"")"),538000.0)</f>
        <v>538000</v>
      </c>
      <c r="D4907" s="7">
        <v>3.0</v>
      </c>
      <c r="E4907" s="7">
        <v>2.0</v>
      </c>
      <c r="F4907" s="7">
        <v>1.0</v>
      </c>
      <c r="G4907" s="7" t="s">
        <v>83</v>
      </c>
      <c r="H4907" s="7" t="s">
        <v>2035</v>
      </c>
      <c r="I4907" s="7" t="s">
        <v>27</v>
      </c>
    </row>
    <row r="4908">
      <c r="A4908" s="7" t="s">
        <v>32</v>
      </c>
      <c r="B4908" s="7" t="s">
        <v>1559</v>
      </c>
      <c r="C4908" s="8">
        <f>IFERROR(__xludf.DUMMYFUNCTION("SPLIT(B4908,""RM"")"),300000.0)</f>
        <v>300000</v>
      </c>
      <c r="D4908" s="7">
        <v>3.0</v>
      </c>
      <c r="E4908" s="7">
        <v>2.0</v>
      </c>
      <c r="F4908" s="7">
        <v>1.0</v>
      </c>
      <c r="G4908" s="7" t="s">
        <v>354</v>
      </c>
      <c r="H4908" s="7" t="s">
        <v>924</v>
      </c>
      <c r="I4908" s="7" t="s">
        <v>27</v>
      </c>
    </row>
    <row r="4909">
      <c r="A4909" s="7" t="s">
        <v>32</v>
      </c>
      <c r="B4909" s="7" t="s">
        <v>1981</v>
      </c>
      <c r="C4909" s="8">
        <f>IFERROR(__xludf.DUMMYFUNCTION("SPLIT(B4909,""RM"")"),310000.0)</f>
        <v>310000</v>
      </c>
      <c r="D4909" s="7">
        <v>3.0</v>
      </c>
      <c r="E4909" s="7">
        <v>2.0</v>
      </c>
      <c r="F4909" s="7">
        <v>1.0</v>
      </c>
      <c r="G4909" s="7" t="s">
        <v>83</v>
      </c>
      <c r="H4909" s="7" t="s">
        <v>2954</v>
      </c>
      <c r="I4909" s="7" t="s">
        <v>27</v>
      </c>
    </row>
    <row r="4910">
      <c r="A4910" s="7" t="s">
        <v>143</v>
      </c>
      <c r="B4910" s="7" t="s">
        <v>353</v>
      </c>
      <c r="C4910" s="8">
        <f>IFERROR(__xludf.DUMMYFUNCTION("SPLIT(B4910,""RM"")"),350000.0)</f>
        <v>350000</v>
      </c>
      <c r="D4910" s="7" t="s">
        <v>325</v>
      </c>
      <c r="E4910" s="7">
        <v>1.0</v>
      </c>
      <c r="G4910" s="7" t="s">
        <v>20</v>
      </c>
      <c r="H4910" s="7" t="s">
        <v>2955</v>
      </c>
      <c r="I4910" s="7" t="s">
        <v>22</v>
      </c>
    </row>
    <row r="4911">
      <c r="A4911" s="7" t="s">
        <v>171</v>
      </c>
      <c r="B4911" s="7" t="s">
        <v>87</v>
      </c>
      <c r="C4911" s="8">
        <f>IFERROR(__xludf.DUMMYFUNCTION("SPLIT(B4911,""RM"")"),490000.0)</f>
        <v>490000</v>
      </c>
      <c r="D4911" s="7">
        <v>4.0</v>
      </c>
      <c r="E4911" s="7">
        <v>2.0</v>
      </c>
      <c r="F4911" s="7">
        <v>2.0</v>
      </c>
      <c r="G4911" s="7" t="s">
        <v>83</v>
      </c>
      <c r="H4911" s="7" t="s">
        <v>192</v>
      </c>
      <c r="I4911" s="7" t="s">
        <v>27</v>
      </c>
    </row>
    <row r="4912">
      <c r="A4912" s="7" t="s">
        <v>86</v>
      </c>
      <c r="B4912" s="7" t="s">
        <v>210</v>
      </c>
      <c r="C4912" s="8">
        <f>IFERROR(__xludf.DUMMYFUNCTION("SPLIT(B4912,""RM"")"),1630000.0)</f>
        <v>1630000</v>
      </c>
      <c r="D4912" s="7" t="s">
        <v>57</v>
      </c>
      <c r="E4912" s="7">
        <v>4.0</v>
      </c>
      <c r="F4912" s="7">
        <v>2.0</v>
      </c>
      <c r="G4912" s="7" t="s">
        <v>83</v>
      </c>
      <c r="H4912" s="7" t="s">
        <v>2053</v>
      </c>
    </row>
    <row r="4913">
      <c r="A4913" s="7" t="s">
        <v>180</v>
      </c>
      <c r="B4913" s="7" t="s">
        <v>168</v>
      </c>
      <c r="C4913" s="8">
        <f>IFERROR(__xludf.DUMMYFUNCTION("SPLIT(B4913,""RM"")"),750000.0)</f>
        <v>750000</v>
      </c>
      <c r="D4913" s="7">
        <v>2.0</v>
      </c>
      <c r="E4913" s="7">
        <v>2.0</v>
      </c>
      <c r="G4913" s="7" t="s">
        <v>20</v>
      </c>
      <c r="H4913" s="7" t="s">
        <v>1759</v>
      </c>
      <c r="I4913" s="7" t="s">
        <v>22</v>
      </c>
    </row>
    <row r="4914">
      <c r="A4914" s="7" t="s">
        <v>180</v>
      </c>
      <c r="B4914" s="7" t="s">
        <v>1348</v>
      </c>
      <c r="C4914" s="8">
        <f>IFERROR(__xludf.DUMMYFUNCTION("SPLIT(B4914,""RM"")"),510000.0)</f>
        <v>510000</v>
      </c>
      <c r="D4914" s="7" t="s">
        <v>325</v>
      </c>
      <c r="E4914" s="7">
        <v>1.0</v>
      </c>
      <c r="G4914" s="7" t="s">
        <v>20</v>
      </c>
      <c r="H4914" s="7" t="s">
        <v>1812</v>
      </c>
      <c r="I4914" s="7" t="s">
        <v>22</v>
      </c>
    </row>
    <row r="4915">
      <c r="A4915" s="7" t="s">
        <v>32</v>
      </c>
      <c r="B4915" s="7" t="s">
        <v>1559</v>
      </c>
      <c r="C4915" s="8">
        <f>IFERROR(__xludf.DUMMYFUNCTION("SPLIT(B4915,""RM"")"),300000.0)</f>
        <v>300000</v>
      </c>
      <c r="D4915" s="7">
        <v>3.0</v>
      </c>
      <c r="E4915" s="7">
        <v>2.0</v>
      </c>
      <c r="G4915" s="7" t="s">
        <v>83</v>
      </c>
      <c r="H4915" s="7" t="s">
        <v>2954</v>
      </c>
      <c r="I4915" s="7" t="s">
        <v>27</v>
      </c>
    </row>
    <row r="4916">
      <c r="A4916" s="7" t="s">
        <v>171</v>
      </c>
      <c r="B4916" s="7" t="s">
        <v>975</v>
      </c>
      <c r="C4916" s="8">
        <f>IFERROR(__xludf.DUMMYFUNCTION("SPLIT(B4916,""RM"")"),400000.0)</f>
        <v>400000</v>
      </c>
      <c r="D4916" s="7">
        <v>2.0</v>
      </c>
      <c r="E4916" s="7">
        <v>2.0</v>
      </c>
      <c r="F4916" s="7">
        <v>2.0</v>
      </c>
      <c r="G4916" s="7" t="s">
        <v>20</v>
      </c>
      <c r="H4916" s="7" t="s">
        <v>1244</v>
      </c>
      <c r="I4916" s="7" t="s">
        <v>103</v>
      </c>
    </row>
    <row r="4917">
      <c r="A4917" s="7" t="s">
        <v>171</v>
      </c>
      <c r="B4917" s="7" t="s">
        <v>639</v>
      </c>
      <c r="C4917" s="8">
        <f>IFERROR(__xludf.DUMMYFUNCTION("SPLIT(B4917,""RM"")"),360000.0)</f>
        <v>360000</v>
      </c>
      <c r="D4917" s="7">
        <v>2.0</v>
      </c>
      <c r="E4917" s="7">
        <v>2.0</v>
      </c>
      <c r="F4917" s="7">
        <v>2.0</v>
      </c>
      <c r="G4917" s="7" t="s">
        <v>20</v>
      </c>
      <c r="H4917" s="7" t="s">
        <v>1244</v>
      </c>
      <c r="I4917" s="7" t="s">
        <v>103</v>
      </c>
    </row>
    <row r="4918">
      <c r="A4918" s="7" t="s">
        <v>171</v>
      </c>
      <c r="B4918" s="7" t="s">
        <v>268</v>
      </c>
      <c r="C4918" s="8">
        <f>IFERROR(__xludf.DUMMYFUNCTION("SPLIT(B4918,""RM"")"),500000.0)</f>
        <v>500000</v>
      </c>
      <c r="D4918" s="7">
        <v>3.0</v>
      </c>
      <c r="E4918" s="7">
        <v>2.0</v>
      </c>
      <c r="F4918" s="7">
        <v>2.0</v>
      </c>
      <c r="G4918" s="7" t="s">
        <v>20</v>
      </c>
      <c r="H4918" s="7" t="s">
        <v>884</v>
      </c>
      <c r="I4918" s="7" t="s">
        <v>27</v>
      </c>
    </row>
    <row r="4919">
      <c r="A4919" s="7" t="s">
        <v>171</v>
      </c>
      <c r="B4919" s="7" t="s">
        <v>761</v>
      </c>
      <c r="C4919" s="8">
        <f>IFERROR(__xludf.DUMMYFUNCTION("SPLIT(B4919,""RM"")"),480000.0)</f>
        <v>480000</v>
      </c>
      <c r="D4919" s="7">
        <v>3.0</v>
      </c>
      <c r="E4919" s="7">
        <v>2.0</v>
      </c>
      <c r="F4919" s="7">
        <v>1.0</v>
      </c>
      <c r="G4919" s="7" t="s">
        <v>121</v>
      </c>
      <c r="H4919" s="7" t="s">
        <v>1745</v>
      </c>
      <c r="I4919" s="7" t="s">
        <v>103</v>
      </c>
    </row>
    <row r="4920">
      <c r="A4920" s="7" t="s">
        <v>171</v>
      </c>
      <c r="B4920" s="7" t="s">
        <v>974</v>
      </c>
      <c r="C4920" s="8">
        <f>IFERROR(__xludf.DUMMYFUNCTION("SPLIT(B4920,""RM"")"),488000.0)</f>
        <v>488000</v>
      </c>
      <c r="D4920" s="7">
        <v>3.0</v>
      </c>
      <c r="E4920" s="7">
        <v>2.0</v>
      </c>
      <c r="F4920" s="7">
        <v>2.0</v>
      </c>
      <c r="G4920" s="7" t="s">
        <v>20</v>
      </c>
      <c r="H4920" s="7" t="s">
        <v>1319</v>
      </c>
      <c r="I4920" s="7" t="s">
        <v>22</v>
      </c>
    </row>
    <row r="4921">
      <c r="A4921" s="7" t="s">
        <v>171</v>
      </c>
      <c r="B4921" s="7" t="s">
        <v>969</v>
      </c>
      <c r="C4921" s="8">
        <f>IFERROR(__xludf.DUMMYFUNCTION("SPLIT(B4921,""RM"")"),430000.0)</f>
        <v>430000</v>
      </c>
      <c r="D4921" s="7">
        <v>2.0</v>
      </c>
      <c r="E4921" s="7">
        <v>2.0</v>
      </c>
      <c r="F4921" s="7">
        <v>2.0</v>
      </c>
      <c r="G4921" s="7" t="s">
        <v>20</v>
      </c>
      <c r="H4921" s="7" t="s">
        <v>2956</v>
      </c>
      <c r="I4921" s="7" t="s">
        <v>103</v>
      </c>
    </row>
    <row r="4922">
      <c r="A4922" s="7" t="s">
        <v>171</v>
      </c>
      <c r="B4922" s="7" t="s">
        <v>715</v>
      </c>
      <c r="C4922" s="8">
        <f>IFERROR(__xludf.DUMMYFUNCTION("SPLIT(B4922,""RM"")"),550000.0)</f>
        <v>550000</v>
      </c>
      <c r="D4922" s="7">
        <v>3.0</v>
      </c>
      <c r="E4922" s="7">
        <v>2.0</v>
      </c>
      <c r="F4922" s="7">
        <v>2.0</v>
      </c>
      <c r="G4922" s="7" t="s">
        <v>20</v>
      </c>
      <c r="H4922" s="7" t="s">
        <v>884</v>
      </c>
      <c r="I4922" s="7" t="s">
        <v>103</v>
      </c>
    </row>
    <row r="4923">
      <c r="A4923" s="7" t="s">
        <v>171</v>
      </c>
      <c r="B4923" s="7" t="s">
        <v>1111</v>
      </c>
      <c r="C4923" s="8">
        <f>IFERROR(__xludf.DUMMYFUNCTION("SPLIT(B4923,""RM"")"),390000.0)</f>
        <v>390000</v>
      </c>
      <c r="D4923" s="7">
        <v>3.0</v>
      </c>
      <c r="E4923" s="7">
        <v>2.0</v>
      </c>
      <c r="F4923" s="7">
        <v>2.0</v>
      </c>
      <c r="G4923" s="7" t="s">
        <v>121</v>
      </c>
      <c r="H4923" s="7" t="s">
        <v>1319</v>
      </c>
      <c r="I4923" s="7" t="s">
        <v>103</v>
      </c>
    </row>
    <row r="4924">
      <c r="A4924" s="7" t="s">
        <v>171</v>
      </c>
      <c r="B4924" s="7" t="s">
        <v>1910</v>
      </c>
      <c r="C4924" s="8">
        <f>IFERROR(__xludf.DUMMYFUNCTION("SPLIT(B4924,""RM"")"),378000.0)</f>
        <v>378000</v>
      </c>
      <c r="D4924" s="7">
        <v>2.0</v>
      </c>
      <c r="E4924" s="7">
        <v>2.0</v>
      </c>
      <c r="F4924" s="7">
        <v>2.0</v>
      </c>
      <c r="G4924" s="7" t="s">
        <v>121</v>
      </c>
      <c r="H4924" s="7" t="s">
        <v>1244</v>
      </c>
      <c r="I4924" s="7" t="s">
        <v>103</v>
      </c>
    </row>
    <row r="4925">
      <c r="A4925" s="7" t="s">
        <v>171</v>
      </c>
      <c r="B4925" s="7" t="s">
        <v>761</v>
      </c>
      <c r="C4925" s="8">
        <f>IFERROR(__xludf.DUMMYFUNCTION("SPLIT(B4925,""RM"")"),480000.0)</f>
        <v>480000</v>
      </c>
      <c r="D4925" s="7">
        <v>3.0</v>
      </c>
      <c r="E4925" s="7">
        <v>2.0</v>
      </c>
      <c r="F4925" s="7">
        <v>2.0</v>
      </c>
      <c r="G4925" s="7" t="s">
        <v>20</v>
      </c>
      <c r="H4925" s="7" t="s">
        <v>2957</v>
      </c>
      <c r="I4925" s="7" t="s">
        <v>27</v>
      </c>
    </row>
    <row r="4926">
      <c r="A4926" s="7" t="s">
        <v>171</v>
      </c>
      <c r="B4926" s="7" t="s">
        <v>2363</v>
      </c>
      <c r="C4926" s="8">
        <f>IFERROR(__xludf.DUMMYFUNCTION("SPLIT(B4926,""RM"")"),395000.0)</f>
        <v>395000</v>
      </c>
      <c r="D4926" s="7">
        <v>3.0</v>
      </c>
      <c r="E4926" s="7">
        <v>2.0</v>
      </c>
      <c r="F4926" s="7">
        <v>2.0</v>
      </c>
      <c r="G4926" s="7" t="s">
        <v>20</v>
      </c>
      <c r="H4926" s="7" t="s">
        <v>1319</v>
      </c>
      <c r="I4926" s="7" t="s">
        <v>103</v>
      </c>
    </row>
    <row r="4927">
      <c r="A4927" s="7" t="s">
        <v>171</v>
      </c>
      <c r="B4927" s="7" t="s">
        <v>543</v>
      </c>
      <c r="C4927" s="8">
        <f>IFERROR(__xludf.DUMMYFUNCTION("SPLIT(B4927,""RM"")"),425000.0)</f>
        <v>425000</v>
      </c>
      <c r="D4927" s="7">
        <v>3.0</v>
      </c>
      <c r="E4927" s="7">
        <v>2.0</v>
      </c>
      <c r="F4927" s="7">
        <v>2.0</v>
      </c>
      <c r="G4927" s="7" t="s">
        <v>20</v>
      </c>
      <c r="H4927" s="7" t="s">
        <v>1319</v>
      </c>
      <c r="I4927" s="7" t="s">
        <v>27</v>
      </c>
    </row>
    <row r="4928">
      <c r="A4928" s="7" t="s">
        <v>171</v>
      </c>
      <c r="B4928" s="7" t="s">
        <v>1111</v>
      </c>
      <c r="C4928" s="8">
        <f>IFERROR(__xludf.DUMMYFUNCTION("SPLIT(B4928,""RM"")"),390000.0)</f>
        <v>390000</v>
      </c>
      <c r="D4928" s="7">
        <v>3.0</v>
      </c>
      <c r="E4928" s="7">
        <v>2.0</v>
      </c>
      <c r="F4928" s="7">
        <v>2.0</v>
      </c>
      <c r="G4928" s="7" t="s">
        <v>20</v>
      </c>
      <c r="H4928" s="7" t="s">
        <v>1319</v>
      </c>
      <c r="I4928" s="7" t="s">
        <v>103</v>
      </c>
    </row>
    <row r="4929">
      <c r="A4929" s="7" t="s">
        <v>155</v>
      </c>
      <c r="B4929" s="7" t="s">
        <v>759</v>
      </c>
      <c r="C4929" s="8">
        <f>IFERROR(__xludf.DUMMYFUNCTION("SPLIT(B4929,""RM"")"),520000.0)</f>
        <v>520000</v>
      </c>
      <c r="D4929" s="7">
        <v>3.0</v>
      </c>
      <c r="E4929" s="7">
        <v>2.0</v>
      </c>
      <c r="F4929" s="7">
        <v>1.0</v>
      </c>
      <c r="G4929" s="7" t="s">
        <v>82</v>
      </c>
      <c r="H4929" s="7" t="s">
        <v>1808</v>
      </c>
      <c r="I4929" s="7" t="s">
        <v>103</v>
      </c>
    </row>
    <row r="4930">
      <c r="A4930" s="7" t="s">
        <v>155</v>
      </c>
      <c r="B4930" s="7" t="s">
        <v>2394</v>
      </c>
      <c r="C4930" s="8">
        <f>IFERROR(__xludf.DUMMYFUNCTION("SPLIT(B4930,""RM"")"),505000.0)</f>
        <v>505000</v>
      </c>
      <c r="D4930" s="7">
        <v>3.0</v>
      </c>
      <c r="E4930" s="7">
        <v>2.0</v>
      </c>
      <c r="F4930" s="7">
        <v>1.0</v>
      </c>
      <c r="G4930" s="7" t="s">
        <v>82</v>
      </c>
      <c r="H4930" s="7" t="s">
        <v>1808</v>
      </c>
      <c r="I4930" s="7" t="s">
        <v>103</v>
      </c>
    </row>
    <row r="4931">
      <c r="A4931" s="7" t="s">
        <v>171</v>
      </c>
      <c r="B4931" s="7" t="s">
        <v>510</v>
      </c>
      <c r="C4931" s="8">
        <f>IFERROR(__xludf.DUMMYFUNCTION("SPLIT(B4931,""RM"")"),380000.0)</f>
        <v>380000</v>
      </c>
      <c r="D4931" s="7">
        <v>2.0</v>
      </c>
      <c r="E4931" s="7">
        <v>2.0</v>
      </c>
      <c r="F4931" s="7">
        <v>2.0</v>
      </c>
      <c r="G4931" s="7" t="s">
        <v>20</v>
      </c>
      <c r="H4931" s="7" t="s">
        <v>1244</v>
      </c>
      <c r="I4931" s="7" t="s">
        <v>103</v>
      </c>
    </row>
    <row r="4932">
      <c r="A4932" s="7" t="s">
        <v>148</v>
      </c>
      <c r="B4932" s="7" t="s">
        <v>759</v>
      </c>
      <c r="C4932" s="8">
        <f>IFERROR(__xludf.DUMMYFUNCTION("SPLIT(B4932,""RM"")"),520000.0)</f>
        <v>520000</v>
      </c>
      <c r="D4932" s="7">
        <v>3.0</v>
      </c>
      <c r="E4932" s="7">
        <v>2.0</v>
      </c>
      <c r="F4932" s="7">
        <v>1.0</v>
      </c>
      <c r="G4932" s="7" t="s">
        <v>20</v>
      </c>
      <c r="H4932" s="7" t="s">
        <v>2180</v>
      </c>
      <c r="I4932" s="7" t="s">
        <v>27</v>
      </c>
    </row>
    <row r="4933">
      <c r="A4933" s="7" t="s">
        <v>155</v>
      </c>
      <c r="B4933" s="7" t="s">
        <v>702</v>
      </c>
      <c r="C4933" s="8">
        <f>IFERROR(__xludf.DUMMYFUNCTION("SPLIT(B4933,""RM"")"),410000.0)</f>
        <v>410000</v>
      </c>
      <c r="D4933" s="7">
        <v>3.0</v>
      </c>
      <c r="E4933" s="7">
        <v>2.0</v>
      </c>
      <c r="F4933" s="7">
        <v>2.0</v>
      </c>
      <c r="G4933" s="7" t="s">
        <v>20</v>
      </c>
      <c r="H4933" s="7" t="s">
        <v>1330</v>
      </c>
    </row>
    <row r="4934">
      <c r="A4934" s="7" t="s">
        <v>155</v>
      </c>
      <c r="B4934" s="7" t="s">
        <v>2958</v>
      </c>
      <c r="C4934" s="8">
        <f>IFERROR(__xludf.DUMMYFUNCTION("SPLIT(B4934,""RM"")"),333000.0)</f>
        <v>333000</v>
      </c>
      <c r="D4934" s="7">
        <v>2.0</v>
      </c>
      <c r="E4934" s="7">
        <v>2.0</v>
      </c>
      <c r="F4934" s="7">
        <v>1.0</v>
      </c>
      <c r="G4934" s="7" t="s">
        <v>20</v>
      </c>
      <c r="H4934" s="7" t="s">
        <v>242</v>
      </c>
    </row>
    <row r="4935">
      <c r="A4935" s="7" t="s">
        <v>171</v>
      </c>
      <c r="B4935" s="7" t="s">
        <v>715</v>
      </c>
      <c r="C4935" s="8">
        <f>IFERROR(__xludf.DUMMYFUNCTION("SPLIT(B4935,""RM"")"),550000.0)</f>
        <v>550000</v>
      </c>
      <c r="D4935" s="7">
        <v>3.0</v>
      </c>
      <c r="E4935" s="7">
        <v>2.0</v>
      </c>
      <c r="F4935" s="7">
        <v>2.0</v>
      </c>
      <c r="G4935" s="7" t="s">
        <v>121</v>
      </c>
      <c r="H4935" s="7" t="s">
        <v>884</v>
      </c>
      <c r="I4935" s="7" t="s">
        <v>22</v>
      </c>
    </row>
    <row r="4936">
      <c r="A4936" s="7" t="s">
        <v>23</v>
      </c>
      <c r="B4936" s="7" t="s">
        <v>2959</v>
      </c>
      <c r="C4936" s="8">
        <f>IFERROR(__xludf.DUMMYFUNCTION("SPLIT(B4936,""RM"")"),1206600.0)</f>
        <v>1206600</v>
      </c>
      <c r="D4936" s="7" t="s">
        <v>57</v>
      </c>
      <c r="E4936" s="7">
        <v>3.0</v>
      </c>
      <c r="F4936" s="7">
        <v>2.0</v>
      </c>
      <c r="G4936" s="7" t="s">
        <v>83</v>
      </c>
      <c r="H4936" s="7" t="s">
        <v>1153</v>
      </c>
      <c r="I4936" s="7" t="s">
        <v>27</v>
      </c>
    </row>
    <row r="4937">
      <c r="A4937" s="7" t="s">
        <v>155</v>
      </c>
      <c r="B4937" s="7" t="s">
        <v>168</v>
      </c>
      <c r="C4937" s="8">
        <f>IFERROR(__xludf.DUMMYFUNCTION("SPLIT(B4937,""RM"")"),750000.0)</f>
        <v>750000</v>
      </c>
      <c r="D4937" s="7">
        <v>3.0</v>
      </c>
      <c r="E4937" s="7">
        <v>2.0</v>
      </c>
      <c r="F4937" s="7">
        <v>1.0</v>
      </c>
      <c r="G4937" s="7" t="s">
        <v>121</v>
      </c>
      <c r="H4937" s="7" t="s">
        <v>2241</v>
      </c>
      <c r="I4937" s="7" t="s">
        <v>103</v>
      </c>
    </row>
    <row r="4938">
      <c r="A4938" s="7" t="s">
        <v>180</v>
      </c>
      <c r="B4938" s="7" t="s">
        <v>73</v>
      </c>
      <c r="C4938" s="8">
        <f>IFERROR(__xludf.DUMMYFUNCTION("SPLIT(B4938,""RM"")"),1780000.0)</f>
        <v>1780000</v>
      </c>
      <c r="D4938" s="7" t="s">
        <v>19</v>
      </c>
      <c r="E4938" s="7">
        <v>3.0</v>
      </c>
      <c r="G4938" s="7" t="s">
        <v>20</v>
      </c>
      <c r="H4938" s="7" t="s">
        <v>216</v>
      </c>
    </row>
    <row r="4939">
      <c r="A4939" s="7" t="s">
        <v>164</v>
      </c>
      <c r="B4939" s="7" t="s">
        <v>2960</v>
      </c>
      <c r="C4939" s="8">
        <f>IFERROR(__xludf.DUMMYFUNCTION("SPLIT(B4939,""RM"")"),4256840.0)</f>
        <v>4256840</v>
      </c>
      <c r="D4939" s="7" t="s">
        <v>35</v>
      </c>
      <c r="E4939" s="7">
        <v>6.0</v>
      </c>
      <c r="F4939" s="7">
        <v>2.0</v>
      </c>
      <c r="G4939" s="7" t="s">
        <v>20</v>
      </c>
      <c r="H4939" s="7" t="s">
        <v>2549</v>
      </c>
      <c r="I4939" s="7" t="s">
        <v>27</v>
      </c>
    </row>
    <row r="4940">
      <c r="A4940" s="7" t="s">
        <v>180</v>
      </c>
      <c r="B4940" s="7" t="s">
        <v>530</v>
      </c>
      <c r="C4940" s="8">
        <f>IFERROR(__xludf.DUMMYFUNCTION("SPLIT(B4940,""RM"")"),5000000.0)</f>
        <v>5000000</v>
      </c>
      <c r="D4940" s="7" t="s">
        <v>57</v>
      </c>
      <c r="E4940" s="7">
        <v>4.0</v>
      </c>
      <c r="G4940" s="7" t="s">
        <v>20</v>
      </c>
      <c r="H4940" s="7" t="s">
        <v>2961</v>
      </c>
    </row>
    <row r="4941">
      <c r="A4941" s="7" t="s">
        <v>180</v>
      </c>
      <c r="B4941" s="7" t="s">
        <v>42</v>
      </c>
      <c r="C4941" s="8">
        <f>IFERROR(__xludf.DUMMYFUNCTION("SPLIT(B4941,""RM"")"),2600000.0)</f>
        <v>2600000</v>
      </c>
      <c r="D4941" s="7" t="s">
        <v>57</v>
      </c>
      <c r="E4941" s="7">
        <v>4.0</v>
      </c>
      <c r="G4941" s="7" t="s">
        <v>20</v>
      </c>
      <c r="H4941" s="7" t="s">
        <v>150</v>
      </c>
      <c r="I4941" s="7" t="s">
        <v>27</v>
      </c>
    </row>
    <row r="4942">
      <c r="A4942" s="7" t="s">
        <v>109</v>
      </c>
      <c r="B4942" s="7" t="s">
        <v>107</v>
      </c>
      <c r="C4942" s="8">
        <f>IFERROR(__xludf.DUMMYFUNCTION("SPLIT(B4942,""RM"")"),460000.0)</f>
        <v>460000</v>
      </c>
      <c r="D4942" s="7">
        <v>3.0</v>
      </c>
      <c r="E4942" s="7">
        <v>2.0</v>
      </c>
      <c r="F4942" s="7">
        <v>1.0</v>
      </c>
      <c r="G4942" s="7" t="s">
        <v>83</v>
      </c>
      <c r="H4942" s="7" t="s">
        <v>157</v>
      </c>
      <c r="I4942" s="7" t="s">
        <v>27</v>
      </c>
    </row>
    <row r="4943">
      <c r="A4943" s="7" t="s">
        <v>155</v>
      </c>
      <c r="B4943" s="7" t="s">
        <v>221</v>
      </c>
      <c r="C4943" s="8">
        <f>IFERROR(__xludf.DUMMYFUNCTION("SPLIT(B4943,""RM"")"),630000.0)</f>
        <v>630000</v>
      </c>
      <c r="D4943" s="7">
        <v>3.0</v>
      </c>
      <c r="E4943" s="7">
        <v>3.0</v>
      </c>
      <c r="F4943" s="7">
        <v>2.0</v>
      </c>
      <c r="G4943" s="7" t="s">
        <v>30</v>
      </c>
      <c r="H4943" s="7" t="s">
        <v>544</v>
      </c>
      <c r="I4943" s="7" t="s">
        <v>27</v>
      </c>
    </row>
    <row r="4944">
      <c r="A4944" s="7" t="s">
        <v>17</v>
      </c>
      <c r="B4944" s="7" t="s">
        <v>475</v>
      </c>
      <c r="C4944" s="8">
        <f>IFERROR(__xludf.DUMMYFUNCTION("SPLIT(B4944,""RM"")"),2800000.0)</f>
        <v>2800000</v>
      </c>
      <c r="D4944" s="7" t="s">
        <v>35</v>
      </c>
      <c r="E4944" s="7">
        <v>5.0</v>
      </c>
      <c r="G4944" s="7" t="s">
        <v>20</v>
      </c>
      <c r="H4944" s="7" t="s">
        <v>1720</v>
      </c>
      <c r="I4944" s="7" t="s">
        <v>27</v>
      </c>
    </row>
    <row r="4945">
      <c r="A4945" s="7" t="s">
        <v>171</v>
      </c>
      <c r="B4945" s="7" t="s">
        <v>510</v>
      </c>
      <c r="C4945" s="8">
        <f>IFERROR(__xludf.DUMMYFUNCTION("SPLIT(B4945,""RM"")"),380000.0)</f>
        <v>380000</v>
      </c>
      <c r="D4945" s="7" t="s">
        <v>57</v>
      </c>
      <c r="E4945" s="7">
        <v>2.0</v>
      </c>
      <c r="F4945" s="7">
        <v>1.0</v>
      </c>
      <c r="G4945" s="7" t="s">
        <v>30</v>
      </c>
      <c r="H4945" s="7" t="s">
        <v>2962</v>
      </c>
      <c r="I4945" s="7" t="s">
        <v>103</v>
      </c>
    </row>
    <row r="4946">
      <c r="A4946" s="7" t="s">
        <v>2777</v>
      </c>
      <c r="B4946" s="7" t="s">
        <v>2963</v>
      </c>
      <c r="C4946" s="8">
        <f>IFERROR(__xludf.DUMMYFUNCTION("SPLIT(B4946,""RM"")"),192000.0)</f>
        <v>192000</v>
      </c>
      <c r="D4946" s="7">
        <v>3.0</v>
      </c>
      <c r="E4946" s="7">
        <v>2.0</v>
      </c>
      <c r="F4946" s="7">
        <v>1.0</v>
      </c>
      <c r="G4946" s="7" t="s">
        <v>354</v>
      </c>
      <c r="H4946" s="7" t="s">
        <v>187</v>
      </c>
      <c r="I4946" s="7" t="s">
        <v>27</v>
      </c>
    </row>
    <row r="4947">
      <c r="A4947" s="7" t="s">
        <v>52</v>
      </c>
      <c r="B4947" s="7" t="s">
        <v>702</v>
      </c>
      <c r="C4947" s="8">
        <f>IFERROR(__xludf.DUMMYFUNCTION("SPLIT(B4947,""RM"")"),410000.0)</f>
        <v>410000</v>
      </c>
      <c r="D4947" s="7">
        <v>1.0</v>
      </c>
      <c r="E4947" s="7">
        <v>1.0</v>
      </c>
      <c r="F4947" s="7">
        <v>1.0</v>
      </c>
      <c r="G4947" s="7" t="s">
        <v>20</v>
      </c>
      <c r="H4947" s="7" t="s">
        <v>2444</v>
      </c>
      <c r="I4947" s="7" t="s">
        <v>22</v>
      </c>
    </row>
    <row r="4948">
      <c r="A4948" s="7" t="s">
        <v>52</v>
      </c>
      <c r="B4948" s="7" t="s">
        <v>759</v>
      </c>
      <c r="C4948" s="8">
        <f>IFERROR(__xludf.DUMMYFUNCTION("SPLIT(B4948,""RM"")"),520000.0)</f>
        <v>520000</v>
      </c>
      <c r="D4948" s="7">
        <v>2.0</v>
      </c>
      <c r="E4948" s="7">
        <v>1.0</v>
      </c>
      <c r="G4948" s="7" t="s">
        <v>20</v>
      </c>
      <c r="H4948" s="7" t="s">
        <v>328</v>
      </c>
      <c r="I4948" s="7" t="s">
        <v>251</v>
      </c>
    </row>
    <row r="4949">
      <c r="A4949" s="7" t="s">
        <v>52</v>
      </c>
      <c r="B4949" s="7" t="s">
        <v>172</v>
      </c>
      <c r="C4949" s="8">
        <f>IFERROR(__xludf.DUMMYFUNCTION("SPLIT(B4949,""RM"")"),580000.0)</f>
        <v>580000</v>
      </c>
      <c r="D4949" s="7">
        <v>2.0</v>
      </c>
      <c r="E4949" s="7">
        <v>1.0</v>
      </c>
      <c r="F4949" s="7">
        <v>1.0</v>
      </c>
      <c r="G4949" s="7" t="s">
        <v>20</v>
      </c>
      <c r="H4949" s="7" t="s">
        <v>328</v>
      </c>
      <c r="I4949" s="7" t="s">
        <v>22</v>
      </c>
    </row>
    <row r="4950">
      <c r="A4950" s="7" t="s">
        <v>52</v>
      </c>
      <c r="B4950" s="7" t="s">
        <v>507</v>
      </c>
      <c r="C4950" s="8">
        <f>IFERROR(__xludf.DUMMYFUNCTION("SPLIT(B4950,""RM"")"),590000.0)</f>
        <v>590000</v>
      </c>
      <c r="D4950" s="7">
        <v>2.0</v>
      </c>
      <c r="E4950" s="7">
        <v>2.0</v>
      </c>
      <c r="F4950" s="7">
        <v>1.0</v>
      </c>
      <c r="G4950" s="7" t="s">
        <v>20</v>
      </c>
      <c r="H4950" s="7" t="s">
        <v>491</v>
      </c>
      <c r="I4950" s="7" t="s">
        <v>22</v>
      </c>
    </row>
    <row r="4951">
      <c r="A4951" s="7" t="s">
        <v>32</v>
      </c>
      <c r="B4951" s="7" t="s">
        <v>969</v>
      </c>
      <c r="C4951" s="8">
        <f>IFERROR(__xludf.DUMMYFUNCTION("SPLIT(B4951,""RM"")"),430000.0)</f>
        <v>430000</v>
      </c>
      <c r="D4951" s="7">
        <v>3.0</v>
      </c>
      <c r="E4951" s="7">
        <v>2.0</v>
      </c>
      <c r="G4951" s="7" t="s">
        <v>93</v>
      </c>
      <c r="H4951" s="7" t="s">
        <v>1560</v>
      </c>
      <c r="I4951" s="7" t="s">
        <v>103</v>
      </c>
    </row>
    <row r="4952">
      <c r="A4952" s="7" t="s">
        <v>1315</v>
      </c>
      <c r="B4952" s="7" t="s">
        <v>1114</v>
      </c>
      <c r="C4952" s="8">
        <f>IFERROR(__xludf.DUMMYFUNCTION("SPLIT(B4952,""RM"")"),890000.0)</f>
        <v>890000</v>
      </c>
      <c r="D4952" s="7" t="s">
        <v>57</v>
      </c>
      <c r="E4952" s="7">
        <v>4.0</v>
      </c>
      <c r="F4952" s="7">
        <v>2.0</v>
      </c>
      <c r="G4952" s="7" t="s">
        <v>83</v>
      </c>
      <c r="H4952" s="7" t="s">
        <v>726</v>
      </c>
      <c r="I4952" s="7" t="s">
        <v>22</v>
      </c>
    </row>
    <row r="4953">
      <c r="A4953" s="7" t="s">
        <v>52</v>
      </c>
      <c r="B4953" s="7" t="s">
        <v>563</v>
      </c>
      <c r="C4953" s="8">
        <f>IFERROR(__xludf.DUMMYFUNCTION("SPLIT(B4953,""RM"")"),600000.0)</f>
        <v>600000</v>
      </c>
      <c r="D4953" s="7">
        <v>2.0</v>
      </c>
      <c r="E4953" s="7">
        <v>1.0</v>
      </c>
      <c r="F4953" s="7">
        <v>1.0</v>
      </c>
      <c r="G4953" s="7" t="s">
        <v>20</v>
      </c>
      <c r="H4953" s="7" t="s">
        <v>328</v>
      </c>
      <c r="I4953" s="7" t="s">
        <v>22</v>
      </c>
    </row>
    <row r="4954">
      <c r="A4954" s="7" t="s">
        <v>52</v>
      </c>
      <c r="B4954" s="7" t="s">
        <v>2016</v>
      </c>
      <c r="C4954" s="8">
        <f>IFERROR(__xludf.DUMMYFUNCTION("SPLIT(B4954,""RM"")"),435000.0)</f>
        <v>435000</v>
      </c>
      <c r="D4954" s="7">
        <v>1.0</v>
      </c>
      <c r="E4954" s="7">
        <v>1.0</v>
      </c>
      <c r="F4954" s="7">
        <v>1.0</v>
      </c>
      <c r="G4954" s="7" t="s">
        <v>20</v>
      </c>
      <c r="H4954" s="7" t="s">
        <v>108</v>
      </c>
      <c r="I4954" s="7" t="s">
        <v>22</v>
      </c>
    </row>
    <row r="4955">
      <c r="A4955" s="7" t="s">
        <v>52</v>
      </c>
      <c r="B4955" s="7" t="s">
        <v>1423</v>
      </c>
      <c r="C4955" s="8">
        <f>IFERROR(__xludf.DUMMYFUNCTION("SPLIT(B4955,""RM"")"),420000.0)</f>
        <v>420000</v>
      </c>
      <c r="D4955" s="7">
        <v>1.0</v>
      </c>
      <c r="E4955" s="7">
        <v>1.0</v>
      </c>
      <c r="F4955" s="7">
        <v>1.0</v>
      </c>
      <c r="G4955" s="7" t="s">
        <v>20</v>
      </c>
      <c r="H4955" s="7" t="s">
        <v>2444</v>
      </c>
      <c r="I4955" s="7" t="s">
        <v>22</v>
      </c>
    </row>
    <row r="4956">
      <c r="A4956" s="7" t="s">
        <v>17</v>
      </c>
      <c r="B4956" s="7" t="s">
        <v>191</v>
      </c>
      <c r="C4956" s="8">
        <f>IFERROR(__xludf.DUMMYFUNCTION("SPLIT(B4956,""RM"")"),1000000.0)</f>
        <v>1000000</v>
      </c>
      <c r="D4956" s="7">
        <v>2.0</v>
      </c>
      <c r="E4956" s="7">
        <v>1.0</v>
      </c>
      <c r="F4956" s="7">
        <v>1.0</v>
      </c>
      <c r="G4956" s="7" t="s">
        <v>20</v>
      </c>
      <c r="H4956" s="7" t="s">
        <v>1303</v>
      </c>
      <c r="I4956" s="7" t="s">
        <v>22</v>
      </c>
    </row>
    <row r="4957">
      <c r="A4957" s="7" t="s">
        <v>52</v>
      </c>
      <c r="B4957" s="7" t="s">
        <v>1997</v>
      </c>
      <c r="C4957" s="8">
        <f>IFERROR(__xludf.DUMMYFUNCTION("SPLIT(B4957,""RM"")"),2500.0)</f>
        <v>2500</v>
      </c>
      <c r="D4957" s="7">
        <v>2.0</v>
      </c>
      <c r="E4957" s="7">
        <v>2.0</v>
      </c>
      <c r="F4957" s="7">
        <v>1.0</v>
      </c>
      <c r="G4957" s="7" t="s">
        <v>20</v>
      </c>
      <c r="H4957" s="7" t="s">
        <v>491</v>
      </c>
      <c r="I4957" s="7" t="s">
        <v>22</v>
      </c>
    </row>
    <row r="4958">
      <c r="A4958" s="7" t="s">
        <v>17</v>
      </c>
      <c r="B4958" s="7" t="s">
        <v>229</v>
      </c>
      <c r="C4958" s="8">
        <f>IFERROR(__xludf.DUMMYFUNCTION("SPLIT(B4958,""RM"")"),1050000.0)</f>
        <v>1050000</v>
      </c>
      <c r="D4958" s="7">
        <v>2.0</v>
      </c>
      <c r="E4958" s="7">
        <v>2.0</v>
      </c>
      <c r="F4958" s="7">
        <v>2.0</v>
      </c>
      <c r="G4958" s="7" t="s">
        <v>20</v>
      </c>
      <c r="H4958" s="7" t="s">
        <v>1303</v>
      </c>
      <c r="I4958" s="7" t="s">
        <v>22</v>
      </c>
    </row>
    <row r="4959">
      <c r="A4959" s="7" t="s">
        <v>52</v>
      </c>
      <c r="B4959" s="7" t="s">
        <v>168</v>
      </c>
      <c r="C4959" s="8">
        <f>IFERROR(__xludf.DUMMYFUNCTION("SPLIT(B4959,""RM"")"),750000.0)</f>
        <v>750000</v>
      </c>
      <c r="D4959" s="7">
        <v>3.0</v>
      </c>
      <c r="E4959" s="7">
        <v>2.0</v>
      </c>
      <c r="F4959" s="7">
        <v>1.0</v>
      </c>
      <c r="G4959" s="7" t="s">
        <v>20</v>
      </c>
      <c r="H4959" s="7" t="s">
        <v>490</v>
      </c>
      <c r="I4959" s="7" t="s">
        <v>22</v>
      </c>
    </row>
    <row r="4960">
      <c r="A4960" s="7" t="s">
        <v>72</v>
      </c>
      <c r="B4960" s="7" t="s">
        <v>2964</v>
      </c>
      <c r="C4960" s="8">
        <f>IFERROR(__xludf.DUMMYFUNCTION("SPLIT(B4960,""RM"")"),3698000.0)</f>
        <v>3698000</v>
      </c>
      <c r="D4960" s="7" t="s">
        <v>60</v>
      </c>
      <c r="E4960" s="7">
        <v>7.0</v>
      </c>
      <c r="G4960" s="7" t="s">
        <v>25</v>
      </c>
      <c r="H4960" s="7" t="s">
        <v>2965</v>
      </c>
      <c r="I4960" s="7" t="s">
        <v>27</v>
      </c>
    </row>
    <row r="4961">
      <c r="A4961" s="7" t="s">
        <v>17</v>
      </c>
      <c r="B4961" s="7" t="s">
        <v>168</v>
      </c>
      <c r="C4961" s="8">
        <f>IFERROR(__xludf.DUMMYFUNCTION("SPLIT(B4961,""RM"")"),750000.0)</f>
        <v>750000</v>
      </c>
      <c r="D4961" s="7">
        <v>1.0</v>
      </c>
      <c r="E4961" s="7">
        <v>1.0</v>
      </c>
      <c r="F4961" s="7">
        <v>1.0</v>
      </c>
      <c r="G4961" s="7" t="s">
        <v>20</v>
      </c>
      <c r="H4961" s="7" t="s">
        <v>756</v>
      </c>
      <c r="I4961" s="7" t="s">
        <v>22</v>
      </c>
    </row>
    <row r="4962">
      <c r="A4962" s="7" t="s">
        <v>428</v>
      </c>
      <c r="B4962" s="7" t="s">
        <v>361</v>
      </c>
      <c r="C4962" s="8">
        <f>IFERROR(__xludf.DUMMYFUNCTION("SPLIT(B4962,""RM"")"),530000.0)</f>
        <v>530000</v>
      </c>
      <c r="D4962" s="7">
        <v>2.0</v>
      </c>
      <c r="E4962" s="7">
        <v>1.0</v>
      </c>
      <c r="F4962" s="7">
        <v>1.0</v>
      </c>
      <c r="G4962" s="7" t="s">
        <v>20</v>
      </c>
      <c r="H4962" s="7" t="s">
        <v>1391</v>
      </c>
      <c r="I4962" s="7" t="s">
        <v>22</v>
      </c>
    </row>
    <row r="4963">
      <c r="A4963" s="7" t="s">
        <v>1476</v>
      </c>
      <c r="B4963" s="7" t="s">
        <v>1994</v>
      </c>
      <c r="C4963" s="8">
        <f>IFERROR(__xludf.DUMMYFUNCTION("SPLIT(B4963,""RM"")"),335000.0)</f>
        <v>335000</v>
      </c>
      <c r="D4963" s="7">
        <v>3.0</v>
      </c>
      <c r="E4963" s="7">
        <v>2.0</v>
      </c>
      <c r="F4963" s="7">
        <v>1.0</v>
      </c>
      <c r="G4963" s="7" t="s">
        <v>354</v>
      </c>
      <c r="H4963" s="7" t="s">
        <v>703</v>
      </c>
      <c r="I4963" s="7" t="s">
        <v>22</v>
      </c>
    </row>
    <row r="4964">
      <c r="A4964" s="7" t="s">
        <v>241</v>
      </c>
      <c r="B4964" s="7" t="s">
        <v>381</v>
      </c>
      <c r="C4964" s="8">
        <f>IFERROR(__xludf.DUMMYFUNCTION("SPLIT(B4964,""RM"")"),960000.0)</f>
        <v>960000</v>
      </c>
      <c r="D4964" s="7" t="s">
        <v>57</v>
      </c>
      <c r="E4964" s="7">
        <v>3.0</v>
      </c>
      <c r="F4964" s="7">
        <v>2.0</v>
      </c>
      <c r="G4964" s="7" t="s">
        <v>30</v>
      </c>
      <c r="H4964" s="7" t="s">
        <v>1125</v>
      </c>
      <c r="I4964" s="7" t="s">
        <v>27</v>
      </c>
    </row>
    <row r="4965">
      <c r="A4965" s="7" t="s">
        <v>241</v>
      </c>
      <c r="B4965" s="7" t="s">
        <v>1075</v>
      </c>
      <c r="C4965" s="8">
        <f>IFERROR(__xludf.DUMMYFUNCTION("SPLIT(B4965,""RM"")"),790000.0)</f>
        <v>790000</v>
      </c>
      <c r="D4965" s="7" t="s">
        <v>57</v>
      </c>
      <c r="E4965" s="7">
        <v>3.0</v>
      </c>
      <c r="F4965" s="7">
        <v>2.0</v>
      </c>
      <c r="G4965" s="7" t="s">
        <v>93</v>
      </c>
      <c r="H4965" s="7" t="s">
        <v>473</v>
      </c>
      <c r="I4965" s="7" t="s">
        <v>27</v>
      </c>
    </row>
    <row r="4966">
      <c r="A4966" s="7" t="s">
        <v>33</v>
      </c>
      <c r="B4966" s="7" t="s">
        <v>206</v>
      </c>
      <c r="C4966" s="8">
        <f>IFERROR(__xludf.DUMMYFUNCTION("SPLIT(B4966,""RM"")"),920000.0)</f>
        <v>920000</v>
      </c>
      <c r="D4966" s="7" t="s">
        <v>57</v>
      </c>
      <c r="E4966" s="7">
        <v>3.0</v>
      </c>
      <c r="F4966" s="7">
        <v>2.0</v>
      </c>
      <c r="G4966" s="7" t="s">
        <v>83</v>
      </c>
      <c r="H4966" s="7" t="s">
        <v>21</v>
      </c>
      <c r="I4966" s="7" t="s">
        <v>27</v>
      </c>
    </row>
    <row r="4967">
      <c r="A4967" s="7" t="s">
        <v>100</v>
      </c>
      <c r="B4967" s="7" t="s">
        <v>409</v>
      </c>
      <c r="C4967" s="8">
        <f>IFERROR(__xludf.DUMMYFUNCTION("SPLIT(B4967,""RM"")"),655000.0)</f>
        <v>655000</v>
      </c>
      <c r="D4967" s="7">
        <v>3.0</v>
      </c>
      <c r="E4967" s="7">
        <v>2.0</v>
      </c>
      <c r="F4967" s="7">
        <v>2.0</v>
      </c>
      <c r="G4967" s="7" t="s">
        <v>83</v>
      </c>
      <c r="H4967" s="7" t="s">
        <v>1808</v>
      </c>
      <c r="I4967" s="7" t="s">
        <v>27</v>
      </c>
    </row>
    <row r="4968">
      <c r="A4968" s="7" t="s">
        <v>33</v>
      </c>
      <c r="B4968" s="7" t="s">
        <v>842</v>
      </c>
      <c r="C4968" s="8">
        <f>IFERROR(__xludf.DUMMYFUNCTION("SPLIT(B4968,""RM"")"),5800000.0)</f>
        <v>5800000</v>
      </c>
      <c r="D4968" s="7" t="s">
        <v>70</v>
      </c>
      <c r="E4968" s="7">
        <v>7.0</v>
      </c>
      <c r="F4968" s="7">
        <v>4.0</v>
      </c>
      <c r="G4968" s="7" t="s">
        <v>61</v>
      </c>
      <c r="H4968" s="7" t="s">
        <v>2282</v>
      </c>
      <c r="I4968" s="7" t="s">
        <v>27</v>
      </c>
    </row>
    <row r="4969">
      <c r="A4969" s="7" t="s">
        <v>77</v>
      </c>
      <c r="B4969" s="7" t="s">
        <v>110</v>
      </c>
      <c r="C4969" s="8">
        <f>IFERROR(__xludf.DUMMYFUNCTION("SPLIT(B4969,""RM"")"),2400000.0)</f>
        <v>2400000</v>
      </c>
      <c r="D4969" s="7" t="s">
        <v>218</v>
      </c>
      <c r="E4969" s="7">
        <v>6.0</v>
      </c>
      <c r="F4969" s="7">
        <v>2.0</v>
      </c>
      <c r="G4969" s="7" t="s">
        <v>90</v>
      </c>
      <c r="H4969" s="7" t="s">
        <v>211</v>
      </c>
      <c r="I4969" s="7" t="s">
        <v>27</v>
      </c>
    </row>
    <row r="4970">
      <c r="A4970" s="7" t="s">
        <v>77</v>
      </c>
      <c r="B4970" s="7" t="s">
        <v>610</v>
      </c>
      <c r="C4970" s="8">
        <f>IFERROR(__xludf.DUMMYFUNCTION("SPLIT(B4970,""RM"")"),2250000.0)</f>
        <v>2250000</v>
      </c>
      <c r="D4970" s="7">
        <v>4.0</v>
      </c>
      <c r="E4970" s="7">
        <v>4.0</v>
      </c>
      <c r="F4970" s="7">
        <v>2.0</v>
      </c>
      <c r="G4970" s="7" t="s">
        <v>273</v>
      </c>
      <c r="H4970" s="7" t="s">
        <v>2966</v>
      </c>
      <c r="I4970" s="7" t="s">
        <v>22</v>
      </c>
    </row>
    <row r="4971">
      <c r="A4971" s="7" t="s">
        <v>100</v>
      </c>
      <c r="B4971" s="7" t="s">
        <v>247</v>
      </c>
      <c r="C4971" s="8">
        <f>IFERROR(__xludf.DUMMYFUNCTION("SPLIT(B4971,""RM"")"),1980000.0)</f>
        <v>1980000</v>
      </c>
      <c r="D4971" s="7">
        <v>4.0</v>
      </c>
      <c r="E4971" s="7">
        <v>3.0</v>
      </c>
      <c r="G4971" s="7" t="s">
        <v>61</v>
      </c>
      <c r="H4971" s="7" t="s">
        <v>2967</v>
      </c>
      <c r="I4971" s="7" t="s">
        <v>27</v>
      </c>
    </row>
    <row r="4972">
      <c r="A4972" s="7" t="s">
        <v>23</v>
      </c>
      <c r="B4972" s="7" t="s">
        <v>151</v>
      </c>
      <c r="C4972" s="8">
        <f>IFERROR(__xludf.DUMMYFUNCTION("SPLIT(B4972,""RM"")"),4800000.0)</f>
        <v>4800000</v>
      </c>
      <c r="D4972" s="7" t="s">
        <v>70</v>
      </c>
      <c r="E4972" s="7">
        <v>4.0</v>
      </c>
      <c r="G4972" s="7" t="s">
        <v>61</v>
      </c>
      <c r="H4972" s="7" t="s">
        <v>798</v>
      </c>
      <c r="I4972" s="7" t="s">
        <v>27</v>
      </c>
    </row>
    <row r="4973">
      <c r="A4973" s="7" t="s">
        <v>2307</v>
      </c>
      <c r="B4973" s="7" t="s">
        <v>966</v>
      </c>
      <c r="C4973" s="8">
        <f>IFERROR(__xludf.DUMMYFUNCTION("SPLIT(B4973,""RM"")"),688000.0)</f>
        <v>688000</v>
      </c>
      <c r="D4973" s="7">
        <v>3.0</v>
      </c>
      <c r="E4973" s="7">
        <v>2.0</v>
      </c>
      <c r="F4973" s="7">
        <v>1.0</v>
      </c>
      <c r="G4973" s="7" t="s">
        <v>82</v>
      </c>
      <c r="H4973" s="7" t="s">
        <v>734</v>
      </c>
      <c r="I4973" s="7" t="s">
        <v>22</v>
      </c>
    </row>
    <row r="4974">
      <c r="A4974" s="7" t="s">
        <v>180</v>
      </c>
      <c r="B4974" s="7" t="s">
        <v>403</v>
      </c>
      <c r="C4974" s="8">
        <f>IFERROR(__xludf.DUMMYFUNCTION("SPLIT(B4974,""RM"")"),1600000.0)</f>
        <v>1600000</v>
      </c>
      <c r="D4974" s="7">
        <v>1.0</v>
      </c>
      <c r="E4974" s="7">
        <v>2.0</v>
      </c>
      <c r="F4974" s="7">
        <v>1.0</v>
      </c>
      <c r="G4974" s="7" t="s">
        <v>82</v>
      </c>
      <c r="H4974" s="7" t="s">
        <v>2244</v>
      </c>
      <c r="I4974" s="7" t="s">
        <v>22</v>
      </c>
    </row>
    <row r="4975">
      <c r="A4975" s="7" t="s">
        <v>41</v>
      </c>
      <c r="B4975" s="7" t="s">
        <v>715</v>
      </c>
      <c r="C4975" s="8">
        <f>IFERROR(__xludf.DUMMYFUNCTION("SPLIT(B4975,""RM"")"),550000.0)</f>
        <v>550000</v>
      </c>
      <c r="D4975" s="7">
        <v>2.0</v>
      </c>
      <c r="E4975" s="7">
        <v>2.0</v>
      </c>
      <c r="F4975" s="7">
        <v>1.0</v>
      </c>
      <c r="G4975" s="7" t="s">
        <v>83</v>
      </c>
      <c r="H4975" s="7" t="s">
        <v>978</v>
      </c>
      <c r="I4975" s="7" t="s">
        <v>27</v>
      </c>
    </row>
    <row r="4976">
      <c r="A4976" s="7" t="s">
        <v>100</v>
      </c>
      <c r="B4976" s="7" t="s">
        <v>2968</v>
      </c>
      <c r="C4976" s="8">
        <f>IFERROR(__xludf.DUMMYFUNCTION("SPLIT(B4976,""RM"")"),1053000.0)</f>
        <v>1053000</v>
      </c>
      <c r="D4976" s="7" t="s">
        <v>57</v>
      </c>
      <c r="E4976" s="7">
        <v>4.0</v>
      </c>
      <c r="F4976" s="7">
        <v>2.0</v>
      </c>
      <c r="G4976" s="7" t="s">
        <v>83</v>
      </c>
      <c r="H4976" s="7" t="s">
        <v>1093</v>
      </c>
      <c r="I4976" s="7" t="s">
        <v>27</v>
      </c>
    </row>
    <row r="4977">
      <c r="A4977" s="7" t="s">
        <v>100</v>
      </c>
      <c r="B4977" s="7" t="s">
        <v>2969</v>
      </c>
      <c r="C4977" s="8">
        <f>IFERROR(__xludf.DUMMYFUNCTION("SPLIT(B4977,""RM"")"),812000.0)</f>
        <v>812000</v>
      </c>
      <c r="D4977" s="7" t="s">
        <v>57</v>
      </c>
      <c r="E4977" s="7">
        <v>4.0</v>
      </c>
      <c r="F4977" s="7">
        <v>2.0</v>
      </c>
      <c r="G4977" s="7" t="s">
        <v>83</v>
      </c>
      <c r="H4977" s="7" t="s">
        <v>1688</v>
      </c>
      <c r="I4977" s="7" t="s">
        <v>27</v>
      </c>
    </row>
    <row r="4978">
      <c r="A4978" s="7" t="s">
        <v>41</v>
      </c>
      <c r="B4978" s="7" t="s">
        <v>2553</v>
      </c>
      <c r="C4978" s="8">
        <f>IFERROR(__xludf.DUMMYFUNCTION("SPLIT(B4978,""RM"")"),898380.0)</f>
        <v>898380</v>
      </c>
      <c r="D4978" s="7">
        <v>3.0</v>
      </c>
      <c r="E4978" s="7">
        <v>2.0</v>
      </c>
      <c r="F4978" s="7">
        <v>2.0</v>
      </c>
      <c r="G4978" s="7" t="s">
        <v>83</v>
      </c>
      <c r="H4978" s="7" t="s">
        <v>237</v>
      </c>
      <c r="I4978" s="7" t="s">
        <v>27</v>
      </c>
    </row>
    <row r="4979">
      <c r="A4979" s="7" t="s">
        <v>41</v>
      </c>
      <c r="B4979" s="7" t="s">
        <v>2970</v>
      </c>
      <c r="C4979" s="8">
        <f>IFERROR(__xludf.DUMMYFUNCTION("SPLIT(B4979,""RM"")"),707000.0)</f>
        <v>707000</v>
      </c>
      <c r="D4979" s="7">
        <v>2.0</v>
      </c>
      <c r="E4979" s="7">
        <v>2.0</v>
      </c>
      <c r="F4979" s="7">
        <v>1.0</v>
      </c>
      <c r="G4979" s="7" t="s">
        <v>83</v>
      </c>
      <c r="H4979" s="7" t="s">
        <v>2971</v>
      </c>
      <c r="I4979" s="7" t="s">
        <v>27</v>
      </c>
    </row>
    <row r="4980">
      <c r="A4980" s="7" t="s">
        <v>515</v>
      </c>
      <c r="B4980" s="7" t="s">
        <v>120</v>
      </c>
      <c r="C4980" s="8">
        <f>IFERROR(__xludf.DUMMYFUNCTION("SPLIT(B4980,""RM"")"),3600000.0)</f>
        <v>3600000</v>
      </c>
      <c r="D4980" s="7" t="s">
        <v>60</v>
      </c>
      <c r="E4980" s="7">
        <v>6.0</v>
      </c>
      <c r="G4980" s="7" t="s">
        <v>67</v>
      </c>
      <c r="H4980" s="7" t="s">
        <v>2245</v>
      </c>
      <c r="I4980" s="7" t="s">
        <v>27</v>
      </c>
    </row>
    <row r="4981">
      <c r="A4981" s="7" t="s">
        <v>171</v>
      </c>
      <c r="B4981" s="7" t="s">
        <v>1423</v>
      </c>
      <c r="C4981" s="8">
        <f>IFERROR(__xludf.DUMMYFUNCTION("SPLIT(B4981,""RM"")"),420000.0)</f>
        <v>420000</v>
      </c>
      <c r="G4981" s="7" t="s">
        <v>20</v>
      </c>
    </row>
    <row r="4982">
      <c r="A4982" s="7" t="s">
        <v>100</v>
      </c>
      <c r="B4982" s="7" t="s">
        <v>2972</v>
      </c>
      <c r="C4982" s="8">
        <f>IFERROR(__xludf.DUMMYFUNCTION("SPLIT(B4982,""RM"")"),933000.0)</f>
        <v>933000</v>
      </c>
      <c r="D4982" s="7" t="s">
        <v>19</v>
      </c>
      <c r="E4982" s="7">
        <v>3.0</v>
      </c>
      <c r="F4982" s="7">
        <v>2.0</v>
      </c>
      <c r="G4982" s="7" t="s">
        <v>93</v>
      </c>
      <c r="H4982" s="7" t="s">
        <v>732</v>
      </c>
      <c r="I4982" s="7" t="s">
        <v>27</v>
      </c>
    </row>
    <row r="4983">
      <c r="A4983" s="7" t="s">
        <v>2777</v>
      </c>
      <c r="B4983" s="7" t="s">
        <v>1784</v>
      </c>
      <c r="C4983" s="8">
        <f>IFERROR(__xludf.DUMMYFUNCTION("SPLIT(B4983,""RM"")"),295000.0)</f>
        <v>295000</v>
      </c>
      <c r="D4983" s="7">
        <v>3.0</v>
      </c>
      <c r="E4983" s="7">
        <v>1.0</v>
      </c>
      <c r="F4983" s="7">
        <v>2.0</v>
      </c>
      <c r="G4983" s="7" t="s">
        <v>46</v>
      </c>
      <c r="H4983" s="7" t="s">
        <v>2973</v>
      </c>
      <c r="I4983" s="7" t="s">
        <v>103</v>
      </c>
    </row>
    <row r="4984">
      <c r="A4984" s="7" t="s">
        <v>371</v>
      </c>
      <c r="B4984" s="7" t="s">
        <v>967</v>
      </c>
      <c r="C4984" s="8">
        <f>IFERROR(__xludf.DUMMYFUNCTION("SPLIT(B4984,""RM"")"),680000.0)</f>
        <v>680000</v>
      </c>
      <c r="D4984" s="7">
        <v>3.0</v>
      </c>
      <c r="E4984" s="7">
        <v>3.0</v>
      </c>
      <c r="F4984" s="7">
        <v>2.0</v>
      </c>
      <c r="G4984" s="7" t="s">
        <v>54</v>
      </c>
      <c r="H4984" s="7" t="s">
        <v>2974</v>
      </c>
      <c r="I4984" s="7" t="s">
        <v>27</v>
      </c>
    </row>
    <row r="4985">
      <c r="A4985" s="7" t="s">
        <v>1014</v>
      </c>
      <c r="B4985" s="7" t="s">
        <v>1015</v>
      </c>
      <c r="C4985" s="8">
        <f>IFERROR(__xludf.DUMMYFUNCTION("SPLIT(B4985,""RM"")"),561100.0)</f>
        <v>561100</v>
      </c>
      <c r="D4985" s="7" t="s">
        <v>57</v>
      </c>
      <c r="E4985" s="7">
        <v>4.0</v>
      </c>
      <c r="G4985" s="7" t="s">
        <v>793</v>
      </c>
      <c r="H4985" s="7" t="s">
        <v>1016</v>
      </c>
      <c r="I4985" s="7" t="s">
        <v>251</v>
      </c>
    </row>
    <row r="4986">
      <c r="A4986" s="7" t="s">
        <v>32</v>
      </c>
      <c r="B4986" s="7" t="s">
        <v>172</v>
      </c>
      <c r="C4986" s="8">
        <f>IFERROR(__xludf.DUMMYFUNCTION("SPLIT(B4986,""RM"")"),580000.0)</f>
        <v>580000</v>
      </c>
      <c r="D4986" s="7">
        <v>3.0</v>
      </c>
      <c r="E4986" s="7">
        <v>3.0</v>
      </c>
      <c r="G4986" s="7" t="s">
        <v>169</v>
      </c>
      <c r="H4986" s="7" t="s">
        <v>795</v>
      </c>
      <c r="I4986" s="7" t="s">
        <v>27</v>
      </c>
    </row>
    <row r="4987">
      <c r="A4987" s="7" t="s">
        <v>32</v>
      </c>
      <c r="B4987" s="7" t="s">
        <v>1423</v>
      </c>
      <c r="C4987" s="8">
        <f>IFERROR(__xludf.DUMMYFUNCTION("SPLIT(B4987,""RM"")"),420000.0)</f>
        <v>420000</v>
      </c>
      <c r="D4987" s="7">
        <v>2.0</v>
      </c>
      <c r="E4987" s="7">
        <v>2.0</v>
      </c>
      <c r="F4987" s="7">
        <v>1.0</v>
      </c>
      <c r="G4987" s="7" t="s">
        <v>83</v>
      </c>
      <c r="H4987" s="7" t="s">
        <v>505</v>
      </c>
    </row>
    <row r="4988">
      <c r="A4988" s="7" t="s">
        <v>33</v>
      </c>
      <c r="B4988" s="7" t="s">
        <v>138</v>
      </c>
      <c r="C4988" s="8">
        <f>IFERROR(__xludf.DUMMYFUNCTION("SPLIT(B4988,""RM"")"),930000.0)</f>
        <v>930000</v>
      </c>
      <c r="D4988" s="7" t="s">
        <v>35</v>
      </c>
      <c r="E4988" s="7">
        <v>3.0</v>
      </c>
      <c r="F4988" s="7">
        <v>2.0</v>
      </c>
      <c r="G4988" s="7" t="s">
        <v>83</v>
      </c>
      <c r="H4988" s="7" t="s">
        <v>36</v>
      </c>
      <c r="I4988" s="7" t="s">
        <v>27</v>
      </c>
    </row>
    <row r="4989">
      <c r="A4989" s="7" t="s">
        <v>1014</v>
      </c>
      <c r="B4989" s="7" t="s">
        <v>132</v>
      </c>
      <c r="C4989" s="8">
        <f>IFERROR(__xludf.DUMMYFUNCTION("SPLIT(B4989,""RM"")"),1080000.0)</f>
        <v>1080000</v>
      </c>
      <c r="D4989" s="7" t="s">
        <v>35</v>
      </c>
      <c r="E4989" s="7">
        <v>3.0</v>
      </c>
      <c r="F4989" s="7">
        <v>2.0</v>
      </c>
      <c r="G4989" s="7" t="s">
        <v>169</v>
      </c>
      <c r="H4989" s="7" t="s">
        <v>283</v>
      </c>
      <c r="I4989" s="7" t="s">
        <v>27</v>
      </c>
    </row>
    <row r="4990">
      <c r="A4990" s="7" t="s">
        <v>28</v>
      </c>
      <c r="B4990" s="7" t="s">
        <v>759</v>
      </c>
      <c r="C4990" s="8">
        <f>IFERROR(__xludf.DUMMYFUNCTION("SPLIT(B4990,""RM"")"),520000.0)</f>
        <v>520000</v>
      </c>
      <c r="D4990" s="7">
        <v>3.0</v>
      </c>
      <c r="E4990" s="7">
        <v>2.0</v>
      </c>
      <c r="F4990" s="7">
        <v>2.0</v>
      </c>
      <c r="G4990" s="7" t="s">
        <v>83</v>
      </c>
      <c r="H4990" s="7" t="s">
        <v>734</v>
      </c>
      <c r="I4990" s="7" t="s">
        <v>27</v>
      </c>
    </row>
    <row r="4991">
      <c r="A4991" s="7" t="s">
        <v>32</v>
      </c>
      <c r="B4991" s="7" t="s">
        <v>639</v>
      </c>
      <c r="C4991" s="8">
        <f>IFERROR(__xludf.DUMMYFUNCTION("SPLIT(B4991,""RM"")"),360000.0)</f>
        <v>360000</v>
      </c>
      <c r="D4991" s="7" t="s">
        <v>325</v>
      </c>
      <c r="E4991" s="7">
        <v>1.0</v>
      </c>
      <c r="G4991" s="7" t="s">
        <v>20</v>
      </c>
      <c r="H4991" s="7" t="s">
        <v>1350</v>
      </c>
      <c r="I4991" s="7" t="s">
        <v>22</v>
      </c>
    </row>
    <row r="4992">
      <c r="A4992" s="7" t="s">
        <v>100</v>
      </c>
      <c r="B4992" s="7" t="s">
        <v>1011</v>
      </c>
      <c r="C4992" s="8">
        <f>IFERROR(__xludf.DUMMYFUNCTION("SPLIT(B4992,""RM"")"),398000.0)</f>
        <v>398000</v>
      </c>
      <c r="D4992" s="7">
        <v>3.0</v>
      </c>
      <c r="E4992" s="7">
        <v>2.0</v>
      </c>
      <c r="F4992" s="7">
        <v>2.0</v>
      </c>
      <c r="G4992" s="7" t="s">
        <v>82</v>
      </c>
      <c r="H4992" s="7" t="s">
        <v>491</v>
      </c>
      <c r="I4992" s="7" t="s">
        <v>103</v>
      </c>
    </row>
    <row r="4993">
      <c r="A4993" s="7" t="s">
        <v>48</v>
      </c>
      <c r="B4993" s="7" t="s">
        <v>2646</v>
      </c>
      <c r="C4993" s="8">
        <f>IFERROR(__xludf.DUMMYFUNCTION("SPLIT(B4993,""RM"")"),545000.0)</f>
        <v>545000</v>
      </c>
      <c r="D4993" s="7">
        <v>3.0</v>
      </c>
      <c r="E4993" s="7">
        <v>2.0</v>
      </c>
      <c r="F4993" s="7">
        <v>2.0</v>
      </c>
      <c r="G4993" s="7" t="s">
        <v>82</v>
      </c>
      <c r="H4993" s="7" t="s">
        <v>2547</v>
      </c>
      <c r="I4993" s="7" t="s">
        <v>22</v>
      </c>
    </row>
    <row r="4994">
      <c r="A4994" s="7" t="s">
        <v>155</v>
      </c>
      <c r="B4994" s="7" t="s">
        <v>353</v>
      </c>
      <c r="C4994" s="8">
        <f>IFERROR(__xludf.DUMMYFUNCTION("SPLIT(B4994,""RM"")"),350000.0)</f>
        <v>350000</v>
      </c>
      <c r="D4994" s="7">
        <v>2.0</v>
      </c>
      <c r="E4994" s="7">
        <v>2.0</v>
      </c>
      <c r="G4994" s="7" t="s">
        <v>20</v>
      </c>
      <c r="H4994" s="7" t="s">
        <v>1235</v>
      </c>
    </row>
    <row r="4995">
      <c r="A4995" s="7" t="s">
        <v>177</v>
      </c>
      <c r="B4995" s="7" t="s">
        <v>255</v>
      </c>
      <c r="C4995" s="8">
        <f>IFERROR(__xludf.DUMMYFUNCTION("SPLIT(B4995,""RM"")"),4900000.0)</f>
        <v>4900000</v>
      </c>
      <c r="D4995" s="7" t="s">
        <v>70</v>
      </c>
      <c r="E4995" s="7">
        <v>3.0</v>
      </c>
      <c r="F4995" s="7">
        <v>4.0</v>
      </c>
      <c r="G4995" s="7" t="s">
        <v>61</v>
      </c>
      <c r="H4995" s="7" t="s">
        <v>1846</v>
      </c>
      <c r="I4995" s="7" t="s">
        <v>27</v>
      </c>
    </row>
    <row r="4996">
      <c r="A4996" s="7" t="s">
        <v>428</v>
      </c>
      <c r="B4996" s="7" t="s">
        <v>277</v>
      </c>
      <c r="C4996" s="8">
        <f>IFERROR(__xludf.DUMMYFUNCTION("SPLIT(B4996,""RM"")"),2200000.0)</f>
        <v>2200000</v>
      </c>
      <c r="D4996" s="7" t="s">
        <v>70</v>
      </c>
      <c r="E4996" s="7">
        <v>6.0</v>
      </c>
      <c r="F4996" s="7">
        <v>2.0</v>
      </c>
      <c r="G4996" s="7" t="s">
        <v>2331</v>
      </c>
      <c r="H4996" s="7" t="s">
        <v>2975</v>
      </c>
      <c r="I4996" s="7" t="s">
        <v>27</v>
      </c>
    </row>
    <row r="4997">
      <c r="A4997" s="7" t="s">
        <v>155</v>
      </c>
      <c r="B4997" s="7" t="s">
        <v>2976</v>
      </c>
      <c r="C4997" s="8">
        <f>IFERROR(__xludf.DUMMYFUNCTION("SPLIT(B4997,""RM"")"),414600.0)</f>
        <v>414600</v>
      </c>
      <c r="D4997" s="7">
        <v>3.0</v>
      </c>
      <c r="E4997" s="7">
        <v>2.0</v>
      </c>
      <c r="F4997" s="7">
        <v>2.0</v>
      </c>
      <c r="G4997" s="7" t="s">
        <v>20</v>
      </c>
      <c r="H4997" s="7" t="s">
        <v>392</v>
      </c>
    </row>
    <row r="4998">
      <c r="A4998" s="7" t="s">
        <v>428</v>
      </c>
      <c r="B4998" s="7" t="s">
        <v>243</v>
      </c>
      <c r="C4998" s="8">
        <f>IFERROR(__xludf.DUMMYFUNCTION("SPLIT(B4998,""RM"")"),1350000.0)</f>
        <v>1350000</v>
      </c>
      <c r="D4998" s="7">
        <v>4.0</v>
      </c>
      <c r="E4998" s="7">
        <v>4.0</v>
      </c>
      <c r="G4998" s="7" t="s">
        <v>64</v>
      </c>
      <c r="H4998" s="7" t="s">
        <v>1084</v>
      </c>
      <c r="I4998" s="7" t="s">
        <v>22</v>
      </c>
    </row>
    <row r="4999">
      <c r="A4999" s="7" t="s">
        <v>32</v>
      </c>
      <c r="B4999" s="7" t="s">
        <v>2977</v>
      </c>
      <c r="C4999" s="8">
        <f>IFERROR(__xludf.DUMMYFUNCTION("SPLIT(B4999,""RM"")"),483300.0)</f>
        <v>483300</v>
      </c>
      <c r="D4999" s="7">
        <v>2.0</v>
      </c>
      <c r="E4999" s="7">
        <v>2.0</v>
      </c>
      <c r="F4999" s="7">
        <v>2.0</v>
      </c>
      <c r="G4999" s="7" t="s">
        <v>93</v>
      </c>
      <c r="H4999" s="7" t="s">
        <v>2978</v>
      </c>
      <c r="I4999" s="7" t="s">
        <v>103</v>
      </c>
    </row>
    <row r="5000">
      <c r="A5000" s="7" t="s">
        <v>32</v>
      </c>
      <c r="B5000" s="7" t="s">
        <v>2977</v>
      </c>
      <c r="C5000" s="8">
        <f>IFERROR(__xludf.DUMMYFUNCTION("SPLIT(B5000,""RM"")"),483300.0)</f>
        <v>483300</v>
      </c>
      <c r="D5000" s="7">
        <v>2.0</v>
      </c>
      <c r="E5000" s="7">
        <v>2.0</v>
      </c>
      <c r="F5000" s="7">
        <v>2.0</v>
      </c>
      <c r="G5000" s="7" t="s">
        <v>93</v>
      </c>
      <c r="H5000" s="7" t="s">
        <v>2978</v>
      </c>
      <c r="I5000" s="7" t="s">
        <v>103</v>
      </c>
    </row>
    <row r="5001">
      <c r="A5001" s="7" t="s">
        <v>32</v>
      </c>
      <c r="B5001" s="7" t="s">
        <v>541</v>
      </c>
      <c r="C5001" s="8">
        <f>IFERROR(__xludf.DUMMYFUNCTION("SPLIT(B5001,""RM"")"),439600.0)</f>
        <v>439600</v>
      </c>
      <c r="D5001" s="7">
        <v>3.0</v>
      </c>
      <c r="E5001" s="7">
        <v>2.0</v>
      </c>
      <c r="F5001" s="7">
        <v>2.0</v>
      </c>
      <c r="G5001" s="7" t="s">
        <v>83</v>
      </c>
      <c r="H5001" s="7" t="s">
        <v>548</v>
      </c>
      <c r="I5001" s="7" t="s">
        <v>27</v>
      </c>
    </row>
    <row r="5002" hidden="1">
      <c r="A5002" s="7"/>
      <c r="B5002" s="7"/>
      <c r="C5002" s="7"/>
      <c r="D5002" s="7"/>
      <c r="E5002" s="7"/>
      <c r="F5002" s="7"/>
      <c r="G5002" s="7"/>
      <c r="H5002" s="7"/>
      <c r="I5002" s="7"/>
    </row>
    <row r="5003" hidden="1">
      <c r="A5003" s="7"/>
      <c r="B5003" s="7"/>
      <c r="C5003" s="7"/>
      <c r="D5003" s="7"/>
      <c r="E5003" s="7"/>
      <c r="F5003" s="7"/>
      <c r="G5003" s="7"/>
      <c r="H5003" s="7"/>
      <c r="I5003" s="7"/>
    </row>
    <row r="5004" hidden="1">
      <c r="A5004" s="7"/>
      <c r="B5004" s="7"/>
      <c r="C5004" s="7"/>
      <c r="D5004" s="7"/>
      <c r="E5004" s="7"/>
      <c r="F5004" s="7"/>
      <c r="G5004" s="7"/>
      <c r="H5004" s="7"/>
      <c r="I5004" s="7"/>
    </row>
    <row r="5005" hidden="1">
      <c r="A5005" s="7"/>
      <c r="B5005" s="7"/>
      <c r="C5005" s="7"/>
      <c r="D5005" s="7"/>
      <c r="E5005" s="7"/>
      <c r="F5005" s="7"/>
      <c r="G5005" s="7"/>
      <c r="H5005" s="7"/>
      <c r="I5005" s="7"/>
    </row>
    <row r="5006" hidden="1">
      <c r="A5006" s="7"/>
      <c r="B5006" s="7"/>
      <c r="C5006" s="7"/>
      <c r="D5006" s="7"/>
      <c r="E5006" s="7"/>
      <c r="F5006" s="7"/>
      <c r="G5006" s="7"/>
      <c r="H5006" s="7"/>
      <c r="I5006" s="7"/>
    </row>
    <row r="5007" hidden="1">
      <c r="A5007" s="7"/>
      <c r="B5007" s="7"/>
      <c r="C5007" s="7"/>
      <c r="D5007" s="7"/>
      <c r="E5007" s="7"/>
      <c r="F5007" s="7"/>
      <c r="G5007" s="7"/>
      <c r="H5007" s="7"/>
      <c r="I5007" s="7"/>
    </row>
    <row r="5008" hidden="1">
      <c r="A5008" s="7"/>
      <c r="B5008" s="7"/>
      <c r="C5008" s="7"/>
      <c r="D5008" s="7"/>
      <c r="E5008" s="7"/>
      <c r="F5008" s="7"/>
      <c r="G5008" s="7"/>
      <c r="H5008" s="7"/>
      <c r="I5008" s="7"/>
    </row>
    <row r="5009" hidden="1">
      <c r="A5009" s="7"/>
      <c r="B5009" s="7"/>
      <c r="C5009" s="7"/>
      <c r="D5009" s="7"/>
      <c r="E5009" s="7"/>
      <c r="F5009" s="7"/>
      <c r="G5009" s="7"/>
      <c r="H5009" s="7"/>
      <c r="I5009" s="7"/>
    </row>
    <row r="5010" hidden="1">
      <c r="A5010" s="7"/>
      <c r="B5010" s="7"/>
      <c r="C5010" s="7"/>
      <c r="D5010" s="7"/>
      <c r="E5010" s="7"/>
      <c r="F5010" s="7"/>
      <c r="G5010" s="7"/>
      <c r="H5010" s="7"/>
      <c r="I5010" s="7"/>
    </row>
    <row r="5011" hidden="1">
      <c r="A5011" s="7"/>
      <c r="B5011" s="7"/>
      <c r="C5011" s="7"/>
      <c r="D5011" s="7"/>
      <c r="E5011" s="7"/>
      <c r="F5011" s="7"/>
      <c r="G5011" s="7"/>
      <c r="H5011" s="7"/>
      <c r="I5011" s="7"/>
    </row>
    <row r="5012" hidden="1">
      <c r="A5012" s="7"/>
      <c r="B5012" s="7"/>
      <c r="C5012" s="7"/>
      <c r="D5012" s="7"/>
      <c r="E5012" s="7"/>
      <c r="F5012" s="7"/>
      <c r="G5012" s="7"/>
      <c r="H5012" s="7"/>
      <c r="I5012" s="7"/>
    </row>
    <row r="5013" hidden="1">
      <c r="A5013" s="7"/>
      <c r="B5013" s="7"/>
      <c r="C5013" s="7"/>
      <c r="D5013" s="7"/>
      <c r="E5013" s="7"/>
      <c r="F5013" s="7"/>
      <c r="G5013" s="7"/>
      <c r="H5013" s="7"/>
      <c r="I5013" s="7"/>
    </row>
    <row r="5014" hidden="1">
      <c r="A5014" s="7"/>
      <c r="B5014" s="7"/>
      <c r="C5014" s="7"/>
      <c r="D5014" s="7"/>
      <c r="E5014" s="7"/>
      <c r="F5014" s="7"/>
      <c r="G5014" s="7"/>
      <c r="H5014" s="7"/>
      <c r="I5014" s="7"/>
    </row>
    <row r="5015" hidden="1">
      <c r="A5015" s="7"/>
      <c r="B5015" s="7"/>
      <c r="C5015" s="7"/>
      <c r="D5015" s="7"/>
      <c r="E5015" s="7"/>
      <c r="F5015" s="7"/>
      <c r="G5015" s="7"/>
      <c r="H5015" s="7"/>
      <c r="I5015" s="7"/>
    </row>
    <row r="5016" hidden="1">
      <c r="A5016" s="7"/>
      <c r="B5016" s="7"/>
      <c r="C5016" s="7"/>
      <c r="D5016" s="7"/>
      <c r="E5016" s="7"/>
      <c r="F5016" s="7"/>
      <c r="G5016" s="7"/>
      <c r="H5016" s="7"/>
      <c r="I5016" s="7"/>
    </row>
    <row r="5017" hidden="1">
      <c r="A5017" s="7"/>
      <c r="B5017" s="7"/>
      <c r="C5017" s="7"/>
      <c r="D5017" s="7"/>
      <c r="E5017" s="7"/>
      <c r="F5017" s="7"/>
      <c r="G5017" s="7"/>
      <c r="H5017" s="7"/>
      <c r="I5017" s="7"/>
    </row>
    <row r="5018" hidden="1">
      <c r="A5018" s="7"/>
      <c r="B5018" s="7"/>
      <c r="C5018" s="7"/>
      <c r="D5018" s="7"/>
      <c r="E5018" s="7"/>
      <c r="F5018" s="7"/>
      <c r="G5018" s="7"/>
      <c r="H5018" s="7"/>
      <c r="I5018" s="7"/>
    </row>
    <row r="5019" hidden="1">
      <c r="A5019" s="7"/>
      <c r="B5019" s="7"/>
      <c r="C5019" s="7"/>
      <c r="D5019" s="7"/>
      <c r="E5019" s="7"/>
      <c r="F5019" s="7"/>
      <c r="G5019" s="7"/>
      <c r="H5019" s="7"/>
      <c r="I5019" s="7"/>
    </row>
    <row r="5020" hidden="1">
      <c r="A5020" s="7"/>
      <c r="B5020" s="7"/>
      <c r="C5020" s="7"/>
      <c r="D5020" s="7"/>
      <c r="E5020" s="7"/>
      <c r="F5020" s="7"/>
      <c r="G5020" s="7"/>
      <c r="H5020" s="7"/>
      <c r="I5020" s="7"/>
    </row>
    <row r="5021" hidden="1">
      <c r="A5021" s="7"/>
      <c r="B5021" s="7"/>
      <c r="C5021" s="7"/>
      <c r="D5021" s="7"/>
      <c r="E5021" s="7"/>
      <c r="F5021" s="7"/>
      <c r="G5021" s="7"/>
      <c r="H5021" s="7"/>
      <c r="I5021" s="7"/>
    </row>
    <row r="5022" hidden="1">
      <c r="A5022" s="7"/>
      <c r="B5022" s="7"/>
      <c r="C5022" s="7"/>
      <c r="D5022" s="7"/>
      <c r="E5022" s="7"/>
      <c r="F5022" s="7"/>
      <c r="G5022" s="7"/>
      <c r="H5022" s="7"/>
      <c r="I5022" s="7"/>
    </row>
    <row r="5023" hidden="1">
      <c r="A5023" s="7"/>
      <c r="B5023" s="7"/>
      <c r="C5023" s="7"/>
      <c r="D5023" s="7"/>
      <c r="E5023" s="7"/>
      <c r="F5023" s="7"/>
      <c r="G5023" s="7"/>
      <c r="H5023" s="7"/>
      <c r="I5023" s="7"/>
    </row>
    <row r="5024" hidden="1">
      <c r="A5024" s="7"/>
      <c r="B5024" s="7"/>
      <c r="C5024" s="7"/>
      <c r="D5024" s="7"/>
      <c r="E5024" s="7"/>
      <c r="F5024" s="7"/>
      <c r="G5024" s="7"/>
      <c r="H5024" s="7"/>
      <c r="I5024" s="7"/>
    </row>
    <row r="5025" hidden="1">
      <c r="A5025" s="7"/>
      <c r="B5025" s="7"/>
      <c r="C5025" s="7"/>
      <c r="D5025" s="7"/>
      <c r="E5025" s="7"/>
      <c r="F5025" s="7"/>
      <c r="G5025" s="7"/>
      <c r="H5025" s="7"/>
      <c r="I5025" s="7"/>
    </row>
    <row r="5026" hidden="1">
      <c r="A5026" s="7"/>
      <c r="B5026" s="7"/>
      <c r="C5026" s="7"/>
      <c r="D5026" s="7"/>
      <c r="E5026" s="7"/>
      <c r="F5026" s="7"/>
      <c r="G5026" s="7"/>
      <c r="H5026" s="7"/>
      <c r="I5026" s="7"/>
    </row>
    <row r="5027" hidden="1">
      <c r="A5027" s="7"/>
      <c r="B5027" s="7"/>
      <c r="C5027" s="7"/>
      <c r="D5027" s="7"/>
      <c r="E5027" s="7"/>
      <c r="F5027" s="7"/>
      <c r="G5027" s="7"/>
      <c r="H5027" s="7"/>
      <c r="I5027" s="7"/>
    </row>
    <row r="5028" hidden="1">
      <c r="A5028" s="7"/>
      <c r="B5028" s="7"/>
      <c r="C5028" s="7"/>
      <c r="D5028" s="7"/>
      <c r="E5028" s="7"/>
      <c r="F5028" s="7"/>
      <c r="G5028" s="7"/>
      <c r="H5028" s="7"/>
      <c r="I5028" s="7"/>
    </row>
    <row r="5029" hidden="1">
      <c r="A5029" s="7"/>
      <c r="B5029" s="7"/>
      <c r="C5029" s="7"/>
      <c r="D5029" s="7"/>
      <c r="E5029" s="7"/>
      <c r="F5029" s="7"/>
      <c r="G5029" s="7"/>
      <c r="H5029" s="7"/>
      <c r="I5029" s="7"/>
    </row>
    <row r="5030" hidden="1">
      <c r="A5030" s="7"/>
      <c r="B5030" s="7"/>
      <c r="C5030" s="7"/>
      <c r="D5030" s="7"/>
      <c r="E5030" s="7"/>
      <c r="F5030" s="7"/>
      <c r="G5030" s="7"/>
      <c r="H5030" s="7"/>
      <c r="I5030" s="7"/>
    </row>
    <row r="5031" hidden="1">
      <c r="A5031" s="7"/>
      <c r="B5031" s="7"/>
      <c r="C5031" s="7"/>
      <c r="D5031" s="7"/>
      <c r="E5031" s="7"/>
      <c r="F5031" s="7"/>
      <c r="G5031" s="7"/>
      <c r="H5031" s="7"/>
      <c r="I5031" s="7"/>
    </row>
    <row r="5032" hidden="1">
      <c r="A5032" s="7"/>
      <c r="B5032" s="7"/>
      <c r="C5032" s="7"/>
      <c r="D5032" s="7"/>
      <c r="E5032" s="7"/>
      <c r="F5032" s="7"/>
      <c r="G5032" s="7"/>
      <c r="H5032" s="7"/>
      <c r="I5032" s="7"/>
    </row>
    <row r="5033" hidden="1">
      <c r="A5033" s="7"/>
      <c r="B5033" s="7"/>
      <c r="C5033" s="7"/>
      <c r="D5033" s="7"/>
      <c r="E5033" s="7"/>
      <c r="F5033" s="7"/>
      <c r="G5033" s="7"/>
      <c r="H5033" s="7"/>
      <c r="I5033" s="7"/>
    </row>
    <row r="5034" hidden="1">
      <c r="A5034" s="7"/>
      <c r="B5034" s="7"/>
      <c r="C5034" s="7"/>
      <c r="D5034" s="7"/>
      <c r="E5034" s="7"/>
      <c r="F5034" s="7"/>
      <c r="G5034" s="7"/>
      <c r="H5034" s="7"/>
      <c r="I5034" s="7"/>
    </row>
    <row r="5035" hidden="1">
      <c r="A5035" s="7"/>
      <c r="B5035" s="7"/>
      <c r="C5035" s="7"/>
      <c r="D5035" s="7"/>
      <c r="E5035" s="7"/>
      <c r="F5035" s="7"/>
      <c r="G5035" s="7"/>
      <c r="H5035" s="7"/>
      <c r="I5035" s="7"/>
    </row>
    <row r="5036" hidden="1">
      <c r="A5036" s="7"/>
      <c r="B5036" s="7"/>
      <c r="C5036" s="7"/>
      <c r="D5036" s="7"/>
      <c r="E5036" s="7"/>
      <c r="F5036" s="7"/>
      <c r="G5036" s="7"/>
      <c r="H5036" s="7"/>
      <c r="I5036" s="7"/>
    </row>
    <row r="5037" hidden="1">
      <c r="A5037" s="7"/>
      <c r="B5037" s="7"/>
      <c r="C5037" s="7"/>
      <c r="D5037" s="7"/>
      <c r="E5037" s="7"/>
      <c r="F5037" s="7"/>
      <c r="G5037" s="7"/>
      <c r="H5037" s="7"/>
      <c r="I5037" s="7"/>
    </row>
    <row r="5038" hidden="1">
      <c r="A5038" s="7"/>
      <c r="B5038" s="7"/>
      <c r="C5038" s="7"/>
      <c r="D5038" s="7"/>
      <c r="E5038" s="7"/>
      <c r="F5038" s="7"/>
      <c r="G5038" s="7"/>
      <c r="H5038" s="7"/>
      <c r="I5038" s="7"/>
    </row>
    <row r="5039" hidden="1">
      <c r="A5039" s="7"/>
      <c r="B5039" s="7"/>
      <c r="C5039" s="7"/>
      <c r="D5039" s="7"/>
      <c r="E5039" s="7"/>
      <c r="F5039" s="7"/>
      <c r="G5039" s="7"/>
      <c r="H5039" s="7"/>
      <c r="I5039" s="7"/>
    </row>
    <row r="5040" hidden="1">
      <c r="A5040" s="7"/>
      <c r="B5040" s="7"/>
      <c r="C5040" s="7"/>
      <c r="D5040" s="7"/>
      <c r="E5040" s="7"/>
      <c r="F5040" s="7"/>
      <c r="G5040" s="7"/>
      <c r="H5040" s="7"/>
      <c r="I5040" s="7"/>
    </row>
    <row r="5041" hidden="1">
      <c r="A5041" s="7"/>
      <c r="B5041" s="7"/>
      <c r="C5041" s="7"/>
      <c r="D5041" s="7"/>
      <c r="E5041" s="7"/>
      <c r="F5041" s="7"/>
      <c r="G5041" s="7"/>
      <c r="H5041" s="7"/>
      <c r="I5041" s="7"/>
    </row>
    <row r="5042" hidden="1">
      <c r="A5042" s="7"/>
      <c r="B5042" s="7"/>
      <c r="C5042" s="7"/>
      <c r="D5042" s="7"/>
      <c r="E5042" s="7"/>
      <c r="F5042" s="7"/>
      <c r="G5042" s="7"/>
      <c r="H5042" s="7"/>
      <c r="I5042" s="7"/>
    </row>
    <row r="5043" hidden="1">
      <c r="A5043" s="7"/>
      <c r="B5043" s="7"/>
      <c r="C5043" s="7"/>
      <c r="D5043" s="7"/>
      <c r="E5043" s="7"/>
      <c r="F5043" s="7"/>
      <c r="G5043" s="7"/>
      <c r="H5043" s="7"/>
      <c r="I5043" s="7"/>
    </row>
    <row r="5044" hidden="1">
      <c r="A5044" s="7"/>
      <c r="B5044" s="7"/>
      <c r="C5044" s="7"/>
      <c r="D5044" s="7"/>
      <c r="E5044" s="7"/>
      <c r="F5044" s="7"/>
      <c r="G5044" s="7"/>
      <c r="H5044" s="7"/>
      <c r="I5044" s="7"/>
    </row>
    <row r="5045" hidden="1">
      <c r="A5045" s="7"/>
      <c r="B5045" s="7"/>
      <c r="C5045" s="7"/>
      <c r="D5045" s="7"/>
      <c r="E5045" s="7"/>
      <c r="F5045" s="7"/>
      <c r="G5045" s="7"/>
      <c r="H5045" s="7"/>
      <c r="I5045" s="7"/>
    </row>
    <row r="5046" hidden="1">
      <c r="A5046" s="7"/>
      <c r="B5046" s="7"/>
      <c r="C5046" s="7"/>
      <c r="D5046" s="7"/>
      <c r="E5046" s="7"/>
      <c r="F5046" s="7"/>
      <c r="G5046" s="7"/>
      <c r="H5046" s="7"/>
      <c r="I5046" s="7"/>
    </row>
    <row r="5047" hidden="1">
      <c r="A5047" s="7"/>
      <c r="B5047" s="7"/>
      <c r="C5047" s="7"/>
      <c r="D5047" s="7"/>
      <c r="E5047" s="7"/>
      <c r="F5047" s="7"/>
      <c r="G5047" s="7"/>
      <c r="H5047" s="7"/>
      <c r="I5047" s="7"/>
    </row>
    <row r="5048" hidden="1">
      <c r="A5048" s="7"/>
      <c r="B5048" s="7"/>
      <c r="C5048" s="7"/>
      <c r="D5048" s="7"/>
      <c r="E5048" s="7"/>
      <c r="F5048" s="7"/>
      <c r="G5048" s="7"/>
      <c r="H5048" s="7"/>
      <c r="I5048" s="7"/>
    </row>
    <row r="5049" hidden="1">
      <c r="A5049" s="7"/>
      <c r="B5049" s="7"/>
      <c r="C5049" s="7"/>
      <c r="D5049" s="7"/>
      <c r="E5049" s="7"/>
      <c r="F5049" s="7"/>
      <c r="G5049" s="7"/>
      <c r="H5049" s="7"/>
      <c r="I5049" s="7"/>
    </row>
    <row r="5050" hidden="1">
      <c r="A5050" s="7"/>
      <c r="B5050" s="7"/>
      <c r="C5050" s="7"/>
      <c r="D5050" s="7"/>
      <c r="E5050" s="7"/>
      <c r="F5050" s="7"/>
      <c r="G5050" s="7"/>
      <c r="H5050" s="7"/>
      <c r="I5050" s="7"/>
    </row>
    <row r="5051" hidden="1">
      <c r="A5051" s="7"/>
      <c r="B5051" s="7"/>
      <c r="C5051" s="7"/>
      <c r="D5051" s="7"/>
      <c r="E5051" s="7"/>
      <c r="F5051" s="7"/>
      <c r="G5051" s="7"/>
      <c r="H5051" s="7"/>
      <c r="I5051" s="7"/>
    </row>
    <row r="5052" hidden="1">
      <c r="A5052" s="7"/>
      <c r="B5052" s="7"/>
      <c r="C5052" s="7"/>
      <c r="D5052" s="7"/>
      <c r="E5052" s="7"/>
      <c r="F5052" s="7"/>
      <c r="G5052" s="7"/>
      <c r="H5052" s="7"/>
      <c r="I5052" s="7"/>
    </row>
    <row r="5053" hidden="1">
      <c r="A5053" s="7"/>
      <c r="B5053" s="7"/>
      <c r="C5053" s="7"/>
      <c r="D5053" s="7"/>
      <c r="E5053" s="7"/>
      <c r="F5053" s="7"/>
      <c r="G5053" s="7"/>
      <c r="H5053" s="7"/>
      <c r="I5053" s="7"/>
    </row>
    <row r="5054" hidden="1">
      <c r="A5054" s="7"/>
      <c r="B5054" s="7"/>
      <c r="C5054" s="7"/>
      <c r="D5054" s="7"/>
      <c r="E5054" s="7"/>
      <c r="F5054" s="7"/>
      <c r="G5054" s="7"/>
      <c r="H5054" s="7"/>
      <c r="I5054" s="7"/>
    </row>
    <row r="5055" hidden="1">
      <c r="A5055" s="7"/>
      <c r="B5055" s="7"/>
      <c r="C5055" s="7"/>
      <c r="D5055" s="7"/>
      <c r="E5055" s="7"/>
      <c r="F5055" s="7"/>
      <c r="G5055" s="7"/>
      <c r="H5055" s="7"/>
      <c r="I5055" s="7"/>
    </row>
    <row r="5056" hidden="1">
      <c r="A5056" s="7"/>
      <c r="B5056" s="7"/>
      <c r="C5056" s="7"/>
      <c r="D5056" s="7"/>
      <c r="E5056" s="7"/>
      <c r="F5056" s="7"/>
      <c r="G5056" s="7"/>
      <c r="H5056" s="7"/>
      <c r="I5056" s="7"/>
    </row>
    <row r="5057" hidden="1">
      <c r="A5057" s="7"/>
      <c r="B5057" s="7"/>
      <c r="C5057" s="7"/>
      <c r="D5057" s="7"/>
      <c r="E5057" s="7"/>
      <c r="F5057" s="7"/>
      <c r="G5057" s="7"/>
      <c r="H5057" s="7"/>
      <c r="I5057" s="7"/>
    </row>
    <row r="5058" hidden="1">
      <c r="A5058" s="7"/>
      <c r="B5058" s="7"/>
      <c r="C5058" s="7"/>
      <c r="D5058" s="7"/>
      <c r="E5058" s="7"/>
      <c r="F5058" s="7"/>
      <c r="G5058" s="7"/>
      <c r="H5058" s="7"/>
      <c r="I5058" s="7"/>
    </row>
    <row r="5059" hidden="1">
      <c r="A5059" s="7"/>
      <c r="B5059" s="7"/>
      <c r="C5059" s="7"/>
      <c r="D5059" s="7"/>
      <c r="E5059" s="7"/>
      <c r="F5059" s="7"/>
      <c r="G5059" s="7"/>
      <c r="H5059" s="7"/>
      <c r="I5059" s="7"/>
    </row>
    <row r="5060" hidden="1">
      <c r="A5060" s="7"/>
      <c r="B5060" s="7"/>
      <c r="C5060" s="7"/>
      <c r="D5060" s="7"/>
      <c r="E5060" s="7"/>
      <c r="F5060" s="7"/>
      <c r="G5060" s="7"/>
      <c r="H5060" s="7"/>
      <c r="I5060" s="7"/>
    </row>
    <row r="5061" hidden="1">
      <c r="A5061" s="7"/>
      <c r="B5061" s="7"/>
      <c r="C5061" s="7"/>
      <c r="D5061" s="7"/>
      <c r="E5061" s="7"/>
      <c r="F5061" s="7"/>
      <c r="G5061" s="7"/>
      <c r="H5061" s="7"/>
      <c r="I5061" s="7"/>
    </row>
    <row r="5062" hidden="1">
      <c r="A5062" s="7"/>
      <c r="B5062" s="7"/>
      <c r="C5062" s="7"/>
      <c r="D5062" s="7"/>
      <c r="E5062" s="7"/>
      <c r="F5062" s="7"/>
      <c r="G5062" s="7"/>
      <c r="H5062" s="7"/>
      <c r="I5062" s="7"/>
    </row>
    <row r="5063" hidden="1">
      <c r="A5063" s="7"/>
      <c r="B5063" s="7"/>
      <c r="C5063" s="7"/>
      <c r="D5063" s="7"/>
      <c r="E5063" s="7"/>
      <c r="F5063" s="7"/>
      <c r="G5063" s="7"/>
      <c r="H5063" s="7"/>
      <c r="I5063" s="7"/>
    </row>
    <row r="5064" hidden="1">
      <c r="A5064" s="7"/>
      <c r="B5064" s="7"/>
      <c r="C5064" s="7"/>
      <c r="D5064" s="7"/>
      <c r="E5064" s="7"/>
      <c r="F5064" s="7"/>
      <c r="G5064" s="7"/>
      <c r="H5064" s="7"/>
      <c r="I5064" s="7"/>
    </row>
    <row r="5065" hidden="1">
      <c r="A5065" s="7"/>
      <c r="B5065" s="7"/>
      <c r="C5065" s="7"/>
      <c r="D5065" s="7"/>
      <c r="E5065" s="7"/>
      <c r="F5065" s="7"/>
      <c r="G5065" s="7"/>
      <c r="H5065" s="7"/>
      <c r="I5065" s="7"/>
    </row>
    <row r="5066" hidden="1">
      <c r="A5066" s="7"/>
      <c r="B5066" s="7"/>
      <c r="C5066" s="7"/>
      <c r="D5066" s="7"/>
      <c r="E5066" s="7"/>
      <c r="F5066" s="7"/>
      <c r="G5066" s="7"/>
      <c r="H5066" s="7"/>
      <c r="I5066" s="7"/>
    </row>
    <row r="5067" hidden="1">
      <c r="A5067" s="7"/>
      <c r="B5067" s="7"/>
      <c r="C5067" s="7"/>
      <c r="D5067" s="7"/>
      <c r="E5067" s="7"/>
      <c r="F5067" s="7"/>
      <c r="G5067" s="7"/>
      <c r="H5067" s="7"/>
      <c r="I5067" s="7"/>
    </row>
    <row r="5068" hidden="1">
      <c r="A5068" s="7"/>
      <c r="B5068" s="7"/>
      <c r="C5068" s="7"/>
      <c r="D5068" s="7"/>
      <c r="E5068" s="7"/>
      <c r="F5068" s="7"/>
      <c r="G5068" s="7"/>
      <c r="H5068" s="7"/>
      <c r="I5068" s="7"/>
    </row>
    <row r="5069" hidden="1">
      <c r="A5069" s="7"/>
      <c r="B5069" s="7"/>
      <c r="C5069" s="7"/>
      <c r="D5069" s="7"/>
      <c r="E5069" s="7"/>
      <c r="F5069" s="7"/>
      <c r="G5069" s="7"/>
      <c r="H5069" s="7"/>
      <c r="I5069" s="7"/>
    </row>
    <row r="5070" hidden="1">
      <c r="A5070" s="7"/>
      <c r="B5070" s="7"/>
      <c r="C5070" s="7"/>
      <c r="D5070" s="7"/>
      <c r="E5070" s="7"/>
      <c r="F5070" s="7"/>
      <c r="G5070" s="7"/>
      <c r="H5070" s="7"/>
      <c r="I5070" s="7"/>
    </row>
    <row r="5071" hidden="1">
      <c r="A5071" s="7"/>
      <c r="B5071" s="7"/>
      <c r="C5071" s="7"/>
      <c r="D5071" s="7"/>
      <c r="E5071" s="7"/>
      <c r="F5071" s="7"/>
      <c r="G5071" s="7"/>
      <c r="H5071" s="7"/>
      <c r="I5071" s="7"/>
    </row>
    <row r="5072" hidden="1">
      <c r="A5072" s="7"/>
      <c r="B5072" s="7"/>
      <c r="C5072" s="7"/>
      <c r="D5072" s="7"/>
      <c r="E5072" s="7"/>
      <c r="F5072" s="7"/>
      <c r="G5072" s="7"/>
      <c r="H5072" s="7"/>
      <c r="I5072" s="7"/>
    </row>
    <row r="5073" hidden="1">
      <c r="A5073" s="7"/>
      <c r="B5073" s="7"/>
      <c r="C5073" s="7"/>
      <c r="D5073" s="7"/>
      <c r="E5073" s="7"/>
      <c r="F5073" s="7"/>
      <c r="G5073" s="7"/>
      <c r="H5073" s="7"/>
      <c r="I5073" s="7"/>
    </row>
    <row r="5074" hidden="1">
      <c r="A5074" s="7"/>
      <c r="B5074" s="7"/>
      <c r="C5074" s="7"/>
      <c r="D5074" s="7"/>
      <c r="E5074" s="7"/>
      <c r="F5074" s="7"/>
      <c r="G5074" s="7"/>
      <c r="H5074" s="7"/>
      <c r="I5074" s="7"/>
    </row>
    <row r="5075" hidden="1">
      <c r="A5075" s="7"/>
      <c r="B5075" s="7"/>
      <c r="C5075" s="7"/>
      <c r="D5075" s="7"/>
      <c r="E5075" s="7"/>
      <c r="F5075" s="7"/>
      <c r="G5075" s="7"/>
      <c r="H5075" s="7"/>
      <c r="I5075" s="7"/>
    </row>
    <row r="5076" hidden="1">
      <c r="A5076" s="7"/>
      <c r="B5076" s="7"/>
      <c r="C5076" s="7"/>
      <c r="D5076" s="7"/>
      <c r="E5076" s="7"/>
      <c r="F5076" s="7"/>
      <c r="G5076" s="7"/>
      <c r="H5076" s="7"/>
      <c r="I5076" s="7"/>
    </row>
    <row r="5077" hidden="1">
      <c r="A5077" s="7"/>
      <c r="B5077" s="7"/>
      <c r="C5077" s="7"/>
      <c r="D5077" s="7"/>
      <c r="E5077" s="7"/>
      <c r="F5077" s="7"/>
      <c r="G5077" s="7"/>
      <c r="H5077" s="7"/>
      <c r="I5077" s="7"/>
    </row>
    <row r="5078" hidden="1">
      <c r="A5078" s="7"/>
      <c r="B5078" s="7"/>
      <c r="C5078" s="7"/>
      <c r="D5078" s="7"/>
      <c r="E5078" s="7"/>
      <c r="F5078" s="7"/>
      <c r="G5078" s="7"/>
      <c r="H5078" s="7"/>
      <c r="I5078" s="7"/>
    </row>
    <row r="5079" hidden="1">
      <c r="A5079" s="7"/>
      <c r="B5079" s="7"/>
      <c r="C5079" s="7"/>
      <c r="D5079" s="7"/>
      <c r="E5079" s="7"/>
      <c r="F5079" s="7"/>
      <c r="G5079" s="7"/>
      <c r="H5079" s="7"/>
      <c r="I5079" s="7"/>
    </row>
    <row r="5080" hidden="1">
      <c r="A5080" s="7"/>
      <c r="B5080" s="7"/>
      <c r="C5080" s="7"/>
      <c r="D5080" s="7"/>
      <c r="E5080" s="7"/>
      <c r="F5080" s="7"/>
      <c r="G5080" s="7"/>
      <c r="H5080" s="7"/>
      <c r="I5080" s="7"/>
    </row>
    <row r="5081" hidden="1">
      <c r="A5081" s="7"/>
      <c r="B5081" s="7"/>
      <c r="C5081" s="7"/>
      <c r="D5081" s="7"/>
      <c r="E5081" s="7"/>
      <c r="F5081" s="7"/>
      <c r="G5081" s="7"/>
      <c r="H5081" s="7"/>
      <c r="I5081" s="7"/>
    </row>
    <row r="5082" hidden="1">
      <c r="A5082" s="7"/>
      <c r="B5082" s="7"/>
      <c r="C5082" s="7"/>
      <c r="D5082" s="7"/>
      <c r="E5082" s="7"/>
      <c r="F5082" s="7"/>
      <c r="G5082" s="7"/>
      <c r="H5082" s="7"/>
      <c r="I5082" s="7"/>
    </row>
    <row r="5083" hidden="1">
      <c r="A5083" s="7"/>
      <c r="B5083" s="7"/>
      <c r="C5083" s="7"/>
      <c r="D5083" s="7"/>
      <c r="E5083" s="7"/>
      <c r="F5083" s="7"/>
      <c r="G5083" s="7"/>
      <c r="H5083" s="7"/>
      <c r="I5083" s="7"/>
    </row>
    <row r="5084" hidden="1">
      <c r="A5084" s="7"/>
      <c r="B5084" s="7"/>
      <c r="C5084" s="7"/>
      <c r="D5084" s="7"/>
      <c r="E5084" s="7"/>
      <c r="F5084" s="7"/>
      <c r="G5084" s="7"/>
      <c r="H5084" s="7"/>
      <c r="I5084" s="7"/>
    </row>
    <row r="5085" hidden="1">
      <c r="A5085" s="7"/>
      <c r="B5085" s="7"/>
      <c r="C5085" s="7"/>
      <c r="D5085" s="7"/>
      <c r="E5085" s="7"/>
      <c r="F5085" s="7"/>
      <c r="G5085" s="7"/>
      <c r="H5085" s="7"/>
      <c r="I5085" s="7"/>
    </row>
    <row r="5086" hidden="1">
      <c r="A5086" s="7"/>
      <c r="B5086" s="7"/>
      <c r="C5086" s="7"/>
      <c r="D5086" s="7"/>
      <c r="E5086" s="7"/>
      <c r="F5086" s="7"/>
      <c r="G5086" s="7"/>
      <c r="H5086" s="7"/>
      <c r="I5086" s="7"/>
    </row>
    <row r="5087" hidden="1">
      <c r="A5087" s="7"/>
      <c r="B5087" s="7"/>
      <c r="C5087" s="7"/>
      <c r="D5087" s="7"/>
      <c r="E5087" s="7"/>
      <c r="F5087" s="7"/>
      <c r="G5087" s="7"/>
      <c r="H5087" s="7"/>
      <c r="I5087" s="7"/>
    </row>
    <row r="5088" hidden="1">
      <c r="A5088" s="7"/>
      <c r="B5088" s="7"/>
      <c r="C5088" s="7"/>
      <c r="D5088" s="7"/>
      <c r="E5088" s="7"/>
      <c r="F5088" s="7"/>
      <c r="G5088" s="7"/>
      <c r="H5088" s="7"/>
      <c r="I5088" s="7"/>
    </row>
    <row r="5089" hidden="1">
      <c r="A5089" s="7"/>
      <c r="B5089" s="7"/>
      <c r="C5089" s="7"/>
      <c r="D5089" s="7"/>
      <c r="E5089" s="7"/>
      <c r="F5089" s="7"/>
      <c r="G5089" s="7"/>
      <c r="H5089" s="7"/>
      <c r="I5089" s="7"/>
    </row>
    <row r="5090" hidden="1">
      <c r="A5090" s="7"/>
      <c r="B5090" s="7"/>
      <c r="C5090" s="7"/>
      <c r="D5090" s="7"/>
      <c r="E5090" s="7"/>
      <c r="F5090" s="7"/>
      <c r="G5090" s="7"/>
      <c r="H5090" s="7"/>
      <c r="I5090" s="7"/>
    </row>
    <row r="5091" hidden="1">
      <c r="A5091" s="7"/>
      <c r="B5091" s="7"/>
      <c r="C5091" s="7"/>
      <c r="D5091" s="7"/>
      <c r="E5091" s="7"/>
      <c r="F5091" s="7"/>
      <c r="G5091" s="7"/>
      <c r="H5091" s="7"/>
      <c r="I5091" s="7"/>
    </row>
    <row r="5092" hidden="1">
      <c r="A5092" s="7"/>
      <c r="B5092" s="7"/>
      <c r="C5092" s="7"/>
      <c r="D5092" s="7"/>
      <c r="E5092" s="7"/>
      <c r="F5092" s="7"/>
      <c r="G5092" s="7"/>
      <c r="H5092" s="7"/>
      <c r="I5092" s="7"/>
    </row>
    <row r="5093" hidden="1">
      <c r="A5093" s="7"/>
      <c r="B5093" s="7"/>
      <c r="C5093" s="7"/>
      <c r="D5093" s="7"/>
      <c r="E5093" s="7"/>
      <c r="F5093" s="7"/>
      <c r="G5093" s="7"/>
      <c r="H5093" s="7"/>
      <c r="I5093" s="7"/>
    </row>
    <row r="5094" hidden="1">
      <c r="A5094" s="7"/>
      <c r="B5094" s="7"/>
      <c r="C5094" s="7"/>
      <c r="D5094" s="7"/>
      <c r="E5094" s="7"/>
      <c r="F5094" s="7"/>
      <c r="G5094" s="7"/>
      <c r="H5094" s="7"/>
      <c r="I5094" s="7"/>
    </row>
    <row r="5095" hidden="1">
      <c r="A5095" s="7"/>
      <c r="B5095" s="7"/>
      <c r="C5095" s="7"/>
      <c r="D5095" s="7"/>
      <c r="E5095" s="7"/>
      <c r="F5095" s="7"/>
      <c r="G5095" s="7"/>
      <c r="H5095" s="7"/>
      <c r="I5095" s="7"/>
    </row>
    <row r="5096" hidden="1">
      <c r="A5096" s="7"/>
      <c r="B5096" s="7"/>
      <c r="C5096" s="7"/>
      <c r="D5096" s="7"/>
      <c r="E5096" s="7"/>
      <c r="F5096" s="7"/>
      <c r="G5096" s="7"/>
      <c r="H5096" s="7"/>
      <c r="I5096" s="7"/>
    </row>
    <row r="5097" hidden="1">
      <c r="A5097" s="7"/>
      <c r="B5097" s="7"/>
      <c r="C5097" s="7"/>
      <c r="D5097" s="7"/>
      <c r="E5097" s="7"/>
      <c r="F5097" s="7"/>
      <c r="G5097" s="7"/>
      <c r="H5097" s="7"/>
      <c r="I5097" s="7"/>
    </row>
    <row r="5098" hidden="1">
      <c r="A5098" s="7"/>
      <c r="B5098" s="7"/>
      <c r="C5098" s="7"/>
      <c r="D5098" s="7"/>
      <c r="E5098" s="7"/>
      <c r="F5098" s="7"/>
      <c r="G5098" s="7"/>
      <c r="H5098" s="7"/>
      <c r="I5098" s="7"/>
    </row>
    <row r="5099" hidden="1">
      <c r="A5099" s="7"/>
      <c r="B5099" s="7"/>
      <c r="C5099" s="7"/>
      <c r="D5099" s="7"/>
      <c r="E5099" s="7"/>
      <c r="F5099" s="7"/>
      <c r="G5099" s="7"/>
      <c r="H5099" s="7"/>
      <c r="I5099" s="7"/>
    </row>
    <row r="5100" hidden="1">
      <c r="A5100" s="7"/>
      <c r="B5100" s="7"/>
      <c r="C5100" s="7"/>
      <c r="D5100" s="7"/>
      <c r="E5100" s="7"/>
      <c r="F5100" s="7"/>
      <c r="G5100" s="7"/>
      <c r="H5100" s="7"/>
      <c r="I5100" s="7"/>
    </row>
    <row r="5101" hidden="1">
      <c r="A5101" s="7"/>
      <c r="B5101" s="7"/>
      <c r="C5101" s="7"/>
      <c r="D5101" s="7"/>
      <c r="E5101" s="7"/>
      <c r="F5101" s="7"/>
      <c r="G5101" s="7"/>
      <c r="H5101" s="7"/>
      <c r="I5101" s="7"/>
    </row>
    <row r="5102" hidden="1">
      <c r="A5102" s="7"/>
      <c r="B5102" s="7"/>
      <c r="C5102" s="7"/>
      <c r="D5102" s="7"/>
      <c r="E5102" s="7"/>
      <c r="F5102" s="7"/>
      <c r="G5102" s="7"/>
      <c r="H5102" s="7"/>
      <c r="I5102" s="7"/>
    </row>
    <row r="5103" hidden="1">
      <c r="A5103" s="7"/>
      <c r="B5103" s="7"/>
      <c r="C5103" s="7"/>
      <c r="D5103" s="7"/>
      <c r="E5103" s="7"/>
      <c r="F5103" s="7"/>
      <c r="G5103" s="7"/>
      <c r="H5103" s="7"/>
      <c r="I5103" s="7"/>
    </row>
    <row r="5104" hidden="1">
      <c r="A5104" s="7"/>
      <c r="B5104" s="7"/>
      <c r="C5104" s="7"/>
      <c r="D5104" s="7"/>
      <c r="E5104" s="7"/>
      <c r="F5104" s="7"/>
      <c r="G5104" s="7"/>
      <c r="H5104" s="7"/>
      <c r="I5104" s="7"/>
    </row>
    <row r="5105" hidden="1">
      <c r="A5105" s="7"/>
      <c r="B5105" s="7"/>
      <c r="C5105" s="7"/>
      <c r="D5105" s="7"/>
      <c r="E5105" s="7"/>
      <c r="F5105" s="7"/>
      <c r="G5105" s="7"/>
      <c r="H5105" s="7"/>
      <c r="I5105" s="7"/>
    </row>
    <row r="5106" hidden="1">
      <c r="A5106" s="7"/>
      <c r="B5106" s="7"/>
      <c r="C5106" s="7"/>
      <c r="D5106" s="7"/>
      <c r="E5106" s="7"/>
      <c r="F5106" s="7"/>
      <c r="G5106" s="7"/>
      <c r="H5106" s="7"/>
      <c r="I5106" s="7"/>
    </row>
    <row r="5107" hidden="1">
      <c r="A5107" s="7"/>
      <c r="B5107" s="7"/>
      <c r="C5107" s="7"/>
      <c r="D5107" s="7"/>
      <c r="E5107" s="7"/>
      <c r="F5107" s="7"/>
      <c r="G5107" s="7"/>
      <c r="H5107" s="7"/>
      <c r="I5107" s="7"/>
    </row>
    <row r="5108" hidden="1">
      <c r="A5108" s="7"/>
      <c r="B5108" s="7"/>
      <c r="C5108" s="7"/>
      <c r="D5108" s="7"/>
      <c r="E5108" s="7"/>
      <c r="F5108" s="7"/>
      <c r="G5108" s="7"/>
      <c r="H5108" s="7"/>
      <c r="I5108" s="7"/>
    </row>
    <row r="5109" hidden="1">
      <c r="A5109" s="7"/>
      <c r="B5109" s="7"/>
      <c r="C5109" s="7"/>
      <c r="D5109" s="7"/>
      <c r="E5109" s="7"/>
      <c r="F5109" s="7"/>
      <c r="G5109" s="7"/>
      <c r="H5109" s="7"/>
      <c r="I5109" s="7"/>
    </row>
    <row r="5110" hidden="1">
      <c r="A5110" s="7"/>
      <c r="B5110" s="7"/>
      <c r="C5110" s="7"/>
      <c r="D5110" s="7"/>
      <c r="E5110" s="7"/>
      <c r="F5110" s="7"/>
      <c r="G5110" s="7"/>
      <c r="H5110" s="7"/>
      <c r="I5110" s="7"/>
    </row>
    <row r="5111" hidden="1">
      <c r="A5111" s="7"/>
      <c r="B5111" s="7"/>
      <c r="C5111" s="7"/>
      <c r="D5111" s="7"/>
      <c r="E5111" s="7"/>
      <c r="F5111" s="7"/>
      <c r="G5111" s="7"/>
      <c r="H5111" s="7"/>
      <c r="I5111" s="7"/>
    </row>
    <row r="5112" hidden="1">
      <c r="A5112" s="7"/>
      <c r="B5112" s="7"/>
      <c r="C5112" s="7"/>
      <c r="D5112" s="7"/>
      <c r="E5112" s="7"/>
      <c r="F5112" s="7"/>
      <c r="G5112" s="7"/>
      <c r="H5112" s="7"/>
      <c r="I5112" s="7"/>
    </row>
    <row r="5113" hidden="1">
      <c r="A5113" s="7"/>
      <c r="B5113" s="7"/>
      <c r="C5113" s="7"/>
      <c r="D5113" s="7"/>
      <c r="E5113" s="7"/>
      <c r="F5113" s="7"/>
      <c r="G5113" s="7"/>
      <c r="H5113" s="7"/>
      <c r="I5113" s="7"/>
    </row>
    <row r="5114" hidden="1">
      <c r="A5114" s="7"/>
      <c r="B5114" s="7"/>
      <c r="C5114" s="7"/>
      <c r="D5114" s="7"/>
      <c r="E5114" s="7"/>
      <c r="F5114" s="7"/>
      <c r="G5114" s="7"/>
      <c r="H5114" s="7"/>
      <c r="I5114" s="7"/>
    </row>
    <row r="5115" hidden="1">
      <c r="A5115" s="7"/>
      <c r="B5115" s="7"/>
      <c r="C5115" s="7"/>
      <c r="D5115" s="7"/>
      <c r="E5115" s="7"/>
      <c r="F5115" s="7"/>
      <c r="G5115" s="7"/>
      <c r="H5115" s="7"/>
      <c r="I5115" s="7"/>
    </row>
    <row r="5116" hidden="1">
      <c r="A5116" s="7"/>
      <c r="B5116" s="7"/>
      <c r="C5116" s="7"/>
      <c r="D5116" s="7"/>
      <c r="E5116" s="7"/>
      <c r="F5116" s="7"/>
      <c r="G5116" s="7"/>
      <c r="H5116" s="7"/>
      <c r="I5116" s="7"/>
    </row>
    <row r="5117" hidden="1">
      <c r="A5117" s="7"/>
      <c r="B5117" s="7"/>
      <c r="C5117" s="7"/>
      <c r="D5117" s="7"/>
      <c r="E5117" s="7"/>
      <c r="F5117" s="7"/>
      <c r="G5117" s="7"/>
      <c r="H5117" s="7"/>
      <c r="I5117" s="7"/>
    </row>
    <row r="5118" hidden="1">
      <c r="A5118" s="7"/>
      <c r="B5118" s="7"/>
      <c r="C5118" s="7"/>
      <c r="D5118" s="7"/>
      <c r="E5118" s="7"/>
      <c r="F5118" s="7"/>
      <c r="G5118" s="7"/>
      <c r="H5118" s="7"/>
      <c r="I5118" s="7"/>
    </row>
    <row r="5119" hidden="1">
      <c r="A5119" s="7"/>
      <c r="B5119" s="7"/>
      <c r="C5119" s="7"/>
      <c r="D5119" s="7"/>
      <c r="E5119" s="7"/>
      <c r="F5119" s="7"/>
      <c r="G5119" s="7"/>
      <c r="H5119" s="7"/>
      <c r="I5119" s="7"/>
    </row>
    <row r="5120" hidden="1">
      <c r="A5120" s="7"/>
      <c r="B5120" s="7"/>
      <c r="C5120" s="7"/>
      <c r="D5120" s="7"/>
      <c r="E5120" s="7"/>
      <c r="F5120" s="7"/>
      <c r="G5120" s="7"/>
      <c r="H5120" s="7"/>
      <c r="I5120" s="7"/>
    </row>
    <row r="5121" hidden="1">
      <c r="A5121" s="7"/>
      <c r="B5121" s="7"/>
      <c r="C5121" s="7"/>
      <c r="D5121" s="7"/>
      <c r="E5121" s="7"/>
      <c r="F5121" s="7"/>
      <c r="G5121" s="7"/>
      <c r="H5121" s="7"/>
      <c r="I5121" s="7"/>
    </row>
    <row r="5122" hidden="1">
      <c r="A5122" s="7"/>
      <c r="B5122" s="7"/>
      <c r="C5122" s="7"/>
      <c r="D5122" s="7"/>
      <c r="E5122" s="7"/>
      <c r="F5122" s="7"/>
      <c r="G5122" s="7"/>
      <c r="H5122" s="7"/>
      <c r="I5122" s="7"/>
    </row>
    <row r="5123" hidden="1">
      <c r="A5123" s="7"/>
      <c r="B5123" s="7"/>
      <c r="C5123" s="7"/>
      <c r="D5123" s="7"/>
      <c r="E5123" s="7"/>
      <c r="F5123" s="7"/>
      <c r="G5123" s="7"/>
      <c r="H5123" s="7"/>
      <c r="I5123" s="7"/>
    </row>
    <row r="5124" hidden="1">
      <c r="A5124" s="7"/>
      <c r="B5124" s="7"/>
      <c r="C5124" s="7"/>
      <c r="D5124" s="7"/>
      <c r="E5124" s="7"/>
      <c r="F5124" s="7"/>
      <c r="G5124" s="7"/>
      <c r="H5124" s="7"/>
      <c r="I5124" s="7"/>
    </row>
    <row r="5125" hidden="1">
      <c r="A5125" s="7"/>
      <c r="B5125" s="7"/>
      <c r="C5125" s="7"/>
      <c r="D5125" s="7"/>
      <c r="E5125" s="7"/>
      <c r="F5125" s="7"/>
      <c r="G5125" s="7"/>
      <c r="H5125" s="7"/>
      <c r="I5125" s="7"/>
    </row>
    <row r="5126" hidden="1">
      <c r="A5126" s="7"/>
      <c r="B5126" s="7"/>
      <c r="C5126" s="7"/>
      <c r="D5126" s="7"/>
      <c r="E5126" s="7"/>
      <c r="F5126" s="7"/>
      <c r="G5126" s="7"/>
      <c r="H5126" s="7"/>
      <c r="I5126" s="7"/>
    </row>
    <row r="5127" hidden="1">
      <c r="A5127" s="7"/>
      <c r="B5127" s="7"/>
      <c r="C5127" s="7"/>
      <c r="D5127" s="7"/>
      <c r="E5127" s="7"/>
      <c r="F5127" s="7"/>
      <c r="G5127" s="7"/>
      <c r="H5127" s="7"/>
      <c r="I5127" s="7"/>
    </row>
    <row r="5128" hidden="1">
      <c r="A5128" s="7"/>
      <c r="B5128" s="7"/>
      <c r="C5128" s="7"/>
      <c r="D5128" s="7"/>
      <c r="E5128" s="7"/>
      <c r="F5128" s="7"/>
      <c r="G5128" s="7"/>
      <c r="H5128" s="7"/>
      <c r="I5128" s="7"/>
    </row>
    <row r="5129" hidden="1">
      <c r="A5129" s="7"/>
      <c r="B5129" s="7"/>
      <c r="C5129" s="7"/>
      <c r="D5129" s="7"/>
      <c r="E5129" s="7"/>
      <c r="F5129" s="7"/>
      <c r="G5129" s="7"/>
      <c r="H5129" s="7"/>
      <c r="I5129" s="7"/>
    </row>
    <row r="5130" hidden="1">
      <c r="A5130" s="7"/>
      <c r="B5130" s="7"/>
      <c r="C5130" s="7"/>
      <c r="D5130" s="7"/>
      <c r="E5130" s="7"/>
      <c r="F5130" s="7"/>
      <c r="G5130" s="7"/>
      <c r="H5130" s="7"/>
      <c r="I5130" s="7"/>
    </row>
    <row r="5131" hidden="1">
      <c r="A5131" s="7"/>
      <c r="B5131" s="7"/>
      <c r="C5131" s="7"/>
      <c r="D5131" s="7"/>
      <c r="E5131" s="7"/>
      <c r="F5131" s="7"/>
      <c r="G5131" s="7"/>
      <c r="H5131" s="7"/>
      <c r="I5131" s="7"/>
    </row>
    <row r="5132" hidden="1">
      <c r="A5132" s="7"/>
      <c r="B5132" s="7"/>
      <c r="C5132" s="7"/>
      <c r="D5132" s="7"/>
      <c r="E5132" s="7"/>
      <c r="F5132" s="7"/>
      <c r="G5132" s="7"/>
      <c r="H5132" s="7"/>
      <c r="I5132" s="7"/>
    </row>
    <row r="5133" hidden="1">
      <c r="A5133" s="7"/>
      <c r="B5133" s="7"/>
      <c r="C5133" s="7"/>
      <c r="D5133" s="7"/>
      <c r="E5133" s="7"/>
      <c r="F5133" s="7"/>
      <c r="G5133" s="7"/>
      <c r="H5133" s="7"/>
      <c r="I5133" s="7"/>
    </row>
    <row r="5134" hidden="1">
      <c r="A5134" s="7"/>
      <c r="B5134" s="7"/>
      <c r="C5134" s="7"/>
      <c r="D5134" s="7"/>
      <c r="E5134" s="7"/>
      <c r="F5134" s="7"/>
      <c r="G5134" s="7"/>
      <c r="H5134" s="7"/>
      <c r="I5134" s="7"/>
    </row>
    <row r="5135" hidden="1">
      <c r="A5135" s="7"/>
      <c r="B5135" s="7"/>
      <c r="C5135" s="7"/>
      <c r="D5135" s="7"/>
      <c r="E5135" s="7"/>
      <c r="F5135" s="7"/>
      <c r="G5135" s="7"/>
      <c r="H5135" s="7"/>
      <c r="I5135" s="7"/>
    </row>
    <row r="5136" hidden="1">
      <c r="A5136" s="7"/>
      <c r="B5136" s="7"/>
      <c r="C5136" s="7"/>
      <c r="D5136" s="7"/>
      <c r="E5136" s="7"/>
      <c r="F5136" s="7"/>
      <c r="G5136" s="7"/>
      <c r="H5136" s="7"/>
      <c r="I5136" s="7"/>
    </row>
    <row r="5137" hidden="1">
      <c r="A5137" s="7"/>
      <c r="B5137" s="7"/>
      <c r="C5137" s="7"/>
      <c r="D5137" s="7"/>
      <c r="E5137" s="7"/>
      <c r="F5137" s="7"/>
      <c r="G5137" s="7"/>
      <c r="H5137" s="7"/>
      <c r="I5137" s="7"/>
    </row>
    <row r="5138" hidden="1">
      <c r="A5138" s="7"/>
      <c r="B5138" s="7"/>
      <c r="C5138" s="7"/>
      <c r="D5138" s="7"/>
      <c r="E5138" s="7"/>
      <c r="F5138" s="7"/>
      <c r="G5138" s="7"/>
      <c r="H5138" s="7"/>
      <c r="I5138" s="7"/>
    </row>
    <row r="5139" hidden="1">
      <c r="A5139" s="7"/>
      <c r="B5139" s="7"/>
      <c r="C5139" s="7"/>
      <c r="D5139" s="7"/>
      <c r="E5139" s="7"/>
      <c r="F5139" s="7"/>
      <c r="G5139" s="7"/>
      <c r="H5139" s="7"/>
      <c r="I5139" s="7"/>
    </row>
    <row r="5140" hidden="1">
      <c r="A5140" s="7"/>
      <c r="B5140" s="7"/>
      <c r="C5140" s="7"/>
      <c r="D5140" s="7"/>
      <c r="E5140" s="7"/>
      <c r="F5140" s="7"/>
      <c r="G5140" s="7"/>
      <c r="H5140" s="7"/>
      <c r="I5140" s="7"/>
    </row>
    <row r="5141" hidden="1">
      <c r="A5141" s="7"/>
      <c r="B5141" s="7"/>
      <c r="C5141" s="7"/>
      <c r="D5141" s="7"/>
      <c r="E5141" s="7"/>
      <c r="F5141" s="7"/>
      <c r="G5141" s="7"/>
      <c r="H5141" s="7"/>
      <c r="I5141" s="7"/>
    </row>
    <row r="5142" hidden="1">
      <c r="A5142" s="7"/>
      <c r="B5142" s="7"/>
      <c r="C5142" s="7"/>
      <c r="D5142" s="7"/>
      <c r="E5142" s="7"/>
      <c r="F5142" s="7"/>
      <c r="G5142" s="7"/>
      <c r="H5142" s="7"/>
      <c r="I5142" s="7"/>
    </row>
    <row r="5143" hidden="1">
      <c r="A5143" s="7"/>
      <c r="B5143" s="7"/>
      <c r="C5143" s="7"/>
      <c r="D5143" s="7"/>
      <c r="E5143" s="7"/>
      <c r="F5143" s="7"/>
      <c r="G5143" s="7"/>
      <c r="H5143" s="7"/>
      <c r="I5143" s="7"/>
    </row>
    <row r="5144" hidden="1">
      <c r="A5144" s="7"/>
      <c r="B5144" s="7"/>
      <c r="C5144" s="7"/>
      <c r="D5144" s="7"/>
      <c r="E5144" s="7"/>
      <c r="F5144" s="7"/>
      <c r="G5144" s="7"/>
      <c r="H5144" s="7"/>
      <c r="I5144" s="7"/>
    </row>
    <row r="5145" hidden="1">
      <c r="A5145" s="7"/>
      <c r="B5145" s="7"/>
      <c r="C5145" s="7"/>
      <c r="D5145" s="7"/>
      <c r="E5145" s="7"/>
      <c r="F5145" s="7"/>
      <c r="G5145" s="7"/>
      <c r="H5145" s="7"/>
      <c r="I5145" s="7"/>
    </row>
    <row r="5146" hidden="1">
      <c r="A5146" s="7"/>
      <c r="B5146" s="7"/>
      <c r="C5146" s="7"/>
      <c r="D5146" s="7"/>
      <c r="E5146" s="7"/>
      <c r="F5146" s="7"/>
      <c r="G5146" s="7"/>
      <c r="H5146" s="7"/>
      <c r="I5146" s="7"/>
    </row>
    <row r="5147" hidden="1">
      <c r="A5147" s="7"/>
      <c r="B5147" s="7"/>
      <c r="C5147" s="7"/>
      <c r="D5147" s="7"/>
      <c r="E5147" s="7"/>
      <c r="F5147" s="7"/>
      <c r="G5147" s="7"/>
      <c r="H5147" s="7"/>
      <c r="I5147" s="7"/>
    </row>
    <row r="5148" hidden="1">
      <c r="A5148" s="7"/>
      <c r="B5148" s="7"/>
      <c r="C5148" s="7"/>
      <c r="D5148" s="7"/>
      <c r="E5148" s="7"/>
      <c r="F5148" s="7"/>
      <c r="G5148" s="7"/>
      <c r="H5148" s="7"/>
      <c r="I5148" s="7"/>
    </row>
    <row r="5149" hidden="1">
      <c r="A5149" s="7"/>
      <c r="B5149" s="7"/>
      <c r="C5149" s="7"/>
      <c r="D5149" s="7"/>
      <c r="E5149" s="7"/>
      <c r="F5149" s="7"/>
      <c r="G5149" s="7"/>
      <c r="H5149" s="7"/>
      <c r="I5149" s="7"/>
    </row>
    <row r="5150" hidden="1">
      <c r="A5150" s="7"/>
      <c r="B5150" s="7"/>
      <c r="C5150" s="7"/>
      <c r="D5150" s="7"/>
      <c r="E5150" s="7"/>
      <c r="F5150" s="7"/>
      <c r="G5150" s="7"/>
      <c r="H5150" s="7"/>
      <c r="I5150" s="7"/>
    </row>
    <row r="5151" hidden="1">
      <c r="A5151" s="7"/>
      <c r="B5151" s="7"/>
      <c r="C5151" s="7"/>
      <c r="D5151" s="7"/>
      <c r="E5151" s="7"/>
      <c r="F5151" s="7"/>
      <c r="G5151" s="7"/>
      <c r="H5151" s="7"/>
      <c r="I5151" s="7"/>
    </row>
    <row r="5152" hidden="1">
      <c r="A5152" s="7"/>
      <c r="B5152" s="7"/>
      <c r="C5152" s="7"/>
      <c r="D5152" s="7"/>
      <c r="E5152" s="7"/>
      <c r="F5152" s="7"/>
      <c r="G5152" s="7"/>
      <c r="H5152" s="7"/>
      <c r="I5152" s="7"/>
    </row>
    <row r="5153" hidden="1">
      <c r="A5153" s="7"/>
      <c r="B5153" s="7"/>
      <c r="C5153" s="7"/>
      <c r="D5153" s="7"/>
      <c r="E5153" s="7"/>
      <c r="F5153" s="7"/>
      <c r="G5153" s="7"/>
      <c r="H5153" s="7"/>
      <c r="I5153" s="7"/>
    </row>
    <row r="5154" hidden="1">
      <c r="A5154" s="7"/>
      <c r="B5154" s="7"/>
      <c r="C5154" s="7"/>
      <c r="D5154" s="7"/>
      <c r="E5154" s="7"/>
      <c r="F5154" s="7"/>
      <c r="G5154" s="7"/>
      <c r="H5154" s="7"/>
      <c r="I5154" s="7"/>
    </row>
    <row r="5155" hidden="1">
      <c r="A5155" s="7"/>
      <c r="B5155" s="7"/>
      <c r="C5155" s="7"/>
      <c r="D5155" s="7"/>
      <c r="E5155" s="7"/>
      <c r="F5155" s="7"/>
      <c r="G5155" s="7"/>
      <c r="H5155" s="7"/>
      <c r="I5155" s="7"/>
    </row>
    <row r="5156" hidden="1">
      <c r="A5156" s="7"/>
      <c r="B5156" s="7"/>
      <c r="C5156" s="7"/>
      <c r="D5156" s="7"/>
      <c r="E5156" s="7"/>
      <c r="F5156" s="7"/>
      <c r="G5156" s="7"/>
      <c r="H5156" s="7"/>
      <c r="I5156" s="7"/>
    </row>
    <row r="5157" hidden="1">
      <c r="A5157" s="7"/>
      <c r="B5157" s="7"/>
      <c r="C5157" s="7"/>
      <c r="D5157" s="7"/>
      <c r="E5157" s="7"/>
      <c r="F5157" s="7"/>
      <c r="G5157" s="7"/>
      <c r="H5157" s="7"/>
      <c r="I5157" s="7"/>
    </row>
    <row r="5158" hidden="1">
      <c r="A5158" s="7"/>
      <c r="B5158" s="7"/>
      <c r="C5158" s="7"/>
      <c r="D5158" s="7"/>
      <c r="E5158" s="7"/>
      <c r="F5158" s="7"/>
      <c r="G5158" s="7"/>
      <c r="H5158" s="7"/>
      <c r="I5158" s="7"/>
    </row>
    <row r="5159" hidden="1">
      <c r="A5159" s="7"/>
      <c r="B5159" s="7"/>
      <c r="C5159" s="7"/>
      <c r="D5159" s="7"/>
      <c r="E5159" s="7"/>
      <c r="F5159" s="7"/>
      <c r="G5159" s="7"/>
      <c r="H5159" s="7"/>
      <c r="I5159" s="7"/>
    </row>
    <row r="5160" hidden="1">
      <c r="A5160" s="7"/>
      <c r="B5160" s="7"/>
      <c r="C5160" s="7"/>
      <c r="D5160" s="7"/>
      <c r="E5160" s="7"/>
      <c r="F5160" s="7"/>
      <c r="G5160" s="7"/>
      <c r="H5160" s="7"/>
      <c r="I5160" s="7"/>
    </row>
    <row r="5161" hidden="1">
      <c r="A5161" s="7"/>
      <c r="B5161" s="7"/>
      <c r="C5161" s="7"/>
      <c r="D5161" s="7"/>
      <c r="E5161" s="7"/>
      <c r="F5161" s="7"/>
      <c r="G5161" s="7"/>
      <c r="H5161" s="7"/>
      <c r="I5161" s="7"/>
    </row>
    <row r="5162" hidden="1">
      <c r="A5162" s="7"/>
      <c r="B5162" s="7"/>
      <c r="C5162" s="7"/>
      <c r="D5162" s="7"/>
      <c r="E5162" s="7"/>
      <c r="F5162" s="7"/>
      <c r="G5162" s="7"/>
      <c r="H5162" s="7"/>
      <c r="I5162" s="7"/>
    </row>
    <row r="5163" hidden="1">
      <c r="A5163" s="7"/>
      <c r="B5163" s="7"/>
      <c r="C5163" s="7"/>
      <c r="D5163" s="7"/>
      <c r="E5163" s="7"/>
      <c r="F5163" s="7"/>
      <c r="G5163" s="7"/>
      <c r="H5163" s="7"/>
      <c r="I5163" s="7"/>
    </row>
    <row r="5164" hidden="1">
      <c r="A5164" s="7"/>
      <c r="B5164" s="7"/>
      <c r="C5164" s="7"/>
      <c r="D5164" s="7"/>
      <c r="E5164" s="7"/>
      <c r="F5164" s="7"/>
      <c r="G5164" s="7"/>
      <c r="H5164" s="7"/>
      <c r="I5164" s="7"/>
    </row>
    <row r="5165" hidden="1">
      <c r="A5165" s="7"/>
      <c r="B5165" s="7"/>
      <c r="C5165" s="7"/>
      <c r="D5165" s="7"/>
      <c r="E5165" s="7"/>
      <c r="F5165" s="7"/>
      <c r="G5165" s="7"/>
      <c r="H5165" s="7"/>
      <c r="I5165" s="7"/>
    </row>
    <row r="5166" hidden="1">
      <c r="A5166" s="7"/>
      <c r="B5166" s="7"/>
      <c r="C5166" s="7"/>
      <c r="D5166" s="7"/>
      <c r="E5166" s="7"/>
      <c r="F5166" s="7"/>
      <c r="G5166" s="7"/>
      <c r="H5166" s="7"/>
      <c r="I5166" s="7"/>
    </row>
    <row r="5167" hidden="1">
      <c r="A5167" s="7"/>
      <c r="B5167" s="7"/>
      <c r="C5167" s="7"/>
      <c r="D5167" s="7"/>
      <c r="E5167" s="7"/>
      <c r="F5167" s="7"/>
      <c r="G5167" s="7"/>
      <c r="H5167" s="7"/>
      <c r="I5167" s="7"/>
    </row>
    <row r="5168" hidden="1">
      <c r="A5168" s="7"/>
      <c r="B5168" s="7"/>
      <c r="C5168" s="7"/>
      <c r="D5168" s="7"/>
      <c r="E5168" s="7"/>
      <c r="F5168" s="7"/>
      <c r="G5168" s="7"/>
      <c r="H5168" s="7"/>
      <c r="I5168" s="7"/>
    </row>
    <row r="5169" hidden="1">
      <c r="A5169" s="7"/>
      <c r="B5169" s="7"/>
      <c r="C5169" s="7"/>
      <c r="D5169" s="7"/>
      <c r="E5169" s="7"/>
      <c r="F5169" s="7"/>
      <c r="G5169" s="7"/>
      <c r="H5169" s="7"/>
      <c r="I5169" s="7"/>
    </row>
    <row r="5170" hidden="1">
      <c r="A5170" s="7"/>
      <c r="B5170" s="7"/>
      <c r="C5170" s="7"/>
      <c r="D5170" s="7"/>
      <c r="E5170" s="7"/>
      <c r="F5170" s="7"/>
      <c r="G5170" s="7"/>
      <c r="H5170" s="7"/>
      <c r="I5170" s="7"/>
    </row>
    <row r="5171" hidden="1">
      <c r="A5171" s="7"/>
      <c r="B5171" s="7"/>
      <c r="C5171" s="7"/>
      <c r="D5171" s="7"/>
      <c r="E5171" s="7"/>
      <c r="F5171" s="7"/>
      <c r="G5171" s="7"/>
      <c r="H5171" s="7"/>
      <c r="I5171" s="7"/>
    </row>
    <row r="5172" hidden="1">
      <c r="A5172" s="7"/>
      <c r="B5172" s="7"/>
      <c r="C5172" s="7"/>
      <c r="D5172" s="7"/>
      <c r="E5172" s="7"/>
      <c r="F5172" s="7"/>
      <c r="G5172" s="7"/>
      <c r="H5172" s="7"/>
      <c r="I5172" s="7"/>
    </row>
    <row r="5173" hidden="1">
      <c r="A5173" s="7"/>
      <c r="B5173" s="7"/>
      <c r="C5173" s="7"/>
      <c r="D5173" s="7"/>
      <c r="E5173" s="7"/>
      <c r="F5173" s="7"/>
      <c r="G5173" s="7"/>
      <c r="H5173" s="7"/>
      <c r="I5173" s="7"/>
    </row>
    <row r="5174" hidden="1">
      <c r="A5174" s="7"/>
      <c r="B5174" s="7"/>
      <c r="C5174" s="7"/>
      <c r="D5174" s="7"/>
      <c r="E5174" s="7"/>
      <c r="F5174" s="7"/>
      <c r="G5174" s="7"/>
      <c r="H5174" s="7"/>
      <c r="I5174" s="7"/>
    </row>
    <row r="5175" hidden="1">
      <c r="A5175" s="7"/>
      <c r="B5175" s="7"/>
      <c r="C5175" s="7"/>
      <c r="D5175" s="7"/>
      <c r="E5175" s="7"/>
      <c r="F5175" s="7"/>
      <c r="G5175" s="7"/>
      <c r="H5175" s="7"/>
      <c r="I5175" s="7"/>
    </row>
    <row r="5176" hidden="1">
      <c r="A5176" s="7"/>
      <c r="B5176" s="7"/>
      <c r="C5176" s="7"/>
      <c r="D5176" s="7"/>
      <c r="E5176" s="7"/>
      <c r="F5176" s="7"/>
      <c r="G5176" s="7"/>
      <c r="H5176" s="7"/>
      <c r="I5176" s="7"/>
    </row>
    <row r="5177" hidden="1">
      <c r="A5177" s="7"/>
      <c r="B5177" s="7"/>
      <c r="C5177" s="7"/>
      <c r="D5177" s="7"/>
      <c r="E5177" s="7"/>
      <c r="F5177" s="7"/>
      <c r="G5177" s="7"/>
      <c r="H5177" s="7"/>
      <c r="I5177" s="7"/>
    </row>
    <row r="5178" hidden="1">
      <c r="A5178" s="7"/>
      <c r="B5178" s="7"/>
      <c r="C5178" s="7"/>
      <c r="D5178" s="7"/>
      <c r="E5178" s="7"/>
      <c r="F5178" s="7"/>
      <c r="G5178" s="7"/>
      <c r="H5178" s="7"/>
      <c r="I5178" s="7"/>
    </row>
    <row r="5179" hidden="1">
      <c r="A5179" s="7"/>
      <c r="B5179" s="7"/>
      <c r="C5179" s="7"/>
      <c r="D5179" s="7"/>
      <c r="E5179" s="7"/>
      <c r="F5179" s="7"/>
      <c r="G5179" s="7"/>
      <c r="H5179" s="7"/>
      <c r="I5179" s="7"/>
    </row>
    <row r="5180" hidden="1">
      <c r="A5180" s="7"/>
      <c r="B5180" s="7"/>
      <c r="C5180" s="7"/>
      <c r="D5180" s="7"/>
      <c r="E5180" s="7"/>
      <c r="F5180" s="7"/>
      <c r="G5180" s="7"/>
      <c r="H5180" s="7"/>
      <c r="I5180" s="7"/>
    </row>
    <row r="5181" hidden="1">
      <c r="A5181" s="7"/>
      <c r="B5181" s="7"/>
      <c r="C5181" s="7"/>
      <c r="D5181" s="7"/>
      <c r="E5181" s="7"/>
      <c r="F5181" s="7"/>
      <c r="G5181" s="7"/>
      <c r="H5181" s="7"/>
      <c r="I5181" s="7"/>
    </row>
    <row r="5182" hidden="1">
      <c r="A5182" s="7"/>
      <c r="B5182" s="7"/>
      <c r="C5182" s="7"/>
      <c r="D5182" s="7"/>
      <c r="E5182" s="7"/>
      <c r="F5182" s="7"/>
      <c r="G5182" s="7"/>
      <c r="H5182" s="7"/>
      <c r="I5182" s="7"/>
    </row>
    <row r="5183" hidden="1">
      <c r="A5183" s="7"/>
      <c r="B5183" s="7"/>
      <c r="C5183" s="7"/>
      <c r="D5183" s="7"/>
      <c r="E5183" s="7"/>
      <c r="F5183" s="7"/>
      <c r="G5183" s="7"/>
      <c r="H5183" s="7"/>
      <c r="I5183" s="7"/>
    </row>
    <row r="5184" hidden="1">
      <c r="A5184" s="7"/>
      <c r="B5184" s="7"/>
      <c r="C5184" s="7"/>
      <c r="D5184" s="7"/>
      <c r="E5184" s="7"/>
      <c r="F5184" s="7"/>
      <c r="G5184" s="7"/>
      <c r="H5184" s="7"/>
      <c r="I5184" s="7"/>
    </row>
    <row r="5185" hidden="1">
      <c r="A5185" s="7"/>
      <c r="B5185" s="7"/>
      <c r="C5185" s="7"/>
      <c r="D5185" s="7"/>
      <c r="E5185" s="7"/>
      <c r="F5185" s="7"/>
      <c r="G5185" s="7"/>
      <c r="H5185" s="7"/>
      <c r="I5185" s="7"/>
    </row>
    <row r="5186" hidden="1">
      <c r="A5186" s="7"/>
      <c r="B5186" s="7"/>
      <c r="C5186" s="7"/>
      <c r="D5186" s="7"/>
      <c r="E5186" s="7"/>
      <c r="F5186" s="7"/>
      <c r="G5186" s="7"/>
      <c r="H5186" s="7"/>
      <c r="I5186" s="7"/>
    </row>
    <row r="5187" hidden="1">
      <c r="A5187" s="7"/>
      <c r="B5187" s="7"/>
      <c r="C5187" s="7"/>
      <c r="D5187" s="7"/>
      <c r="E5187" s="7"/>
      <c r="F5187" s="7"/>
      <c r="G5187" s="7"/>
      <c r="H5187" s="7"/>
      <c r="I5187" s="7"/>
    </row>
    <row r="5188" hidden="1">
      <c r="A5188" s="7"/>
      <c r="B5188" s="7"/>
      <c r="C5188" s="7"/>
      <c r="D5188" s="7"/>
      <c r="E5188" s="7"/>
      <c r="F5188" s="7"/>
      <c r="G5188" s="7"/>
      <c r="H5188" s="7"/>
      <c r="I5188" s="7"/>
    </row>
    <row r="5189" hidden="1">
      <c r="A5189" s="7"/>
      <c r="B5189" s="7"/>
      <c r="C5189" s="7"/>
      <c r="D5189" s="7"/>
      <c r="E5189" s="7"/>
      <c r="F5189" s="7"/>
      <c r="G5189" s="7"/>
      <c r="H5189" s="7"/>
      <c r="I5189" s="7"/>
    </row>
    <row r="5190" hidden="1">
      <c r="A5190" s="7"/>
      <c r="B5190" s="7"/>
      <c r="C5190" s="7"/>
      <c r="D5190" s="7"/>
      <c r="E5190" s="7"/>
      <c r="F5190" s="7"/>
      <c r="G5190" s="7"/>
      <c r="H5190" s="7"/>
      <c r="I5190" s="7"/>
    </row>
    <row r="5191" hidden="1">
      <c r="A5191" s="7"/>
      <c r="B5191" s="7"/>
      <c r="C5191" s="7"/>
      <c r="D5191" s="7"/>
      <c r="E5191" s="7"/>
      <c r="F5191" s="7"/>
      <c r="G5191" s="7"/>
      <c r="H5191" s="7"/>
      <c r="I5191" s="7"/>
    </row>
    <row r="5192" hidden="1">
      <c r="A5192" s="7"/>
      <c r="B5192" s="7"/>
      <c r="C5192" s="7"/>
      <c r="D5192" s="7"/>
      <c r="E5192" s="7"/>
      <c r="F5192" s="7"/>
      <c r="G5192" s="7"/>
      <c r="H5192" s="7"/>
      <c r="I5192" s="7"/>
    </row>
    <row r="5193" hidden="1">
      <c r="A5193" s="7"/>
      <c r="B5193" s="7"/>
      <c r="C5193" s="7"/>
      <c r="D5193" s="7"/>
      <c r="E5193" s="7"/>
      <c r="F5193" s="7"/>
      <c r="G5193" s="7"/>
      <c r="H5193" s="7"/>
      <c r="I5193" s="7"/>
    </row>
    <row r="5194" hidden="1">
      <c r="A5194" s="7"/>
      <c r="B5194" s="7"/>
      <c r="C5194" s="7"/>
      <c r="D5194" s="7"/>
      <c r="E5194" s="7"/>
      <c r="F5194" s="7"/>
      <c r="G5194" s="7"/>
      <c r="H5194" s="7"/>
      <c r="I5194" s="7"/>
    </row>
    <row r="5195" hidden="1">
      <c r="A5195" s="7"/>
      <c r="B5195" s="7"/>
      <c r="C5195" s="7"/>
      <c r="D5195" s="7"/>
      <c r="E5195" s="7"/>
      <c r="F5195" s="7"/>
      <c r="G5195" s="7"/>
      <c r="H5195" s="7"/>
      <c r="I5195" s="7"/>
    </row>
    <row r="5196" hidden="1">
      <c r="A5196" s="7"/>
      <c r="B5196" s="7"/>
      <c r="C5196" s="7"/>
      <c r="D5196" s="7"/>
      <c r="E5196" s="7"/>
      <c r="F5196" s="7"/>
      <c r="G5196" s="7"/>
      <c r="H5196" s="7"/>
      <c r="I5196" s="7"/>
    </row>
    <row r="5197" hidden="1">
      <c r="A5197" s="7"/>
      <c r="B5197" s="7"/>
      <c r="C5197" s="7"/>
      <c r="D5197" s="7"/>
      <c r="E5197" s="7"/>
      <c r="F5197" s="7"/>
      <c r="G5197" s="7"/>
      <c r="H5197" s="7"/>
      <c r="I5197" s="7"/>
    </row>
    <row r="5198" hidden="1">
      <c r="A5198" s="7"/>
      <c r="B5198" s="7"/>
      <c r="C5198" s="7"/>
      <c r="D5198" s="7"/>
      <c r="E5198" s="7"/>
      <c r="F5198" s="7"/>
      <c r="G5198" s="7"/>
      <c r="H5198" s="7"/>
      <c r="I5198" s="7"/>
    </row>
    <row r="5199" hidden="1">
      <c r="A5199" s="7"/>
      <c r="B5199" s="7"/>
      <c r="C5199" s="7"/>
      <c r="D5199" s="7"/>
      <c r="E5199" s="7"/>
      <c r="F5199" s="7"/>
      <c r="G5199" s="7"/>
      <c r="H5199" s="7"/>
      <c r="I5199" s="7"/>
    </row>
    <row r="5200" hidden="1">
      <c r="A5200" s="7"/>
      <c r="B5200" s="7"/>
      <c r="C5200" s="7"/>
      <c r="D5200" s="7"/>
      <c r="E5200" s="7"/>
      <c r="F5200" s="7"/>
      <c r="G5200" s="7"/>
      <c r="H5200" s="7"/>
      <c r="I5200" s="7"/>
    </row>
    <row r="5201" hidden="1">
      <c r="A5201" s="7"/>
      <c r="B5201" s="7"/>
      <c r="C5201" s="7"/>
      <c r="D5201" s="7"/>
      <c r="E5201" s="7"/>
      <c r="F5201" s="7"/>
      <c r="G5201" s="7"/>
      <c r="H5201" s="7"/>
      <c r="I5201" s="7"/>
    </row>
    <row r="5202" hidden="1">
      <c r="A5202" s="7"/>
      <c r="B5202" s="7"/>
      <c r="C5202" s="7"/>
      <c r="D5202" s="7"/>
      <c r="E5202" s="7"/>
      <c r="F5202" s="7"/>
      <c r="G5202" s="7"/>
      <c r="H5202" s="7"/>
      <c r="I5202" s="7"/>
    </row>
    <row r="5203" hidden="1">
      <c r="A5203" s="7"/>
      <c r="B5203" s="7"/>
      <c r="C5203" s="7"/>
      <c r="D5203" s="7"/>
      <c r="E5203" s="7"/>
      <c r="F5203" s="7"/>
      <c r="G5203" s="7"/>
      <c r="H5203" s="7"/>
      <c r="I5203" s="7"/>
    </row>
    <row r="5204" hidden="1">
      <c r="A5204" s="7"/>
      <c r="B5204" s="7"/>
      <c r="C5204" s="7"/>
      <c r="D5204" s="7"/>
      <c r="E5204" s="7"/>
      <c r="F5204" s="7"/>
      <c r="G5204" s="7"/>
      <c r="H5204" s="7"/>
      <c r="I5204" s="7"/>
    </row>
    <row r="5205" hidden="1">
      <c r="A5205" s="7"/>
      <c r="B5205" s="7"/>
      <c r="C5205" s="7"/>
      <c r="D5205" s="7"/>
      <c r="E5205" s="7"/>
      <c r="F5205" s="7"/>
      <c r="G5205" s="7"/>
      <c r="H5205" s="7"/>
      <c r="I5205" s="7"/>
    </row>
    <row r="5206" hidden="1">
      <c r="A5206" s="7"/>
      <c r="B5206" s="7"/>
      <c r="C5206" s="7"/>
      <c r="D5206" s="7"/>
      <c r="E5206" s="7"/>
      <c r="F5206" s="7"/>
      <c r="G5206" s="7"/>
      <c r="H5206" s="7"/>
      <c r="I5206" s="7"/>
    </row>
    <row r="5207" hidden="1">
      <c r="A5207" s="7"/>
      <c r="B5207" s="7"/>
      <c r="C5207" s="7"/>
      <c r="D5207" s="7"/>
      <c r="E5207" s="7"/>
      <c r="F5207" s="7"/>
      <c r="G5207" s="7"/>
      <c r="H5207" s="7"/>
      <c r="I5207" s="7"/>
    </row>
    <row r="5208" hidden="1">
      <c r="A5208" s="7"/>
      <c r="B5208" s="7"/>
      <c r="C5208" s="7"/>
      <c r="D5208" s="7"/>
      <c r="E5208" s="7"/>
      <c r="F5208" s="7"/>
      <c r="G5208" s="7"/>
      <c r="H5208" s="7"/>
      <c r="I5208" s="7"/>
    </row>
    <row r="5209" hidden="1">
      <c r="A5209" s="7"/>
      <c r="B5209" s="7"/>
      <c r="C5209" s="7"/>
      <c r="D5209" s="7"/>
      <c r="E5209" s="7"/>
      <c r="F5209" s="7"/>
      <c r="G5209" s="7"/>
      <c r="H5209" s="7"/>
      <c r="I5209" s="7"/>
    </row>
    <row r="5210" hidden="1">
      <c r="A5210" s="7"/>
      <c r="B5210" s="7"/>
      <c r="C5210" s="7"/>
      <c r="D5210" s="7"/>
      <c r="E5210" s="7"/>
      <c r="F5210" s="7"/>
      <c r="G5210" s="7"/>
      <c r="H5210" s="7"/>
      <c r="I5210" s="7"/>
    </row>
    <row r="5211" hidden="1">
      <c r="A5211" s="7"/>
      <c r="B5211" s="7"/>
      <c r="C5211" s="7"/>
      <c r="D5211" s="7"/>
      <c r="E5211" s="7"/>
      <c r="F5211" s="7"/>
      <c r="G5211" s="7"/>
      <c r="H5211" s="7"/>
      <c r="I5211" s="7"/>
    </row>
    <row r="5212" hidden="1">
      <c r="A5212" s="7"/>
      <c r="B5212" s="7"/>
      <c r="C5212" s="7"/>
      <c r="D5212" s="7"/>
      <c r="E5212" s="7"/>
      <c r="F5212" s="7"/>
      <c r="G5212" s="7"/>
      <c r="H5212" s="7"/>
      <c r="I5212" s="7"/>
    </row>
    <row r="5213" hidden="1">
      <c r="A5213" s="7"/>
      <c r="B5213" s="7"/>
      <c r="C5213" s="7"/>
      <c r="D5213" s="7"/>
      <c r="E5213" s="7"/>
      <c r="F5213" s="7"/>
      <c r="G5213" s="7"/>
      <c r="H5213" s="7"/>
      <c r="I5213" s="7"/>
    </row>
    <row r="5214" hidden="1">
      <c r="A5214" s="7"/>
      <c r="B5214" s="7"/>
      <c r="C5214" s="7"/>
      <c r="D5214" s="7"/>
      <c r="E5214" s="7"/>
      <c r="F5214" s="7"/>
      <c r="G5214" s="7"/>
      <c r="H5214" s="7"/>
      <c r="I5214" s="7"/>
    </row>
    <row r="5215" hidden="1">
      <c r="A5215" s="7"/>
      <c r="B5215" s="7"/>
      <c r="C5215" s="7"/>
      <c r="D5215" s="7"/>
      <c r="E5215" s="7"/>
      <c r="F5215" s="7"/>
      <c r="G5215" s="7"/>
      <c r="H5215" s="7"/>
      <c r="I5215" s="7"/>
    </row>
    <row r="5216" hidden="1">
      <c r="A5216" s="7"/>
      <c r="B5216" s="7"/>
      <c r="C5216" s="7"/>
      <c r="D5216" s="7"/>
      <c r="E5216" s="7"/>
      <c r="F5216" s="7"/>
      <c r="G5216" s="7"/>
      <c r="H5216" s="7"/>
      <c r="I5216" s="7"/>
    </row>
    <row r="5217" hidden="1">
      <c r="A5217" s="7"/>
      <c r="B5217" s="7"/>
      <c r="C5217" s="7"/>
      <c r="D5217" s="7"/>
      <c r="E5217" s="7"/>
      <c r="F5217" s="7"/>
      <c r="G5217" s="7"/>
      <c r="H5217" s="7"/>
      <c r="I5217" s="7"/>
    </row>
    <row r="5218" hidden="1">
      <c r="A5218" s="7"/>
      <c r="B5218" s="7"/>
      <c r="C5218" s="7"/>
      <c r="D5218" s="7"/>
      <c r="E5218" s="7"/>
      <c r="F5218" s="7"/>
      <c r="G5218" s="7"/>
      <c r="H5218" s="7"/>
      <c r="I5218" s="7"/>
    </row>
    <row r="5219" hidden="1">
      <c r="A5219" s="7"/>
      <c r="B5219" s="7"/>
      <c r="C5219" s="7"/>
      <c r="D5219" s="7"/>
      <c r="E5219" s="7"/>
      <c r="F5219" s="7"/>
      <c r="G5219" s="7"/>
      <c r="H5219" s="7"/>
      <c r="I5219" s="7"/>
    </row>
    <row r="5220" hidden="1">
      <c r="A5220" s="7"/>
      <c r="B5220" s="7"/>
      <c r="C5220" s="7"/>
      <c r="D5220" s="7"/>
      <c r="E5220" s="7"/>
      <c r="F5220" s="7"/>
      <c r="G5220" s="7"/>
      <c r="H5220" s="7"/>
      <c r="I5220" s="7"/>
    </row>
    <row r="5221" hidden="1">
      <c r="A5221" s="7"/>
      <c r="B5221" s="7"/>
      <c r="C5221" s="7"/>
      <c r="D5221" s="7"/>
      <c r="E5221" s="7"/>
      <c r="F5221" s="7"/>
      <c r="G5221" s="7"/>
      <c r="H5221" s="7"/>
      <c r="I5221" s="7"/>
    </row>
    <row r="5222" hidden="1">
      <c r="A5222" s="7"/>
      <c r="B5222" s="7"/>
      <c r="C5222" s="7"/>
      <c r="D5222" s="7"/>
      <c r="E5222" s="7"/>
      <c r="F5222" s="7"/>
      <c r="G5222" s="7"/>
      <c r="H5222" s="7"/>
      <c r="I5222" s="7"/>
    </row>
    <row r="5223" hidden="1">
      <c r="A5223" s="7"/>
      <c r="B5223" s="7"/>
      <c r="C5223" s="7"/>
      <c r="D5223" s="7"/>
      <c r="E5223" s="7"/>
      <c r="F5223" s="7"/>
      <c r="G5223" s="7"/>
      <c r="H5223" s="7"/>
      <c r="I5223" s="7"/>
    </row>
    <row r="5224" hidden="1">
      <c r="A5224" s="7"/>
      <c r="B5224" s="7"/>
      <c r="C5224" s="7"/>
      <c r="D5224" s="7"/>
      <c r="E5224" s="7"/>
      <c r="F5224" s="7"/>
      <c r="G5224" s="7"/>
      <c r="H5224" s="7"/>
      <c r="I5224" s="7"/>
    </row>
    <row r="5225" hidden="1">
      <c r="A5225" s="7"/>
      <c r="B5225" s="7"/>
      <c r="C5225" s="7"/>
      <c r="D5225" s="7"/>
      <c r="E5225" s="7"/>
      <c r="F5225" s="7"/>
      <c r="G5225" s="7"/>
      <c r="H5225" s="7"/>
      <c r="I5225" s="7"/>
    </row>
    <row r="5226" hidden="1">
      <c r="A5226" s="7"/>
      <c r="B5226" s="7"/>
      <c r="C5226" s="7"/>
      <c r="D5226" s="7"/>
      <c r="E5226" s="7"/>
      <c r="F5226" s="7"/>
      <c r="G5226" s="7"/>
      <c r="H5226" s="7"/>
      <c r="I5226" s="7"/>
    </row>
    <row r="5227" hidden="1">
      <c r="A5227" s="7"/>
      <c r="B5227" s="7"/>
      <c r="C5227" s="7"/>
      <c r="D5227" s="7"/>
      <c r="E5227" s="7"/>
      <c r="F5227" s="7"/>
      <c r="G5227" s="7"/>
      <c r="H5227" s="7"/>
      <c r="I5227" s="7"/>
    </row>
    <row r="5228" hidden="1">
      <c r="A5228" s="7"/>
      <c r="B5228" s="7"/>
      <c r="C5228" s="7"/>
      <c r="D5228" s="7"/>
      <c r="E5228" s="7"/>
      <c r="F5228" s="7"/>
      <c r="G5228" s="7"/>
      <c r="H5228" s="7"/>
      <c r="I5228" s="7"/>
    </row>
    <row r="5229" hidden="1">
      <c r="A5229" s="7"/>
      <c r="B5229" s="7"/>
      <c r="C5229" s="7"/>
      <c r="D5229" s="7"/>
      <c r="E5229" s="7"/>
      <c r="F5229" s="7"/>
      <c r="G5229" s="7"/>
      <c r="H5229" s="7"/>
      <c r="I5229" s="7"/>
    </row>
    <row r="5230" hidden="1">
      <c r="A5230" s="7"/>
      <c r="B5230" s="7"/>
      <c r="C5230" s="7"/>
      <c r="D5230" s="7"/>
      <c r="E5230" s="7"/>
      <c r="F5230" s="7"/>
      <c r="G5230" s="7"/>
      <c r="H5230" s="7"/>
      <c r="I5230" s="7"/>
    </row>
    <row r="5231" hidden="1">
      <c r="A5231" s="7"/>
      <c r="B5231" s="7"/>
      <c r="C5231" s="7"/>
      <c r="D5231" s="7"/>
      <c r="E5231" s="7"/>
      <c r="F5231" s="7"/>
      <c r="G5231" s="7"/>
      <c r="H5231" s="7"/>
      <c r="I5231" s="7"/>
    </row>
    <row r="5232" hidden="1">
      <c r="A5232" s="7"/>
      <c r="B5232" s="7"/>
      <c r="C5232" s="7"/>
      <c r="D5232" s="7"/>
      <c r="E5232" s="7"/>
      <c r="F5232" s="7"/>
      <c r="G5232" s="7"/>
      <c r="H5232" s="7"/>
      <c r="I5232" s="7"/>
    </row>
    <row r="5233" hidden="1">
      <c r="A5233" s="7"/>
      <c r="B5233" s="7"/>
      <c r="C5233" s="7"/>
      <c r="D5233" s="7"/>
      <c r="E5233" s="7"/>
      <c r="F5233" s="7"/>
      <c r="G5233" s="7"/>
      <c r="H5233" s="7"/>
      <c r="I5233" s="7"/>
    </row>
    <row r="5234" hidden="1">
      <c r="A5234" s="7"/>
      <c r="B5234" s="7"/>
      <c r="C5234" s="7"/>
      <c r="D5234" s="7"/>
      <c r="E5234" s="7"/>
      <c r="F5234" s="7"/>
      <c r="G5234" s="7"/>
      <c r="H5234" s="7"/>
      <c r="I5234" s="7"/>
    </row>
    <row r="5235" hidden="1">
      <c r="A5235" s="7"/>
      <c r="B5235" s="7"/>
      <c r="C5235" s="7"/>
      <c r="D5235" s="7"/>
      <c r="E5235" s="7"/>
      <c r="F5235" s="7"/>
      <c r="G5235" s="7"/>
      <c r="H5235" s="7"/>
      <c r="I5235" s="7"/>
    </row>
    <row r="5236" hidden="1">
      <c r="A5236" s="7"/>
      <c r="B5236" s="7"/>
      <c r="C5236" s="7"/>
      <c r="D5236" s="7"/>
      <c r="E5236" s="7"/>
      <c r="F5236" s="7"/>
      <c r="G5236" s="7"/>
      <c r="H5236" s="7"/>
      <c r="I5236" s="7"/>
    </row>
    <row r="5237" hidden="1">
      <c r="A5237" s="7"/>
      <c r="B5237" s="7"/>
      <c r="C5237" s="7"/>
      <c r="D5237" s="7"/>
      <c r="E5237" s="7"/>
      <c r="F5237" s="7"/>
      <c r="G5237" s="7"/>
      <c r="H5237" s="7"/>
      <c r="I5237" s="7"/>
    </row>
    <row r="5238" hidden="1">
      <c r="A5238" s="7"/>
      <c r="B5238" s="7"/>
      <c r="C5238" s="7"/>
      <c r="D5238" s="7"/>
      <c r="E5238" s="7"/>
      <c r="F5238" s="7"/>
      <c r="G5238" s="7"/>
      <c r="H5238" s="7"/>
      <c r="I5238" s="7"/>
    </row>
    <row r="5239" hidden="1">
      <c r="A5239" s="7"/>
      <c r="B5239" s="7"/>
      <c r="C5239" s="7"/>
      <c r="D5239" s="7"/>
      <c r="E5239" s="7"/>
      <c r="F5239" s="7"/>
      <c r="G5239" s="7"/>
      <c r="H5239" s="7"/>
      <c r="I5239" s="7"/>
    </row>
    <row r="5240" hidden="1">
      <c r="A5240" s="7"/>
      <c r="B5240" s="7"/>
      <c r="C5240" s="7"/>
      <c r="D5240" s="7"/>
      <c r="E5240" s="7"/>
      <c r="F5240" s="7"/>
      <c r="G5240" s="7"/>
      <c r="H5240" s="7"/>
      <c r="I5240" s="7"/>
    </row>
    <row r="5241" hidden="1">
      <c r="A5241" s="7"/>
      <c r="B5241" s="7"/>
      <c r="C5241" s="7"/>
      <c r="D5241" s="7"/>
      <c r="E5241" s="7"/>
      <c r="F5241" s="7"/>
      <c r="G5241" s="7"/>
      <c r="H5241" s="7"/>
      <c r="I5241" s="7"/>
    </row>
    <row r="5242" hidden="1">
      <c r="A5242" s="7"/>
      <c r="B5242" s="7"/>
      <c r="C5242" s="7"/>
      <c r="D5242" s="7"/>
      <c r="E5242" s="7"/>
      <c r="F5242" s="7"/>
      <c r="G5242" s="7"/>
      <c r="H5242" s="7"/>
      <c r="I5242" s="7"/>
    </row>
    <row r="5243" hidden="1">
      <c r="A5243" s="7"/>
      <c r="B5243" s="7"/>
      <c r="C5243" s="7"/>
      <c r="D5243" s="7"/>
      <c r="E5243" s="7"/>
      <c r="F5243" s="7"/>
      <c r="G5243" s="7"/>
      <c r="H5243" s="7"/>
      <c r="I5243" s="7"/>
    </row>
    <row r="5244" hidden="1">
      <c r="A5244" s="7"/>
      <c r="B5244" s="7"/>
      <c r="C5244" s="7"/>
      <c r="D5244" s="7"/>
      <c r="E5244" s="7"/>
      <c r="F5244" s="7"/>
      <c r="G5244" s="7"/>
      <c r="H5244" s="7"/>
      <c r="I5244" s="7"/>
    </row>
    <row r="5245" hidden="1">
      <c r="A5245" s="7"/>
      <c r="B5245" s="7"/>
      <c r="C5245" s="7"/>
      <c r="D5245" s="7"/>
      <c r="E5245" s="7"/>
      <c r="F5245" s="7"/>
      <c r="G5245" s="7"/>
      <c r="H5245" s="7"/>
      <c r="I5245" s="7"/>
    </row>
    <row r="5246" hidden="1">
      <c r="A5246" s="7"/>
      <c r="B5246" s="7"/>
      <c r="C5246" s="7"/>
      <c r="D5246" s="7"/>
      <c r="E5246" s="7"/>
      <c r="F5246" s="7"/>
      <c r="G5246" s="7"/>
      <c r="H5246" s="7"/>
      <c r="I5246" s="7"/>
    </row>
    <row r="5247" hidden="1">
      <c r="A5247" s="7"/>
      <c r="B5247" s="7"/>
      <c r="C5247" s="7"/>
      <c r="D5247" s="7"/>
      <c r="E5247" s="7"/>
      <c r="F5247" s="7"/>
      <c r="G5247" s="7"/>
      <c r="H5247" s="7"/>
      <c r="I5247" s="7"/>
    </row>
    <row r="5248" hidden="1">
      <c r="A5248" s="7"/>
      <c r="B5248" s="7"/>
      <c r="C5248" s="7"/>
      <c r="D5248" s="7"/>
      <c r="E5248" s="7"/>
      <c r="F5248" s="7"/>
      <c r="G5248" s="7"/>
      <c r="H5248" s="7"/>
      <c r="I5248" s="7"/>
    </row>
    <row r="5249" hidden="1">
      <c r="A5249" s="7"/>
      <c r="B5249" s="7"/>
      <c r="C5249" s="7"/>
      <c r="D5249" s="7"/>
      <c r="E5249" s="7"/>
      <c r="F5249" s="7"/>
      <c r="G5249" s="7"/>
      <c r="H5249" s="7"/>
      <c r="I5249" s="7"/>
    </row>
    <row r="5250" hidden="1">
      <c r="A5250" s="7"/>
      <c r="B5250" s="7"/>
      <c r="C5250" s="7"/>
      <c r="D5250" s="7"/>
      <c r="E5250" s="7"/>
      <c r="F5250" s="7"/>
      <c r="G5250" s="7"/>
      <c r="H5250" s="7"/>
      <c r="I5250" s="7"/>
    </row>
    <row r="5251" hidden="1">
      <c r="A5251" s="7"/>
      <c r="B5251" s="7"/>
      <c r="C5251" s="7"/>
      <c r="D5251" s="7"/>
      <c r="E5251" s="7"/>
      <c r="F5251" s="7"/>
      <c r="G5251" s="7"/>
      <c r="H5251" s="7"/>
      <c r="I5251" s="7"/>
    </row>
    <row r="5252" hidden="1">
      <c r="A5252" s="7"/>
      <c r="B5252" s="7"/>
      <c r="C5252" s="7"/>
      <c r="D5252" s="7"/>
      <c r="E5252" s="7"/>
      <c r="F5252" s="7"/>
      <c r="G5252" s="7"/>
      <c r="H5252" s="7"/>
      <c r="I5252" s="7"/>
    </row>
    <row r="5253" hidden="1">
      <c r="A5253" s="7"/>
      <c r="B5253" s="7"/>
      <c r="C5253" s="7"/>
      <c r="D5253" s="7"/>
      <c r="E5253" s="7"/>
      <c r="F5253" s="7"/>
      <c r="G5253" s="7"/>
      <c r="H5253" s="7"/>
      <c r="I5253" s="7"/>
    </row>
    <row r="5254" hidden="1">
      <c r="A5254" s="7"/>
      <c r="B5254" s="7"/>
      <c r="C5254" s="7"/>
      <c r="D5254" s="7"/>
      <c r="E5254" s="7"/>
      <c r="F5254" s="7"/>
      <c r="G5254" s="7"/>
      <c r="H5254" s="7"/>
      <c r="I5254" s="7"/>
    </row>
    <row r="5255" hidden="1">
      <c r="A5255" s="7"/>
      <c r="B5255" s="7"/>
      <c r="C5255" s="7"/>
      <c r="D5255" s="7"/>
      <c r="E5255" s="7"/>
      <c r="F5255" s="7"/>
      <c r="G5255" s="7"/>
      <c r="H5255" s="7"/>
      <c r="I5255" s="7"/>
    </row>
    <row r="5256" hidden="1">
      <c r="A5256" s="7"/>
      <c r="B5256" s="7"/>
      <c r="C5256" s="7"/>
      <c r="D5256" s="7"/>
      <c r="E5256" s="7"/>
      <c r="F5256" s="7"/>
      <c r="G5256" s="7"/>
      <c r="H5256" s="7"/>
      <c r="I5256" s="7"/>
    </row>
    <row r="5257" hidden="1">
      <c r="A5257" s="7"/>
      <c r="B5257" s="7"/>
      <c r="C5257" s="7"/>
      <c r="D5257" s="7"/>
      <c r="E5257" s="7"/>
      <c r="F5257" s="7"/>
      <c r="G5257" s="7"/>
      <c r="H5257" s="7"/>
      <c r="I5257" s="7"/>
    </row>
    <row r="5258" hidden="1">
      <c r="A5258" s="7"/>
      <c r="B5258" s="7"/>
      <c r="C5258" s="7"/>
      <c r="D5258" s="7"/>
      <c r="E5258" s="7"/>
      <c r="F5258" s="7"/>
      <c r="G5258" s="7"/>
      <c r="H5258" s="7"/>
      <c r="I5258" s="7"/>
    </row>
    <row r="5259" hidden="1">
      <c r="A5259" s="7"/>
      <c r="B5259" s="7"/>
      <c r="C5259" s="7"/>
      <c r="D5259" s="7"/>
      <c r="E5259" s="7"/>
      <c r="F5259" s="7"/>
      <c r="G5259" s="7"/>
      <c r="H5259" s="7"/>
      <c r="I5259" s="7"/>
    </row>
    <row r="5260" hidden="1">
      <c r="A5260" s="7"/>
      <c r="B5260" s="7"/>
      <c r="C5260" s="7"/>
      <c r="D5260" s="7"/>
      <c r="E5260" s="7"/>
      <c r="F5260" s="7"/>
      <c r="G5260" s="7"/>
      <c r="H5260" s="7"/>
      <c r="I5260" s="7"/>
    </row>
    <row r="5261" hidden="1">
      <c r="A5261" s="7"/>
      <c r="B5261" s="7"/>
      <c r="C5261" s="7"/>
      <c r="D5261" s="7"/>
      <c r="E5261" s="7"/>
      <c r="F5261" s="7"/>
      <c r="G5261" s="7"/>
      <c r="H5261" s="7"/>
      <c r="I5261" s="7"/>
    </row>
    <row r="5262" hidden="1">
      <c r="A5262" s="7"/>
      <c r="B5262" s="7"/>
      <c r="C5262" s="7"/>
      <c r="D5262" s="7"/>
      <c r="E5262" s="7"/>
      <c r="F5262" s="7"/>
      <c r="G5262" s="7"/>
      <c r="H5262" s="7"/>
      <c r="I5262" s="7"/>
    </row>
    <row r="5263" hidden="1">
      <c r="A5263" s="7"/>
      <c r="B5263" s="7"/>
      <c r="C5263" s="7"/>
      <c r="D5263" s="7"/>
      <c r="E5263" s="7"/>
      <c r="F5263" s="7"/>
      <c r="G5263" s="7"/>
      <c r="H5263" s="7"/>
      <c r="I5263" s="7"/>
    </row>
    <row r="5264" hidden="1">
      <c r="A5264" s="7"/>
      <c r="B5264" s="7"/>
      <c r="C5264" s="7"/>
      <c r="D5264" s="7"/>
      <c r="E5264" s="7"/>
      <c r="F5264" s="7"/>
      <c r="G5264" s="7"/>
      <c r="H5264" s="7"/>
      <c r="I5264" s="7"/>
    </row>
    <row r="5265" hidden="1">
      <c r="A5265" s="7"/>
      <c r="B5265" s="7"/>
      <c r="C5265" s="7"/>
      <c r="D5265" s="7"/>
      <c r="E5265" s="7"/>
      <c r="F5265" s="7"/>
      <c r="G5265" s="7"/>
      <c r="H5265" s="7"/>
      <c r="I5265" s="7"/>
    </row>
    <row r="5266" hidden="1">
      <c r="A5266" s="7"/>
      <c r="B5266" s="7"/>
      <c r="C5266" s="7"/>
      <c r="D5266" s="7"/>
      <c r="E5266" s="7"/>
      <c r="F5266" s="7"/>
      <c r="G5266" s="7"/>
      <c r="H5266" s="7"/>
      <c r="I5266" s="7"/>
    </row>
    <row r="5267" hidden="1">
      <c r="A5267" s="7"/>
      <c r="B5267" s="7"/>
      <c r="C5267" s="7"/>
      <c r="D5267" s="7"/>
      <c r="E5267" s="7"/>
      <c r="F5267" s="7"/>
      <c r="G5267" s="7"/>
      <c r="H5267" s="7"/>
      <c r="I5267" s="7"/>
    </row>
    <row r="5268" hidden="1">
      <c r="A5268" s="7"/>
      <c r="B5268" s="7"/>
      <c r="C5268" s="7"/>
      <c r="D5268" s="7"/>
      <c r="E5268" s="7"/>
      <c r="F5268" s="7"/>
      <c r="G5268" s="7"/>
      <c r="H5268" s="7"/>
      <c r="I5268" s="7"/>
    </row>
    <row r="5269" hidden="1">
      <c r="A5269" s="7"/>
      <c r="B5269" s="7"/>
      <c r="C5269" s="7"/>
      <c r="D5269" s="7"/>
      <c r="E5269" s="7"/>
      <c r="F5269" s="7"/>
      <c r="G5269" s="7"/>
      <c r="H5269" s="7"/>
      <c r="I5269" s="7"/>
    </row>
    <row r="5270" hidden="1">
      <c r="A5270" s="7"/>
      <c r="B5270" s="7"/>
      <c r="C5270" s="7"/>
      <c r="D5270" s="7"/>
      <c r="E5270" s="7"/>
      <c r="F5270" s="7"/>
      <c r="G5270" s="7"/>
      <c r="H5270" s="7"/>
      <c r="I5270" s="7"/>
    </row>
    <row r="5271" hidden="1">
      <c r="A5271" s="7"/>
      <c r="B5271" s="7"/>
      <c r="C5271" s="7"/>
      <c r="D5271" s="7"/>
      <c r="E5271" s="7"/>
      <c r="F5271" s="7"/>
      <c r="G5271" s="7"/>
      <c r="H5271" s="7"/>
      <c r="I5271" s="7"/>
    </row>
    <row r="5272" hidden="1">
      <c r="A5272" s="7"/>
      <c r="B5272" s="7"/>
      <c r="C5272" s="7"/>
      <c r="D5272" s="7"/>
      <c r="E5272" s="7"/>
      <c r="F5272" s="7"/>
      <c r="G5272" s="7"/>
      <c r="H5272" s="7"/>
      <c r="I5272" s="7"/>
    </row>
    <row r="5273" hidden="1">
      <c r="A5273" s="7"/>
      <c r="B5273" s="7"/>
      <c r="C5273" s="7"/>
      <c r="D5273" s="7"/>
      <c r="E5273" s="7"/>
      <c r="F5273" s="7"/>
      <c r="G5273" s="7"/>
      <c r="H5273" s="7"/>
      <c r="I5273" s="7"/>
    </row>
    <row r="5274" hidden="1">
      <c r="A5274" s="7"/>
      <c r="B5274" s="7"/>
      <c r="C5274" s="7"/>
      <c r="D5274" s="7"/>
      <c r="E5274" s="7"/>
      <c r="F5274" s="7"/>
      <c r="G5274" s="7"/>
      <c r="H5274" s="7"/>
      <c r="I5274" s="7"/>
    </row>
    <row r="5275" hidden="1">
      <c r="A5275" s="7"/>
      <c r="B5275" s="7"/>
      <c r="C5275" s="7"/>
      <c r="D5275" s="7"/>
      <c r="E5275" s="7"/>
      <c r="F5275" s="7"/>
      <c r="G5275" s="7"/>
      <c r="H5275" s="7"/>
      <c r="I5275" s="7"/>
    </row>
    <row r="5276" hidden="1">
      <c r="A5276" s="7"/>
      <c r="B5276" s="7"/>
      <c r="C5276" s="7"/>
      <c r="D5276" s="7"/>
      <c r="E5276" s="7"/>
      <c r="F5276" s="7"/>
      <c r="G5276" s="7"/>
      <c r="H5276" s="7"/>
      <c r="I5276" s="7"/>
    </row>
    <row r="5277" hidden="1">
      <c r="A5277" s="7"/>
      <c r="B5277" s="7"/>
      <c r="C5277" s="7"/>
      <c r="D5277" s="7"/>
      <c r="E5277" s="7"/>
      <c r="F5277" s="7"/>
      <c r="G5277" s="7"/>
      <c r="H5277" s="7"/>
      <c r="I5277" s="7"/>
    </row>
    <row r="5278" hidden="1">
      <c r="A5278" s="7"/>
      <c r="B5278" s="7"/>
      <c r="C5278" s="7"/>
      <c r="D5278" s="7"/>
      <c r="E5278" s="7"/>
      <c r="F5278" s="7"/>
      <c r="G5278" s="7"/>
      <c r="H5278" s="7"/>
      <c r="I5278" s="7"/>
    </row>
    <row r="5279" hidden="1">
      <c r="A5279" s="7"/>
      <c r="B5279" s="7"/>
      <c r="C5279" s="7"/>
      <c r="D5279" s="7"/>
      <c r="E5279" s="7"/>
      <c r="F5279" s="7"/>
      <c r="G5279" s="7"/>
      <c r="H5279" s="7"/>
      <c r="I5279" s="7"/>
    </row>
    <row r="5280" hidden="1">
      <c r="A5280" s="7"/>
      <c r="B5280" s="7"/>
      <c r="C5280" s="7"/>
      <c r="D5280" s="7"/>
      <c r="E5280" s="7"/>
      <c r="F5280" s="7"/>
      <c r="G5280" s="7"/>
      <c r="H5280" s="7"/>
      <c r="I5280" s="7"/>
    </row>
    <row r="5281" hidden="1">
      <c r="A5281" s="7"/>
      <c r="B5281" s="7"/>
      <c r="C5281" s="7"/>
      <c r="D5281" s="7"/>
      <c r="E5281" s="7"/>
      <c r="F5281" s="7"/>
      <c r="G5281" s="7"/>
      <c r="H5281" s="7"/>
      <c r="I5281" s="7"/>
    </row>
    <row r="5282" hidden="1">
      <c r="A5282" s="7"/>
      <c r="B5282" s="7"/>
      <c r="C5282" s="7"/>
      <c r="D5282" s="7"/>
      <c r="E5282" s="7"/>
      <c r="F5282" s="7"/>
      <c r="G5282" s="7"/>
      <c r="H5282" s="7"/>
      <c r="I5282" s="7"/>
    </row>
    <row r="5283" hidden="1">
      <c r="A5283" s="7"/>
      <c r="B5283" s="7"/>
      <c r="C5283" s="7"/>
      <c r="D5283" s="7"/>
      <c r="E5283" s="7"/>
      <c r="F5283" s="7"/>
      <c r="G5283" s="7"/>
      <c r="H5283" s="7"/>
      <c r="I5283" s="7"/>
    </row>
    <row r="5284" hidden="1">
      <c r="A5284" s="7"/>
      <c r="B5284" s="7"/>
      <c r="C5284" s="7"/>
      <c r="D5284" s="7"/>
      <c r="E5284" s="7"/>
      <c r="F5284" s="7"/>
      <c r="G5284" s="7"/>
      <c r="H5284" s="7"/>
      <c r="I5284" s="7"/>
    </row>
    <row r="5285" hidden="1">
      <c r="A5285" s="7"/>
      <c r="B5285" s="7"/>
      <c r="C5285" s="7"/>
      <c r="D5285" s="7"/>
      <c r="E5285" s="7"/>
      <c r="F5285" s="7"/>
      <c r="G5285" s="7"/>
      <c r="H5285" s="7"/>
      <c r="I5285" s="7"/>
    </row>
    <row r="5286" hidden="1">
      <c r="A5286" s="7"/>
      <c r="B5286" s="7"/>
      <c r="C5286" s="7"/>
      <c r="D5286" s="7"/>
      <c r="E5286" s="7"/>
      <c r="F5286" s="7"/>
      <c r="G5286" s="7"/>
      <c r="H5286" s="7"/>
      <c r="I5286" s="7"/>
    </row>
    <row r="5287" hidden="1">
      <c r="A5287" s="7"/>
      <c r="B5287" s="7"/>
      <c r="C5287" s="7"/>
      <c r="D5287" s="7"/>
      <c r="E5287" s="7"/>
      <c r="F5287" s="7"/>
      <c r="G5287" s="7"/>
      <c r="H5287" s="7"/>
      <c r="I5287" s="7"/>
    </row>
    <row r="5288" hidden="1">
      <c r="A5288" s="7"/>
      <c r="B5288" s="7"/>
      <c r="C5288" s="7"/>
      <c r="D5288" s="7"/>
      <c r="E5288" s="7"/>
      <c r="F5288" s="7"/>
      <c r="G5288" s="7"/>
      <c r="H5288" s="7"/>
      <c r="I5288" s="7"/>
    </row>
    <row r="5289" hidden="1">
      <c r="A5289" s="7"/>
      <c r="B5289" s="7"/>
      <c r="C5289" s="7"/>
      <c r="D5289" s="7"/>
      <c r="E5289" s="7"/>
      <c r="F5289" s="7"/>
      <c r="G5289" s="7"/>
      <c r="H5289" s="7"/>
      <c r="I5289" s="7"/>
    </row>
    <row r="5290" hidden="1">
      <c r="A5290" s="7"/>
      <c r="B5290" s="7"/>
      <c r="C5290" s="7"/>
      <c r="D5290" s="7"/>
      <c r="E5290" s="7"/>
      <c r="F5290" s="7"/>
      <c r="G5290" s="7"/>
      <c r="H5290" s="7"/>
      <c r="I5290" s="7"/>
    </row>
    <row r="5291" hidden="1">
      <c r="A5291" s="7"/>
      <c r="B5291" s="7"/>
      <c r="C5291" s="7"/>
      <c r="D5291" s="7"/>
      <c r="E5291" s="7"/>
      <c r="F5291" s="7"/>
      <c r="G5291" s="7"/>
      <c r="H5291" s="7"/>
      <c r="I5291" s="7"/>
    </row>
    <row r="5292" hidden="1">
      <c r="A5292" s="7"/>
      <c r="B5292" s="7"/>
      <c r="C5292" s="7"/>
      <c r="D5292" s="7"/>
      <c r="E5292" s="7"/>
      <c r="F5292" s="7"/>
      <c r="G5292" s="7"/>
      <c r="H5292" s="7"/>
      <c r="I5292" s="7"/>
    </row>
    <row r="5293" hidden="1">
      <c r="A5293" s="7"/>
      <c r="B5293" s="7"/>
      <c r="C5293" s="7"/>
      <c r="D5293" s="7"/>
      <c r="E5293" s="7"/>
      <c r="F5293" s="7"/>
      <c r="G5293" s="7"/>
      <c r="H5293" s="7"/>
      <c r="I5293" s="7"/>
    </row>
    <row r="5294" hidden="1">
      <c r="A5294" s="7"/>
      <c r="B5294" s="7"/>
      <c r="C5294" s="7"/>
      <c r="D5294" s="7"/>
      <c r="E5294" s="7"/>
      <c r="F5294" s="7"/>
      <c r="G5294" s="7"/>
      <c r="H5294" s="7"/>
      <c r="I5294" s="7"/>
    </row>
    <row r="5295" hidden="1">
      <c r="A5295" s="7"/>
      <c r="B5295" s="7"/>
      <c r="C5295" s="7"/>
      <c r="D5295" s="7"/>
      <c r="E5295" s="7"/>
      <c r="F5295" s="7"/>
      <c r="G5295" s="7"/>
      <c r="H5295" s="7"/>
      <c r="I5295" s="7"/>
    </row>
    <row r="5296" hidden="1">
      <c r="A5296" s="7"/>
      <c r="B5296" s="7"/>
      <c r="C5296" s="7"/>
      <c r="D5296" s="7"/>
      <c r="E5296" s="7"/>
      <c r="F5296" s="7"/>
      <c r="G5296" s="7"/>
      <c r="H5296" s="7"/>
      <c r="I5296" s="7"/>
    </row>
    <row r="5297" hidden="1">
      <c r="A5297" s="7"/>
      <c r="B5297" s="7"/>
      <c r="C5297" s="7"/>
      <c r="D5297" s="7"/>
      <c r="E5297" s="7"/>
      <c r="F5297" s="7"/>
      <c r="G5297" s="7"/>
      <c r="H5297" s="7"/>
      <c r="I5297" s="7"/>
    </row>
    <row r="5298" hidden="1">
      <c r="A5298" s="7"/>
      <c r="B5298" s="7"/>
      <c r="C5298" s="7"/>
      <c r="D5298" s="7"/>
      <c r="E5298" s="7"/>
      <c r="F5298" s="7"/>
      <c r="G5298" s="7"/>
      <c r="H5298" s="7"/>
      <c r="I5298" s="7"/>
    </row>
    <row r="5299" hidden="1">
      <c r="A5299" s="7"/>
      <c r="B5299" s="7"/>
      <c r="C5299" s="7"/>
      <c r="D5299" s="7"/>
      <c r="E5299" s="7"/>
      <c r="F5299" s="7"/>
      <c r="G5299" s="7"/>
      <c r="H5299" s="7"/>
      <c r="I5299" s="7"/>
    </row>
    <row r="5300" hidden="1">
      <c r="A5300" s="7"/>
      <c r="B5300" s="7"/>
      <c r="C5300" s="7"/>
      <c r="D5300" s="7"/>
      <c r="E5300" s="7"/>
      <c r="F5300" s="7"/>
      <c r="G5300" s="7"/>
      <c r="H5300" s="7"/>
      <c r="I5300" s="7"/>
    </row>
    <row r="5301" hidden="1">
      <c r="A5301" s="7"/>
      <c r="B5301" s="7"/>
      <c r="C5301" s="7"/>
      <c r="D5301" s="7"/>
      <c r="E5301" s="7"/>
      <c r="F5301" s="7"/>
      <c r="G5301" s="7"/>
      <c r="H5301" s="7"/>
      <c r="I5301" s="7"/>
    </row>
    <row r="5302" hidden="1">
      <c r="A5302" s="7"/>
      <c r="B5302" s="7"/>
      <c r="C5302" s="7"/>
      <c r="D5302" s="7"/>
      <c r="E5302" s="7"/>
      <c r="F5302" s="7"/>
      <c r="G5302" s="7"/>
      <c r="H5302" s="7"/>
      <c r="I5302" s="7"/>
    </row>
    <row r="5303" hidden="1">
      <c r="A5303" s="7"/>
      <c r="B5303" s="7"/>
      <c r="C5303" s="7"/>
      <c r="D5303" s="7"/>
      <c r="E5303" s="7"/>
      <c r="F5303" s="7"/>
      <c r="G5303" s="7"/>
      <c r="H5303" s="7"/>
      <c r="I5303" s="7"/>
    </row>
    <row r="5304" hidden="1">
      <c r="A5304" s="7"/>
      <c r="B5304" s="7"/>
      <c r="C5304" s="7"/>
      <c r="D5304" s="7"/>
      <c r="E5304" s="7"/>
      <c r="F5304" s="7"/>
      <c r="G5304" s="7"/>
      <c r="H5304" s="7"/>
      <c r="I5304" s="7"/>
    </row>
    <row r="5305" hidden="1">
      <c r="A5305" s="7"/>
      <c r="B5305" s="7"/>
      <c r="C5305" s="7"/>
      <c r="D5305" s="7"/>
      <c r="E5305" s="7"/>
      <c r="F5305" s="7"/>
      <c r="G5305" s="7"/>
      <c r="H5305" s="7"/>
      <c r="I5305" s="7"/>
    </row>
    <row r="5306" hidden="1">
      <c r="A5306" s="7"/>
      <c r="B5306" s="7"/>
      <c r="C5306" s="7"/>
      <c r="D5306" s="7"/>
      <c r="E5306" s="7"/>
      <c r="F5306" s="7"/>
      <c r="G5306" s="7"/>
      <c r="H5306" s="7"/>
      <c r="I5306" s="7"/>
    </row>
    <row r="5307" hidden="1">
      <c r="A5307" s="7"/>
      <c r="B5307" s="7"/>
      <c r="C5307" s="7"/>
      <c r="D5307" s="7"/>
      <c r="E5307" s="7"/>
      <c r="F5307" s="7"/>
      <c r="G5307" s="7"/>
      <c r="H5307" s="7"/>
      <c r="I5307" s="7"/>
    </row>
    <row r="5308" hidden="1">
      <c r="A5308" s="7"/>
      <c r="B5308" s="7"/>
      <c r="C5308" s="7"/>
      <c r="D5308" s="7"/>
      <c r="E5308" s="7"/>
      <c r="F5308" s="7"/>
      <c r="G5308" s="7"/>
      <c r="H5308" s="7"/>
      <c r="I5308" s="7"/>
    </row>
    <row r="5309" hidden="1">
      <c r="A5309" s="7"/>
      <c r="B5309" s="7"/>
      <c r="C5309" s="7"/>
      <c r="D5309" s="7"/>
      <c r="E5309" s="7"/>
      <c r="F5309" s="7"/>
      <c r="G5309" s="7"/>
      <c r="H5309" s="7"/>
      <c r="I5309" s="7"/>
    </row>
    <row r="5310" hidden="1">
      <c r="A5310" s="7"/>
      <c r="B5310" s="7"/>
      <c r="C5310" s="7"/>
      <c r="D5310" s="7"/>
      <c r="E5310" s="7"/>
      <c r="F5310" s="7"/>
      <c r="G5310" s="7"/>
      <c r="H5310" s="7"/>
      <c r="I5310" s="7"/>
    </row>
    <row r="5311" hidden="1">
      <c r="A5311" s="7"/>
      <c r="B5311" s="7"/>
      <c r="C5311" s="7"/>
      <c r="D5311" s="7"/>
      <c r="E5311" s="7"/>
      <c r="F5311" s="7"/>
      <c r="G5311" s="7"/>
      <c r="H5311" s="7"/>
      <c r="I5311" s="7"/>
    </row>
    <row r="5312" hidden="1">
      <c r="A5312" s="7"/>
      <c r="B5312" s="7"/>
      <c r="C5312" s="7"/>
      <c r="D5312" s="7"/>
      <c r="E5312" s="7"/>
      <c r="F5312" s="7"/>
      <c r="G5312" s="7"/>
      <c r="H5312" s="7"/>
      <c r="I5312" s="7"/>
    </row>
    <row r="5313" hidden="1">
      <c r="A5313" s="7"/>
      <c r="B5313" s="7"/>
      <c r="C5313" s="7"/>
      <c r="D5313" s="7"/>
      <c r="E5313" s="7"/>
      <c r="F5313" s="7"/>
      <c r="G5313" s="7"/>
      <c r="H5313" s="7"/>
      <c r="I5313" s="7"/>
    </row>
    <row r="5314" hidden="1">
      <c r="A5314" s="7"/>
      <c r="B5314" s="7"/>
      <c r="C5314" s="7"/>
      <c r="D5314" s="7"/>
      <c r="E5314" s="7"/>
      <c r="F5314" s="7"/>
      <c r="G5314" s="7"/>
      <c r="H5314" s="7"/>
      <c r="I5314" s="7"/>
    </row>
    <row r="5315" hidden="1">
      <c r="A5315" s="7"/>
      <c r="B5315" s="7"/>
      <c r="C5315" s="7"/>
      <c r="D5315" s="7"/>
      <c r="E5315" s="7"/>
      <c r="F5315" s="7"/>
      <c r="G5315" s="7"/>
      <c r="H5315" s="7"/>
      <c r="I5315" s="7"/>
    </row>
    <row r="5316" hidden="1">
      <c r="A5316" s="7"/>
      <c r="B5316" s="7"/>
      <c r="C5316" s="7"/>
      <c r="D5316" s="7"/>
      <c r="E5316" s="7"/>
      <c r="F5316" s="7"/>
      <c r="G5316" s="7"/>
      <c r="H5316" s="7"/>
      <c r="I5316" s="7"/>
    </row>
    <row r="5317" hidden="1">
      <c r="A5317" s="7"/>
      <c r="B5317" s="7"/>
      <c r="C5317" s="7"/>
      <c r="D5317" s="7"/>
      <c r="E5317" s="7"/>
      <c r="F5317" s="7"/>
      <c r="G5317" s="7"/>
      <c r="H5317" s="7"/>
      <c r="I5317" s="7"/>
    </row>
    <row r="5318" hidden="1">
      <c r="A5318" s="7"/>
      <c r="B5318" s="7"/>
      <c r="C5318" s="7"/>
      <c r="D5318" s="7"/>
      <c r="E5318" s="7"/>
      <c r="F5318" s="7"/>
      <c r="G5318" s="7"/>
      <c r="H5318" s="7"/>
      <c r="I5318" s="7"/>
    </row>
    <row r="5319" hidden="1">
      <c r="A5319" s="7"/>
      <c r="B5319" s="7"/>
      <c r="C5319" s="7"/>
      <c r="D5319" s="7"/>
      <c r="E5319" s="7"/>
      <c r="F5319" s="7"/>
      <c r="G5319" s="7"/>
      <c r="H5319" s="7"/>
      <c r="I5319" s="7"/>
    </row>
    <row r="5320" hidden="1">
      <c r="A5320" s="7"/>
      <c r="B5320" s="7"/>
      <c r="C5320" s="7"/>
      <c r="D5320" s="7"/>
      <c r="E5320" s="7"/>
      <c r="F5320" s="7"/>
      <c r="G5320" s="7"/>
      <c r="H5320" s="7"/>
      <c r="I5320" s="7"/>
    </row>
    <row r="5321" hidden="1">
      <c r="A5321" s="7"/>
      <c r="B5321" s="7"/>
      <c r="C5321" s="7"/>
      <c r="D5321" s="7"/>
      <c r="E5321" s="7"/>
      <c r="F5321" s="7"/>
      <c r="G5321" s="7"/>
      <c r="H5321" s="7"/>
      <c r="I5321" s="7"/>
    </row>
    <row r="5322" hidden="1">
      <c r="A5322" s="7"/>
      <c r="B5322" s="7"/>
      <c r="C5322" s="7"/>
      <c r="D5322" s="7"/>
      <c r="E5322" s="7"/>
      <c r="F5322" s="7"/>
      <c r="G5322" s="7"/>
      <c r="H5322" s="7"/>
      <c r="I5322" s="7"/>
    </row>
    <row r="5323" hidden="1">
      <c r="A5323" s="7"/>
      <c r="B5323" s="7"/>
      <c r="C5323" s="7"/>
      <c r="D5323" s="7"/>
      <c r="E5323" s="7"/>
      <c r="F5323" s="7"/>
      <c r="G5323" s="7"/>
      <c r="H5323" s="7"/>
      <c r="I5323" s="7"/>
    </row>
    <row r="5324" hidden="1">
      <c r="A5324" s="7"/>
      <c r="B5324" s="7"/>
      <c r="C5324" s="7"/>
      <c r="D5324" s="7"/>
      <c r="E5324" s="7"/>
      <c r="F5324" s="7"/>
      <c r="G5324" s="7"/>
      <c r="H5324" s="7"/>
      <c r="I5324" s="7"/>
    </row>
    <row r="5325" hidden="1">
      <c r="A5325" s="7"/>
      <c r="B5325" s="7"/>
      <c r="C5325" s="7"/>
      <c r="D5325" s="7"/>
      <c r="E5325" s="7"/>
      <c r="F5325" s="7"/>
      <c r="G5325" s="7"/>
      <c r="H5325" s="7"/>
      <c r="I5325" s="7"/>
    </row>
    <row r="5326" hidden="1">
      <c r="A5326" s="7"/>
      <c r="B5326" s="7"/>
      <c r="C5326" s="7"/>
      <c r="D5326" s="7"/>
      <c r="E5326" s="7"/>
      <c r="F5326" s="7"/>
      <c r="G5326" s="7"/>
      <c r="H5326" s="7"/>
      <c r="I5326" s="7"/>
    </row>
    <row r="5327" hidden="1">
      <c r="A5327" s="7"/>
      <c r="B5327" s="7"/>
      <c r="C5327" s="7"/>
      <c r="D5327" s="7"/>
      <c r="E5327" s="7"/>
      <c r="F5327" s="7"/>
      <c r="G5327" s="7"/>
      <c r="H5327" s="7"/>
      <c r="I5327" s="7"/>
    </row>
    <row r="5328" hidden="1">
      <c r="A5328" s="7"/>
      <c r="B5328" s="7"/>
      <c r="C5328" s="7"/>
      <c r="D5328" s="7"/>
      <c r="E5328" s="7"/>
      <c r="F5328" s="7"/>
      <c r="G5328" s="7"/>
      <c r="H5328" s="7"/>
      <c r="I5328" s="7"/>
    </row>
    <row r="5329" hidden="1">
      <c r="A5329" s="7"/>
      <c r="B5329" s="7"/>
      <c r="C5329" s="7"/>
      <c r="D5329" s="7"/>
      <c r="E5329" s="7"/>
      <c r="F5329" s="7"/>
      <c r="G5329" s="7"/>
      <c r="H5329" s="7"/>
      <c r="I5329" s="7"/>
    </row>
    <row r="5330" hidden="1">
      <c r="A5330" s="7"/>
      <c r="B5330" s="7"/>
      <c r="C5330" s="7"/>
      <c r="D5330" s="7"/>
      <c r="E5330" s="7"/>
      <c r="F5330" s="7"/>
      <c r="G5330" s="7"/>
      <c r="H5330" s="7"/>
      <c r="I5330" s="7"/>
    </row>
    <row r="5331" hidden="1">
      <c r="A5331" s="7"/>
      <c r="B5331" s="7"/>
      <c r="C5331" s="7"/>
      <c r="D5331" s="7"/>
      <c r="E5331" s="7"/>
      <c r="F5331" s="7"/>
      <c r="G5331" s="7"/>
      <c r="H5331" s="7"/>
      <c r="I5331" s="7"/>
    </row>
    <row r="5332" hidden="1">
      <c r="A5332" s="7"/>
      <c r="B5332" s="7"/>
      <c r="C5332" s="7"/>
      <c r="D5332" s="7"/>
      <c r="E5332" s="7"/>
      <c r="F5332" s="7"/>
      <c r="G5332" s="7"/>
      <c r="H5332" s="7"/>
      <c r="I5332" s="7"/>
    </row>
    <row r="5333" hidden="1">
      <c r="A5333" s="7"/>
      <c r="B5333" s="7"/>
      <c r="C5333" s="7"/>
      <c r="D5333" s="7"/>
      <c r="E5333" s="7"/>
      <c r="F5333" s="7"/>
      <c r="G5333" s="7"/>
      <c r="H5333" s="7"/>
      <c r="I5333" s="7"/>
    </row>
    <row r="5334" hidden="1">
      <c r="A5334" s="7"/>
      <c r="B5334" s="7"/>
      <c r="C5334" s="7"/>
      <c r="D5334" s="7"/>
      <c r="E5334" s="7"/>
      <c r="F5334" s="7"/>
      <c r="G5334" s="7"/>
      <c r="H5334" s="7"/>
      <c r="I5334" s="7"/>
    </row>
    <row r="5335" hidden="1">
      <c r="A5335" s="7"/>
      <c r="B5335" s="7"/>
      <c r="C5335" s="7"/>
      <c r="D5335" s="7"/>
      <c r="E5335" s="7"/>
      <c r="F5335" s="7"/>
      <c r="G5335" s="7"/>
      <c r="H5335" s="7"/>
      <c r="I5335" s="7"/>
    </row>
    <row r="5336" hidden="1">
      <c r="A5336" s="7"/>
      <c r="B5336" s="7"/>
      <c r="C5336" s="7"/>
      <c r="D5336" s="7"/>
      <c r="E5336" s="7"/>
      <c r="F5336" s="7"/>
      <c r="G5336" s="7"/>
      <c r="H5336" s="7"/>
      <c r="I5336" s="7"/>
    </row>
    <row r="5337" hidden="1">
      <c r="A5337" s="7"/>
      <c r="B5337" s="7"/>
      <c r="C5337" s="7"/>
      <c r="D5337" s="7"/>
      <c r="E5337" s="7"/>
      <c r="F5337" s="7"/>
      <c r="G5337" s="7"/>
      <c r="H5337" s="7"/>
      <c r="I5337" s="7"/>
    </row>
    <row r="5338" hidden="1">
      <c r="A5338" s="7"/>
      <c r="B5338" s="7"/>
      <c r="C5338" s="7"/>
      <c r="D5338" s="7"/>
      <c r="E5338" s="7"/>
      <c r="F5338" s="7"/>
      <c r="G5338" s="7"/>
      <c r="H5338" s="7"/>
      <c r="I5338" s="7"/>
    </row>
    <row r="5339" hidden="1">
      <c r="A5339" s="7"/>
      <c r="B5339" s="7"/>
      <c r="C5339" s="7"/>
      <c r="D5339" s="7"/>
      <c r="E5339" s="7"/>
      <c r="F5339" s="7"/>
      <c r="G5339" s="7"/>
      <c r="H5339" s="7"/>
      <c r="I5339" s="7"/>
    </row>
    <row r="5340" hidden="1">
      <c r="A5340" s="7"/>
      <c r="B5340" s="7"/>
      <c r="C5340" s="7"/>
      <c r="D5340" s="7"/>
      <c r="E5340" s="7"/>
      <c r="F5340" s="7"/>
      <c r="G5340" s="7"/>
      <c r="H5340" s="7"/>
      <c r="I5340" s="7"/>
    </row>
    <row r="5341" hidden="1">
      <c r="A5341" s="7"/>
      <c r="B5341" s="7"/>
      <c r="C5341" s="7"/>
      <c r="D5341" s="7"/>
      <c r="E5341" s="7"/>
      <c r="F5341" s="7"/>
      <c r="G5341" s="7"/>
      <c r="H5341" s="7"/>
      <c r="I5341" s="7"/>
    </row>
    <row r="5342" hidden="1">
      <c r="A5342" s="7"/>
      <c r="B5342" s="7"/>
      <c r="C5342" s="7"/>
      <c r="D5342" s="7"/>
      <c r="E5342" s="7"/>
      <c r="F5342" s="7"/>
      <c r="G5342" s="7"/>
      <c r="H5342" s="7"/>
      <c r="I5342" s="7"/>
    </row>
    <row r="5343" hidden="1">
      <c r="A5343" s="7"/>
      <c r="B5343" s="7"/>
      <c r="C5343" s="7"/>
      <c r="D5343" s="7"/>
      <c r="E5343" s="7"/>
      <c r="F5343" s="7"/>
      <c r="G5343" s="7"/>
      <c r="H5343" s="7"/>
      <c r="I5343" s="7"/>
    </row>
    <row r="5344" hidden="1">
      <c r="A5344" s="7"/>
      <c r="B5344" s="7"/>
      <c r="C5344" s="7"/>
      <c r="D5344" s="7"/>
      <c r="E5344" s="7"/>
      <c r="F5344" s="7"/>
      <c r="G5344" s="7"/>
      <c r="H5344" s="7"/>
      <c r="I5344" s="7"/>
    </row>
    <row r="5345" hidden="1">
      <c r="A5345" s="7"/>
      <c r="B5345" s="7"/>
      <c r="C5345" s="7"/>
      <c r="D5345" s="7"/>
      <c r="E5345" s="7"/>
      <c r="F5345" s="7"/>
      <c r="G5345" s="7"/>
      <c r="H5345" s="7"/>
      <c r="I5345" s="7"/>
    </row>
    <row r="5346" hidden="1">
      <c r="A5346" s="7"/>
      <c r="B5346" s="7"/>
      <c r="C5346" s="7"/>
      <c r="D5346" s="7"/>
      <c r="E5346" s="7"/>
      <c r="F5346" s="7"/>
      <c r="G5346" s="7"/>
      <c r="H5346" s="7"/>
      <c r="I5346" s="7"/>
    </row>
    <row r="5347" hidden="1">
      <c r="A5347" s="7"/>
      <c r="B5347" s="7"/>
      <c r="C5347" s="7"/>
      <c r="D5347" s="7"/>
      <c r="E5347" s="7"/>
      <c r="F5347" s="7"/>
      <c r="G5347" s="7"/>
      <c r="H5347" s="7"/>
      <c r="I5347" s="7"/>
    </row>
    <row r="5348" hidden="1">
      <c r="A5348" s="7"/>
      <c r="B5348" s="7"/>
      <c r="C5348" s="7"/>
      <c r="D5348" s="7"/>
      <c r="E5348" s="7"/>
      <c r="F5348" s="7"/>
      <c r="G5348" s="7"/>
      <c r="H5348" s="7"/>
      <c r="I5348" s="7"/>
    </row>
    <row r="5349" hidden="1">
      <c r="A5349" s="7"/>
      <c r="B5349" s="7"/>
      <c r="C5349" s="7"/>
      <c r="D5349" s="7"/>
      <c r="E5349" s="7"/>
      <c r="F5349" s="7"/>
      <c r="G5349" s="7"/>
      <c r="H5349" s="7"/>
      <c r="I5349" s="7"/>
    </row>
    <row r="5350" hidden="1">
      <c r="A5350" s="7"/>
      <c r="B5350" s="7"/>
      <c r="C5350" s="7"/>
      <c r="D5350" s="7"/>
      <c r="E5350" s="7"/>
      <c r="F5350" s="7"/>
      <c r="G5350" s="7"/>
      <c r="H5350" s="7"/>
      <c r="I5350" s="7"/>
    </row>
    <row r="5351" hidden="1">
      <c r="A5351" s="7"/>
      <c r="B5351" s="7"/>
      <c r="C5351" s="7"/>
      <c r="D5351" s="7"/>
      <c r="E5351" s="7"/>
      <c r="F5351" s="7"/>
      <c r="G5351" s="7"/>
      <c r="H5351" s="7"/>
      <c r="I5351" s="7"/>
    </row>
    <row r="5352" hidden="1">
      <c r="A5352" s="7"/>
      <c r="B5352" s="7"/>
      <c r="C5352" s="7"/>
      <c r="D5352" s="7"/>
      <c r="E5352" s="7"/>
      <c r="F5352" s="7"/>
      <c r="G5352" s="7"/>
      <c r="H5352" s="7"/>
      <c r="I5352" s="7"/>
    </row>
    <row r="5353" hidden="1">
      <c r="A5353" s="7"/>
      <c r="B5353" s="7"/>
      <c r="C5353" s="7"/>
      <c r="D5353" s="7"/>
      <c r="E5353" s="7"/>
      <c r="F5353" s="7"/>
      <c r="G5353" s="7"/>
      <c r="H5353" s="7"/>
      <c r="I5353" s="7"/>
    </row>
    <row r="5354" hidden="1">
      <c r="A5354" s="7"/>
      <c r="B5354" s="7"/>
      <c r="C5354" s="7"/>
      <c r="D5354" s="7"/>
      <c r="E5354" s="7"/>
      <c r="F5354" s="7"/>
      <c r="G5354" s="7"/>
      <c r="H5354" s="7"/>
      <c r="I5354" s="7"/>
    </row>
    <row r="5355" hidden="1">
      <c r="A5355" s="7"/>
      <c r="B5355" s="7"/>
      <c r="C5355" s="7"/>
      <c r="D5355" s="7"/>
      <c r="E5355" s="7"/>
      <c r="F5355" s="7"/>
      <c r="G5355" s="7"/>
      <c r="H5355" s="7"/>
      <c r="I5355" s="7"/>
    </row>
    <row r="5356" hidden="1">
      <c r="A5356" s="7"/>
      <c r="B5356" s="7"/>
      <c r="C5356" s="7"/>
      <c r="D5356" s="7"/>
      <c r="E5356" s="7"/>
      <c r="F5356" s="7"/>
      <c r="G5356" s="7"/>
      <c r="H5356" s="7"/>
      <c r="I5356" s="7"/>
    </row>
    <row r="5357" hidden="1">
      <c r="A5357" s="7"/>
      <c r="B5357" s="7"/>
      <c r="C5357" s="7"/>
      <c r="D5357" s="7"/>
      <c r="E5357" s="7"/>
      <c r="F5357" s="7"/>
      <c r="G5357" s="7"/>
      <c r="H5357" s="7"/>
      <c r="I5357" s="7"/>
    </row>
    <row r="5358" hidden="1">
      <c r="A5358" s="7"/>
      <c r="B5358" s="7"/>
      <c r="C5358" s="7"/>
      <c r="D5358" s="7"/>
      <c r="E5358" s="7"/>
      <c r="F5358" s="7"/>
      <c r="G5358" s="7"/>
      <c r="H5358" s="7"/>
      <c r="I5358" s="7"/>
    </row>
    <row r="5359" hidden="1">
      <c r="A5359" s="7"/>
      <c r="B5359" s="7"/>
      <c r="C5359" s="7"/>
      <c r="D5359" s="7"/>
      <c r="E5359" s="7"/>
      <c r="F5359" s="7"/>
      <c r="G5359" s="7"/>
      <c r="H5359" s="7"/>
      <c r="I5359" s="7"/>
    </row>
    <row r="5360" hidden="1">
      <c r="A5360" s="7"/>
      <c r="B5360" s="7"/>
      <c r="C5360" s="7"/>
      <c r="D5360" s="7"/>
      <c r="E5360" s="7"/>
      <c r="F5360" s="7"/>
      <c r="G5360" s="7"/>
      <c r="H5360" s="7"/>
      <c r="I5360" s="7"/>
    </row>
    <row r="5361" hidden="1">
      <c r="A5361" s="7"/>
      <c r="B5361" s="7"/>
      <c r="C5361" s="7"/>
      <c r="D5361" s="7"/>
      <c r="E5361" s="7"/>
      <c r="F5361" s="7"/>
      <c r="G5361" s="7"/>
      <c r="H5361" s="7"/>
      <c r="I5361" s="7"/>
    </row>
    <row r="5362" hidden="1">
      <c r="A5362" s="7"/>
      <c r="B5362" s="7"/>
      <c r="C5362" s="7"/>
      <c r="D5362" s="7"/>
      <c r="E5362" s="7"/>
      <c r="F5362" s="7"/>
      <c r="G5362" s="7"/>
      <c r="H5362" s="7"/>
      <c r="I5362" s="7"/>
    </row>
    <row r="5363" hidden="1">
      <c r="A5363" s="7"/>
      <c r="B5363" s="7"/>
      <c r="C5363" s="7"/>
      <c r="D5363" s="7"/>
      <c r="E5363" s="7"/>
      <c r="F5363" s="7"/>
      <c r="G5363" s="7"/>
      <c r="H5363" s="7"/>
      <c r="I5363" s="7"/>
    </row>
    <row r="5364" hidden="1">
      <c r="A5364" s="7"/>
      <c r="B5364" s="7"/>
      <c r="C5364" s="7"/>
      <c r="D5364" s="7"/>
      <c r="E5364" s="7"/>
      <c r="F5364" s="7"/>
      <c r="G5364" s="7"/>
      <c r="H5364" s="7"/>
      <c r="I5364" s="7"/>
    </row>
    <row r="5365" hidden="1">
      <c r="A5365" s="7"/>
      <c r="B5365" s="7"/>
      <c r="C5365" s="7"/>
      <c r="D5365" s="7"/>
      <c r="E5365" s="7"/>
      <c r="F5365" s="7"/>
      <c r="G5365" s="7"/>
      <c r="H5365" s="7"/>
      <c r="I5365" s="7"/>
    </row>
    <row r="5366" hidden="1">
      <c r="A5366" s="7"/>
      <c r="B5366" s="7"/>
      <c r="C5366" s="7"/>
      <c r="D5366" s="7"/>
      <c r="E5366" s="7"/>
      <c r="F5366" s="7"/>
      <c r="G5366" s="7"/>
      <c r="H5366" s="7"/>
      <c r="I5366" s="7"/>
    </row>
    <row r="5367" hidden="1">
      <c r="A5367" s="7"/>
      <c r="B5367" s="7"/>
      <c r="C5367" s="7"/>
      <c r="D5367" s="7"/>
      <c r="E5367" s="7"/>
      <c r="F5367" s="7"/>
      <c r="G5367" s="7"/>
      <c r="H5367" s="7"/>
      <c r="I5367" s="7"/>
    </row>
    <row r="5368" hidden="1">
      <c r="A5368" s="7"/>
      <c r="B5368" s="7"/>
      <c r="C5368" s="7"/>
      <c r="D5368" s="7"/>
      <c r="E5368" s="7"/>
      <c r="F5368" s="7"/>
      <c r="G5368" s="7"/>
      <c r="H5368" s="7"/>
      <c r="I5368" s="7"/>
    </row>
    <row r="5369" hidden="1">
      <c r="A5369" s="7"/>
      <c r="B5369" s="7"/>
      <c r="C5369" s="7"/>
      <c r="D5369" s="7"/>
      <c r="E5369" s="7"/>
      <c r="F5369" s="7"/>
      <c r="G5369" s="7"/>
      <c r="H5369" s="7"/>
      <c r="I5369" s="7"/>
    </row>
    <row r="5370" hidden="1">
      <c r="A5370" s="7"/>
      <c r="B5370" s="7"/>
      <c r="C5370" s="7"/>
      <c r="D5370" s="7"/>
      <c r="E5370" s="7"/>
      <c r="F5370" s="7"/>
      <c r="G5370" s="7"/>
      <c r="H5370" s="7"/>
      <c r="I5370" s="7"/>
    </row>
    <row r="5371" hidden="1">
      <c r="A5371" s="7"/>
      <c r="B5371" s="7"/>
      <c r="C5371" s="7"/>
      <c r="D5371" s="7"/>
      <c r="E5371" s="7"/>
      <c r="F5371" s="7"/>
      <c r="G5371" s="7"/>
      <c r="H5371" s="7"/>
      <c r="I5371" s="7"/>
    </row>
    <row r="5372" hidden="1">
      <c r="A5372" s="7"/>
      <c r="B5372" s="7"/>
      <c r="C5372" s="7"/>
      <c r="D5372" s="7"/>
      <c r="E5372" s="7"/>
      <c r="F5372" s="7"/>
      <c r="G5372" s="7"/>
      <c r="H5372" s="7"/>
      <c r="I5372" s="7"/>
    </row>
    <row r="5373" hidden="1">
      <c r="A5373" s="7"/>
      <c r="B5373" s="7"/>
      <c r="C5373" s="7"/>
      <c r="D5373" s="7"/>
      <c r="E5373" s="7"/>
      <c r="F5373" s="7"/>
      <c r="G5373" s="7"/>
      <c r="H5373" s="7"/>
      <c r="I5373" s="7"/>
    </row>
    <row r="5374" hidden="1">
      <c r="A5374" s="7"/>
      <c r="B5374" s="7"/>
      <c r="C5374" s="7"/>
      <c r="D5374" s="7"/>
      <c r="E5374" s="7"/>
      <c r="F5374" s="7"/>
      <c r="G5374" s="7"/>
      <c r="H5374" s="7"/>
      <c r="I5374" s="7"/>
    </row>
    <row r="5375" hidden="1">
      <c r="A5375" s="7"/>
      <c r="B5375" s="7"/>
      <c r="C5375" s="7"/>
      <c r="D5375" s="7"/>
      <c r="E5375" s="7"/>
      <c r="F5375" s="7"/>
      <c r="G5375" s="7"/>
      <c r="H5375" s="7"/>
      <c r="I5375" s="7"/>
    </row>
    <row r="5376" hidden="1">
      <c r="A5376" s="7"/>
      <c r="B5376" s="7"/>
      <c r="C5376" s="7"/>
      <c r="D5376" s="7"/>
      <c r="E5376" s="7"/>
      <c r="F5376" s="7"/>
      <c r="G5376" s="7"/>
      <c r="H5376" s="7"/>
      <c r="I5376" s="7"/>
    </row>
    <row r="5377" hidden="1">
      <c r="A5377" s="7"/>
      <c r="B5377" s="7"/>
      <c r="C5377" s="7"/>
      <c r="D5377" s="7"/>
      <c r="E5377" s="7"/>
      <c r="F5377" s="7"/>
      <c r="G5377" s="7"/>
      <c r="H5377" s="7"/>
      <c r="I5377" s="7"/>
    </row>
    <row r="5378" hidden="1">
      <c r="A5378" s="7"/>
      <c r="B5378" s="7"/>
      <c r="C5378" s="7"/>
      <c r="D5378" s="7"/>
      <c r="E5378" s="7"/>
      <c r="F5378" s="7"/>
      <c r="G5378" s="7"/>
      <c r="H5378" s="7"/>
      <c r="I5378" s="7"/>
    </row>
    <row r="5379" hidden="1">
      <c r="A5379" s="7"/>
      <c r="B5379" s="7"/>
      <c r="C5379" s="7"/>
      <c r="D5379" s="7"/>
      <c r="E5379" s="7"/>
      <c r="F5379" s="7"/>
      <c r="G5379" s="7"/>
      <c r="H5379" s="7"/>
      <c r="I5379" s="7"/>
    </row>
    <row r="5380" hidden="1">
      <c r="A5380" s="7"/>
      <c r="B5380" s="7"/>
      <c r="C5380" s="7"/>
      <c r="D5380" s="7"/>
      <c r="E5380" s="7"/>
      <c r="F5380" s="7"/>
      <c r="G5380" s="7"/>
      <c r="H5380" s="7"/>
      <c r="I5380" s="7"/>
    </row>
    <row r="5381" hidden="1">
      <c r="A5381" s="7"/>
      <c r="B5381" s="7"/>
      <c r="C5381" s="7"/>
      <c r="D5381" s="7"/>
      <c r="E5381" s="7"/>
      <c r="F5381" s="7"/>
      <c r="G5381" s="7"/>
      <c r="H5381" s="7"/>
      <c r="I5381" s="7"/>
    </row>
    <row r="5382" hidden="1">
      <c r="A5382" s="7"/>
      <c r="B5382" s="7"/>
      <c r="C5382" s="7"/>
      <c r="D5382" s="7"/>
      <c r="E5382" s="7"/>
      <c r="F5382" s="7"/>
      <c r="G5382" s="7"/>
      <c r="H5382" s="7"/>
      <c r="I5382" s="7"/>
    </row>
    <row r="5383" hidden="1">
      <c r="A5383" s="7"/>
      <c r="B5383" s="7"/>
      <c r="C5383" s="7"/>
      <c r="D5383" s="7"/>
      <c r="E5383" s="7"/>
      <c r="F5383" s="7"/>
      <c r="G5383" s="7"/>
      <c r="H5383" s="7"/>
      <c r="I5383" s="7"/>
    </row>
    <row r="5384" hidden="1">
      <c r="A5384" s="7"/>
      <c r="B5384" s="7"/>
      <c r="C5384" s="7"/>
      <c r="D5384" s="7"/>
      <c r="E5384" s="7"/>
      <c r="F5384" s="7"/>
      <c r="G5384" s="7"/>
      <c r="H5384" s="7"/>
      <c r="I5384" s="7"/>
    </row>
    <row r="5385" hidden="1">
      <c r="A5385" s="7"/>
      <c r="B5385" s="7"/>
      <c r="C5385" s="7"/>
      <c r="D5385" s="7"/>
      <c r="E5385" s="7"/>
      <c r="F5385" s="7"/>
      <c r="G5385" s="7"/>
      <c r="H5385" s="7"/>
      <c r="I5385" s="7"/>
    </row>
    <row r="5386" hidden="1">
      <c r="A5386" s="7"/>
      <c r="B5386" s="7"/>
      <c r="C5386" s="7"/>
      <c r="D5386" s="7"/>
      <c r="E5386" s="7"/>
      <c r="F5386" s="7"/>
      <c r="G5386" s="7"/>
      <c r="H5386" s="7"/>
      <c r="I5386" s="7"/>
    </row>
    <row r="5387" hidden="1">
      <c r="A5387" s="7"/>
      <c r="B5387" s="7"/>
      <c r="C5387" s="7"/>
      <c r="D5387" s="7"/>
      <c r="E5387" s="7"/>
      <c r="F5387" s="7"/>
      <c r="G5387" s="7"/>
      <c r="H5387" s="7"/>
      <c r="I5387" s="7"/>
    </row>
    <row r="5388" hidden="1">
      <c r="A5388" s="7"/>
      <c r="B5388" s="7"/>
      <c r="C5388" s="7"/>
      <c r="D5388" s="7"/>
      <c r="E5388" s="7"/>
      <c r="F5388" s="7"/>
      <c r="G5388" s="7"/>
      <c r="H5388" s="7"/>
      <c r="I5388" s="7"/>
    </row>
    <row r="5389" hidden="1">
      <c r="A5389" s="7"/>
      <c r="B5389" s="7"/>
      <c r="C5389" s="7"/>
      <c r="D5389" s="7"/>
      <c r="E5389" s="7"/>
      <c r="F5389" s="7"/>
      <c r="G5389" s="7"/>
      <c r="H5389" s="7"/>
      <c r="I5389" s="7"/>
    </row>
    <row r="5390" hidden="1">
      <c r="A5390" s="7"/>
      <c r="B5390" s="7"/>
      <c r="C5390" s="7"/>
      <c r="D5390" s="7"/>
      <c r="E5390" s="7"/>
      <c r="F5390" s="7"/>
      <c r="G5390" s="7"/>
      <c r="H5390" s="7"/>
      <c r="I5390" s="7"/>
    </row>
    <row r="5391" hidden="1">
      <c r="A5391" s="7"/>
      <c r="B5391" s="7"/>
      <c r="C5391" s="7"/>
      <c r="D5391" s="7"/>
      <c r="E5391" s="7"/>
      <c r="F5391" s="7"/>
      <c r="G5391" s="7"/>
      <c r="H5391" s="7"/>
      <c r="I5391" s="7"/>
    </row>
    <row r="5392" hidden="1">
      <c r="A5392" s="7"/>
      <c r="B5392" s="7"/>
      <c r="C5392" s="7"/>
      <c r="D5392" s="7"/>
      <c r="E5392" s="7"/>
      <c r="F5392" s="7"/>
      <c r="G5392" s="7"/>
      <c r="H5392" s="7"/>
      <c r="I5392" s="7"/>
    </row>
    <row r="5393" hidden="1">
      <c r="A5393" s="7"/>
      <c r="B5393" s="7"/>
      <c r="C5393" s="7"/>
      <c r="D5393" s="7"/>
      <c r="E5393" s="7"/>
      <c r="F5393" s="7"/>
      <c r="G5393" s="7"/>
      <c r="H5393" s="7"/>
      <c r="I5393" s="7"/>
    </row>
    <row r="5394" hidden="1">
      <c r="A5394" s="7"/>
      <c r="B5394" s="7"/>
      <c r="C5394" s="7"/>
      <c r="D5394" s="7"/>
      <c r="E5394" s="7"/>
      <c r="F5394" s="7"/>
      <c r="G5394" s="7"/>
      <c r="H5394" s="7"/>
      <c r="I5394" s="7"/>
    </row>
    <row r="5395" hidden="1">
      <c r="A5395" s="7"/>
      <c r="B5395" s="7"/>
      <c r="C5395" s="7"/>
      <c r="D5395" s="7"/>
      <c r="E5395" s="7"/>
      <c r="F5395" s="7"/>
      <c r="G5395" s="7"/>
      <c r="H5395" s="7"/>
      <c r="I5395" s="7"/>
    </row>
    <row r="5396" hidden="1">
      <c r="A5396" s="7"/>
      <c r="B5396" s="7"/>
      <c r="C5396" s="7"/>
      <c r="D5396" s="7"/>
      <c r="E5396" s="7"/>
      <c r="F5396" s="7"/>
      <c r="G5396" s="7"/>
      <c r="H5396" s="7"/>
      <c r="I5396" s="7"/>
    </row>
    <row r="5397" hidden="1">
      <c r="A5397" s="7"/>
      <c r="B5397" s="7"/>
      <c r="C5397" s="7"/>
      <c r="D5397" s="7"/>
      <c r="E5397" s="7"/>
      <c r="F5397" s="7"/>
      <c r="G5397" s="7"/>
      <c r="H5397" s="7"/>
      <c r="I5397" s="7"/>
    </row>
    <row r="5398" hidden="1">
      <c r="A5398" s="7"/>
      <c r="B5398" s="7"/>
      <c r="C5398" s="7"/>
      <c r="D5398" s="7"/>
      <c r="E5398" s="7"/>
      <c r="F5398" s="7"/>
      <c r="G5398" s="7"/>
      <c r="H5398" s="7"/>
      <c r="I5398" s="7"/>
    </row>
    <row r="5399" hidden="1">
      <c r="A5399" s="7"/>
      <c r="B5399" s="7"/>
      <c r="C5399" s="7"/>
      <c r="D5399" s="7"/>
      <c r="E5399" s="7"/>
      <c r="F5399" s="7"/>
      <c r="G5399" s="7"/>
      <c r="H5399" s="7"/>
      <c r="I5399" s="7"/>
    </row>
    <row r="5400" hidden="1">
      <c r="A5400" s="7"/>
      <c r="B5400" s="7"/>
      <c r="C5400" s="7"/>
      <c r="D5400" s="7"/>
      <c r="E5400" s="7"/>
      <c r="F5400" s="7"/>
      <c r="G5400" s="7"/>
      <c r="H5400" s="7"/>
      <c r="I5400" s="7"/>
    </row>
    <row r="5401" hidden="1">
      <c r="A5401" s="7"/>
      <c r="B5401" s="7"/>
      <c r="C5401" s="7"/>
      <c r="D5401" s="7"/>
      <c r="E5401" s="7"/>
      <c r="F5401" s="7"/>
      <c r="G5401" s="7"/>
      <c r="H5401" s="7"/>
      <c r="I5401" s="7"/>
    </row>
    <row r="5402" hidden="1">
      <c r="A5402" s="7"/>
      <c r="B5402" s="7"/>
      <c r="C5402" s="7"/>
      <c r="D5402" s="7"/>
      <c r="E5402" s="7"/>
      <c r="F5402" s="7"/>
      <c r="G5402" s="7"/>
      <c r="H5402" s="7"/>
      <c r="I5402" s="7"/>
    </row>
    <row r="5403" hidden="1">
      <c r="A5403" s="7"/>
      <c r="B5403" s="7"/>
      <c r="C5403" s="7"/>
      <c r="D5403" s="7"/>
      <c r="E5403" s="7"/>
      <c r="F5403" s="7"/>
      <c r="G5403" s="7"/>
      <c r="H5403" s="7"/>
      <c r="I5403" s="7"/>
    </row>
    <row r="5404" hidden="1">
      <c r="A5404" s="7"/>
      <c r="B5404" s="7"/>
      <c r="C5404" s="7"/>
      <c r="D5404" s="7"/>
      <c r="E5404" s="7"/>
      <c r="F5404" s="7"/>
      <c r="G5404" s="7"/>
      <c r="H5404" s="7"/>
      <c r="I5404" s="7"/>
    </row>
    <row r="5405" hidden="1">
      <c r="A5405" s="7"/>
      <c r="B5405" s="7"/>
      <c r="C5405" s="7"/>
      <c r="D5405" s="7"/>
      <c r="E5405" s="7"/>
      <c r="F5405" s="7"/>
      <c r="G5405" s="7"/>
      <c r="H5405" s="7"/>
      <c r="I5405" s="7"/>
    </row>
    <row r="5406" hidden="1">
      <c r="A5406" s="7"/>
      <c r="B5406" s="7"/>
      <c r="C5406" s="7"/>
      <c r="D5406" s="7"/>
      <c r="E5406" s="7"/>
      <c r="F5406" s="7"/>
      <c r="G5406" s="7"/>
      <c r="H5406" s="7"/>
      <c r="I5406" s="7"/>
    </row>
    <row r="5407" hidden="1">
      <c r="A5407" s="7"/>
      <c r="B5407" s="7"/>
      <c r="C5407" s="7"/>
      <c r="D5407" s="7"/>
      <c r="E5407" s="7"/>
      <c r="F5407" s="7"/>
      <c r="G5407" s="7"/>
      <c r="H5407" s="7"/>
      <c r="I5407" s="7"/>
    </row>
    <row r="5408" hidden="1">
      <c r="A5408" s="7"/>
      <c r="B5408" s="7"/>
      <c r="C5408" s="7"/>
      <c r="D5408" s="7"/>
      <c r="E5408" s="7"/>
      <c r="F5408" s="7"/>
      <c r="G5408" s="7"/>
      <c r="H5408" s="7"/>
      <c r="I5408" s="7"/>
    </row>
    <row r="5409" hidden="1">
      <c r="A5409" s="7"/>
      <c r="B5409" s="7"/>
      <c r="C5409" s="7"/>
      <c r="D5409" s="7"/>
      <c r="E5409" s="7"/>
      <c r="F5409" s="7"/>
      <c r="G5409" s="7"/>
      <c r="H5409" s="7"/>
      <c r="I5409" s="7"/>
    </row>
    <row r="5410" hidden="1">
      <c r="A5410" s="7"/>
      <c r="B5410" s="7"/>
      <c r="C5410" s="7"/>
      <c r="D5410" s="7"/>
      <c r="E5410" s="7"/>
      <c r="F5410" s="7"/>
      <c r="G5410" s="7"/>
      <c r="H5410" s="7"/>
      <c r="I5410" s="7"/>
    </row>
    <row r="5411" hidden="1">
      <c r="A5411" s="7"/>
      <c r="B5411" s="7"/>
      <c r="C5411" s="7"/>
      <c r="D5411" s="7"/>
      <c r="E5411" s="7"/>
      <c r="F5411" s="7"/>
      <c r="G5411" s="7"/>
      <c r="H5411" s="7"/>
      <c r="I5411" s="7"/>
    </row>
    <row r="5412" hidden="1">
      <c r="A5412" s="7"/>
      <c r="B5412" s="7"/>
      <c r="C5412" s="7"/>
      <c r="D5412" s="7"/>
      <c r="E5412" s="7"/>
      <c r="F5412" s="7"/>
      <c r="G5412" s="7"/>
      <c r="H5412" s="7"/>
      <c r="I5412" s="7"/>
    </row>
    <row r="5413" hidden="1">
      <c r="A5413" s="7"/>
      <c r="B5413" s="7"/>
      <c r="C5413" s="7"/>
      <c r="D5413" s="7"/>
      <c r="E5413" s="7"/>
      <c r="F5413" s="7"/>
      <c r="G5413" s="7"/>
      <c r="H5413" s="7"/>
      <c r="I5413" s="7"/>
    </row>
    <row r="5414" hidden="1">
      <c r="A5414" s="7"/>
      <c r="B5414" s="7"/>
      <c r="C5414" s="7"/>
      <c r="D5414" s="7"/>
      <c r="E5414" s="7"/>
      <c r="F5414" s="7"/>
      <c r="G5414" s="7"/>
      <c r="H5414" s="7"/>
      <c r="I5414" s="7"/>
    </row>
    <row r="5415" hidden="1">
      <c r="A5415" s="7"/>
      <c r="B5415" s="7"/>
      <c r="C5415" s="7"/>
      <c r="D5415" s="7"/>
      <c r="E5415" s="7"/>
      <c r="F5415" s="7"/>
      <c r="G5415" s="7"/>
      <c r="H5415" s="7"/>
      <c r="I5415" s="7"/>
    </row>
    <row r="5416" hidden="1">
      <c r="A5416" s="7"/>
      <c r="B5416" s="7"/>
      <c r="C5416" s="7"/>
      <c r="D5416" s="7"/>
      <c r="E5416" s="7"/>
      <c r="F5416" s="7"/>
      <c r="G5416" s="7"/>
      <c r="H5416" s="7"/>
      <c r="I5416" s="7"/>
    </row>
    <row r="5417" hidden="1">
      <c r="A5417" s="7"/>
      <c r="B5417" s="7"/>
      <c r="C5417" s="7"/>
      <c r="D5417" s="7"/>
      <c r="E5417" s="7"/>
      <c r="F5417" s="7"/>
      <c r="G5417" s="7"/>
      <c r="H5417" s="7"/>
      <c r="I5417" s="7"/>
    </row>
    <row r="5418" hidden="1">
      <c r="A5418" s="7"/>
      <c r="B5418" s="7"/>
      <c r="C5418" s="7"/>
      <c r="D5418" s="7"/>
      <c r="E5418" s="7"/>
      <c r="F5418" s="7"/>
      <c r="G5418" s="7"/>
      <c r="H5418" s="7"/>
      <c r="I5418" s="7"/>
    </row>
    <row r="5419" hidden="1">
      <c r="A5419" s="7"/>
      <c r="B5419" s="7"/>
      <c r="C5419" s="7"/>
      <c r="D5419" s="7"/>
      <c r="E5419" s="7"/>
      <c r="F5419" s="7"/>
      <c r="G5419" s="7"/>
      <c r="H5419" s="7"/>
      <c r="I5419" s="7"/>
    </row>
    <row r="5420" hidden="1">
      <c r="A5420" s="7"/>
      <c r="B5420" s="7"/>
      <c r="C5420" s="7"/>
      <c r="D5420" s="7"/>
      <c r="E5420" s="7"/>
      <c r="F5420" s="7"/>
      <c r="G5420" s="7"/>
      <c r="H5420" s="7"/>
      <c r="I5420" s="7"/>
    </row>
    <row r="5421" hidden="1">
      <c r="A5421" s="7"/>
      <c r="B5421" s="7"/>
      <c r="C5421" s="7"/>
      <c r="D5421" s="7"/>
      <c r="E5421" s="7"/>
      <c r="F5421" s="7"/>
      <c r="G5421" s="7"/>
      <c r="H5421" s="7"/>
      <c r="I5421" s="7"/>
    </row>
    <row r="5422" hidden="1">
      <c r="A5422" s="7"/>
      <c r="B5422" s="7"/>
      <c r="C5422" s="7"/>
      <c r="D5422" s="7"/>
      <c r="E5422" s="7"/>
      <c r="F5422" s="7"/>
      <c r="G5422" s="7"/>
      <c r="H5422" s="7"/>
      <c r="I5422" s="7"/>
    </row>
    <row r="5423" hidden="1">
      <c r="A5423" s="7"/>
      <c r="B5423" s="7"/>
      <c r="C5423" s="7"/>
      <c r="D5423" s="7"/>
      <c r="E5423" s="7"/>
      <c r="F5423" s="7"/>
      <c r="G5423" s="7"/>
      <c r="H5423" s="7"/>
      <c r="I5423" s="7"/>
    </row>
    <row r="5424" hidden="1">
      <c r="A5424" s="7"/>
      <c r="B5424" s="7"/>
      <c r="C5424" s="7"/>
      <c r="D5424" s="7"/>
      <c r="E5424" s="7"/>
      <c r="F5424" s="7"/>
      <c r="G5424" s="7"/>
      <c r="H5424" s="7"/>
      <c r="I5424" s="7"/>
    </row>
    <row r="5425" hidden="1">
      <c r="A5425" s="7"/>
      <c r="B5425" s="7"/>
      <c r="C5425" s="7"/>
      <c r="D5425" s="7"/>
      <c r="E5425" s="7"/>
      <c r="F5425" s="7"/>
      <c r="G5425" s="7"/>
      <c r="H5425" s="7"/>
      <c r="I5425" s="7"/>
    </row>
    <row r="5426" hidden="1">
      <c r="A5426" s="7"/>
      <c r="B5426" s="7"/>
      <c r="C5426" s="7"/>
      <c r="D5426" s="7"/>
      <c r="E5426" s="7"/>
      <c r="F5426" s="7"/>
      <c r="G5426" s="7"/>
      <c r="H5426" s="7"/>
      <c r="I5426" s="7"/>
    </row>
    <row r="5427" hidden="1">
      <c r="A5427" s="7"/>
      <c r="B5427" s="7"/>
      <c r="C5427" s="7"/>
      <c r="D5427" s="7"/>
      <c r="E5427" s="7"/>
      <c r="F5427" s="7"/>
      <c r="G5427" s="7"/>
      <c r="H5427" s="7"/>
      <c r="I5427" s="7"/>
    </row>
    <row r="5428" hidden="1">
      <c r="A5428" s="7"/>
      <c r="B5428" s="7"/>
      <c r="C5428" s="7"/>
      <c r="D5428" s="7"/>
      <c r="E5428" s="7"/>
      <c r="F5428" s="7"/>
      <c r="G5428" s="7"/>
      <c r="H5428" s="7"/>
      <c r="I5428" s="7"/>
    </row>
    <row r="5429" hidden="1">
      <c r="A5429" s="7"/>
      <c r="B5429" s="7"/>
      <c r="C5429" s="7"/>
      <c r="D5429" s="7"/>
      <c r="E5429" s="7"/>
      <c r="F5429" s="7"/>
      <c r="G5429" s="7"/>
      <c r="H5429" s="7"/>
      <c r="I5429" s="7"/>
    </row>
    <row r="5430" hidden="1">
      <c r="A5430" s="7"/>
      <c r="B5430" s="7"/>
      <c r="C5430" s="7"/>
      <c r="D5430" s="7"/>
      <c r="E5430" s="7"/>
      <c r="F5430" s="7"/>
      <c r="G5430" s="7"/>
      <c r="H5430" s="7"/>
      <c r="I5430" s="7"/>
    </row>
    <row r="5431" hidden="1">
      <c r="A5431" s="7"/>
      <c r="B5431" s="7"/>
      <c r="C5431" s="7"/>
      <c r="D5431" s="7"/>
      <c r="E5431" s="7"/>
      <c r="F5431" s="7"/>
      <c r="G5431" s="7"/>
      <c r="H5431" s="7"/>
      <c r="I5431" s="7"/>
    </row>
    <row r="5432" hidden="1">
      <c r="A5432" s="7"/>
      <c r="B5432" s="7"/>
      <c r="C5432" s="7"/>
      <c r="D5432" s="7"/>
      <c r="E5432" s="7"/>
      <c r="F5432" s="7"/>
      <c r="G5432" s="7"/>
      <c r="H5432" s="7"/>
      <c r="I5432" s="7"/>
    </row>
    <row r="5433" hidden="1">
      <c r="A5433" s="7"/>
      <c r="B5433" s="7"/>
      <c r="C5433" s="7"/>
      <c r="D5433" s="7"/>
      <c r="E5433" s="7"/>
      <c r="F5433" s="7"/>
      <c r="G5433" s="7"/>
      <c r="H5433" s="7"/>
      <c r="I5433" s="7"/>
    </row>
    <row r="5434" hidden="1">
      <c r="A5434" s="7"/>
      <c r="B5434" s="7"/>
      <c r="C5434" s="7"/>
      <c r="D5434" s="7"/>
      <c r="E5434" s="7"/>
      <c r="F5434" s="7"/>
      <c r="G5434" s="7"/>
      <c r="H5434" s="7"/>
      <c r="I5434" s="7"/>
    </row>
    <row r="5435" hidden="1">
      <c r="A5435" s="7"/>
      <c r="B5435" s="7"/>
      <c r="C5435" s="7"/>
      <c r="D5435" s="7"/>
      <c r="E5435" s="7"/>
      <c r="F5435" s="7"/>
      <c r="G5435" s="7"/>
      <c r="H5435" s="7"/>
      <c r="I5435" s="7"/>
    </row>
    <row r="5436" hidden="1">
      <c r="A5436" s="7"/>
      <c r="B5436" s="7"/>
      <c r="C5436" s="7"/>
      <c r="D5436" s="7"/>
      <c r="E5436" s="7"/>
      <c r="F5436" s="7"/>
      <c r="G5436" s="7"/>
      <c r="H5436" s="7"/>
      <c r="I5436" s="7"/>
    </row>
    <row r="5437" hidden="1">
      <c r="A5437" s="7"/>
      <c r="B5437" s="7"/>
      <c r="C5437" s="7"/>
      <c r="D5437" s="7"/>
      <c r="E5437" s="7"/>
      <c r="F5437" s="7"/>
      <c r="G5437" s="7"/>
      <c r="H5437" s="7"/>
      <c r="I5437" s="7"/>
    </row>
    <row r="5438" hidden="1">
      <c r="A5438" s="7"/>
      <c r="B5438" s="7"/>
      <c r="C5438" s="7"/>
      <c r="D5438" s="7"/>
      <c r="E5438" s="7"/>
      <c r="F5438" s="7"/>
      <c r="G5438" s="7"/>
      <c r="H5438" s="7"/>
      <c r="I5438" s="7"/>
    </row>
    <row r="5439" hidden="1">
      <c r="A5439" s="7"/>
      <c r="B5439" s="7"/>
      <c r="C5439" s="7"/>
      <c r="D5439" s="7"/>
      <c r="E5439" s="7"/>
      <c r="F5439" s="7"/>
      <c r="G5439" s="7"/>
      <c r="H5439" s="7"/>
      <c r="I5439" s="7"/>
    </row>
    <row r="5440" hidden="1">
      <c r="A5440" s="7"/>
      <c r="B5440" s="7"/>
      <c r="C5440" s="7"/>
      <c r="D5440" s="7"/>
      <c r="E5440" s="7"/>
      <c r="F5440" s="7"/>
      <c r="G5440" s="7"/>
      <c r="H5440" s="7"/>
      <c r="I5440" s="7"/>
    </row>
    <row r="5441" hidden="1">
      <c r="A5441" s="7"/>
      <c r="B5441" s="7"/>
      <c r="C5441" s="7"/>
      <c r="D5441" s="7"/>
      <c r="E5441" s="7"/>
      <c r="F5441" s="7"/>
      <c r="G5441" s="7"/>
      <c r="H5441" s="7"/>
      <c r="I5441" s="7"/>
    </row>
    <row r="5442" hidden="1">
      <c r="A5442" s="7"/>
      <c r="B5442" s="7"/>
      <c r="C5442" s="7"/>
      <c r="D5442" s="7"/>
      <c r="E5442" s="7"/>
      <c r="F5442" s="7"/>
      <c r="G5442" s="7"/>
      <c r="H5442" s="7"/>
      <c r="I5442" s="7"/>
    </row>
    <row r="5443" hidden="1">
      <c r="A5443" s="7"/>
      <c r="B5443" s="7"/>
      <c r="C5443" s="7"/>
      <c r="D5443" s="7"/>
      <c r="E5443" s="7"/>
      <c r="F5443" s="7"/>
      <c r="G5443" s="7"/>
      <c r="H5443" s="7"/>
      <c r="I5443" s="7"/>
    </row>
    <row r="5444" hidden="1">
      <c r="A5444" s="7"/>
      <c r="B5444" s="7"/>
      <c r="C5444" s="7"/>
      <c r="D5444" s="7"/>
      <c r="E5444" s="7"/>
      <c r="F5444" s="7"/>
      <c r="G5444" s="7"/>
      <c r="H5444" s="7"/>
      <c r="I5444" s="7"/>
    </row>
    <row r="5445" hidden="1">
      <c r="A5445" s="7"/>
      <c r="B5445" s="7"/>
      <c r="C5445" s="7"/>
      <c r="D5445" s="7"/>
      <c r="E5445" s="7"/>
      <c r="F5445" s="7"/>
      <c r="G5445" s="7"/>
      <c r="H5445" s="7"/>
      <c r="I5445" s="7"/>
    </row>
    <row r="5446" hidden="1">
      <c r="A5446" s="7"/>
      <c r="B5446" s="7"/>
      <c r="C5446" s="7"/>
      <c r="D5446" s="7"/>
      <c r="E5446" s="7"/>
      <c r="F5446" s="7"/>
      <c r="G5446" s="7"/>
      <c r="H5446" s="7"/>
      <c r="I5446" s="7"/>
    </row>
    <row r="5447" hidden="1">
      <c r="A5447" s="7"/>
      <c r="B5447" s="7"/>
      <c r="C5447" s="7"/>
      <c r="D5447" s="7"/>
      <c r="E5447" s="7"/>
      <c r="F5447" s="7"/>
      <c r="G5447" s="7"/>
      <c r="H5447" s="7"/>
      <c r="I5447" s="7"/>
    </row>
    <row r="5448" hidden="1">
      <c r="A5448" s="7"/>
      <c r="B5448" s="7"/>
      <c r="C5448" s="7"/>
      <c r="D5448" s="7"/>
      <c r="E5448" s="7"/>
      <c r="F5448" s="7"/>
      <c r="G5448" s="7"/>
      <c r="H5448" s="7"/>
      <c r="I5448" s="7"/>
    </row>
    <row r="5449" hidden="1">
      <c r="A5449" s="7"/>
      <c r="B5449" s="7"/>
      <c r="C5449" s="7"/>
      <c r="D5449" s="7"/>
      <c r="E5449" s="7"/>
      <c r="F5449" s="7"/>
      <c r="G5449" s="7"/>
      <c r="H5449" s="7"/>
      <c r="I5449" s="7"/>
    </row>
    <row r="5450" hidden="1">
      <c r="A5450" s="7"/>
      <c r="B5450" s="7"/>
      <c r="C5450" s="7"/>
      <c r="D5450" s="7"/>
      <c r="E5450" s="7"/>
      <c r="F5450" s="7"/>
      <c r="G5450" s="7"/>
      <c r="H5450" s="7"/>
      <c r="I5450" s="7"/>
    </row>
    <row r="5451" hidden="1">
      <c r="A5451" s="7"/>
      <c r="B5451" s="7"/>
      <c r="C5451" s="7"/>
      <c r="D5451" s="7"/>
      <c r="E5451" s="7"/>
      <c r="F5451" s="7"/>
      <c r="G5451" s="7"/>
      <c r="H5451" s="7"/>
      <c r="I5451" s="7"/>
    </row>
    <row r="5452" hidden="1">
      <c r="A5452" s="7"/>
      <c r="B5452" s="7"/>
      <c r="C5452" s="7"/>
      <c r="D5452" s="7"/>
      <c r="E5452" s="7"/>
      <c r="F5452" s="7"/>
      <c r="G5452" s="7"/>
      <c r="H5452" s="7"/>
      <c r="I5452" s="7"/>
    </row>
    <row r="5453" hidden="1">
      <c r="A5453" s="7"/>
      <c r="B5453" s="7"/>
      <c r="C5453" s="7"/>
      <c r="D5453" s="7"/>
      <c r="E5453" s="7"/>
      <c r="F5453" s="7"/>
      <c r="G5453" s="7"/>
      <c r="H5453" s="7"/>
      <c r="I5453" s="7"/>
    </row>
    <row r="5454" hidden="1">
      <c r="A5454" s="7"/>
      <c r="B5454" s="7"/>
      <c r="C5454" s="7"/>
      <c r="D5454" s="7"/>
      <c r="E5454" s="7"/>
      <c r="F5454" s="7"/>
      <c r="G5454" s="7"/>
      <c r="H5454" s="7"/>
      <c r="I5454" s="7"/>
    </row>
    <row r="5455" hidden="1">
      <c r="A5455" s="7"/>
      <c r="B5455" s="7"/>
      <c r="C5455" s="7"/>
      <c r="D5455" s="7"/>
      <c r="E5455" s="7"/>
      <c r="F5455" s="7"/>
      <c r="G5455" s="7"/>
      <c r="H5455" s="7"/>
      <c r="I5455" s="7"/>
    </row>
    <row r="5456" hidden="1">
      <c r="A5456" s="7"/>
      <c r="B5456" s="7"/>
      <c r="C5456" s="7"/>
      <c r="D5456" s="7"/>
      <c r="E5456" s="7"/>
      <c r="F5456" s="7"/>
      <c r="G5456" s="7"/>
      <c r="H5456" s="7"/>
      <c r="I5456" s="7"/>
    </row>
    <row r="5457" hidden="1">
      <c r="A5457" s="7"/>
      <c r="B5457" s="7"/>
      <c r="C5457" s="7"/>
      <c r="D5457" s="7"/>
      <c r="E5457" s="7"/>
      <c r="F5457" s="7"/>
      <c r="G5457" s="7"/>
      <c r="H5457" s="7"/>
      <c r="I5457" s="7"/>
    </row>
    <row r="5458" hidden="1">
      <c r="A5458" s="7"/>
      <c r="B5458" s="7"/>
      <c r="C5458" s="7"/>
      <c r="D5458" s="7"/>
      <c r="E5458" s="7"/>
      <c r="F5458" s="7"/>
      <c r="G5458" s="7"/>
      <c r="H5458" s="7"/>
      <c r="I5458" s="7"/>
    </row>
    <row r="5459" hidden="1">
      <c r="A5459" s="7"/>
      <c r="B5459" s="7"/>
      <c r="C5459" s="7"/>
      <c r="D5459" s="7"/>
      <c r="E5459" s="7"/>
      <c r="F5459" s="7"/>
      <c r="G5459" s="7"/>
      <c r="H5459" s="7"/>
      <c r="I5459" s="7"/>
    </row>
    <row r="5460" hidden="1">
      <c r="A5460" s="7"/>
      <c r="B5460" s="7"/>
      <c r="C5460" s="7"/>
      <c r="D5460" s="7"/>
      <c r="E5460" s="7"/>
      <c r="F5460" s="7"/>
      <c r="G5460" s="7"/>
      <c r="H5460" s="7"/>
      <c r="I5460" s="7"/>
    </row>
    <row r="5461" hidden="1">
      <c r="A5461" s="7"/>
      <c r="B5461" s="7"/>
      <c r="C5461" s="7"/>
      <c r="D5461" s="7"/>
      <c r="E5461" s="7"/>
      <c r="F5461" s="7"/>
      <c r="G5461" s="7"/>
      <c r="H5461" s="7"/>
      <c r="I5461" s="7"/>
    </row>
    <row r="5462" hidden="1">
      <c r="A5462" s="7"/>
      <c r="B5462" s="7"/>
      <c r="C5462" s="7"/>
      <c r="D5462" s="7"/>
      <c r="E5462" s="7"/>
      <c r="F5462" s="7"/>
      <c r="G5462" s="7"/>
      <c r="H5462" s="7"/>
      <c r="I5462" s="7"/>
    </row>
    <row r="5463" hidden="1">
      <c r="A5463" s="7"/>
      <c r="B5463" s="7"/>
      <c r="C5463" s="7"/>
      <c r="D5463" s="7"/>
      <c r="E5463" s="7"/>
      <c r="F5463" s="7"/>
      <c r="G5463" s="7"/>
      <c r="H5463" s="7"/>
      <c r="I5463" s="7"/>
    </row>
    <row r="5464" hidden="1">
      <c r="A5464" s="7"/>
      <c r="B5464" s="7"/>
      <c r="C5464" s="7"/>
      <c r="D5464" s="7"/>
      <c r="E5464" s="7"/>
      <c r="F5464" s="7"/>
      <c r="G5464" s="7"/>
      <c r="H5464" s="7"/>
      <c r="I5464" s="7"/>
    </row>
    <row r="5465" hidden="1">
      <c r="A5465" s="7"/>
      <c r="B5465" s="7"/>
      <c r="C5465" s="7"/>
      <c r="D5465" s="7"/>
      <c r="E5465" s="7"/>
      <c r="F5465" s="7"/>
      <c r="G5465" s="7"/>
      <c r="H5465" s="7"/>
      <c r="I5465" s="7"/>
    </row>
    <row r="5466" hidden="1">
      <c r="A5466" s="7"/>
      <c r="B5466" s="7"/>
      <c r="C5466" s="7"/>
      <c r="D5466" s="7"/>
      <c r="E5466" s="7"/>
      <c r="F5466" s="7"/>
      <c r="G5466" s="7"/>
      <c r="H5466" s="7"/>
      <c r="I5466" s="7"/>
    </row>
    <row r="5467" hidden="1">
      <c r="A5467" s="7"/>
      <c r="B5467" s="7"/>
      <c r="C5467" s="7"/>
      <c r="D5467" s="7"/>
      <c r="E5467" s="7"/>
      <c r="F5467" s="7"/>
      <c r="G5467" s="7"/>
      <c r="H5467" s="7"/>
      <c r="I5467" s="7"/>
    </row>
    <row r="5468" hidden="1">
      <c r="A5468" s="7"/>
      <c r="B5468" s="7"/>
      <c r="C5468" s="7"/>
      <c r="D5468" s="7"/>
      <c r="E5468" s="7"/>
      <c r="F5468" s="7"/>
      <c r="G5468" s="7"/>
      <c r="H5468" s="7"/>
      <c r="I5468" s="7"/>
    </row>
    <row r="5469" hidden="1">
      <c r="A5469" s="7"/>
      <c r="B5469" s="7"/>
      <c r="C5469" s="7"/>
      <c r="D5469" s="7"/>
      <c r="E5469" s="7"/>
      <c r="F5469" s="7"/>
      <c r="G5469" s="7"/>
      <c r="H5469" s="7"/>
      <c r="I5469" s="7"/>
    </row>
    <row r="5470" hidden="1">
      <c r="A5470" s="7"/>
      <c r="B5470" s="7"/>
      <c r="C5470" s="7"/>
      <c r="D5470" s="7"/>
      <c r="E5470" s="7"/>
      <c r="F5470" s="7"/>
      <c r="G5470" s="7"/>
      <c r="H5470" s="7"/>
      <c r="I5470" s="7"/>
    </row>
    <row r="5471" hidden="1">
      <c r="A5471" s="7"/>
      <c r="B5471" s="7"/>
      <c r="C5471" s="7"/>
      <c r="D5471" s="7"/>
      <c r="E5471" s="7"/>
      <c r="F5471" s="7"/>
      <c r="G5471" s="7"/>
      <c r="H5471" s="7"/>
      <c r="I5471" s="7"/>
    </row>
    <row r="5472" hidden="1">
      <c r="A5472" s="7"/>
      <c r="B5472" s="7"/>
      <c r="C5472" s="7"/>
      <c r="D5472" s="7"/>
      <c r="E5472" s="7"/>
      <c r="F5472" s="7"/>
      <c r="G5472" s="7"/>
      <c r="H5472" s="7"/>
      <c r="I5472" s="7"/>
    </row>
    <row r="5473" hidden="1">
      <c r="A5473" s="7"/>
      <c r="B5473" s="7"/>
      <c r="C5473" s="7"/>
      <c r="D5473" s="7"/>
      <c r="E5473" s="7"/>
      <c r="F5473" s="7"/>
      <c r="G5473" s="7"/>
      <c r="H5473" s="7"/>
      <c r="I5473" s="7"/>
    </row>
    <row r="5474" hidden="1">
      <c r="A5474" s="7"/>
      <c r="B5474" s="7"/>
      <c r="C5474" s="7"/>
      <c r="D5474" s="7"/>
      <c r="E5474" s="7"/>
      <c r="F5474" s="7"/>
      <c r="G5474" s="7"/>
      <c r="H5474" s="7"/>
      <c r="I5474" s="7"/>
    </row>
    <row r="5475" hidden="1">
      <c r="A5475" s="7"/>
      <c r="B5475" s="7"/>
      <c r="C5475" s="7"/>
      <c r="D5475" s="7"/>
      <c r="E5475" s="7"/>
      <c r="F5475" s="7"/>
      <c r="G5475" s="7"/>
      <c r="H5475" s="7"/>
      <c r="I5475" s="7"/>
    </row>
    <row r="5476" hidden="1">
      <c r="A5476" s="7"/>
      <c r="B5476" s="7"/>
      <c r="C5476" s="7"/>
      <c r="D5476" s="7"/>
      <c r="E5476" s="7"/>
      <c r="F5476" s="7"/>
      <c r="G5476" s="7"/>
      <c r="H5476" s="7"/>
      <c r="I5476" s="7"/>
    </row>
    <row r="5477" hidden="1">
      <c r="A5477" s="7"/>
      <c r="B5477" s="7"/>
      <c r="C5477" s="7"/>
      <c r="D5477" s="7"/>
      <c r="E5477" s="7"/>
      <c r="F5477" s="7"/>
      <c r="G5477" s="7"/>
      <c r="H5477" s="7"/>
      <c r="I5477" s="7"/>
    </row>
    <row r="5478" hidden="1">
      <c r="A5478" s="7"/>
      <c r="B5478" s="7"/>
      <c r="C5478" s="7"/>
      <c r="D5478" s="7"/>
      <c r="E5478" s="7"/>
      <c r="F5478" s="7"/>
      <c r="G5478" s="7"/>
      <c r="H5478" s="7"/>
      <c r="I5478" s="7"/>
    </row>
    <row r="5479" hidden="1">
      <c r="A5479" s="7"/>
      <c r="B5479" s="7"/>
      <c r="C5479" s="7"/>
      <c r="D5479" s="7"/>
      <c r="E5479" s="7"/>
      <c r="F5479" s="7"/>
      <c r="G5479" s="7"/>
      <c r="H5479" s="7"/>
      <c r="I5479" s="7"/>
    </row>
    <row r="5480" hidden="1">
      <c r="A5480" s="7"/>
      <c r="B5480" s="7"/>
      <c r="C5480" s="7"/>
      <c r="D5480" s="7"/>
      <c r="E5480" s="7"/>
      <c r="F5480" s="7"/>
      <c r="G5480" s="7"/>
      <c r="H5480" s="7"/>
      <c r="I5480" s="7"/>
    </row>
    <row r="5481" hidden="1">
      <c r="A5481" s="7"/>
      <c r="B5481" s="7"/>
      <c r="C5481" s="7"/>
      <c r="D5481" s="7"/>
      <c r="E5481" s="7"/>
      <c r="F5481" s="7"/>
      <c r="G5481" s="7"/>
      <c r="H5481" s="7"/>
      <c r="I5481" s="7"/>
    </row>
    <row r="5482" hidden="1">
      <c r="A5482" s="7"/>
      <c r="B5482" s="7"/>
      <c r="C5482" s="7"/>
      <c r="D5482" s="7"/>
      <c r="E5482" s="7"/>
      <c r="F5482" s="7"/>
      <c r="G5482" s="7"/>
      <c r="H5482" s="7"/>
      <c r="I5482" s="7"/>
    </row>
    <row r="5483" hidden="1">
      <c r="A5483" s="7"/>
      <c r="B5483" s="7"/>
      <c r="C5483" s="7"/>
      <c r="D5483" s="7"/>
      <c r="E5483" s="7"/>
      <c r="F5483" s="7"/>
      <c r="G5483" s="7"/>
      <c r="H5483" s="7"/>
      <c r="I5483" s="7"/>
    </row>
    <row r="5484" hidden="1">
      <c r="A5484" s="7"/>
      <c r="B5484" s="7"/>
      <c r="C5484" s="7"/>
      <c r="D5484" s="7"/>
      <c r="E5484" s="7"/>
      <c r="F5484" s="7"/>
      <c r="G5484" s="7"/>
      <c r="H5484" s="7"/>
      <c r="I5484" s="7"/>
    </row>
    <row r="5485" hidden="1">
      <c r="A5485" s="7"/>
      <c r="B5485" s="7"/>
      <c r="C5485" s="7"/>
      <c r="D5485" s="7"/>
      <c r="E5485" s="7"/>
      <c r="F5485" s="7"/>
      <c r="G5485" s="7"/>
      <c r="H5485" s="7"/>
      <c r="I5485" s="7"/>
    </row>
    <row r="5486" hidden="1">
      <c r="A5486" s="7"/>
      <c r="B5486" s="7"/>
      <c r="C5486" s="7"/>
      <c r="D5486" s="7"/>
      <c r="E5486" s="7"/>
      <c r="F5486" s="7"/>
      <c r="G5486" s="7"/>
      <c r="H5486" s="7"/>
      <c r="I5486" s="7"/>
    </row>
    <row r="5487" hidden="1">
      <c r="A5487" s="7"/>
      <c r="B5487" s="7"/>
      <c r="C5487" s="7"/>
      <c r="D5487" s="7"/>
      <c r="E5487" s="7"/>
      <c r="F5487" s="7"/>
      <c r="G5487" s="7"/>
      <c r="H5487" s="7"/>
      <c r="I5487" s="7"/>
    </row>
    <row r="5488" hidden="1">
      <c r="A5488" s="7"/>
      <c r="B5488" s="7"/>
      <c r="C5488" s="7"/>
      <c r="D5488" s="7"/>
      <c r="E5488" s="7"/>
      <c r="F5488" s="7"/>
      <c r="G5488" s="7"/>
      <c r="H5488" s="7"/>
      <c r="I5488" s="7"/>
    </row>
    <row r="5489" hidden="1">
      <c r="A5489" s="7"/>
      <c r="B5489" s="7"/>
      <c r="C5489" s="7"/>
      <c r="D5489" s="7"/>
      <c r="E5489" s="7"/>
      <c r="F5489" s="7"/>
      <c r="G5489" s="7"/>
      <c r="H5489" s="7"/>
      <c r="I5489" s="7"/>
    </row>
    <row r="5490" hidden="1">
      <c r="A5490" s="7"/>
      <c r="B5490" s="7"/>
      <c r="C5490" s="7"/>
      <c r="D5490" s="7"/>
      <c r="E5490" s="7"/>
      <c r="F5490" s="7"/>
      <c r="G5490" s="7"/>
      <c r="H5490" s="7"/>
      <c r="I5490" s="7"/>
    </row>
    <row r="5491" hidden="1">
      <c r="A5491" s="7"/>
      <c r="B5491" s="7"/>
      <c r="C5491" s="7"/>
      <c r="D5491" s="7"/>
      <c r="E5491" s="7"/>
      <c r="F5491" s="7"/>
      <c r="G5491" s="7"/>
      <c r="H5491" s="7"/>
      <c r="I5491" s="7"/>
    </row>
    <row r="5492" hidden="1">
      <c r="A5492" s="7"/>
      <c r="B5492" s="7"/>
      <c r="C5492" s="7"/>
      <c r="D5492" s="7"/>
      <c r="E5492" s="7"/>
      <c r="F5492" s="7"/>
      <c r="G5492" s="7"/>
      <c r="H5492" s="7"/>
      <c r="I5492" s="7"/>
    </row>
    <row r="5493" hidden="1">
      <c r="A5493" s="7"/>
      <c r="B5493" s="7"/>
      <c r="C5493" s="7"/>
      <c r="D5493" s="7"/>
      <c r="E5493" s="7"/>
      <c r="F5493" s="7"/>
      <c r="G5493" s="7"/>
      <c r="H5493" s="7"/>
      <c r="I5493" s="7"/>
    </row>
    <row r="5494" hidden="1">
      <c r="A5494" s="7"/>
      <c r="B5494" s="7"/>
      <c r="C5494" s="7"/>
      <c r="D5494" s="7"/>
      <c r="E5494" s="7"/>
      <c r="F5494" s="7"/>
      <c r="G5494" s="7"/>
      <c r="H5494" s="7"/>
      <c r="I5494" s="7"/>
    </row>
    <row r="5495" hidden="1">
      <c r="A5495" s="7"/>
      <c r="B5495" s="7"/>
      <c r="C5495" s="7"/>
      <c r="D5495" s="7"/>
      <c r="E5495" s="7"/>
      <c r="F5495" s="7"/>
      <c r="G5495" s="7"/>
      <c r="H5495" s="7"/>
      <c r="I5495" s="7"/>
    </row>
    <row r="5496" hidden="1">
      <c r="A5496" s="7"/>
      <c r="B5496" s="7"/>
      <c r="C5496" s="7"/>
      <c r="D5496" s="7"/>
      <c r="E5496" s="7"/>
      <c r="F5496" s="7"/>
      <c r="G5496" s="7"/>
      <c r="H5496" s="7"/>
      <c r="I5496" s="7"/>
    </row>
    <row r="5497" hidden="1">
      <c r="A5497" s="7"/>
      <c r="B5497" s="7"/>
      <c r="C5497" s="7"/>
      <c r="D5497" s="7"/>
      <c r="E5497" s="7"/>
      <c r="F5497" s="7"/>
      <c r="G5497" s="7"/>
      <c r="H5497" s="7"/>
      <c r="I5497" s="7"/>
    </row>
    <row r="5498" hidden="1">
      <c r="A5498" s="7"/>
      <c r="B5498" s="7"/>
      <c r="C5498" s="7"/>
      <c r="D5498" s="7"/>
      <c r="E5498" s="7"/>
      <c r="F5498" s="7"/>
      <c r="G5498" s="7"/>
      <c r="H5498" s="7"/>
      <c r="I5498" s="7"/>
    </row>
    <row r="5499" hidden="1">
      <c r="A5499" s="7"/>
      <c r="B5499" s="7"/>
      <c r="C5499" s="7"/>
      <c r="D5499" s="7"/>
      <c r="E5499" s="7"/>
      <c r="F5499" s="7"/>
      <c r="G5499" s="7"/>
      <c r="H5499" s="7"/>
      <c r="I5499" s="7"/>
    </row>
    <row r="5500" hidden="1">
      <c r="A5500" s="7"/>
      <c r="B5500" s="7"/>
      <c r="C5500" s="7"/>
      <c r="D5500" s="7"/>
      <c r="E5500" s="7"/>
      <c r="F5500" s="7"/>
      <c r="G5500" s="7"/>
      <c r="H5500" s="7"/>
      <c r="I5500" s="7"/>
    </row>
    <row r="5501" hidden="1">
      <c r="A5501" s="7"/>
      <c r="B5501" s="7"/>
      <c r="C5501" s="7"/>
      <c r="D5501" s="7"/>
      <c r="E5501" s="7"/>
      <c r="F5501" s="7"/>
      <c r="G5501" s="7"/>
      <c r="H5501" s="7"/>
      <c r="I5501" s="7"/>
    </row>
    <row r="5502" hidden="1">
      <c r="A5502" s="7"/>
      <c r="B5502" s="7"/>
      <c r="C5502" s="7"/>
      <c r="D5502" s="7"/>
      <c r="E5502" s="7"/>
      <c r="F5502" s="7"/>
      <c r="G5502" s="7"/>
      <c r="H5502" s="7"/>
      <c r="I5502" s="7"/>
    </row>
    <row r="5503" hidden="1">
      <c r="A5503" s="7"/>
      <c r="B5503" s="7"/>
      <c r="C5503" s="7"/>
      <c r="D5503" s="7"/>
      <c r="E5503" s="7"/>
      <c r="F5503" s="7"/>
      <c r="G5503" s="7"/>
      <c r="H5503" s="7"/>
      <c r="I5503" s="7"/>
    </row>
    <row r="5504" hidden="1">
      <c r="A5504" s="7"/>
      <c r="B5504" s="7"/>
      <c r="C5504" s="7"/>
      <c r="D5504" s="7"/>
      <c r="E5504" s="7"/>
      <c r="F5504" s="7"/>
      <c r="G5504" s="7"/>
      <c r="H5504" s="7"/>
      <c r="I5504" s="7"/>
    </row>
    <row r="5505" hidden="1">
      <c r="A5505" s="7"/>
      <c r="B5505" s="7"/>
      <c r="C5505" s="7"/>
      <c r="D5505" s="7"/>
      <c r="E5505" s="7"/>
      <c r="F5505" s="7"/>
      <c r="G5505" s="7"/>
      <c r="H5505" s="7"/>
      <c r="I5505" s="7"/>
    </row>
    <row r="5506" hidden="1">
      <c r="A5506" s="7"/>
      <c r="B5506" s="7"/>
      <c r="C5506" s="7"/>
      <c r="D5506" s="7"/>
      <c r="E5506" s="7"/>
      <c r="F5506" s="7"/>
      <c r="G5506" s="7"/>
      <c r="H5506" s="7"/>
      <c r="I5506" s="7"/>
    </row>
    <row r="5507" hidden="1">
      <c r="A5507" s="7"/>
      <c r="B5507" s="7"/>
      <c r="C5507" s="7"/>
      <c r="D5507" s="7"/>
      <c r="E5507" s="7"/>
      <c r="F5507" s="7"/>
      <c r="G5507" s="7"/>
      <c r="H5507" s="7"/>
      <c r="I5507" s="7"/>
    </row>
    <row r="5508" hidden="1">
      <c r="A5508" s="7"/>
      <c r="B5508" s="7"/>
      <c r="C5508" s="7"/>
      <c r="D5508" s="7"/>
      <c r="E5508" s="7"/>
      <c r="F5508" s="7"/>
      <c r="G5508" s="7"/>
      <c r="H5508" s="7"/>
      <c r="I5508" s="7"/>
    </row>
    <row r="5509" hidden="1">
      <c r="A5509" s="7"/>
      <c r="B5509" s="7"/>
      <c r="C5509" s="7"/>
      <c r="D5509" s="7"/>
      <c r="E5509" s="7"/>
      <c r="F5509" s="7"/>
      <c r="G5509" s="7"/>
      <c r="H5509" s="7"/>
      <c r="I5509" s="7"/>
    </row>
    <row r="5510" hidden="1">
      <c r="A5510" s="7"/>
      <c r="B5510" s="7"/>
      <c r="C5510" s="7"/>
      <c r="D5510" s="7"/>
      <c r="E5510" s="7"/>
      <c r="F5510" s="7"/>
      <c r="G5510" s="7"/>
      <c r="H5510" s="7"/>
      <c r="I5510" s="7"/>
    </row>
    <row r="5511" hidden="1">
      <c r="A5511" s="7"/>
      <c r="B5511" s="7"/>
      <c r="C5511" s="7"/>
      <c r="D5511" s="7"/>
      <c r="E5511" s="7"/>
      <c r="F5511" s="7"/>
      <c r="G5511" s="7"/>
      <c r="H5511" s="7"/>
      <c r="I5511" s="7"/>
    </row>
    <row r="5512" hidden="1">
      <c r="A5512" s="7"/>
      <c r="B5512" s="7"/>
      <c r="C5512" s="7"/>
      <c r="D5512" s="7"/>
      <c r="E5512" s="7"/>
      <c r="F5512" s="7"/>
      <c r="G5512" s="7"/>
      <c r="H5512" s="7"/>
      <c r="I5512" s="7"/>
    </row>
    <row r="5513" hidden="1">
      <c r="A5513" s="7"/>
      <c r="B5513" s="7"/>
      <c r="C5513" s="7"/>
      <c r="D5513" s="7"/>
      <c r="E5513" s="7"/>
      <c r="F5513" s="7"/>
      <c r="G5513" s="7"/>
      <c r="H5513" s="7"/>
      <c r="I5513" s="7"/>
    </row>
    <row r="5514" hidden="1">
      <c r="A5514" s="7"/>
      <c r="B5514" s="7"/>
      <c r="C5514" s="7"/>
      <c r="D5514" s="7"/>
      <c r="E5514" s="7"/>
      <c r="F5514" s="7"/>
      <c r="G5514" s="7"/>
      <c r="H5514" s="7"/>
      <c r="I5514" s="7"/>
    </row>
    <row r="5515" hidden="1">
      <c r="A5515" s="7"/>
      <c r="B5515" s="7"/>
      <c r="C5515" s="7"/>
      <c r="D5515" s="7"/>
      <c r="E5515" s="7"/>
      <c r="F5515" s="7"/>
      <c r="G5515" s="7"/>
      <c r="H5515" s="7"/>
      <c r="I5515" s="7"/>
    </row>
    <row r="5516" hidden="1">
      <c r="A5516" s="7"/>
      <c r="B5516" s="7"/>
      <c r="C5516" s="7"/>
      <c r="D5516" s="7"/>
      <c r="E5516" s="7"/>
      <c r="F5516" s="7"/>
      <c r="G5516" s="7"/>
      <c r="H5516" s="7"/>
      <c r="I5516" s="7"/>
    </row>
    <row r="5517" hidden="1">
      <c r="A5517" s="7"/>
      <c r="B5517" s="7"/>
      <c r="C5517" s="7"/>
      <c r="D5517" s="7"/>
      <c r="E5517" s="7"/>
      <c r="F5517" s="7"/>
      <c r="G5517" s="7"/>
      <c r="H5517" s="7"/>
      <c r="I5517" s="7"/>
    </row>
    <row r="5518" hidden="1">
      <c r="A5518" s="7"/>
      <c r="B5518" s="7"/>
      <c r="C5518" s="7"/>
      <c r="D5518" s="7"/>
      <c r="E5518" s="7"/>
      <c r="F5518" s="7"/>
      <c r="G5518" s="7"/>
      <c r="H5518" s="7"/>
      <c r="I5518" s="7"/>
    </row>
    <row r="5519" hidden="1">
      <c r="A5519" s="7"/>
      <c r="B5519" s="7"/>
      <c r="C5519" s="7"/>
      <c r="D5519" s="7"/>
      <c r="E5519" s="7"/>
      <c r="F5519" s="7"/>
      <c r="G5519" s="7"/>
      <c r="H5519" s="7"/>
      <c r="I5519" s="7"/>
    </row>
    <row r="5520" hidden="1">
      <c r="A5520" s="7"/>
      <c r="B5520" s="7"/>
      <c r="C5520" s="7"/>
      <c r="D5520" s="7"/>
      <c r="E5520" s="7"/>
      <c r="F5520" s="7"/>
      <c r="G5520" s="7"/>
      <c r="H5520" s="7"/>
      <c r="I5520" s="7"/>
    </row>
    <row r="5521" hidden="1">
      <c r="A5521" s="7"/>
      <c r="B5521" s="7"/>
      <c r="C5521" s="7"/>
      <c r="D5521" s="7"/>
      <c r="E5521" s="7"/>
      <c r="F5521" s="7"/>
      <c r="G5521" s="7"/>
      <c r="H5521" s="7"/>
      <c r="I5521" s="7"/>
    </row>
    <row r="5522" hidden="1">
      <c r="A5522" s="7"/>
      <c r="B5522" s="7"/>
      <c r="C5522" s="7"/>
      <c r="D5522" s="7"/>
      <c r="E5522" s="7"/>
      <c r="F5522" s="7"/>
      <c r="G5522" s="7"/>
      <c r="H5522" s="7"/>
      <c r="I5522" s="7"/>
    </row>
    <row r="5523" hidden="1">
      <c r="A5523" s="7"/>
      <c r="B5523" s="7"/>
      <c r="C5523" s="7"/>
      <c r="D5523" s="7"/>
      <c r="E5523" s="7"/>
      <c r="F5523" s="7"/>
      <c r="G5523" s="7"/>
      <c r="H5523" s="7"/>
      <c r="I5523" s="7"/>
    </row>
    <row r="5524" hidden="1">
      <c r="A5524" s="7"/>
      <c r="B5524" s="7"/>
      <c r="C5524" s="7"/>
      <c r="D5524" s="7"/>
      <c r="E5524" s="7"/>
      <c r="F5524" s="7"/>
      <c r="G5524" s="7"/>
      <c r="H5524" s="7"/>
      <c r="I5524" s="7"/>
    </row>
    <row r="5525" hidden="1">
      <c r="A5525" s="7"/>
      <c r="B5525" s="7"/>
      <c r="C5525" s="7"/>
      <c r="D5525" s="7"/>
      <c r="E5525" s="7"/>
      <c r="F5525" s="7"/>
      <c r="G5525" s="7"/>
      <c r="H5525" s="7"/>
      <c r="I5525" s="7"/>
    </row>
    <row r="5526" hidden="1">
      <c r="A5526" s="7"/>
      <c r="B5526" s="7"/>
      <c r="C5526" s="7"/>
      <c r="D5526" s="7"/>
      <c r="E5526" s="7"/>
      <c r="F5526" s="7"/>
      <c r="G5526" s="7"/>
      <c r="H5526" s="7"/>
      <c r="I5526" s="7"/>
    </row>
    <row r="5527" hidden="1">
      <c r="A5527" s="7"/>
      <c r="B5527" s="7"/>
      <c r="C5527" s="7"/>
      <c r="D5527" s="7"/>
      <c r="E5527" s="7"/>
      <c r="F5527" s="7"/>
      <c r="G5527" s="7"/>
      <c r="H5527" s="7"/>
      <c r="I5527" s="7"/>
    </row>
    <row r="5528" hidden="1">
      <c r="A5528" s="7"/>
      <c r="B5528" s="7"/>
      <c r="C5528" s="7"/>
      <c r="D5528" s="7"/>
      <c r="E5528" s="7"/>
      <c r="F5528" s="7"/>
      <c r="G5528" s="7"/>
      <c r="H5528" s="7"/>
      <c r="I5528" s="7"/>
    </row>
    <row r="5529" hidden="1">
      <c r="A5529" s="7"/>
      <c r="B5529" s="7"/>
      <c r="C5529" s="7"/>
      <c r="D5529" s="7"/>
      <c r="E5529" s="7"/>
      <c r="F5529" s="7"/>
      <c r="G5529" s="7"/>
      <c r="H5529" s="7"/>
      <c r="I5529" s="7"/>
    </row>
    <row r="5530" hidden="1">
      <c r="A5530" s="7"/>
      <c r="B5530" s="7"/>
      <c r="C5530" s="7"/>
      <c r="D5530" s="7"/>
      <c r="E5530" s="7"/>
      <c r="F5530" s="7"/>
      <c r="G5530" s="7"/>
      <c r="H5530" s="7"/>
      <c r="I5530" s="7"/>
    </row>
    <row r="5531" hidden="1">
      <c r="A5531" s="7"/>
      <c r="B5531" s="7"/>
      <c r="C5531" s="7"/>
      <c r="D5531" s="7"/>
      <c r="E5531" s="7"/>
      <c r="F5531" s="7"/>
      <c r="G5531" s="7"/>
      <c r="H5531" s="7"/>
      <c r="I5531" s="7"/>
    </row>
    <row r="5532" hidden="1">
      <c r="A5532" s="7"/>
      <c r="B5532" s="7"/>
      <c r="C5532" s="7"/>
      <c r="D5532" s="7"/>
      <c r="E5532" s="7"/>
      <c r="F5532" s="7"/>
      <c r="G5532" s="7"/>
      <c r="H5532" s="7"/>
      <c r="I5532" s="7"/>
    </row>
    <row r="5533" hidden="1">
      <c r="A5533" s="7"/>
      <c r="B5533" s="7"/>
      <c r="C5533" s="7"/>
      <c r="D5533" s="7"/>
      <c r="E5533" s="7"/>
      <c r="F5533" s="7"/>
      <c r="G5533" s="7"/>
      <c r="H5533" s="7"/>
      <c r="I5533" s="7"/>
    </row>
    <row r="5534" hidden="1">
      <c r="A5534" s="7"/>
      <c r="B5534" s="7"/>
      <c r="C5534" s="7"/>
      <c r="D5534" s="7"/>
      <c r="E5534" s="7"/>
      <c r="F5534" s="7"/>
      <c r="G5534" s="7"/>
      <c r="H5534" s="7"/>
      <c r="I5534" s="7"/>
    </row>
    <row r="5535" hidden="1">
      <c r="A5535" s="7"/>
      <c r="B5535" s="7"/>
      <c r="C5535" s="7"/>
      <c r="D5535" s="7"/>
      <c r="E5535" s="7"/>
      <c r="F5535" s="7"/>
      <c r="G5535" s="7"/>
      <c r="H5535" s="7"/>
      <c r="I5535" s="7"/>
    </row>
    <row r="5536" hidden="1">
      <c r="A5536" s="7"/>
      <c r="B5536" s="7"/>
      <c r="C5536" s="7"/>
      <c r="D5536" s="7"/>
      <c r="E5536" s="7"/>
      <c r="F5536" s="7"/>
      <c r="G5536" s="7"/>
      <c r="H5536" s="7"/>
      <c r="I5536" s="7"/>
    </row>
    <row r="5537" hidden="1">
      <c r="A5537" s="7"/>
      <c r="B5537" s="7"/>
      <c r="C5537" s="7"/>
      <c r="D5537" s="7"/>
      <c r="E5537" s="7"/>
      <c r="F5537" s="7"/>
      <c r="G5537" s="7"/>
      <c r="H5537" s="7"/>
      <c r="I5537" s="7"/>
    </row>
    <row r="5538" hidden="1">
      <c r="A5538" s="7"/>
      <c r="B5538" s="7"/>
      <c r="C5538" s="7"/>
      <c r="D5538" s="7"/>
      <c r="E5538" s="7"/>
      <c r="F5538" s="7"/>
      <c r="G5538" s="7"/>
      <c r="H5538" s="7"/>
      <c r="I5538" s="7"/>
    </row>
    <row r="5539" hidden="1">
      <c r="A5539" s="7"/>
      <c r="B5539" s="7"/>
      <c r="C5539" s="7"/>
      <c r="D5539" s="7"/>
      <c r="E5539" s="7"/>
      <c r="F5539" s="7"/>
      <c r="G5539" s="7"/>
      <c r="H5539" s="7"/>
      <c r="I5539" s="7"/>
    </row>
    <row r="5540" hidden="1">
      <c r="A5540" s="7"/>
      <c r="B5540" s="7"/>
      <c r="C5540" s="7"/>
      <c r="D5540" s="7"/>
      <c r="E5540" s="7"/>
      <c r="F5540" s="7"/>
      <c r="G5540" s="7"/>
      <c r="H5540" s="7"/>
      <c r="I5540" s="7"/>
    </row>
    <row r="5541" hidden="1">
      <c r="A5541" s="7"/>
      <c r="B5541" s="7"/>
      <c r="C5541" s="7"/>
      <c r="D5541" s="7"/>
      <c r="E5541" s="7"/>
      <c r="F5541" s="7"/>
      <c r="G5541" s="7"/>
      <c r="H5541" s="7"/>
      <c r="I5541" s="7"/>
    </row>
    <row r="5542" hidden="1">
      <c r="A5542" s="7"/>
      <c r="B5542" s="7"/>
      <c r="C5542" s="7"/>
      <c r="D5542" s="7"/>
      <c r="E5542" s="7"/>
      <c r="F5542" s="7"/>
      <c r="G5542" s="7"/>
      <c r="H5542" s="7"/>
      <c r="I5542" s="7"/>
    </row>
    <row r="5543" hidden="1">
      <c r="A5543" s="7"/>
      <c r="B5543" s="7"/>
      <c r="C5543" s="7"/>
      <c r="D5543" s="7"/>
      <c r="E5543" s="7"/>
      <c r="F5543" s="7"/>
      <c r="G5543" s="7"/>
      <c r="H5543" s="7"/>
      <c r="I5543" s="7"/>
    </row>
    <row r="5544" hidden="1">
      <c r="A5544" s="7"/>
      <c r="B5544" s="7"/>
      <c r="C5544" s="7"/>
      <c r="D5544" s="7"/>
      <c r="E5544" s="7"/>
      <c r="F5544" s="7"/>
      <c r="G5544" s="7"/>
      <c r="H5544" s="7"/>
      <c r="I5544" s="7"/>
    </row>
    <row r="5545" hidden="1">
      <c r="A5545" s="7"/>
      <c r="B5545" s="7"/>
      <c r="C5545" s="7"/>
      <c r="D5545" s="7"/>
      <c r="E5545" s="7"/>
      <c r="F5545" s="7"/>
      <c r="G5545" s="7"/>
      <c r="H5545" s="7"/>
      <c r="I5545" s="7"/>
    </row>
    <row r="5546" hidden="1">
      <c r="A5546" s="7"/>
      <c r="B5546" s="7"/>
      <c r="C5546" s="7"/>
      <c r="D5546" s="7"/>
      <c r="E5546" s="7"/>
      <c r="F5546" s="7"/>
      <c r="G5546" s="7"/>
      <c r="H5546" s="7"/>
      <c r="I5546" s="7"/>
    </row>
    <row r="5547" hidden="1">
      <c r="A5547" s="7"/>
      <c r="B5547" s="7"/>
      <c r="C5547" s="7"/>
      <c r="D5547" s="7"/>
      <c r="E5547" s="7"/>
      <c r="F5547" s="7"/>
      <c r="G5547" s="7"/>
      <c r="H5547" s="7"/>
      <c r="I5547" s="7"/>
    </row>
    <row r="5548" hidden="1">
      <c r="A5548" s="7"/>
      <c r="B5548" s="7"/>
      <c r="C5548" s="7"/>
      <c r="D5548" s="7"/>
      <c r="E5548" s="7"/>
      <c r="F5548" s="7"/>
      <c r="G5548" s="7"/>
      <c r="H5548" s="7"/>
      <c r="I5548" s="7"/>
    </row>
    <row r="5549" hidden="1">
      <c r="A5549" s="7"/>
      <c r="B5549" s="7"/>
      <c r="C5549" s="7"/>
      <c r="D5549" s="7"/>
      <c r="E5549" s="7"/>
      <c r="F5549" s="7"/>
      <c r="G5549" s="7"/>
      <c r="H5549" s="7"/>
      <c r="I5549" s="7"/>
    </row>
    <row r="5550" hidden="1">
      <c r="A5550" s="7"/>
      <c r="B5550" s="7"/>
      <c r="C5550" s="7"/>
      <c r="D5550" s="7"/>
      <c r="E5550" s="7"/>
      <c r="F5550" s="7"/>
      <c r="G5550" s="7"/>
      <c r="H5550" s="7"/>
      <c r="I5550" s="7"/>
    </row>
    <row r="5551" hidden="1">
      <c r="A5551" s="7"/>
      <c r="B5551" s="7"/>
      <c r="C5551" s="7"/>
      <c r="D5551" s="7"/>
      <c r="E5551" s="7"/>
      <c r="F5551" s="7"/>
      <c r="G5551" s="7"/>
      <c r="H5551" s="7"/>
      <c r="I5551" s="7"/>
    </row>
    <row r="5552" hidden="1">
      <c r="A5552" s="7"/>
      <c r="B5552" s="7"/>
      <c r="C5552" s="7"/>
      <c r="D5552" s="7"/>
      <c r="E5552" s="7"/>
      <c r="F5552" s="7"/>
      <c r="G5552" s="7"/>
      <c r="H5552" s="7"/>
      <c r="I5552" s="7"/>
    </row>
    <row r="5553" hidden="1">
      <c r="A5553" s="7"/>
      <c r="B5553" s="7"/>
      <c r="C5553" s="7"/>
      <c r="D5553" s="7"/>
      <c r="E5553" s="7"/>
      <c r="F5553" s="7"/>
      <c r="G5553" s="7"/>
      <c r="H5553" s="7"/>
      <c r="I5553" s="7"/>
    </row>
    <row r="5554" hidden="1">
      <c r="A5554" s="7"/>
      <c r="B5554" s="7"/>
      <c r="C5554" s="7"/>
      <c r="D5554" s="7"/>
      <c r="E5554" s="7"/>
      <c r="F5554" s="7"/>
      <c r="G5554" s="7"/>
      <c r="H5554" s="7"/>
      <c r="I5554" s="7"/>
    </row>
    <row r="5555" hidden="1">
      <c r="A5555" s="7"/>
      <c r="B5555" s="7"/>
      <c r="C5555" s="7"/>
      <c r="D5555" s="7"/>
      <c r="E5555" s="7"/>
      <c r="F5555" s="7"/>
      <c r="G5555" s="7"/>
      <c r="H5555" s="7"/>
      <c r="I5555" s="7"/>
    </row>
    <row r="5556" hidden="1">
      <c r="A5556" s="7"/>
      <c r="B5556" s="7"/>
      <c r="C5556" s="7"/>
      <c r="D5556" s="7"/>
      <c r="E5556" s="7"/>
      <c r="F5556" s="7"/>
      <c r="G5556" s="7"/>
      <c r="H5556" s="7"/>
      <c r="I5556" s="7"/>
    </row>
    <row r="5557" hidden="1">
      <c r="A5557" s="7"/>
      <c r="B5557" s="7"/>
      <c r="C5557" s="7"/>
      <c r="D5557" s="7"/>
      <c r="E5557" s="7"/>
      <c r="F5557" s="7"/>
      <c r="G5557" s="7"/>
      <c r="H5557" s="7"/>
      <c r="I5557" s="7"/>
    </row>
    <row r="5558" hidden="1">
      <c r="A5558" s="7"/>
      <c r="B5558" s="7"/>
      <c r="C5558" s="7"/>
      <c r="D5558" s="7"/>
      <c r="E5558" s="7"/>
      <c r="F5558" s="7"/>
      <c r="G5558" s="7"/>
      <c r="H5558" s="7"/>
      <c r="I5558" s="7"/>
    </row>
    <row r="5559" hidden="1">
      <c r="A5559" s="7"/>
      <c r="B5559" s="7"/>
      <c r="C5559" s="7"/>
      <c r="D5559" s="7"/>
      <c r="E5559" s="7"/>
      <c r="F5559" s="7"/>
      <c r="G5559" s="7"/>
      <c r="H5559" s="7"/>
      <c r="I5559" s="7"/>
    </row>
    <row r="5560" hidden="1">
      <c r="A5560" s="7"/>
      <c r="B5560" s="7"/>
      <c r="C5560" s="7"/>
      <c r="D5560" s="7"/>
      <c r="E5560" s="7"/>
      <c r="F5560" s="7"/>
      <c r="G5560" s="7"/>
      <c r="H5560" s="7"/>
      <c r="I5560" s="7"/>
    </row>
    <row r="5561" hidden="1">
      <c r="A5561" s="7"/>
      <c r="B5561" s="7"/>
      <c r="C5561" s="7"/>
      <c r="D5561" s="7"/>
      <c r="E5561" s="7"/>
      <c r="F5561" s="7"/>
      <c r="G5561" s="7"/>
      <c r="H5561" s="7"/>
      <c r="I5561" s="7"/>
    </row>
    <row r="5562" hidden="1">
      <c r="A5562" s="7"/>
      <c r="B5562" s="7"/>
      <c r="C5562" s="7"/>
      <c r="D5562" s="7"/>
      <c r="E5562" s="7"/>
      <c r="F5562" s="7"/>
      <c r="G5562" s="7"/>
      <c r="H5562" s="7"/>
      <c r="I5562" s="7"/>
    </row>
    <row r="5563" hidden="1">
      <c r="A5563" s="7"/>
      <c r="B5563" s="7"/>
      <c r="C5563" s="7"/>
      <c r="D5563" s="7"/>
      <c r="E5563" s="7"/>
      <c r="F5563" s="7"/>
      <c r="G5563" s="7"/>
      <c r="H5563" s="7"/>
      <c r="I5563" s="7"/>
    </row>
    <row r="5564" hidden="1">
      <c r="A5564" s="7"/>
      <c r="B5564" s="7"/>
      <c r="C5564" s="7"/>
      <c r="D5564" s="7"/>
      <c r="E5564" s="7"/>
      <c r="F5564" s="7"/>
      <c r="G5564" s="7"/>
      <c r="H5564" s="7"/>
      <c r="I5564" s="7"/>
    </row>
    <row r="5565" hidden="1">
      <c r="A5565" s="7"/>
      <c r="B5565" s="7"/>
      <c r="C5565" s="7"/>
      <c r="D5565" s="7"/>
      <c r="E5565" s="7"/>
      <c r="F5565" s="7"/>
      <c r="G5565" s="7"/>
      <c r="H5565" s="7"/>
      <c r="I5565" s="7"/>
    </row>
    <row r="5566" hidden="1">
      <c r="A5566" s="7"/>
      <c r="B5566" s="7"/>
      <c r="C5566" s="7"/>
      <c r="D5566" s="7"/>
      <c r="E5566" s="7"/>
      <c r="F5566" s="7"/>
      <c r="G5566" s="7"/>
      <c r="H5566" s="7"/>
      <c r="I5566" s="7"/>
    </row>
    <row r="5567" hidden="1">
      <c r="A5567" s="7"/>
      <c r="B5567" s="7"/>
      <c r="C5567" s="7"/>
      <c r="D5567" s="7"/>
      <c r="E5567" s="7"/>
      <c r="F5567" s="7"/>
      <c r="G5567" s="7"/>
      <c r="H5567" s="7"/>
      <c r="I5567" s="7"/>
    </row>
    <row r="5568" hidden="1">
      <c r="A5568" s="7"/>
      <c r="B5568" s="7"/>
      <c r="C5568" s="7"/>
      <c r="D5568" s="7"/>
      <c r="E5568" s="7"/>
      <c r="F5568" s="7"/>
      <c r="G5568" s="7"/>
      <c r="H5568" s="7"/>
      <c r="I5568" s="7"/>
    </row>
    <row r="5569" hidden="1">
      <c r="A5569" s="7"/>
      <c r="B5569" s="7"/>
      <c r="C5569" s="7"/>
      <c r="D5569" s="7"/>
      <c r="E5569" s="7"/>
      <c r="F5569" s="7"/>
      <c r="G5569" s="7"/>
      <c r="H5569" s="7"/>
      <c r="I5569" s="7"/>
    </row>
    <row r="5570" hidden="1">
      <c r="A5570" s="7"/>
      <c r="B5570" s="7"/>
      <c r="C5570" s="7"/>
      <c r="D5570" s="7"/>
      <c r="E5570" s="7"/>
      <c r="F5570" s="7"/>
      <c r="G5570" s="7"/>
      <c r="H5570" s="7"/>
      <c r="I5570" s="7"/>
    </row>
    <row r="5571" hidden="1">
      <c r="A5571" s="7"/>
      <c r="B5571" s="7"/>
      <c r="C5571" s="7"/>
      <c r="D5571" s="7"/>
      <c r="E5571" s="7"/>
      <c r="F5571" s="7"/>
      <c r="G5571" s="7"/>
      <c r="H5571" s="7"/>
      <c r="I5571" s="7"/>
    </row>
    <row r="5572" hidden="1">
      <c r="A5572" s="7"/>
      <c r="B5572" s="7"/>
      <c r="C5572" s="7"/>
      <c r="D5572" s="7"/>
      <c r="E5572" s="7"/>
      <c r="F5572" s="7"/>
      <c r="G5572" s="7"/>
      <c r="H5572" s="7"/>
      <c r="I5572" s="7"/>
    </row>
    <row r="5573" hidden="1">
      <c r="A5573" s="7"/>
      <c r="B5573" s="7"/>
      <c r="C5573" s="7"/>
      <c r="D5573" s="7"/>
      <c r="E5573" s="7"/>
      <c r="F5573" s="7"/>
      <c r="G5573" s="7"/>
      <c r="H5573" s="7"/>
      <c r="I5573" s="7"/>
    </row>
    <row r="5574" hidden="1">
      <c r="A5574" s="7"/>
      <c r="B5574" s="7"/>
      <c r="C5574" s="7"/>
      <c r="D5574" s="7"/>
      <c r="E5574" s="7"/>
      <c r="F5574" s="7"/>
      <c r="G5574" s="7"/>
      <c r="H5574" s="7"/>
      <c r="I5574" s="7"/>
    </row>
    <row r="5575" hidden="1">
      <c r="A5575" s="7"/>
      <c r="B5575" s="7"/>
      <c r="C5575" s="7"/>
      <c r="D5575" s="7"/>
      <c r="E5575" s="7"/>
      <c r="F5575" s="7"/>
      <c r="G5575" s="7"/>
      <c r="H5575" s="7"/>
      <c r="I5575" s="7"/>
    </row>
    <row r="5576" hidden="1">
      <c r="A5576" s="7"/>
      <c r="B5576" s="7"/>
      <c r="C5576" s="7"/>
      <c r="D5576" s="7"/>
      <c r="E5576" s="7"/>
      <c r="F5576" s="7"/>
      <c r="G5576" s="7"/>
      <c r="H5576" s="7"/>
      <c r="I5576" s="7"/>
    </row>
    <row r="5577" hidden="1">
      <c r="A5577" s="7"/>
      <c r="B5577" s="7"/>
      <c r="C5577" s="7"/>
      <c r="D5577" s="7"/>
      <c r="E5577" s="7"/>
      <c r="F5577" s="7"/>
      <c r="G5577" s="7"/>
      <c r="H5577" s="7"/>
      <c r="I5577" s="7"/>
    </row>
    <row r="5578" hidden="1">
      <c r="A5578" s="7"/>
      <c r="B5578" s="7"/>
      <c r="C5578" s="7"/>
      <c r="D5578" s="7"/>
      <c r="E5578" s="7"/>
      <c r="F5578" s="7"/>
      <c r="G5578" s="7"/>
      <c r="H5578" s="7"/>
      <c r="I5578" s="7"/>
    </row>
    <row r="5579" hidden="1">
      <c r="A5579" s="7"/>
      <c r="B5579" s="7"/>
      <c r="C5579" s="7"/>
      <c r="D5579" s="7"/>
      <c r="E5579" s="7"/>
      <c r="F5579" s="7"/>
      <c r="G5579" s="7"/>
      <c r="H5579" s="7"/>
      <c r="I5579" s="7"/>
    </row>
    <row r="5580" hidden="1">
      <c r="A5580" s="7"/>
      <c r="B5580" s="7"/>
      <c r="C5580" s="7"/>
      <c r="D5580" s="7"/>
      <c r="E5580" s="7"/>
      <c r="F5580" s="7"/>
      <c r="G5580" s="7"/>
      <c r="H5580" s="7"/>
      <c r="I5580" s="7"/>
    </row>
    <row r="5581" hidden="1">
      <c r="A5581" s="7"/>
      <c r="B5581" s="7"/>
      <c r="C5581" s="7"/>
      <c r="D5581" s="7"/>
      <c r="E5581" s="7"/>
      <c r="F5581" s="7"/>
      <c r="G5581" s="7"/>
      <c r="H5581" s="7"/>
      <c r="I5581" s="7"/>
    </row>
    <row r="5582" hidden="1">
      <c r="A5582" s="7"/>
      <c r="B5582" s="7"/>
      <c r="C5582" s="7"/>
      <c r="D5582" s="7"/>
      <c r="E5582" s="7"/>
      <c r="F5582" s="7"/>
      <c r="G5582" s="7"/>
      <c r="H5582" s="7"/>
      <c r="I5582" s="7"/>
    </row>
    <row r="5583" hidden="1">
      <c r="A5583" s="7"/>
      <c r="B5583" s="7"/>
      <c r="C5583" s="7"/>
      <c r="D5583" s="7"/>
      <c r="E5583" s="7"/>
      <c r="F5583" s="7"/>
      <c r="G5583" s="7"/>
      <c r="H5583" s="7"/>
      <c r="I5583" s="7"/>
    </row>
    <row r="5584" hidden="1">
      <c r="A5584" s="7"/>
      <c r="B5584" s="7"/>
      <c r="C5584" s="7"/>
      <c r="D5584" s="7"/>
      <c r="E5584" s="7"/>
      <c r="F5584" s="7"/>
      <c r="G5584" s="7"/>
      <c r="H5584" s="7"/>
      <c r="I5584" s="7"/>
    </row>
    <row r="5585" hidden="1">
      <c r="A5585" s="7"/>
      <c r="B5585" s="7"/>
      <c r="C5585" s="7"/>
      <c r="D5585" s="7"/>
      <c r="E5585" s="7"/>
      <c r="F5585" s="7"/>
      <c r="G5585" s="7"/>
      <c r="H5585" s="7"/>
      <c r="I5585" s="7"/>
    </row>
    <row r="5586" hidden="1">
      <c r="A5586" s="7"/>
      <c r="B5586" s="7"/>
      <c r="C5586" s="7"/>
      <c r="D5586" s="7"/>
      <c r="E5586" s="7"/>
      <c r="F5586" s="7"/>
      <c r="G5586" s="7"/>
      <c r="H5586" s="7"/>
      <c r="I5586" s="7"/>
    </row>
    <row r="5587" hidden="1">
      <c r="A5587" s="7"/>
      <c r="B5587" s="7"/>
      <c r="C5587" s="7"/>
      <c r="D5587" s="7"/>
      <c r="E5587" s="7"/>
      <c r="F5587" s="7"/>
      <c r="G5587" s="7"/>
      <c r="H5587" s="7"/>
      <c r="I5587" s="7"/>
    </row>
    <row r="5588" hidden="1">
      <c r="A5588" s="7"/>
      <c r="B5588" s="7"/>
      <c r="C5588" s="7"/>
      <c r="D5588" s="7"/>
      <c r="E5588" s="7"/>
      <c r="F5588" s="7"/>
      <c r="G5588" s="7"/>
      <c r="H5588" s="7"/>
      <c r="I5588" s="7"/>
    </row>
    <row r="5589" hidden="1">
      <c r="A5589" s="7"/>
      <c r="B5589" s="7"/>
      <c r="C5589" s="7"/>
      <c r="D5589" s="7"/>
      <c r="E5589" s="7"/>
      <c r="F5589" s="7"/>
      <c r="G5589" s="7"/>
      <c r="H5589" s="7"/>
      <c r="I5589" s="7"/>
    </row>
    <row r="5590" hidden="1">
      <c r="A5590" s="7"/>
      <c r="B5590" s="7"/>
      <c r="C5590" s="7"/>
      <c r="D5590" s="7"/>
      <c r="E5590" s="7"/>
      <c r="F5590" s="7"/>
      <c r="G5590" s="7"/>
      <c r="H5590" s="7"/>
      <c r="I5590" s="7"/>
    </row>
    <row r="5591" hidden="1">
      <c r="A5591" s="7"/>
      <c r="B5591" s="7"/>
      <c r="C5591" s="7"/>
      <c r="D5591" s="7"/>
      <c r="E5591" s="7"/>
      <c r="F5591" s="7"/>
      <c r="G5591" s="7"/>
      <c r="H5591" s="7"/>
      <c r="I5591" s="7"/>
    </row>
    <row r="5592" hidden="1">
      <c r="A5592" s="7"/>
      <c r="B5592" s="7"/>
      <c r="C5592" s="7"/>
      <c r="D5592" s="7"/>
      <c r="E5592" s="7"/>
      <c r="F5592" s="7"/>
      <c r="G5592" s="7"/>
      <c r="H5592" s="7"/>
      <c r="I5592" s="7"/>
    </row>
    <row r="5593" hidden="1">
      <c r="A5593" s="7"/>
      <c r="B5593" s="7"/>
      <c r="C5593" s="7"/>
      <c r="D5593" s="7"/>
      <c r="E5593" s="7"/>
      <c r="F5593" s="7"/>
      <c r="G5593" s="7"/>
      <c r="H5593" s="7"/>
      <c r="I5593" s="7"/>
    </row>
    <row r="5594" hidden="1">
      <c r="A5594" s="7"/>
      <c r="B5594" s="7"/>
      <c r="C5594" s="7"/>
      <c r="D5594" s="7"/>
      <c r="E5594" s="7"/>
      <c r="F5594" s="7"/>
      <c r="G5594" s="7"/>
      <c r="H5594" s="7"/>
      <c r="I5594" s="7"/>
    </row>
    <row r="5595" hidden="1">
      <c r="A5595" s="7"/>
      <c r="B5595" s="7"/>
      <c r="C5595" s="7"/>
      <c r="D5595" s="7"/>
      <c r="E5595" s="7"/>
      <c r="F5595" s="7"/>
      <c r="G5595" s="7"/>
      <c r="H5595" s="7"/>
      <c r="I5595" s="7"/>
    </row>
    <row r="5596" hidden="1">
      <c r="A5596" s="7"/>
      <c r="B5596" s="7"/>
      <c r="C5596" s="7"/>
      <c r="D5596" s="7"/>
      <c r="E5596" s="7"/>
      <c r="F5596" s="7"/>
      <c r="G5596" s="7"/>
      <c r="H5596" s="7"/>
      <c r="I5596" s="7"/>
    </row>
    <row r="5597" hidden="1">
      <c r="A5597" s="7"/>
      <c r="B5597" s="7"/>
      <c r="C5597" s="7"/>
      <c r="D5597" s="7"/>
      <c r="E5597" s="7"/>
      <c r="F5597" s="7"/>
      <c r="G5597" s="7"/>
      <c r="H5597" s="7"/>
      <c r="I5597" s="7"/>
    </row>
    <row r="5598" hidden="1">
      <c r="A5598" s="7"/>
      <c r="B5598" s="7"/>
      <c r="C5598" s="7"/>
      <c r="D5598" s="7"/>
      <c r="E5598" s="7"/>
      <c r="F5598" s="7"/>
      <c r="G5598" s="7"/>
      <c r="H5598" s="7"/>
      <c r="I5598" s="7"/>
    </row>
    <row r="5599" hidden="1">
      <c r="A5599" s="7"/>
      <c r="B5599" s="7"/>
      <c r="C5599" s="7"/>
      <c r="D5599" s="7"/>
      <c r="E5599" s="7"/>
      <c r="F5599" s="7"/>
      <c r="G5599" s="7"/>
      <c r="H5599" s="7"/>
      <c r="I5599" s="7"/>
    </row>
    <row r="5600" hidden="1">
      <c r="A5600" s="7"/>
      <c r="B5600" s="7"/>
      <c r="C5600" s="7"/>
      <c r="D5600" s="7"/>
      <c r="E5600" s="7"/>
      <c r="F5600" s="7"/>
      <c r="G5600" s="7"/>
      <c r="H5600" s="7"/>
      <c r="I5600" s="7"/>
    </row>
    <row r="5601" hidden="1">
      <c r="A5601" s="7"/>
      <c r="B5601" s="7"/>
      <c r="C5601" s="7"/>
      <c r="D5601" s="7"/>
      <c r="E5601" s="7"/>
      <c r="F5601" s="7"/>
      <c r="G5601" s="7"/>
      <c r="H5601" s="7"/>
      <c r="I5601" s="7"/>
    </row>
    <row r="5602" hidden="1">
      <c r="A5602" s="7"/>
      <c r="B5602" s="7"/>
      <c r="C5602" s="7"/>
      <c r="D5602" s="7"/>
      <c r="E5602" s="7"/>
      <c r="F5602" s="7"/>
      <c r="G5602" s="7"/>
      <c r="H5602" s="7"/>
      <c r="I5602" s="7"/>
    </row>
    <row r="5603" hidden="1">
      <c r="A5603" s="7"/>
      <c r="B5603" s="7"/>
      <c r="C5603" s="7"/>
      <c r="D5603" s="7"/>
      <c r="E5603" s="7"/>
      <c r="F5603" s="7"/>
      <c r="G5603" s="7"/>
      <c r="H5603" s="7"/>
      <c r="I5603" s="7"/>
    </row>
    <row r="5604" hidden="1">
      <c r="A5604" s="7"/>
      <c r="B5604" s="7"/>
      <c r="C5604" s="7"/>
      <c r="D5604" s="7"/>
      <c r="E5604" s="7"/>
      <c r="F5604" s="7"/>
      <c r="G5604" s="7"/>
      <c r="H5604" s="7"/>
      <c r="I5604" s="7"/>
    </row>
    <row r="5605" hidden="1">
      <c r="A5605" s="7"/>
      <c r="B5605" s="7"/>
      <c r="C5605" s="7"/>
      <c r="D5605" s="7"/>
      <c r="E5605" s="7"/>
      <c r="F5605" s="7"/>
      <c r="G5605" s="7"/>
      <c r="H5605" s="7"/>
      <c r="I5605" s="7"/>
    </row>
    <row r="5606" hidden="1">
      <c r="A5606" s="7"/>
      <c r="B5606" s="7"/>
      <c r="C5606" s="7"/>
      <c r="D5606" s="7"/>
      <c r="E5606" s="7"/>
      <c r="F5606" s="7"/>
      <c r="G5606" s="7"/>
      <c r="H5606" s="7"/>
      <c r="I5606" s="7"/>
    </row>
    <row r="5607" hidden="1">
      <c r="A5607" s="7"/>
      <c r="B5607" s="7"/>
      <c r="C5607" s="7"/>
      <c r="D5607" s="7"/>
      <c r="E5607" s="7"/>
      <c r="F5607" s="7"/>
      <c r="G5607" s="7"/>
      <c r="H5607" s="7"/>
      <c r="I5607" s="7"/>
    </row>
    <row r="5608" hidden="1">
      <c r="A5608" s="7"/>
      <c r="B5608" s="7"/>
      <c r="C5608" s="7"/>
      <c r="D5608" s="7"/>
      <c r="E5608" s="7"/>
      <c r="F5608" s="7"/>
      <c r="G5608" s="7"/>
      <c r="H5608" s="7"/>
      <c r="I5608" s="7"/>
    </row>
    <row r="5609" hidden="1">
      <c r="A5609" s="7"/>
      <c r="B5609" s="7"/>
      <c r="C5609" s="7"/>
      <c r="D5609" s="7"/>
      <c r="E5609" s="7"/>
      <c r="F5609" s="7"/>
      <c r="G5609" s="7"/>
      <c r="H5609" s="7"/>
      <c r="I5609" s="7"/>
    </row>
    <row r="5610" hidden="1">
      <c r="A5610" s="7"/>
      <c r="B5610" s="7"/>
      <c r="C5610" s="7"/>
      <c r="D5610" s="7"/>
      <c r="E5610" s="7"/>
      <c r="F5610" s="7"/>
      <c r="G5610" s="7"/>
      <c r="H5610" s="7"/>
      <c r="I5610" s="7"/>
    </row>
    <row r="5611" hidden="1">
      <c r="A5611" s="7"/>
      <c r="B5611" s="7"/>
      <c r="C5611" s="7"/>
      <c r="D5611" s="7"/>
      <c r="E5611" s="7"/>
      <c r="F5611" s="7"/>
      <c r="G5611" s="7"/>
      <c r="H5611" s="7"/>
      <c r="I5611" s="7"/>
    </row>
    <row r="5612" hidden="1">
      <c r="A5612" s="7"/>
      <c r="B5612" s="7"/>
      <c r="C5612" s="7"/>
      <c r="D5612" s="7"/>
      <c r="E5612" s="7"/>
      <c r="F5612" s="7"/>
      <c r="G5612" s="7"/>
      <c r="H5612" s="7"/>
      <c r="I5612" s="7"/>
    </row>
    <row r="5613" hidden="1">
      <c r="A5613" s="7"/>
      <c r="B5613" s="7"/>
      <c r="C5613" s="7"/>
      <c r="D5613" s="7"/>
      <c r="E5613" s="7"/>
      <c r="F5613" s="7"/>
      <c r="G5613" s="7"/>
      <c r="H5613" s="7"/>
      <c r="I5613" s="7"/>
    </row>
    <row r="5614" hidden="1">
      <c r="A5614" s="7"/>
      <c r="B5614" s="7"/>
      <c r="C5614" s="7"/>
      <c r="D5614" s="7"/>
      <c r="E5614" s="7"/>
      <c r="F5614" s="7"/>
      <c r="G5614" s="7"/>
      <c r="H5614" s="7"/>
      <c r="I5614" s="7"/>
    </row>
    <row r="5615" hidden="1">
      <c r="A5615" s="7"/>
      <c r="B5615" s="7"/>
      <c r="C5615" s="7"/>
      <c r="D5615" s="7"/>
      <c r="E5615" s="7"/>
      <c r="F5615" s="7"/>
      <c r="G5615" s="7"/>
      <c r="H5615" s="7"/>
      <c r="I5615" s="7"/>
    </row>
    <row r="5616" hidden="1">
      <c r="A5616" s="7"/>
      <c r="B5616" s="7"/>
      <c r="C5616" s="7"/>
      <c r="D5616" s="7"/>
      <c r="E5616" s="7"/>
      <c r="F5616" s="7"/>
      <c r="G5616" s="7"/>
      <c r="H5616" s="7"/>
      <c r="I5616" s="7"/>
    </row>
    <row r="5617" hidden="1">
      <c r="A5617" s="7"/>
      <c r="B5617" s="7"/>
      <c r="C5617" s="7"/>
      <c r="D5617" s="7"/>
      <c r="E5617" s="7"/>
      <c r="F5617" s="7"/>
      <c r="G5617" s="7"/>
      <c r="H5617" s="7"/>
      <c r="I5617" s="7"/>
    </row>
    <row r="5618" hidden="1">
      <c r="A5618" s="7"/>
      <c r="B5618" s="7"/>
      <c r="C5618" s="7"/>
      <c r="D5618" s="7"/>
      <c r="E5618" s="7"/>
      <c r="F5618" s="7"/>
      <c r="G5618" s="7"/>
      <c r="H5618" s="7"/>
      <c r="I5618" s="7"/>
    </row>
    <row r="5619" hidden="1">
      <c r="A5619" s="7"/>
      <c r="B5619" s="7"/>
      <c r="C5619" s="7"/>
      <c r="D5619" s="7"/>
      <c r="E5619" s="7"/>
      <c r="F5619" s="7"/>
      <c r="G5619" s="7"/>
      <c r="H5619" s="7"/>
      <c r="I5619" s="7"/>
    </row>
    <row r="5620" hidden="1">
      <c r="A5620" s="7"/>
      <c r="B5620" s="7"/>
      <c r="C5620" s="7"/>
      <c r="D5620" s="7"/>
      <c r="E5620" s="7"/>
      <c r="F5620" s="7"/>
      <c r="G5620" s="7"/>
      <c r="H5620" s="7"/>
      <c r="I5620" s="7"/>
    </row>
    <row r="5621" hidden="1">
      <c r="A5621" s="7"/>
      <c r="B5621" s="7"/>
      <c r="C5621" s="7"/>
      <c r="D5621" s="7"/>
      <c r="E5621" s="7"/>
      <c r="F5621" s="7"/>
      <c r="G5621" s="7"/>
      <c r="H5621" s="7"/>
      <c r="I5621" s="7"/>
    </row>
    <row r="5622" hidden="1">
      <c r="A5622" s="7"/>
      <c r="B5622" s="7"/>
      <c r="C5622" s="7"/>
      <c r="D5622" s="7"/>
      <c r="E5622" s="7"/>
      <c r="F5622" s="7"/>
      <c r="G5622" s="7"/>
      <c r="H5622" s="7"/>
      <c r="I5622" s="7"/>
    </row>
    <row r="5623" hidden="1">
      <c r="A5623" s="7"/>
      <c r="B5623" s="7"/>
      <c r="C5623" s="7"/>
      <c r="D5623" s="7"/>
      <c r="E5623" s="7"/>
      <c r="F5623" s="7"/>
      <c r="G5623" s="7"/>
      <c r="H5623" s="7"/>
      <c r="I5623" s="7"/>
    </row>
    <row r="5624" hidden="1">
      <c r="A5624" s="7"/>
      <c r="B5624" s="7"/>
      <c r="C5624" s="7"/>
      <c r="D5624" s="7"/>
      <c r="E5624" s="7"/>
      <c r="F5624" s="7"/>
      <c r="G5624" s="7"/>
      <c r="H5624" s="7"/>
      <c r="I5624" s="7"/>
    </row>
    <row r="5625" hidden="1">
      <c r="A5625" s="7"/>
      <c r="B5625" s="7"/>
      <c r="C5625" s="7"/>
      <c r="D5625" s="7"/>
      <c r="E5625" s="7"/>
      <c r="F5625" s="7"/>
      <c r="G5625" s="7"/>
      <c r="H5625" s="7"/>
      <c r="I5625" s="7"/>
    </row>
    <row r="5626" hidden="1">
      <c r="A5626" s="7"/>
      <c r="B5626" s="7"/>
      <c r="C5626" s="7"/>
      <c r="D5626" s="7"/>
      <c r="E5626" s="7"/>
      <c r="F5626" s="7"/>
      <c r="G5626" s="7"/>
      <c r="H5626" s="7"/>
      <c r="I5626" s="7"/>
    </row>
    <row r="5627" hidden="1">
      <c r="A5627" s="7"/>
      <c r="B5627" s="7"/>
      <c r="C5627" s="7"/>
      <c r="D5627" s="7"/>
      <c r="E5627" s="7"/>
      <c r="F5627" s="7"/>
      <c r="G5627" s="7"/>
      <c r="H5627" s="7"/>
      <c r="I5627" s="7"/>
    </row>
    <row r="5628" hidden="1">
      <c r="A5628" s="7"/>
      <c r="B5628" s="7"/>
      <c r="C5628" s="7"/>
      <c r="D5628" s="7"/>
      <c r="E5628" s="7"/>
      <c r="F5628" s="7"/>
      <c r="G5628" s="7"/>
      <c r="H5628" s="7"/>
      <c r="I5628" s="7"/>
    </row>
    <row r="5629" hidden="1">
      <c r="A5629" s="7"/>
      <c r="B5629" s="7"/>
      <c r="C5629" s="7"/>
      <c r="D5629" s="7"/>
      <c r="E5629" s="7"/>
      <c r="F5629" s="7"/>
      <c r="G5629" s="7"/>
      <c r="H5629" s="7"/>
      <c r="I5629" s="7"/>
    </row>
    <row r="5630" hidden="1">
      <c r="A5630" s="7"/>
      <c r="B5630" s="7"/>
      <c r="C5630" s="7"/>
      <c r="D5630" s="7"/>
      <c r="E5630" s="7"/>
      <c r="F5630" s="7"/>
      <c r="G5630" s="7"/>
      <c r="H5630" s="7"/>
      <c r="I5630" s="7"/>
    </row>
    <row r="5631" hidden="1">
      <c r="A5631" s="7"/>
      <c r="B5631" s="7"/>
      <c r="C5631" s="7"/>
      <c r="D5631" s="7"/>
      <c r="E5631" s="7"/>
      <c r="F5631" s="7"/>
      <c r="G5631" s="7"/>
      <c r="H5631" s="7"/>
      <c r="I5631" s="7"/>
    </row>
    <row r="5632" hidden="1">
      <c r="A5632" s="7"/>
      <c r="B5632" s="7"/>
      <c r="C5632" s="7"/>
      <c r="D5632" s="7"/>
      <c r="E5632" s="7"/>
      <c r="F5632" s="7"/>
      <c r="G5632" s="7"/>
      <c r="H5632" s="7"/>
      <c r="I5632" s="7"/>
    </row>
    <row r="5633" hidden="1">
      <c r="A5633" s="7"/>
      <c r="B5633" s="7"/>
      <c r="C5633" s="7"/>
      <c r="D5633" s="7"/>
      <c r="E5633" s="7"/>
      <c r="F5633" s="7"/>
      <c r="G5633" s="7"/>
      <c r="H5633" s="7"/>
      <c r="I5633" s="7"/>
    </row>
    <row r="5634" hidden="1">
      <c r="A5634" s="7"/>
      <c r="B5634" s="7"/>
      <c r="C5634" s="7"/>
      <c r="D5634" s="7"/>
      <c r="E5634" s="7"/>
      <c r="F5634" s="7"/>
      <c r="G5634" s="7"/>
      <c r="H5634" s="7"/>
      <c r="I5634" s="7"/>
    </row>
    <row r="5635" hidden="1">
      <c r="A5635" s="7"/>
      <c r="B5635" s="7"/>
      <c r="C5635" s="7"/>
      <c r="D5635" s="7"/>
      <c r="E5635" s="7"/>
      <c r="F5635" s="7"/>
      <c r="G5635" s="7"/>
      <c r="H5635" s="7"/>
      <c r="I5635" s="7"/>
    </row>
    <row r="5636" hidden="1">
      <c r="A5636" s="7"/>
      <c r="B5636" s="7"/>
      <c r="C5636" s="7"/>
      <c r="D5636" s="7"/>
      <c r="E5636" s="7"/>
      <c r="F5636" s="7"/>
      <c r="G5636" s="7"/>
      <c r="H5636" s="7"/>
      <c r="I5636" s="7"/>
    </row>
    <row r="5637" hidden="1">
      <c r="A5637" s="7"/>
      <c r="B5637" s="7"/>
      <c r="C5637" s="7"/>
      <c r="D5637" s="7"/>
      <c r="E5637" s="7"/>
      <c r="F5637" s="7"/>
      <c r="G5637" s="7"/>
      <c r="H5637" s="7"/>
      <c r="I5637" s="7"/>
    </row>
    <row r="5638" hidden="1">
      <c r="A5638" s="7"/>
      <c r="B5638" s="7"/>
      <c r="C5638" s="7"/>
      <c r="D5638" s="7"/>
      <c r="E5638" s="7"/>
      <c r="F5638" s="7"/>
      <c r="G5638" s="7"/>
      <c r="H5638" s="7"/>
      <c r="I5638" s="7"/>
    </row>
    <row r="5639" hidden="1">
      <c r="A5639" s="7"/>
      <c r="B5639" s="7"/>
      <c r="C5639" s="7"/>
      <c r="D5639" s="7"/>
      <c r="E5639" s="7"/>
      <c r="F5639" s="7"/>
      <c r="G5639" s="7"/>
      <c r="H5639" s="7"/>
      <c r="I5639" s="7"/>
    </row>
    <row r="5640" hidden="1">
      <c r="A5640" s="7"/>
      <c r="B5640" s="7"/>
      <c r="C5640" s="7"/>
      <c r="D5640" s="7"/>
      <c r="E5640" s="7"/>
      <c r="F5640" s="7"/>
      <c r="G5640" s="7"/>
      <c r="H5640" s="7"/>
      <c r="I5640" s="7"/>
    </row>
    <row r="5641" hidden="1">
      <c r="A5641" s="7"/>
      <c r="B5641" s="7"/>
      <c r="C5641" s="7"/>
      <c r="D5641" s="7"/>
      <c r="E5641" s="7"/>
      <c r="F5641" s="7"/>
      <c r="G5641" s="7"/>
      <c r="H5641" s="7"/>
      <c r="I5641" s="7"/>
    </row>
    <row r="5642" hidden="1">
      <c r="A5642" s="7"/>
      <c r="B5642" s="7"/>
      <c r="C5642" s="7"/>
      <c r="D5642" s="7"/>
      <c r="E5642" s="7"/>
      <c r="F5642" s="7"/>
      <c r="G5642" s="7"/>
      <c r="H5642" s="7"/>
      <c r="I5642" s="7"/>
    </row>
    <row r="5643" hidden="1">
      <c r="A5643" s="7"/>
      <c r="B5643" s="7"/>
      <c r="C5643" s="7"/>
      <c r="D5643" s="7"/>
      <c r="E5643" s="7"/>
      <c r="F5643" s="7"/>
      <c r="G5643" s="7"/>
      <c r="H5643" s="7"/>
      <c r="I5643" s="7"/>
    </row>
    <row r="5644" hidden="1">
      <c r="A5644" s="7"/>
      <c r="B5644" s="7"/>
      <c r="C5644" s="7"/>
      <c r="D5644" s="7"/>
      <c r="E5644" s="7"/>
      <c r="F5644" s="7"/>
      <c r="G5644" s="7"/>
      <c r="H5644" s="7"/>
      <c r="I5644" s="7"/>
    </row>
    <row r="5645" hidden="1">
      <c r="A5645" s="7"/>
      <c r="B5645" s="7"/>
      <c r="C5645" s="7"/>
      <c r="D5645" s="7"/>
      <c r="E5645" s="7"/>
      <c r="F5645" s="7"/>
      <c r="G5645" s="7"/>
      <c r="H5645" s="7"/>
      <c r="I5645" s="7"/>
    </row>
    <row r="5646" hidden="1">
      <c r="A5646" s="7"/>
      <c r="B5646" s="7"/>
      <c r="C5646" s="7"/>
      <c r="D5646" s="7"/>
      <c r="E5646" s="7"/>
      <c r="F5646" s="7"/>
      <c r="G5646" s="7"/>
      <c r="H5646" s="7"/>
      <c r="I5646" s="7"/>
    </row>
    <row r="5647" hidden="1">
      <c r="A5647" s="7"/>
      <c r="B5647" s="7"/>
      <c r="C5647" s="7"/>
      <c r="D5647" s="7"/>
      <c r="E5647" s="7"/>
      <c r="F5647" s="7"/>
      <c r="G5647" s="7"/>
      <c r="H5647" s="7"/>
      <c r="I5647" s="7"/>
    </row>
    <row r="5648" hidden="1">
      <c r="A5648" s="7"/>
      <c r="B5648" s="7"/>
      <c r="C5648" s="7"/>
      <c r="D5648" s="7"/>
      <c r="E5648" s="7"/>
      <c r="F5648" s="7"/>
      <c r="G5648" s="7"/>
      <c r="H5648" s="7"/>
      <c r="I5648" s="7"/>
    </row>
    <row r="5649" hidden="1">
      <c r="A5649" s="7"/>
      <c r="B5649" s="7"/>
      <c r="C5649" s="7"/>
      <c r="D5649" s="7"/>
      <c r="E5649" s="7"/>
      <c r="F5649" s="7"/>
      <c r="G5649" s="7"/>
      <c r="H5649" s="7"/>
      <c r="I5649" s="7"/>
    </row>
    <row r="5650" hidden="1">
      <c r="A5650" s="7"/>
      <c r="B5650" s="7"/>
      <c r="C5650" s="7"/>
      <c r="D5650" s="7"/>
      <c r="E5650" s="7"/>
      <c r="F5650" s="7"/>
      <c r="G5650" s="7"/>
      <c r="H5650" s="7"/>
      <c r="I5650" s="7"/>
    </row>
    <row r="5651" hidden="1">
      <c r="A5651" s="7"/>
      <c r="B5651" s="7"/>
      <c r="C5651" s="7"/>
      <c r="D5651" s="7"/>
      <c r="E5651" s="7"/>
      <c r="F5651" s="7"/>
      <c r="G5651" s="7"/>
      <c r="H5651" s="7"/>
      <c r="I5651" s="7"/>
    </row>
    <row r="5652" hidden="1">
      <c r="A5652" s="7"/>
      <c r="B5652" s="7"/>
      <c r="C5652" s="7"/>
      <c r="D5652" s="7"/>
      <c r="E5652" s="7"/>
      <c r="F5652" s="7"/>
      <c r="G5652" s="7"/>
      <c r="H5652" s="7"/>
      <c r="I5652" s="7"/>
    </row>
    <row r="5653" hidden="1">
      <c r="A5653" s="7"/>
      <c r="B5653" s="7"/>
      <c r="C5653" s="7"/>
      <c r="D5653" s="7"/>
      <c r="E5653" s="7"/>
      <c r="F5653" s="7"/>
      <c r="G5653" s="7"/>
      <c r="H5653" s="7"/>
      <c r="I5653" s="7"/>
    </row>
    <row r="5654" hidden="1">
      <c r="A5654" s="7"/>
      <c r="B5654" s="7"/>
      <c r="C5654" s="7"/>
      <c r="D5654" s="7"/>
      <c r="E5654" s="7"/>
      <c r="F5654" s="7"/>
      <c r="G5654" s="7"/>
      <c r="H5654" s="7"/>
      <c r="I5654" s="7"/>
    </row>
    <row r="5655" hidden="1">
      <c r="A5655" s="7"/>
      <c r="B5655" s="7"/>
      <c r="C5655" s="7"/>
      <c r="D5655" s="7"/>
      <c r="E5655" s="7"/>
      <c r="F5655" s="7"/>
      <c r="G5655" s="7"/>
      <c r="H5655" s="7"/>
      <c r="I5655" s="7"/>
    </row>
    <row r="5656" hidden="1">
      <c r="A5656" s="7"/>
      <c r="B5656" s="7"/>
      <c r="C5656" s="7"/>
      <c r="D5656" s="7"/>
      <c r="E5656" s="7"/>
      <c r="F5656" s="7"/>
      <c r="G5656" s="7"/>
      <c r="H5656" s="7"/>
      <c r="I5656" s="7"/>
    </row>
    <row r="5657" hidden="1">
      <c r="A5657" s="7"/>
      <c r="B5657" s="7"/>
      <c r="C5657" s="7"/>
      <c r="D5657" s="7"/>
      <c r="E5657" s="7"/>
      <c r="F5657" s="7"/>
      <c r="G5657" s="7"/>
      <c r="H5657" s="7"/>
      <c r="I5657" s="7"/>
    </row>
    <row r="5658" hidden="1">
      <c r="A5658" s="7"/>
      <c r="B5658" s="7"/>
      <c r="C5658" s="7"/>
      <c r="D5658" s="7"/>
      <c r="E5658" s="7"/>
      <c r="F5658" s="7"/>
      <c r="G5658" s="7"/>
      <c r="H5658" s="7"/>
      <c r="I5658" s="7"/>
    </row>
    <row r="5659" hidden="1">
      <c r="A5659" s="7"/>
      <c r="B5659" s="7"/>
      <c r="C5659" s="7"/>
      <c r="D5659" s="7"/>
      <c r="E5659" s="7"/>
      <c r="F5659" s="7"/>
      <c r="G5659" s="7"/>
      <c r="H5659" s="7"/>
      <c r="I5659" s="7"/>
    </row>
    <row r="5660" hidden="1">
      <c r="A5660" s="7"/>
      <c r="B5660" s="7"/>
      <c r="C5660" s="7"/>
      <c r="D5660" s="7"/>
      <c r="E5660" s="7"/>
      <c r="F5660" s="7"/>
      <c r="G5660" s="7"/>
      <c r="H5660" s="7"/>
      <c r="I5660" s="7"/>
    </row>
    <row r="5661" hidden="1">
      <c r="A5661" s="7"/>
      <c r="B5661" s="7"/>
      <c r="C5661" s="7"/>
      <c r="D5661" s="7"/>
      <c r="E5661" s="7"/>
      <c r="F5661" s="7"/>
      <c r="G5661" s="7"/>
      <c r="H5661" s="7"/>
      <c r="I5661" s="7"/>
    </row>
    <row r="5662" hidden="1">
      <c r="A5662" s="7"/>
      <c r="B5662" s="7"/>
      <c r="C5662" s="7"/>
      <c r="D5662" s="7"/>
      <c r="E5662" s="7"/>
      <c r="F5662" s="7"/>
      <c r="G5662" s="7"/>
      <c r="H5662" s="7"/>
      <c r="I5662" s="7"/>
    </row>
    <row r="5663" hidden="1">
      <c r="A5663" s="7"/>
      <c r="B5663" s="7"/>
      <c r="C5663" s="7"/>
      <c r="D5663" s="7"/>
      <c r="E5663" s="7"/>
      <c r="F5663" s="7"/>
      <c r="G5663" s="7"/>
      <c r="H5663" s="7"/>
      <c r="I5663" s="7"/>
    </row>
    <row r="5664" hidden="1">
      <c r="A5664" s="7"/>
      <c r="B5664" s="7"/>
      <c r="C5664" s="7"/>
      <c r="D5664" s="7"/>
      <c r="E5664" s="7"/>
      <c r="F5664" s="7"/>
      <c r="G5664" s="7"/>
      <c r="H5664" s="7"/>
      <c r="I5664" s="7"/>
    </row>
    <row r="5665" hidden="1">
      <c r="A5665" s="7"/>
      <c r="B5665" s="7"/>
      <c r="C5665" s="7"/>
      <c r="D5665" s="7"/>
      <c r="E5665" s="7"/>
      <c r="F5665" s="7"/>
      <c r="G5665" s="7"/>
      <c r="H5665" s="7"/>
      <c r="I5665" s="7"/>
    </row>
    <row r="5666" hidden="1">
      <c r="A5666" s="7"/>
      <c r="B5666" s="7"/>
      <c r="C5666" s="7"/>
      <c r="D5666" s="7"/>
      <c r="E5666" s="7"/>
      <c r="F5666" s="7"/>
      <c r="G5666" s="7"/>
      <c r="H5666" s="7"/>
      <c r="I5666" s="7"/>
    </row>
    <row r="5667" hidden="1">
      <c r="A5667" s="7"/>
      <c r="B5667" s="7"/>
      <c r="C5667" s="7"/>
      <c r="D5667" s="7"/>
      <c r="E5667" s="7"/>
      <c r="F5667" s="7"/>
      <c r="G5667" s="7"/>
      <c r="H5667" s="7"/>
      <c r="I5667" s="7"/>
    </row>
    <row r="5668" hidden="1">
      <c r="A5668" s="7"/>
      <c r="B5668" s="7"/>
      <c r="C5668" s="7"/>
      <c r="D5668" s="7"/>
      <c r="E5668" s="7"/>
      <c r="F5668" s="7"/>
      <c r="G5668" s="7"/>
      <c r="H5668" s="7"/>
      <c r="I5668" s="7"/>
    </row>
    <row r="5669" hidden="1">
      <c r="A5669" s="7"/>
      <c r="B5669" s="7"/>
      <c r="C5669" s="7"/>
      <c r="D5669" s="7"/>
      <c r="E5669" s="7"/>
      <c r="F5669" s="7"/>
      <c r="G5669" s="7"/>
      <c r="H5669" s="7"/>
      <c r="I5669" s="7"/>
    </row>
    <row r="5670" hidden="1">
      <c r="A5670" s="7"/>
      <c r="B5670" s="7"/>
      <c r="C5670" s="7"/>
      <c r="D5670" s="7"/>
      <c r="E5670" s="7"/>
      <c r="F5670" s="7"/>
      <c r="G5670" s="7"/>
      <c r="H5670" s="7"/>
      <c r="I5670" s="7"/>
    </row>
    <row r="5671" hidden="1">
      <c r="A5671" s="7"/>
      <c r="B5671" s="7"/>
      <c r="C5671" s="7"/>
      <c r="D5671" s="7"/>
      <c r="E5671" s="7"/>
      <c r="F5671" s="7"/>
      <c r="G5671" s="7"/>
      <c r="H5671" s="7"/>
      <c r="I5671" s="7"/>
    </row>
    <row r="5672" hidden="1">
      <c r="A5672" s="7"/>
      <c r="B5672" s="7"/>
      <c r="C5672" s="7"/>
      <c r="D5672" s="7"/>
      <c r="E5672" s="7"/>
      <c r="F5672" s="7"/>
      <c r="G5672" s="7"/>
      <c r="H5672" s="7"/>
      <c r="I5672" s="7"/>
    </row>
    <row r="5673" hidden="1">
      <c r="A5673" s="7"/>
      <c r="B5673" s="7"/>
      <c r="C5673" s="7"/>
      <c r="D5673" s="7"/>
      <c r="E5673" s="7"/>
      <c r="F5673" s="7"/>
      <c r="G5673" s="7"/>
      <c r="H5673" s="7"/>
      <c r="I5673" s="7"/>
    </row>
    <row r="5674" hidden="1">
      <c r="A5674" s="7"/>
      <c r="B5674" s="7"/>
      <c r="C5674" s="7"/>
      <c r="D5674" s="7"/>
      <c r="E5674" s="7"/>
      <c r="F5674" s="7"/>
      <c r="G5674" s="7"/>
      <c r="H5674" s="7"/>
      <c r="I5674" s="7"/>
    </row>
    <row r="5675" hidden="1">
      <c r="A5675" s="7"/>
      <c r="B5675" s="7"/>
      <c r="C5675" s="7"/>
      <c r="D5675" s="7"/>
      <c r="E5675" s="7"/>
      <c r="F5675" s="7"/>
      <c r="G5675" s="7"/>
      <c r="H5675" s="7"/>
      <c r="I5675" s="7"/>
    </row>
    <row r="5676" hidden="1">
      <c r="A5676" s="7"/>
      <c r="B5676" s="7"/>
      <c r="C5676" s="7"/>
      <c r="D5676" s="7"/>
      <c r="E5676" s="7"/>
      <c r="F5676" s="7"/>
      <c r="G5676" s="7"/>
      <c r="H5676" s="7"/>
      <c r="I5676" s="7"/>
    </row>
    <row r="5677" hidden="1">
      <c r="A5677" s="7"/>
      <c r="B5677" s="7"/>
      <c r="C5677" s="7"/>
      <c r="D5677" s="7"/>
      <c r="E5677" s="7"/>
      <c r="F5677" s="7"/>
      <c r="G5677" s="7"/>
      <c r="H5677" s="7"/>
      <c r="I5677" s="7"/>
    </row>
    <row r="5678" hidden="1">
      <c r="A5678" s="7"/>
      <c r="B5678" s="7"/>
      <c r="C5678" s="7"/>
      <c r="D5678" s="7"/>
      <c r="E5678" s="7"/>
      <c r="F5678" s="7"/>
      <c r="G5678" s="7"/>
      <c r="H5678" s="7"/>
      <c r="I5678" s="7"/>
    </row>
    <row r="5679" hidden="1">
      <c r="A5679" s="7"/>
      <c r="B5679" s="7"/>
      <c r="C5679" s="7"/>
      <c r="D5679" s="7"/>
      <c r="E5679" s="7"/>
      <c r="F5679" s="7"/>
      <c r="G5679" s="7"/>
      <c r="H5679" s="7"/>
      <c r="I5679" s="7"/>
    </row>
    <row r="5680" hidden="1">
      <c r="A5680" s="7"/>
      <c r="B5680" s="7"/>
      <c r="C5680" s="7"/>
      <c r="D5680" s="7"/>
      <c r="E5680" s="7"/>
      <c r="F5680" s="7"/>
      <c r="G5680" s="7"/>
      <c r="H5680" s="7"/>
      <c r="I5680" s="7"/>
    </row>
    <row r="5681" hidden="1">
      <c r="A5681" s="7"/>
      <c r="B5681" s="7"/>
      <c r="C5681" s="7"/>
      <c r="D5681" s="7"/>
      <c r="E5681" s="7"/>
      <c r="F5681" s="7"/>
      <c r="G5681" s="7"/>
      <c r="H5681" s="7"/>
      <c r="I5681" s="7"/>
    </row>
    <row r="5682" hidden="1">
      <c r="A5682" s="7"/>
      <c r="B5682" s="7"/>
      <c r="C5682" s="7"/>
      <c r="D5682" s="7"/>
      <c r="E5682" s="7"/>
      <c r="F5682" s="7"/>
      <c r="G5682" s="7"/>
      <c r="H5682" s="7"/>
      <c r="I5682" s="7"/>
    </row>
    <row r="5683" hidden="1">
      <c r="A5683" s="7"/>
      <c r="B5683" s="7"/>
      <c r="C5683" s="7"/>
      <c r="D5683" s="7"/>
      <c r="E5683" s="7"/>
      <c r="F5683" s="7"/>
      <c r="G5683" s="7"/>
      <c r="H5683" s="7"/>
      <c r="I5683" s="7"/>
    </row>
    <row r="5684" hidden="1">
      <c r="A5684" s="7"/>
      <c r="B5684" s="7"/>
      <c r="C5684" s="7"/>
      <c r="D5684" s="7"/>
      <c r="E5684" s="7"/>
      <c r="F5684" s="7"/>
      <c r="G5684" s="7"/>
      <c r="H5684" s="7"/>
      <c r="I5684" s="7"/>
    </row>
    <row r="5685" hidden="1">
      <c r="A5685" s="7"/>
      <c r="B5685" s="7"/>
      <c r="C5685" s="7"/>
      <c r="D5685" s="7"/>
      <c r="E5685" s="7"/>
      <c r="F5685" s="7"/>
      <c r="G5685" s="7"/>
      <c r="H5685" s="7"/>
      <c r="I5685" s="7"/>
    </row>
    <row r="5686" hidden="1">
      <c r="A5686" s="7"/>
      <c r="B5686" s="7"/>
      <c r="C5686" s="7"/>
      <c r="D5686" s="7"/>
      <c r="E5686" s="7"/>
      <c r="F5686" s="7"/>
      <c r="G5686" s="7"/>
      <c r="H5686" s="7"/>
      <c r="I5686" s="7"/>
    </row>
    <row r="5687" hidden="1">
      <c r="A5687" s="7"/>
      <c r="B5687" s="7"/>
      <c r="C5687" s="7"/>
      <c r="D5687" s="7"/>
      <c r="E5687" s="7"/>
      <c r="F5687" s="7"/>
      <c r="G5687" s="7"/>
      <c r="H5687" s="7"/>
      <c r="I5687" s="7"/>
    </row>
    <row r="5688" hidden="1">
      <c r="A5688" s="7"/>
      <c r="B5688" s="7"/>
      <c r="C5688" s="7"/>
      <c r="D5688" s="7"/>
      <c r="E5688" s="7"/>
      <c r="F5688" s="7"/>
      <c r="G5688" s="7"/>
      <c r="H5688" s="7"/>
      <c r="I5688" s="7"/>
    </row>
    <row r="5689" hidden="1">
      <c r="A5689" s="7"/>
      <c r="B5689" s="7"/>
      <c r="C5689" s="7"/>
      <c r="D5689" s="7"/>
      <c r="E5689" s="7"/>
      <c r="F5689" s="7"/>
      <c r="G5689" s="7"/>
      <c r="H5689" s="7"/>
      <c r="I5689" s="7"/>
    </row>
    <row r="5690" hidden="1">
      <c r="A5690" s="7"/>
      <c r="B5690" s="7"/>
      <c r="C5690" s="7"/>
      <c r="D5690" s="7"/>
      <c r="E5690" s="7"/>
      <c r="F5690" s="7"/>
      <c r="G5690" s="7"/>
      <c r="H5690" s="7"/>
      <c r="I5690" s="7"/>
    </row>
    <row r="5691" hidden="1">
      <c r="A5691" s="7"/>
      <c r="B5691" s="7"/>
      <c r="C5691" s="7"/>
      <c r="D5691" s="7"/>
      <c r="E5691" s="7"/>
      <c r="F5691" s="7"/>
      <c r="G5691" s="7"/>
      <c r="H5691" s="7"/>
      <c r="I5691" s="7"/>
    </row>
    <row r="5692" hidden="1">
      <c r="A5692" s="7"/>
      <c r="B5692" s="7"/>
      <c r="C5692" s="7"/>
      <c r="D5692" s="7"/>
      <c r="E5692" s="7"/>
      <c r="F5692" s="7"/>
      <c r="G5692" s="7"/>
      <c r="H5692" s="7"/>
      <c r="I5692" s="7"/>
    </row>
    <row r="5693" hidden="1">
      <c r="A5693" s="7"/>
      <c r="B5693" s="7"/>
      <c r="C5693" s="7"/>
      <c r="D5693" s="7"/>
      <c r="E5693" s="7"/>
      <c r="F5693" s="7"/>
      <c r="G5693" s="7"/>
      <c r="H5693" s="7"/>
      <c r="I5693" s="7"/>
    </row>
    <row r="5694" hidden="1">
      <c r="A5694" s="7"/>
      <c r="B5694" s="7"/>
      <c r="C5694" s="7"/>
      <c r="D5694" s="7"/>
      <c r="E5694" s="7"/>
      <c r="F5694" s="7"/>
      <c r="G5694" s="7"/>
      <c r="H5694" s="7"/>
      <c r="I5694" s="7"/>
    </row>
    <row r="5695" hidden="1">
      <c r="A5695" s="7"/>
      <c r="B5695" s="7"/>
      <c r="C5695" s="7"/>
      <c r="D5695" s="7"/>
      <c r="E5695" s="7"/>
      <c r="F5695" s="7"/>
      <c r="G5695" s="7"/>
      <c r="H5695" s="7"/>
      <c r="I5695" s="7"/>
    </row>
    <row r="5696" hidden="1">
      <c r="A5696" s="7"/>
      <c r="B5696" s="7"/>
      <c r="C5696" s="7"/>
      <c r="D5696" s="7"/>
      <c r="E5696" s="7"/>
      <c r="F5696" s="7"/>
      <c r="G5696" s="7"/>
      <c r="H5696" s="7"/>
      <c r="I5696" s="7"/>
    </row>
    <row r="5697" hidden="1">
      <c r="A5697" s="7"/>
      <c r="B5697" s="7"/>
      <c r="C5697" s="7"/>
      <c r="D5697" s="7"/>
      <c r="E5697" s="7"/>
      <c r="F5697" s="7"/>
      <c r="G5697" s="7"/>
      <c r="H5697" s="7"/>
      <c r="I5697" s="7"/>
    </row>
    <row r="5698" hidden="1">
      <c r="A5698" s="7"/>
      <c r="B5698" s="7"/>
      <c r="C5698" s="7"/>
      <c r="D5698" s="7"/>
      <c r="E5698" s="7"/>
      <c r="F5698" s="7"/>
      <c r="G5698" s="7"/>
      <c r="H5698" s="7"/>
      <c r="I5698" s="7"/>
    </row>
    <row r="5699" hidden="1">
      <c r="A5699" s="7"/>
      <c r="B5699" s="7"/>
      <c r="C5699" s="7"/>
      <c r="D5699" s="7"/>
      <c r="E5699" s="7"/>
      <c r="F5699" s="7"/>
      <c r="G5699" s="7"/>
      <c r="H5699" s="7"/>
      <c r="I5699" s="7"/>
    </row>
    <row r="5700" hidden="1">
      <c r="A5700" s="7"/>
      <c r="B5700" s="7"/>
      <c r="C5700" s="7"/>
      <c r="D5700" s="7"/>
      <c r="E5700" s="7"/>
      <c r="F5700" s="7"/>
      <c r="G5700" s="7"/>
      <c r="H5700" s="7"/>
      <c r="I5700" s="7"/>
    </row>
    <row r="5701" hidden="1">
      <c r="A5701" s="7"/>
      <c r="B5701" s="7"/>
      <c r="C5701" s="7"/>
      <c r="D5701" s="7"/>
      <c r="E5701" s="7"/>
      <c r="F5701" s="7"/>
      <c r="G5701" s="7"/>
      <c r="H5701" s="7"/>
      <c r="I5701" s="7"/>
    </row>
    <row r="5702" hidden="1">
      <c r="A5702" s="7"/>
      <c r="B5702" s="7"/>
      <c r="C5702" s="7"/>
      <c r="D5702" s="7"/>
      <c r="E5702" s="7"/>
      <c r="F5702" s="7"/>
      <c r="G5702" s="7"/>
      <c r="H5702" s="7"/>
      <c r="I5702" s="7"/>
    </row>
    <row r="5703" hidden="1">
      <c r="A5703" s="7"/>
      <c r="B5703" s="7"/>
      <c r="C5703" s="7"/>
      <c r="D5703" s="7"/>
      <c r="E5703" s="7"/>
      <c r="F5703" s="7"/>
      <c r="G5703" s="7"/>
      <c r="H5703" s="7"/>
      <c r="I5703" s="7"/>
    </row>
    <row r="5704" hidden="1">
      <c r="A5704" s="7"/>
      <c r="B5704" s="7"/>
      <c r="C5704" s="7"/>
      <c r="D5704" s="7"/>
      <c r="E5704" s="7"/>
      <c r="F5704" s="7"/>
      <c r="G5704" s="7"/>
      <c r="H5704" s="7"/>
      <c r="I5704" s="7"/>
    </row>
    <row r="5705" hidden="1">
      <c r="A5705" s="7"/>
      <c r="B5705" s="7"/>
      <c r="C5705" s="7"/>
      <c r="D5705" s="7"/>
      <c r="E5705" s="7"/>
      <c r="F5705" s="7"/>
      <c r="G5705" s="7"/>
      <c r="H5705" s="7"/>
      <c r="I5705" s="7"/>
    </row>
    <row r="5706" hidden="1">
      <c r="A5706" s="7"/>
      <c r="B5706" s="7"/>
      <c r="C5706" s="7"/>
      <c r="D5706" s="7"/>
      <c r="E5706" s="7"/>
      <c r="F5706" s="7"/>
      <c r="G5706" s="7"/>
      <c r="H5706" s="7"/>
      <c r="I5706" s="7"/>
    </row>
    <row r="5707" hidden="1">
      <c r="A5707" s="7"/>
      <c r="B5707" s="7"/>
      <c r="C5707" s="7"/>
      <c r="D5707" s="7"/>
      <c r="E5707" s="7"/>
      <c r="F5707" s="7"/>
      <c r="G5707" s="7"/>
      <c r="H5707" s="7"/>
      <c r="I5707" s="7"/>
    </row>
    <row r="5708" hidden="1">
      <c r="A5708" s="7"/>
      <c r="B5708" s="7"/>
      <c r="C5708" s="7"/>
      <c r="D5708" s="7"/>
      <c r="E5708" s="7"/>
      <c r="F5708" s="7"/>
      <c r="G5708" s="7"/>
      <c r="H5708" s="7"/>
      <c r="I5708" s="7"/>
    </row>
    <row r="5709" hidden="1">
      <c r="A5709" s="7"/>
      <c r="B5709" s="7"/>
      <c r="C5709" s="7"/>
      <c r="D5709" s="7"/>
      <c r="E5709" s="7"/>
      <c r="F5709" s="7"/>
      <c r="G5709" s="7"/>
      <c r="H5709" s="7"/>
      <c r="I5709" s="7"/>
    </row>
    <row r="5710" hidden="1">
      <c r="A5710" s="7"/>
      <c r="B5710" s="7"/>
      <c r="C5710" s="7"/>
      <c r="D5710" s="7"/>
      <c r="E5710" s="7"/>
      <c r="F5710" s="7"/>
      <c r="G5710" s="7"/>
      <c r="H5710" s="7"/>
      <c r="I5710" s="7"/>
    </row>
    <row r="5711" hidden="1">
      <c r="A5711" s="7"/>
      <c r="B5711" s="7"/>
      <c r="C5711" s="7"/>
      <c r="D5711" s="7"/>
      <c r="E5711" s="7"/>
      <c r="F5711" s="7"/>
      <c r="G5711" s="7"/>
      <c r="H5711" s="7"/>
      <c r="I5711" s="7"/>
    </row>
    <row r="5712" hidden="1">
      <c r="A5712" s="7"/>
      <c r="B5712" s="7"/>
      <c r="C5712" s="7"/>
      <c r="D5712" s="7"/>
      <c r="E5712" s="7"/>
      <c r="F5712" s="7"/>
      <c r="G5712" s="7"/>
      <c r="H5712" s="7"/>
      <c r="I5712" s="7"/>
    </row>
    <row r="5713" hidden="1">
      <c r="A5713" s="7"/>
      <c r="B5713" s="7"/>
      <c r="C5713" s="7"/>
      <c r="D5713" s="7"/>
      <c r="E5713" s="7"/>
      <c r="F5713" s="7"/>
      <c r="G5713" s="7"/>
      <c r="H5713" s="7"/>
      <c r="I5713" s="7"/>
    </row>
    <row r="5714" hidden="1">
      <c r="A5714" s="7"/>
      <c r="B5714" s="7"/>
      <c r="C5714" s="7"/>
      <c r="D5714" s="7"/>
      <c r="E5714" s="7"/>
      <c r="F5714" s="7"/>
      <c r="G5714" s="7"/>
      <c r="H5714" s="7"/>
      <c r="I5714" s="7"/>
    </row>
    <row r="5715" hidden="1">
      <c r="A5715" s="7"/>
      <c r="B5715" s="7"/>
      <c r="C5715" s="7"/>
      <c r="D5715" s="7"/>
      <c r="E5715" s="7"/>
      <c r="F5715" s="7"/>
      <c r="G5715" s="7"/>
      <c r="H5715" s="7"/>
      <c r="I5715" s="7"/>
    </row>
    <row r="5716" hidden="1">
      <c r="A5716" s="7"/>
      <c r="B5716" s="7"/>
      <c r="C5716" s="7"/>
      <c r="D5716" s="7"/>
      <c r="E5716" s="7"/>
      <c r="F5716" s="7"/>
      <c r="G5716" s="7"/>
      <c r="H5716" s="7"/>
      <c r="I5716" s="7"/>
    </row>
    <row r="5717" hidden="1">
      <c r="A5717" s="7"/>
      <c r="B5717" s="7"/>
      <c r="C5717" s="7"/>
      <c r="D5717" s="7"/>
      <c r="E5717" s="7"/>
      <c r="F5717" s="7"/>
      <c r="G5717" s="7"/>
      <c r="H5717" s="7"/>
      <c r="I5717" s="7"/>
    </row>
    <row r="5718" hidden="1">
      <c r="A5718" s="7"/>
      <c r="B5718" s="7"/>
      <c r="C5718" s="7"/>
      <c r="D5718" s="7"/>
      <c r="E5718" s="7"/>
      <c r="F5718" s="7"/>
      <c r="G5718" s="7"/>
      <c r="H5718" s="7"/>
      <c r="I5718" s="7"/>
    </row>
    <row r="5719" hidden="1">
      <c r="A5719" s="7"/>
      <c r="B5719" s="7"/>
      <c r="C5719" s="7"/>
      <c r="D5719" s="7"/>
      <c r="E5719" s="7"/>
      <c r="F5719" s="7"/>
      <c r="G5719" s="7"/>
      <c r="H5719" s="7"/>
      <c r="I5719" s="7"/>
    </row>
    <row r="5720" hidden="1">
      <c r="A5720" s="7"/>
      <c r="B5720" s="7"/>
      <c r="C5720" s="7"/>
      <c r="D5720" s="7"/>
      <c r="E5720" s="7"/>
      <c r="F5720" s="7"/>
      <c r="G5720" s="7"/>
      <c r="H5720" s="7"/>
      <c r="I5720" s="7"/>
    </row>
    <row r="5721" hidden="1">
      <c r="A5721" s="7"/>
      <c r="B5721" s="7"/>
      <c r="C5721" s="7"/>
      <c r="D5721" s="7"/>
      <c r="E5721" s="7"/>
      <c r="F5721" s="7"/>
      <c r="G5721" s="7"/>
      <c r="H5721" s="7"/>
      <c r="I5721" s="7"/>
    </row>
    <row r="5722" hidden="1">
      <c r="A5722" s="7"/>
      <c r="B5722" s="7"/>
      <c r="C5722" s="7"/>
      <c r="D5722" s="7"/>
      <c r="E5722" s="7"/>
      <c r="F5722" s="7"/>
      <c r="G5722" s="7"/>
      <c r="H5722" s="7"/>
      <c r="I5722" s="7"/>
    </row>
    <row r="5723" hidden="1">
      <c r="A5723" s="7"/>
      <c r="B5723" s="7"/>
      <c r="C5723" s="7"/>
      <c r="D5723" s="7"/>
      <c r="E5723" s="7"/>
      <c r="F5723" s="7"/>
      <c r="G5723" s="7"/>
      <c r="H5723" s="7"/>
      <c r="I5723" s="7"/>
    </row>
    <row r="5724" hidden="1">
      <c r="A5724" s="7"/>
      <c r="B5724" s="7"/>
      <c r="C5724" s="7"/>
      <c r="D5724" s="7"/>
      <c r="E5724" s="7"/>
      <c r="F5724" s="7"/>
      <c r="G5724" s="7"/>
      <c r="H5724" s="7"/>
      <c r="I5724" s="7"/>
    </row>
    <row r="5725" hidden="1">
      <c r="A5725" s="7"/>
      <c r="B5725" s="7"/>
      <c r="C5725" s="7"/>
      <c r="D5725" s="7"/>
      <c r="E5725" s="7"/>
      <c r="F5725" s="7"/>
      <c r="G5725" s="7"/>
      <c r="H5725" s="7"/>
      <c r="I5725" s="7"/>
    </row>
    <row r="5726" hidden="1">
      <c r="A5726" s="7"/>
      <c r="B5726" s="7"/>
      <c r="C5726" s="7"/>
      <c r="D5726" s="7"/>
      <c r="E5726" s="7"/>
      <c r="F5726" s="7"/>
      <c r="G5726" s="7"/>
      <c r="H5726" s="7"/>
      <c r="I5726" s="7"/>
    </row>
    <row r="5727" hidden="1">
      <c r="A5727" s="7"/>
      <c r="B5727" s="7"/>
      <c r="C5727" s="7"/>
      <c r="D5727" s="7"/>
      <c r="E5727" s="7"/>
      <c r="F5727" s="7"/>
      <c r="G5727" s="7"/>
      <c r="H5727" s="7"/>
      <c r="I5727" s="7"/>
    </row>
    <row r="5728" hidden="1">
      <c r="A5728" s="7"/>
      <c r="B5728" s="7"/>
      <c r="C5728" s="7"/>
      <c r="D5728" s="7"/>
      <c r="E5728" s="7"/>
      <c r="F5728" s="7"/>
      <c r="G5728" s="7"/>
      <c r="H5728" s="7"/>
      <c r="I5728" s="7"/>
    </row>
    <row r="5729" hidden="1">
      <c r="A5729" s="7"/>
      <c r="B5729" s="7"/>
      <c r="C5729" s="7"/>
      <c r="D5729" s="7"/>
      <c r="E5729" s="7"/>
      <c r="F5729" s="7"/>
      <c r="G5729" s="7"/>
      <c r="H5729" s="7"/>
      <c r="I5729" s="7"/>
    </row>
    <row r="5730" hidden="1">
      <c r="A5730" s="7"/>
      <c r="B5730" s="7"/>
      <c r="C5730" s="7"/>
      <c r="D5730" s="7"/>
      <c r="E5730" s="7"/>
      <c r="F5730" s="7"/>
      <c r="G5730" s="7"/>
      <c r="H5730" s="7"/>
      <c r="I5730" s="7"/>
    </row>
    <row r="5731" hidden="1">
      <c r="A5731" s="7"/>
      <c r="B5731" s="7"/>
      <c r="C5731" s="7"/>
      <c r="D5731" s="7"/>
      <c r="E5731" s="7"/>
      <c r="F5731" s="7"/>
      <c r="G5731" s="7"/>
      <c r="H5731" s="7"/>
      <c r="I5731" s="7"/>
    </row>
    <row r="5732" hidden="1">
      <c r="A5732" s="7"/>
      <c r="B5732" s="7"/>
      <c r="C5732" s="7"/>
      <c r="D5732" s="7"/>
      <c r="E5732" s="7"/>
      <c r="F5732" s="7"/>
      <c r="G5732" s="7"/>
      <c r="H5732" s="7"/>
      <c r="I5732" s="7"/>
    </row>
    <row r="5733" hidden="1">
      <c r="A5733" s="7"/>
      <c r="B5733" s="7"/>
      <c r="C5733" s="7"/>
      <c r="D5733" s="7"/>
      <c r="E5733" s="7"/>
      <c r="F5733" s="7"/>
      <c r="G5733" s="7"/>
      <c r="H5733" s="7"/>
      <c r="I5733" s="7"/>
    </row>
    <row r="5734" hidden="1">
      <c r="A5734" s="7"/>
      <c r="B5734" s="7"/>
      <c r="C5734" s="7"/>
      <c r="D5734" s="7"/>
      <c r="E5734" s="7"/>
      <c r="F5734" s="7"/>
      <c r="G5734" s="7"/>
      <c r="H5734" s="7"/>
      <c r="I5734" s="7"/>
    </row>
    <row r="5735" hidden="1">
      <c r="A5735" s="7"/>
      <c r="B5735" s="7"/>
      <c r="C5735" s="7"/>
      <c r="D5735" s="7"/>
      <c r="E5735" s="7"/>
      <c r="F5735" s="7"/>
      <c r="G5735" s="7"/>
      <c r="H5735" s="7"/>
      <c r="I5735" s="7"/>
    </row>
    <row r="5736" hidden="1">
      <c r="A5736" s="7"/>
      <c r="B5736" s="7"/>
      <c r="C5736" s="7"/>
      <c r="D5736" s="7"/>
      <c r="E5736" s="7"/>
      <c r="F5736" s="7"/>
      <c r="G5736" s="7"/>
      <c r="H5736" s="7"/>
      <c r="I5736" s="7"/>
    </row>
    <row r="5737" hidden="1">
      <c r="A5737" s="7"/>
      <c r="B5737" s="7"/>
      <c r="C5737" s="7"/>
      <c r="D5737" s="7"/>
      <c r="E5737" s="7"/>
      <c r="F5737" s="7"/>
      <c r="G5737" s="7"/>
      <c r="H5737" s="7"/>
      <c r="I5737" s="7"/>
    </row>
    <row r="5738" hidden="1">
      <c r="A5738" s="7"/>
      <c r="B5738" s="7"/>
      <c r="C5738" s="7"/>
      <c r="D5738" s="7"/>
      <c r="E5738" s="7"/>
      <c r="F5738" s="7"/>
      <c r="G5738" s="7"/>
      <c r="H5738" s="7"/>
      <c r="I5738" s="7"/>
    </row>
    <row r="5739" hidden="1">
      <c r="A5739" s="7"/>
      <c r="B5739" s="7"/>
      <c r="C5739" s="7"/>
      <c r="D5739" s="7"/>
      <c r="E5739" s="7"/>
      <c r="F5739" s="7"/>
      <c r="G5739" s="7"/>
      <c r="H5739" s="7"/>
      <c r="I5739" s="7"/>
    </row>
    <row r="5740" hidden="1">
      <c r="A5740" s="7"/>
      <c r="B5740" s="7"/>
      <c r="C5740" s="7"/>
      <c r="D5740" s="7"/>
      <c r="E5740" s="7"/>
      <c r="F5740" s="7"/>
      <c r="G5740" s="7"/>
      <c r="H5740" s="7"/>
      <c r="I5740" s="7"/>
    </row>
    <row r="5741" hidden="1">
      <c r="A5741" s="7"/>
      <c r="B5741" s="7"/>
      <c r="C5741" s="7"/>
      <c r="D5741" s="7"/>
      <c r="E5741" s="7"/>
      <c r="F5741" s="7"/>
      <c r="G5741" s="7"/>
      <c r="H5741" s="7"/>
      <c r="I5741" s="7"/>
    </row>
    <row r="5742" hidden="1">
      <c r="A5742" s="7"/>
      <c r="B5742" s="7"/>
      <c r="C5742" s="7"/>
      <c r="D5742" s="7"/>
      <c r="E5742" s="7"/>
      <c r="F5742" s="7"/>
      <c r="G5742" s="7"/>
      <c r="H5742" s="7"/>
      <c r="I5742" s="7"/>
    </row>
    <row r="5743" hidden="1">
      <c r="A5743" s="7"/>
      <c r="B5743" s="7"/>
      <c r="C5743" s="7"/>
      <c r="D5743" s="7"/>
      <c r="E5743" s="7"/>
      <c r="F5743" s="7"/>
      <c r="G5743" s="7"/>
      <c r="H5743" s="7"/>
      <c r="I5743" s="7"/>
    </row>
    <row r="5744" hidden="1">
      <c r="A5744" s="7"/>
      <c r="B5744" s="7"/>
      <c r="C5744" s="7"/>
      <c r="D5744" s="7"/>
      <c r="E5744" s="7"/>
      <c r="F5744" s="7"/>
      <c r="G5744" s="7"/>
      <c r="H5744" s="7"/>
      <c r="I5744" s="7"/>
    </row>
    <row r="5745" hidden="1">
      <c r="A5745" s="7"/>
      <c r="B5745" s="7"/>
      <c r="C5745" s="7"/>
      <c r="D5745" s="7"/>
      <c r="E5745" s="7"/>
      <c r="F5745" s="7"/>
      <c r="G5745" s="7"/>
      <c r="H5745" s="7"/>
      <c r="I5745" s="7"/>
    </row>
    <row r="5746" hidden="1">
      <c r="A5746" s="7"/>
      <c r="B5746" s="7"/>
      <c r="C5746" s="7"/>
      <c r="D5746" s="7"/>
      <c r="E5746" s="7"/>
      <c r="F5746" s="7"/>
      <c r="G5746" s="7"/>
      <c r="H5746" s="7"/>
      <c r="I5746" s="7"/>
    </row>
    <row r="5747" hidden="1">
      <c r="A5747" s="7"/>
      <c r="B5747" s="7"/>
      <c r="C5747" s="7"/>
      <c r="D5747" s="7"/>
      <c r="E5747" s="7"/>
      <c r="F5747" s="7"/>
      <c r="G5747" s="7"/>
      <c r="H5747" s="7"/>
      <c r="I5747" s="7"/>
    </row>
    <row r="5748" hidden="1">
      <c r="A5748" s="7"/>
      <c r="B5748" s="7"/>
      <c r="C5748" s="7"/>
      <c r="D5748" s="7"/>
      <c r="E5748" s="7"/>
      <c r="F5748" s="7"/>
      <c r="G5748" s="7"/>
      <c r="H5748" s="7"/>
      <c r="I5748" s="7"/>
    </row>
    <row r="5749" hidden="1">
      <c r="A5749" s="7"/>
      <c r="B5749" s="7"/>
      <c r="C5749" s="7"/>
      <c r="D5749" s="7"/>
      <c r="E5749" s="7"/>
      <c r="F5749" s="7"/>
      <c r="G5749" s="7"/>
      <c r="H5749" s="7"/>
      <c r="I5749" s="7"/>
    </row>
    <row r="5750" hidden="1">
      <c r="A5750" s="7"/>
      <c r="B5750" s="7"/>
      <c r="C5750" s="7"/>
      <c r="D5750" s="7"/>
      <c r="E5750" s="7"/>
      <c r="F5750" s="7"/>
      <c r="G5750" s="7"/>
      <c r="H5750" s="7"/>
      <c r="I5750" s="7"/>
    </row>
    <row r="5751" hidden="1">
      <c r="A5751" s="7"/>
      <c r="B5751" s="7"/>
      <c r="C5751" s="7"/>
      <c r="D5751" s="7"/>
      <c r="E5751" s="7"/>
      <c r="F5751" s="7"/>
      <c r="G5751" s="7"/>
      <c r="H5751" s="7"/>
      <c r="I5751" s="7"/>
    </row>
    <row r="5752" hidden="1">
      <c r="A5752" s="7"/>
      <c r="B5752" s="7"/>
      <c r="C5752" s="7"/>
      <c r="D5752" s="7"/>
      <c r="E5752" s="7"/>
      <c r="F5752" s="7"/>
      <c r="G5752" s="7"/>
      <c r="H5752" s="7"/>
      <c r="I5752" s="7"/>
    </row>
    <row r="5753" hidden="1">
      <c r="A5753" s="7"/>
      <c r="B5753" s="7"/>
      <c r="C5753" s="7"/>
      <c r="D5753" s="7"/>
      <c r="E5753" s="7"/>
      <c r="F5753" s="7"/>
      <c r="G5753" s="7"/>
      <c r="H5753" s="7"/>
      <c r="I5753" s="7"/>
    </row>
    <row r="5754" hidden="1">
      <c r="A5754" s="7"/>
      <c r="B5754" s="7"/>
      <c r="C5754" s="7"/>
      <c r="D5754" s="7"/>
      <c r="E5754" s="7"/>
      <c r="F5754" s="7"/>
      <c r="G5754" s="7"/>
      <c r="H5754" s="7"/>
      <c r="I5754" s="7"/>
    </row>
    <row r="5755" hidden="1">
      <c r="A5755" s="7"/>
      <c r="B5755" s="7"/>
      <c r="C5755" s="7"/>
      <c r="D5755" s="7"/>
      <c r="E5755" s="7"/>
      <c r="F5755" s="7"/>
      <c r="G5755" s="7"/>
      <c r="H5755" s="7"/>
      <c r="I5755" s="7"/>
    </row>
    <row r="5756" hidden="1">
      <c r="A5756" s="7"/>
      <c r="B5756" s="7"/>
      <c r="C5756" s="7"/>
      <c r="D5756" s="7"/>
      <c r="E5756" s="7"/>
      <c r="F5756" s="7"/>
      <c r="G5756" s="7"/>
      <c r="H5756" s="7"/>
      <c r="I5756" s="7"/>
    </row>
    <row r="5757" hidden="1">
      <c r="A5757" s="7"/>
      <c r="B5757" s="7"/>
      <c r="C5757" s="7"/>
      <c r="D5757" s="7"/>
      <c r="E5757" s="7"/>
      <c r="F5757" s="7"/>
      <c r="G5757" s="7"/>
      <c r="H5757" s="7"/>
      <c r="I5757" s="7"/>
    </row>
    <row r="5758" hidden="1">
      <c r="A5758" s="7"/>
      <c r="B5758" s="7"/>
      <c r="C5758" s="7"/>
      <c r="D5758" s="7"/>
      <c r="E5758" s="7"/>
      <c r="F5758" s="7"/>
      <c r="G5758" s="7"/>
      <c r="H5758" s="7"/>
      <c r="I5758" s="7"/>
    </row>
    <row r="5759" hidden="1">
      <c r="A5759" s="7"/>
      <c r="B5759" s="7"/>
      <c r="C5759" s="7"/>
      <c r="D5759" s="7"/>
      <c r="E5759" s="7"/>
      <c r="F5759" s="7"/>
      <c r="G5759" s="7"/>
      <c r="H5759" s="7"/>
      <c r="I5759" s="7"/>
    </row>
    <row r="5760" hidden="1">
      <c r="A5760" s="7"/>
      <c r="B5760" s="7"/>
      <c r="C5760" s="7"/>
      <c r="D5760" s="7"/>
      <c r="E5760" s="7"/>
      <c r="F5760" s="7"/>
      <c r="G5760" s="7"/>
      <c r="H5760" s="7"/>
      <c r="I5760" s="7"/>
    </row>
    <row r="5761" hidden="1">
      <c r="A5761" s="7"/>
      <c r="B5761" s="7"/>
      <c r="C5761" s="7"/>
      <c r="D5761" s="7"/>
      <c r="E5761" s="7"/>
      <c r="F5761" s="7"/>
      <c r="G5761" s="7"/>
      <c r="H5761" s="7"/>
      <c r="I5761" s="7"/>
    </row>
    <row r="5762" hidden="1">
      <c r="A5762" s="7"/>
      <c r="B5762" s="7"/>
      <c r="C5762" s="7"/>
      <c r="D5762" s="7"/>
      <c r="E5762" s="7"/>
      <c r="F5762" s="7"/>
      <c r="G5762" s="7"/>
      <c r="H5762" s="7"/>
      <c r="I5762" s="7"/>
    </row>
    <row r="5763" hidden="1">
      <c r="A5763" s="7"/>
      <c r="B5763" s="7"/>
      <c r="C5763" s="7"/>
      <c r="D5763" s="7"/>
      <c r="E5763" s="7"/>
      <c r="F5763" s="7"/>
      <c r="G5763" s="7"/>
      <c r="H5763" s="7"/>
      <c r="I5763" s="7"/>
    </row>
    <row r="5764" hidden="1">
      <c r="A5764" s="7"/>
      <c r="B5764" s="7"/>
      <c r="C5764" s="7"/>
      <c r="D5764" s="7"/>
      <c r="E5764" s="7"/>
      <c r="F5764" s="7"/>
      <c r="G5764" s="7"/>
      <c r="H5764" s="7"/>
      <c r="I5764" s="7"/>
    </row>
    <row r="5765" hidden="1">
      <c r="A5765" s="7"/>
      <c r="B5765" s="7"/>
      <c r="C5765" s="7"/>
      <c r="D5765" s="7"/>
      <c r="E5765" s="7"/>
      <c r="F5765" s="7"/>
      <c r="G5765" s="7"/>
      <c r="H5765" s="7"/>
      <c r="I5765" s="7"/>
    </row>
    <row r="5766" hidden="1">
      <c r="A5766" s="7"/>
      <c r="B5766" s="7"/>
      <c r="C5766" s="7"/>
      <c r="D5766" s="7"/>
      <c r="E5766" s="7"/>
      <c r="F5766" s="7"/>
      <c r="G5766" s="7"/>
      <c r="H5766" s="7"/>
      <c r="I5766" s="7"/>
    </row>
    <row r="5767" hidden="1">
      <c r="A5767" s="7"/>
      <c r="B5767" s="7"/>
      <c r="C5767" s="7"/>
      <c r="D5767" s="7"/>
      <c r="E5767" s="7"/>
      <c r="F5767" s="7"/>
      <c r="G5767" s="7"/>
      <c r="H5767" s="7"/>
      <c r="I5767" s="7"/>
    </row>
    <row r="5768" hidden="1">
      <c r="A5768" s="7"/>
      <c r="B5768" s="7"/>
      <c r="C5768" s="7"/>
      <c r="D5768" s="7"/>
      <c r="E5768" s="7"/>
      <c r="F5768" s="7"/>
      <c r="G5768" s="7"/>
      <c r="H5768" s="7"/>
      <c r="I5768" s="7"/>
    </row>
    <row r="5769" hidden="1">
      <c r="A5769" s="7"/>
      <c r="B5769" s="7"/>
      <c r="C5769" s="7"/>
      <c r="D5769" s="7"/>
      <c r="E5769" s="7"/>
      <c r="F5769" s="7"/>
      <c r="G5769" s="7"/>
      <c r="H5769" s="7"/>
      <c r="I5769" s="7"/>
    </row>
    <row r="5770" hidden="1">
      <c r="A5770" s="7"/>
      <c r="B5770" s="7"/>
      <c r="C5770" s="7"/>
      <c r="D5770" s="7"/>
      <c r="E5770" s="7"/>
      <c r="F5770" s="7"/>
      <c r="G5770" s="7"/>
      <c r="H5770" s="7"/>
      <c r="I5770" s="7"/>
    </row>
    <row r="5771" hidden="1">
      <c r="A5771" s="7"/>
      <c r="B5771" s="7"/>
      <c r="C5771" s="7"/>
      <c r="D5771" s="7"/>
      <c r="E5771" s="7"/>
      <c r="F5771" s="7"/>
      <c r="G5771" s="7"/>
      <c r="H5771" s="7"/>
      <c r="I5771" s="7"/>
    </row>
    <row r="5772" hidden="1">
      <c r="A5772" s="7"/>
      <c r="B5772" s="7"/>
      <c r="C5772" s="7"/>
      <c r="D5772" s="7"/>
      <c r="E5772" s="7"/>
      <c r="F5772" s="7"/>
      <c r="G5772" s="7"/>
      <c r="H5772" s="7"/>
      <c r="I5772" s="7"/>
    </row>
    <row r="5773" hidden="1">
      <c r="A5773" s="7"/>
      <c r="B5773" s="7"/>
      <c r="C5773" s="7"/>
      <c r="D5773" s="7"/>
      <c r="E5773" s="7"/>
      <c r="F5773" s="7"/>
      <c r="G5773" s="7"/>
      <c r="H5773" s="7"/>
      <c r="I5773" s="7"/>
    </row>
    <row r="5774" hidden="1">
      <c r="A5774" s="7"/>
      <c r="B5774" s="7"/>
      <c r="C5774" s="7"/>
      <c r="D5774" s="7"/>
      <c r="E5774" s="7"/>
      <c r="F5774" s="7"/>
      <c r="G5774" s="7"/>
      <c r="H5774" s="7"/>
      <c r="I5774" s="7"/>
    </row>
    <row r="5775" hidden="1">
      <c r="A5775" s="7"/>
      <c r="B5775" s="7"/>
      <c r="C5775" s="7"/>
      <c r="D5775" s="7"/>
      <c r="E5775" s="7"/>
      <c r="F5775" s="7"/>
      <c r="G5775" s="7"/>
      <c r="H5775" s="7"/>
      <c r="I5775" s="7"/>
    </row>
    <row r="5776" hidden="1">
      <c r="A5776" s="7"/>
      <c r="B5776" s="7"/>
      <c r="C5776" s="7"/>
      <c r="D5776" s="7"/>
      <c r="E5776" s="7"/>
      <c r="F5776" s="7"/>
      <c r="G5776" s="7"/>
      <c r="H5776" s="7"/>
      <c r="I5776" s="7"/>
    </row>
    <row r="5777" hidden="1">
      <c r="A5777" s="7"/>
      <c r="B5777" s="7"/>
      <c r="C5777" s="7"/>
      <c r="D5777" s="7"/>
      <c r="E5777" s="7"/>
      <c r="F5777" s="7"/>
      <c r="G5777" s="7"/>
      <c r="H5777" s="7"/>
      <c r="I5777" s="7"/>
    </row>
    <row r="5778" hidden="1">
      <c r="A5778" s="7"/>
      <c r="B5778" s="7"/>
      <c r="C5778" s="7"/>
      <c r="D5778" s="7"/>
      <c r="E5778" s="7"/>
      <c r="F5778" s="7"/>
      <c r="G5778" s="7"/>
      <c r="H5778" s="7"/>
      <c r="I5778" s="7"/>
    </row>
    <row r="5779" hidden="1">
      <c r="A5779" s="7"/>
      <c r="B5779" s="7"/>
      <c r="C5779" s="7"/>
      <c r="D5779" s="7"/>
      <c r="E5779" s="7"/>
      <c r="F5779" s="7"/>
      <c r="G5779" s="7"/>
      <c r="H5779" s="7"/>
      <c r="I5779" s="7"/>
    </row>
    <row r="5780" hidden="1">
      <c r="A5780" s="7"/>
      <c r="B5780" s="7"/>
      <c r="C5780" s="7"/>
      <c r="D5780" s="7"/>
      <c r="E5780" s="7"/>
      <c r="F5780" s="7"/>
      <c r="G5780" s="7"/>
      <c r="H5780" s="7"/>
      <c r="I5780" s="7"/>
    </row>
    <row r="5781" hidden="1">
      <c r="A5781" s="7"/>
      <c r="B5781" s="7"/>
      <c r="C5781" s="7"/>
      <c r="D5781" s="7"/>
      <c r="E5781" s="7"/>
      <c r="F5781" s="7"/>
      <c r="G5781" s="7"/>
      <c r="H5781" s="7"/>
      <c r="I5781" s="7"/>
    </row>
    <row r="5782" hidden="1">
      <c r="A5782" s="7"/>
      <c r="B5782" s="7"/>
      <c r="C5782" s="7"/>
      <c r="D5782" s="7"/>
      <c r="E5782" s="7"/>
      <c r="F5782" s="7"/>
      <c r="G5782" s="7"/>
      <c r="H5782" s="7"/>
      <c r="I5782" s="7"/>
    </row>
    <row r="5783" hidden="1">
      <c r="A5783" s="7"/>
      <c r="B5783" s="7"/>
      <c r="C5783" s="7"/>
      <c r="D5783" s="7"/>
      <c r="E5783" s="7"/>
      <c r="F5783" s="7"/>
      <c r="G5783" s="7"/>
      <c r="H5783" s="7"/>
      <c r="I5783" s="7"/>
    </row>
    <row r="5784" hidden="1">
      <c r="A5784" s="7"/>
      <c r="B5784" s="7"/>
      <c r="C5784" s="7"/>
      <c r="D5784" s="7"/>
      <c r="E5784" s="7"/>
      <c r="F5784" s="7"/>
      <c r="G5784" s="7"/>
      <c r="H5784" s="7"/>
      <c r="I5784" s="7"/>
    </row>
    <row r="5785" hidden="1">
      <c r="A5785" s="7"/>
      <c r="B5785" s="7"/>
      <c r="C5785" s="7"/>
      <c r="D5785" s="7"/>
      <c r="E5785" s="7"/>
      <c r="F5785" s="7"/>
      <c r="G5785" s="7"/>
      <c r="H5785" s="7"/>
      <c r="I5785" s="7"/>
    </row>
    <row r="5786" hidden="1">
      <c r="A5786" s="7"/>
      <c r="B5786" s="7"/>
      <c r="C5786" s="7"/>
      <c r="D5786" s="7"/>
      <c r="E5786" s="7"/>
      <c r="F5786" s="7"/>
      <c r="G5786" s="7"/>
      <c r="H5786" s="7"/>
      <c r="I5786" s="7"/>
    </row>
    <row r="5787" hidden="1">
      <c r="A5787" s="7"/>
      <c r="B5787" s="7"/>
      <c r="C5787" s="7"/>
      <c r="D5787" s="7"/>
      <c r="E5787" s="7"/>
      <c r="F5787" s="7"/>
      <c r="G5787" s="7"/>
      <c r="H5787" s="7"/>
      <c r="I5787" s="7"/>
    </row>
    <row r="5788" hidden="1">
      <c r="A5788" s="7"/>
      <c r="B5788" s="7"/>
      <c r="C5788" s="7"/>
      <c r="D5788" s="7"/>
      <c r="E5788" s="7"/>
      <c r="F5788" s="7"/>
      <c r="G5788" s="7"/>
      <c r="H5788" s="7"/>
      <c r="I5788" s="7"/>
    </row>
    <row r="5789" hidden="1">
      <c r="A5789" s="7"/>
      <c r="B5789" s="7"/>
      <c r="C5789" s="7"/>
      <c r="D5789" s="7"/>
      <c r="E5789" s="7"/>
      <c r="F5789" s="7"/>
      <c r="G5789" s="7"/>
      <c r="H5789" s="7"/>
      <c r="I5789" s="7"/>
    </row>
    <row r="5790" hidden="1">
      <c r="A5790" s="7"/>
      <c r="B5790" s="7"/>
      <c r="C5790" s="7"/>
      <c r="D5790" s="7"/>
      <c r="E5790" s="7"/>
      <c r="F5790" s="7"/>
      <c r="G5790" s="7"/>
      <c r="H5790" s="7"/>
      <c r="I5790" s="7"/>
    </row>
    <row r="5791" hidden="1">
      <c r="A5791" s="7"/>
      <c r="B5791" s="7"/>
      <c r="C5791" s="7"/>
      <c r="D5791" s="7"/>
      <c r="E5791" s="7"/>
      <c r="F5791" s="7"/>
      <c r="G5791" s="7"/>
      <c r="H5791" s="7"/>
      <c r="I5791" s="7"/>
    </row>
    <row r="5792" hidden="1">
      <c r="A5792" s="7"/>
      <c r="B5792" s="7"/>
      <c r="C5792" s="7"/>
      <c r="D5792" s="7"/>
      <c r="E5792" s="7"/>
      <c r="F5792" s="7"/>
      <c r="G5792" s="7"/>
      <c r="H5792" s="7"/>
      <c r="I5792" s="7"/>
    </row>
    <row r="5793" hidden="1">
      <c r="A5793" s="7"/>
      <c r="B5793" s="7"/>
      <c r="C5793" s="7"/>
      <c r="D5793" s="7"/>
      <c r="E5793" s="7"/>
      <c r="F5793" s="7"/>
      <c r="G5793" s="7"/>
      <c r="H5793" s="7"/>
      <c r="I5793" s="7"/>
    </row>
    <row r="5794" hidden="1">
      <c r="A5794" s="7"/>
      <c r="B5794" s="7"/>
      <c r="C5794" s="7"/>
      <c r="D5794" s="7"/>
      <c r="E5794" s="7"/>
      <c r="F5794" s="7"/>
      <c r="G5794" s="7"/>
      <c r="H5794" s="7"/>
      <c r="I5794" s="7"/>
    </row>
    <row r="5795" hidden="1">
      <c r="A5795" s="7"/>
      <c r="B5795" s="7"/>
      <c r="C5795" s="7"/>
      <c r="D5795" s="7"/>
      <c r="E5795" s="7"/>
      <c r="F5795" s="7"/>
      <c r="G5795" s="7"/>
      <c r="H5795" s="7"/>
      <c r="I5795" s="7"/>
    </row>
    <row r="5796" hidden="1">
      <c r="A5796" s="7"/>
      <c r="B5796" s="7"/>
      <c r="C5796" s="7"/>
      <c r="D5796" s="7"/>
      <c r="E5796" s="7"/>
      <c r="F5796" s="7"/>
      <c r="G5796" s="7"/>
      <c r="H5796" s="7"/>
      <c r="I5796" s="7"/>
    </row>
    <row r="5797" hidden="1">
      <c r="A5797" s="7"/>
      <c r="B5797" s="7"/>
      <c r="C5797" s="7"/>
      <c r="D5797" s="7"/>
      <c r="E5797" s="7"/>
      <c r="F5797" s="7"/>
      <c r="G5797" s="7"/>
      <c r="H5797" s="7"/>
      <c r="I5797" s="7"/>
    </row>
    <row r="5798" hidden="1">
      <c r="A5798" s="7"/>
      <c r="B5798" s="7"/>
      <c r="C5798" s="7"/>
      <c r="D5798" s="7"/>
      <c r="E5798" s="7"/>
      <c r="F5798" s="7"/>
      <c r="G5798" s="7"/>
      <c r="H5798" s="7"/>
      <c r="I5798" s="7"/>
    </row>
    <row r="5799" hidden="1">
      <c r="A5799" s="7"/>
      <c r="B5799" s="7"/>
      <c r="C5799" s="7"/>
      <c r="D5799" s="7"/>
      <c r="E5799" s="7"/>
      <c r="F5799" s="7"/>
      <c r="G5799" s="7"/>
      <c r="H5799" s="7"/>
      <c r="I5799" s="7"/>
    </row>
    <row r="5800" hidden="1">
      <c r="A5800" s="7"/>
      <c r="B5800" s="7"/>
      <c r="C5800" s="7"/>
      <c r="D5800" s="7"/>
      <c r="E5800" s="7"/>
      <c r="F5800" s="7"/>
      <c r="G5800" s="7"/>
      <c r="H5800" s="7"/>
      <c r="I5800" s="7"/>
    </row>
    <row r="5801" hidden="1">
      <c r="A5801" s="7"/>
      <c r="B5801" s="7"/>
      <c r="C5801" s="7"/>
      <c r="D5801" s="7"/>
      <c r="E5801" s="7"/>
      <c r="F5801" s="7"/>
      <c r="G5801" s="7"/>
      <c r="H5801" s="7"/>
      <c r="I5801" s="7"/>
    </row>
    <row r="5802" hidden="1">
      <c r="A5802" s="7"/>
      <c r="B5802" s="7"/>
      <c r="C5802" s="7"/>
      <c r="D5802" s="7"/>
      <c r="E5802" s="7"/>
      <c r="F5802" s="7"/>
      <c r="G5802" s="7"/>
      <c r="H5802" s="7"/>
      <c r="I5802" s="7"/>
    </row>
    <row r="5803" hidden="1">
      <c r="A5803" s="7"/>
      <c r="B5803" s="7"/>
      <c r="C5803" s="7"/>
      <c r="D5803" s="7"/>
      <c r="E5803" s="7"/>
      <c r="F5803" s="7"/>
      <c r="G5803" s="7"/>
      <c r="H5803" s="7"/>
      <c r="I5803" s="7"/>
    </row>
    <row r="5804" hidden="1">
      <c r="A5804" s="7"/>
      <c r="B5804" s="7"/>
      <c r="C5804" s="7"/>
      <c r="D5804" s="7"/>
      <c r="E5804" s="7"/>
      <c r="F5804" s="7"/>
      <c r="G5804" s="7"/>
      <c r="H5804" s="7"/>
      <c r="I5804" s="7"/>
    </row>
    <row r="5805" hidden="1">
      <c r="A5805" s="7"/>
      <c r="B5805" s="7"/>
      <c r="C5805" s="7"/>
      <c r="D5805" s="7"/>
      <c r="E5805" s="7"/>
      <c r="F5805" s="7"/>
      <c r="G5805" s="7"/>
      <c r="H5805" s="7"/>
      <c r="I5805" s="7"/>
    </row>
    <row r="5806" hidden="1">
      <c r="A5806" s="7"/>
      <c r="B5806" s="7"/>
      <c r="C5806" s="7"/>
      <c r="D5806" s="7"/>
      <c r="E5806" s="7"/>
      <c r="F5806" s="7"/>
      <c r="G5806" s="7"/>
      <c r="H5806" s="7"/>
      <c r="I5806" s="7"/>
    </row>
    <row r="5807" hidden="1">
      <c r="A5807" s="7"/>
      <c r="B5807" s="7"/>
      <c r="C5807" s="7"/>
      <c r="D5807" s="7"/>
      <c r="E5807" s="7"/>
      <c r="F5807" s="7"/>
      <c r="G5807" s="7"/>
      <c r="H5807" s="7"/>
      <c r="I5807" s="7"/>
    </row>
    <row r="5808" hidden="1">
      <c r="A5808" s="7"/>
      <c r="B5808" s="7"/>
      <c r="C5808" s="7"/>
      <c r="D5808" s="7"/>
      <c r="E5808" s="7"/>
      <c r="F5808" s="7"/>
      <c r="G5808" s="7"/>
      <c r="H5808" s="7"/>
      <c r="I5808" s="7"/>
    </row>
    <row r="5809" hidden="1">
      <c r="A5809" s="7"/>
      <c r="B5809" s="7"/>
      <c r="C5809" s="7"/>
      <c r="D5809" s="7"/>
      <c r="E5809" s="7"/>
      <c r="F5809" s="7"/>
      <c r="G5809" s="7"/>
      <c r="H5809" s="7"/>
      <c r="I5809" s="7"/>
    </row>
    <row r="5810" hidden="1">
      <c r="A5810" s="7"/>
      <c r="B5810" s="7"/>
      <c r="C5810" s="7"/>
      <c r="D5810" s="7"/>
      <c r="E5810" s="7"/>
      <c r="F5810" s="7"/>
      <c r="G5810" s="7"/>
      <c r="H5810" s="7"/>
      <c r="I5810" s="7"/>
    </row>
    <row r="5811" hidden="1">
      <c r="A5811" s="7"/>
      <c r="B5811" s="7"/>
      <c r="C5811" s="7"/>
      <c r="D5811" s="7"/>
      <c r="E5811" s="7"/>
      <c r="F5811" s="7"/>
      <c r="G5811" s="7"/>
      <c r="H5811" s="7"/>
      <c r="I5811" s="7"/>
    </row>
    <row r="5812" hidden="1">
      <c r="A5812" s="7"/>
      <c r="B5812" s="7"/>
      <c r="C5812" s="7"/>
      <c r="D5812" s="7"/>
      <c r="E5812" s="7"/>
      <c r="F5812" s="7"/>
      <c r="G5812" s="7"/>
      <c r="H5812" s="7"/>
      <c r="I5812" s="7"/>
    </row>
    <row r="5813" hidden="1">
      <c r="A5813" s="7"/>
      <c r="B5813" s="7"/>
      <c r="C5813" s="7"/>
      <c r="D5813" s="7"/>
      <c r="E5813" s="7"/>
      <c r="F5813" s="7"/>
      <c r="G5813" s="7"/>
      <c r="H5813" s="7"/>
      <c r="I5813" s="7"/>
    </row>
    <row r="5814" hidden="1">
      <c r="A5814" s="7"/>
      <c r="B5814" s="7"/>
      <c r="C5814" s="7"/>
      <c r="D5814" s="7"/>
      <c r="E5814" s="7"/>
      <c r="F5814" s="7"/>
      <c r="G5814" s="7"/>
      <c r="H5814" s="7"/>
      <c r="I5814" s="7"/>
    </row>
    <row r="5815" hidden="1">
      <c r="A5815" s="7"/>
      <c r="B5815" s="7"/>
      <c r="C5815" s="7"/>
      <c r="D5815" s="7"/>
      <c r="E5815" s="7"/>
      <c r="F5815" s="7"/>
      <c r="G5815" s="7"/>
      <c r="H5815" s="7"/>
      <c r="I5815" s="7"/>
    </row>
    <row r="5816" hidden="1">
      <c r="A5816" s="7"/>
      <c r="B5816" s="7"/>
      <c r="C5816" s="7"/>
      <c r="D5816" s="7"/>
      <c r="E5816" s="7"/>
      <c r="F5816" s="7"/>
      <c r="G5816" s="7"/>
      <c r="H5816" s="7"/>
      <c r="I5816" s="7"/>
    </row>
    <row r="5817" hidden="1">
      <c r="A5817" s="7"/>
      <c r="B5817" s="7"/>
      <c r="C5817" s="7"/>
      <c r="D5817" s="7"/>
      <c r="E5817" s="7"/>
      <c r="F5817" s="7"/>
      <c r="G5817" s="7"/>
      <c r="H5817" s="7"/>
      <c r="I5817" s="7"/>
    </row>
    <row r="5818" hidden="1">
      <c r="A5818" s="7"/>
      <c r="B5818" s="7"/>
      <c r="C5818" s="7"/>
      <c r="D5818" s="7"/>
      <c r="E5818" s="7"/>
      <c r="F5818" s="7"/>
      <c r="G5818" s="7"/>
      <c r="H5818" s="7"/>
      <c r="I5818" s="7"/>
    </row>
    <row r="5819" hidden="1">
      <c r="A5819" s="7"/>
      <c r="B5819" s="7"/>
      <c r="C5819" s="7"/>
      <c r="D5819" s="7"/>
      <c r="E5819" s="7"/>
      <c r="F5819" s="7"/>
      <c r="G5819" s="7"/>
      <c r="H5819" s="7"/>
      <c r="I5819" s="7"/>
    </row>
    <row r="5820" hidden="1">
      <c r="A5820" s="7"/>
      <c r="B5820" s="7"/>
      <c r="C5820" s="7"/>
      <c r="D5820" s="7"/>
      <c r="E5820" s="7"/>
      <c r="F5820" s="7"/>
      <c r="G5820" s="7"/>
      <c r="H5820" s="7"/>
      <c r="I5820" s="7"/>
    </row>
    <row r="5821" hidden="1">
      <c r="A5821" s="7"/>
      <c r="B5821" s="7"/>
      <c r="C5821" s="7"/>
      <c r="D5821" s="7"/>
      <c r="E5821" s="7"/>
      <c r="F5821" s="7"/>
      <c r="G5821" s="7"/>
      <c r="H5821" s="7"/>
      <c r="I5821" s="7"/>
    </row>
    <row r="5822" hidden="1">
      <c r="A5822" s="7"/>
      <c r="B5822" s="7"/>
      <c r="C5822" s="7"/>
      <c r="D5822" s="7"/>
      <c r="E5822" s="7"/>
      <c r="F5822" s="7"/>
      <c r="G5822" s="7"/>
      <c r="H5822" s="7"/>
      <c r="I5822" s="7"/>
    </row>
    <row r="5823" hidden="1">
      <c r="A5823" s="7"/>
      <c r="B5823" s="7"/>
      <c r="C5823" s="7"/>
      <c r="D5823" s="7"/>
      <c r="E5823" s="7"/>
      <c r="F5823" s="7"/>
      <c r="G5823" s="7"/>
      <c r="H5823" s="7"/>
      <c r="I5823" s="7"/>
    </row>
    <row r="5824" hidden="1">
      <c r="A5824" s="7"/>
      <c r="B5824" s="7"/>
      <c r="C5824" s="7"/>
      <c r="D5824" s="7"/>
      <c r="E5824" s="7"/>
      <c r="F5824" s="7"/>
      <c r="G5824" s="7"/>
      <c r="H5824" s="7"/>
      <c r="I5824" s="7"/>
    </row>
    <row r="5825" hidden="1">
      <c r="A5825" s="7"/>
      <c r="B5825" s="7"/>
      <c r="C5825" s="7"/>
      <c r="D5825" s="7"/>
      <c r="E5825" s="7"/>
      <c r="F5825" s="7"/>
      <c r="G5825" s="7"/>
      <c r="H5825" s="7"/>
      <c r="I5825" s="7"/>
    </row>
    <row r="5826" hidden="1">
      <c r="A5826" s="7"/>
      <c r="B5826" s="7"/>
      <c r="C5826" s="7"/>
      <c r="D5826" s="7"/>
      <c r="E5826" s="7"/>
      <c r="F5826" s="7"/>
      <c r="G5826" s="7"/>
      <c r="H5826" s="7"/>
      <c r="I5826" s="7"/>
    </row>
    <row r="5827" hidden="1">
      <c r="A5827" s="7"/>
      <c r="B5827" s="7"/>
      <c r="C5827" s="7"/>
      <c r="D5827" s="7"/>
      <c r="E5827" s="7"/>
      <c r="F5827" s="7"/>
      <c r="G5827" s="7"/>
      <c r="H5827" s="7"/>
      <c r="I5827" s="7"/>
    </row>
    <row r="5828" hidden="1">
      <c r="A5828" s="7"/>
      <c r="B5828" s="7"/>
      <c r="C5828" s="7"/>
      <c r="D5828" s="7"/>
      <c r="E5828" s="7"/>
      <c r="F5828" s="7"/>
      <c r="G5828" s="7"/>
      <c r="H5828" s="7"/>
      <c r="I5828" s="7"/>
    </row>
    <row r="5829" hidden="1">
      <c r="A5829" s="7"/>
      <c r="B5829" s="7"/>
      <c r="C5829" s="7"/>
      <c r="D5829" s="7"/>
      <c r="E5829" s="7"/>
      <c r="F5829" s="7"/>
      <c r="G5829" s="7"/>
      <c r="H5829" s="7"/>
      <c r="I5829" s="7"/>
    </row>
    <row r="5830" hidden="1">
      <c r="A5830" s="7"/>
      <c r="B5830" s="7"/>
      <c r="C5830" s="7"/>
      <c r="D5830" s="7"/>
      <c r="E5830" s="7"/>
      <c r="F5830" s="7"/>
      <c r="G5830" s="7"/>
      <c r="H5830" s="7"/>
      <c r="I5830" s="7"/>
    </row>
    <row r="5831" hidden="1">
      <c r="A5831" s="7"/>
      <c r="B5831" s="7"/>
      <c r="C5831" s="7"/>
      <c r="D5831" s="7"/>
      <c r="E5831" s="7"/>
      <c r="F5831" s="7"/>
      <c r="G5831" s="7"/>
      <c r="H5831" s="7"/>
      <c r="I5831" s="7"/>
    </row>
    <row r="5832" hidden="1">
      <c r="A5832" s="7"/>
      <c r="B5832" s="7"/>
      <c r="C5832" s="7"/>
      <c r="D5832" s="7"/>
      <c r="E5832" s="7"/>
      <c r="F5832" s="7"/>
      <c r="G5832" s="7"/>
      <c r="H5832" s="7"/>
      <c r="I5832" s="7"/>
    </row>
    <row r="5833" hidden="1">
      <c r="A5833" s="7"/>
      <c r="B5833" s="7"/>
      <c r="C5833" s="7"/>
      <c r="D5833" s="7"/>
      <c r="E5833" s="7"/>
      <c r="F5833" s="7"/>
      <c r="G5833" s="7"/>
      <c r="H5833" s="7"/>
      <c r="I5833" s="7"/>
    </row>
    <row r="5834" hidden="1">
      <c r="A5834" s="7"/>
      <c r="B5834" s="7"/>
      <c r="C5834" s="7"/>
      <c r="D5834" s="7"/>
      <c r="E5834" s="7"/>
      <c r="F5834" s="7"/>
      <c r="G5834" s="7"/>
      <c r="H5834" s="7"/>
      <c r="I5834" s="7"/>
    </row>
    <row r="5835" hidden="1">
      <c r="A5835" s="7"/>
      <c r="B5835" s="7"/>
      <c r="C5835" s="7"/>
      <c r="D5835" s="7"/>
      <c r="E5835" s="7"/>
      <c r="F5835" s="7"/>
      <c r="G5835" s="7"/>
      <c r="H5835" s="7"/>
      <c r="I5835" s="7"/>
    </row>
    <row r="5836" hidden="1">
      <c r="A5836" s="7"/>
      <c r="B5836" s="7"/>
      <c r="C5836" s="7"/>
      <c r="D5836" s="7"/>
      <c r="E5836" s="7"/>
      <c r="F5836" s="7"/>
      <c r="G5836" s="7"/>
      <c r="H5836" s="7"/>
      <c r="I5836" s="7"/>
    </row>
    <row r="5837" hidden="1">
      <c r="A5837" s="7"/>
      <c r="B5837" s="7"/>
      <c r="C5837" s="7"/>
      <c r="D5837" s="7"/>
      <c r="E5837" s="7"/>
      <c r="F5837" s="7"/>
      <c r="G5837" s="7"/>
      <c r="H5837" s="7"/>
      <c r="I5837" s="7"/>
    </row>
    <row r="5838" hidden="1">
      <c r="A5838" s="7"/>
      <c r="B5838" s="7"/>
      <c r="C5838" s="7"/>
      <c r="D5838" s="7"/>
      <c r="E5838" s="7"/>
      <c r="F5838" s="7"/>
      <c r="G5838" s="7"/>
      <c r="H5838" s="7"/>
      <c r="I5838" s="7"/>
    </row>
    <row r="5839" hidden="1">
      <c r="A5839" s="7"/>
      <c r="B5839" s="7"/>
      <c r="C5839" s="7"/>
      <c r="D5839" s="7"/>
      <c r="E5839" s="7"/>
      <c r="F5839" s="7"/>
      <c r="G5839" s="7"/>
      <c r="H5839" s="7"/>
      <c r="I5839" s="7"/>
    </row>
    <row r="5840" hidden="1">
      <c r="A5840" s="7"/>
      <c r="B5840" s="7"/>
      <c r="C5840" s="7"/>
      <c r="D5840" s="7"/>
      <c r="E5840" s="7"/>
      <c r="F5840" s="7"/>
      <c r="G5840" s="7"/>
      <c r="H5840" s="7"/>
      <c r="I5840" s="7"/>
    </row>
    <row r="5841" hidden="1">
      <c r="A5841" s="7"/>
      <c r="B5841" s="7"/>
      <c r="C5841" s="7"/>
      <c r="D5841" s="7"/>
      <c r="E5841" s="7"/>
      <c r="F5841" s="7"/>
      <c r="G5841" s="7"/>
      <c r="H5841" s="7"/>
      <c r="I5841" s="7"/>
    </row>
    <row r="5842" hidden="1">
      <c r="A5842" s="7"/>
      <c r="B5842" s="7"/>
      <c r="C5842" s="7"/>
      <c r="D5842" s="7"/>
      <c r="E5842" s="7"/>
      <c r="F5842" s="7"/>
      <c r="G5842" s="7"/>
      <c r="H5842" s="7"/>
      <c r="I5842" s="7"/>
    </row>
    <row r="5843" hidden="1">
      <c r="A5843" s="7"/>
      <c r="B5843" s="7"/>
      <c r="C5843" s="7"/>
      <c r="D5843" s="7"/>
      <c r="E5843" s="7"/>
      <c r="F5843" s="7"/>
      <c r="G5843" s="7"/>
      <c r="H5843" s="7"/>
      <c r="I5843" s="7"/>
    </row>
    <row r="5844" hidden="1">
      <c r="A5844" s="7"/>
      <c r="B5844" s="7"/>
      <c r="C5844" s="7"/>
      <c r="D5844" s="7"/>
      <c r="E5844" s="7"/>
      <c r="F5844" s="7"/>
      <c r="G5844" s="7"/>
      <c r="H5844" s="7"/>
      <c r="I5844" s="7"/>
    </row>
    <row r="5845" hidden="1">
      <c r="A5845" s="7"/>
      <c r="B5845" s="7"/>
      <c r="C5845" s="7"/>
      <c r="D5845" s="7"/>
      <c r="E5845" s="7"/>
      <c r="F5845" s="7"/>
      <c r="G5845" s="7"/>
      <c r="H5845" s="7"/>
      <c r="I5845" s="7"/>
    </row>
    <row r="5846" hidden="1">
      <c r="A5846" s="7"/>
      <c r="B5846" s="7"/>
      <c r="C5846" s="7"/>
      <c r="D5846" s="7"/>
      <c r="E5846" s="7"/>
      <c r="F5846" s="7"/>
      <c r="G5846" s="7"/>
      <c r="H5846" s="7"/>
      <c r="I5846" s="7"/>
    </row>
    <row r="5847" hidden="1">
      <c r="A5847" s="7"/>
      <c r="B5847" s="7"/>
      <c r="C5847" s="7"/>
      <c r="D5847" s="7"/>
      <c r="E5847" s="7"/>
      <c r="F5847" s="7"/>
      <c r="G5847" s="7"/>
      <c r="H5847" s="7"/>
      <c r="I5847" s="7"/>
    </row>
    <row r="5848" hidden="1">
      <c r="A5848" s="7"/>
      <c r="B5848" s="7"/>
      <c r="C5848" s="7"/>
      <c r="D5848" s="7"/>
      <c r="E5848" s="7"/>
      <c r="F5848" s="7"/>
      <c r="G5848" s="7"/>
      <c r="H5848" s="7"/>
      <c r="I5848" s="7"/>
    </row>
    <row r="5849" hidden="1">
      <c r="A5849" s="7"/>
      <c r="B5849" s="7"/>
      <c r="C5849" s="7"/>
      <c r="D5849" s="7"/>
      <c r="E5849" s="7"/>
      <c r="F5849" s="7"/>
      <c r="G5849" s="7"/>
      <c r="H5849" s="7"/>
      <c r="I5849" s="7"/>
    </row>
    <row r="5850" hidden="1">
      <c r="A5850" s="7"/>
      <c r="B5850" s="7"/>
      <c r="C5850" s="7"/>
      <c r="D5850" s="7"/>
      <c r="E5850" s="7"/>
      <c r="F5850" s="7"/>
      <c r="G5850" s="7"/>
      <c r="H5850" s="7"/>
      <c r="I5850" s="7"/>
    </row>
    <row r="5851" hidden="1">
      <c r="A5851" s="7"/>
      <c r="B5851" s="7"/>
      <c r="C5851" s="7"/>
      <c r="D5851" s="7"/>
      <c r="E5851" s="7"/>
      <c r="F5851" s="7"/>
      <c r="G5851" s="7"/>
      <c r="H5851" s="7"/>
      <c r="I5851" s="7"/>
    </row>
    <row r="5852" hidden="1">
      <c r="A5852" s="7"/>
      <c r="B5852" s="7"/>
      <c r="C5852" s="7"/>
      <c r="D5852" s="7"/>
      <c r="E5852" s="7"/>
      <c r="F5852" s="7"/>
      <c r="G5852" s="7"/>
      <c r="H5852" s="7"/>
      <c r="I5852" s="7"/>
    </row>
    <row r="5853" hidden="1">
      <c r="A5853" s="7"/>
      <c r="B5853" s="7"/>
      <c r="C5853" s="7"/>
      <c r="D5853" s="7"/>
      <c r="E5853" s="7"/>
      <c r="F5853" s="7"/>
      <c r="G5853" s="7"/>
      <c r="H5853" s="7"/>
      <c r="I5853" s="7"/>
    </row>
    <row r="5854" hidden="1">
      <c r="A5854" s="7"/>
      <c r="B5854" s="7"/>
      <c r="C5854" s="7"/>
      <c r="D5854" s="7"/>
      <c r="E5854" s="7"/>
      <c r="F5854" s="7"/>
      <c r="G5854" s="7"/>
      <c r="H5854" s="7"/>
      <c r="I5854" s="7"/>
    </row>
    <row r="5855" hidden="1">
      <c r="A5855" s="7"/>
      <c r="B5855" s="7"/>
      <c r="C5855" s="7"/>
      <c r="D5855" s="7"/>
      <c r="E5855" s="7"/>
      <c r="F5855" s="7"/>
      <c r="G5855" s="7"/>
      <c r="H5855" s="7"/>
      <c r="I5855" s="7"/>
    </row>
    <row r="5856" hidden="1">
      <c r="A5856" s="7"/>
      <c r="B5856" s="7"/>
      <c r="C5856" s="7"/>
      <c r="D5856" s="7"/>
      <c r="E5856" s="7"/>
      <c r="F5856" s="7"/>
      <c r="G5856" s="7"/>
      <c r="H5856" s="7"/>
      <c r="I5856" s="7"/>
    </row>
    <row r="5857" hidden="1">
      <c r="A5857" s="7"/>
      <c r="B5857" s="7"/>
      <c r="C5857" s="7"/>
      <c r="D5857" s="7"/>
      <c r="E5857" s="7"/>
      <c r="F5857" s="7"/>
      <c r="G5857" s="7"/>
      <c r="H5857" s="7"/>
      <c r="I5857" s="7"/>
    </row>
    <row r="5858" hidden="1">
      <c r="A5858" s="7"/>
      <c r="B5858" s="7"/>
      <c r="C5858" s="7"/>
      <c r="D5858" s="7"/>
      <c r="E5858" s="7"/>
      <c r="F5858" s="7"/>
      <c r="G5858" s="7"/>
      <c r="H5858" s="7"/>
      <c r="I5858" s="7"/>
    </row>
    <row r="5859" hidden="1">
      <c r="A5859" s="7"/>
      <c r="B5859" s="7"/>
      <c r="C5859" s="7"/>
      <c r="D5859" s="7"/>
      <c r="E5859" s="7"/>
      <c r="F5859" s="7"/>
      <c r="G5859" s="7"/>
      <c r="H5859" s="7"/>
      <c r="I5859" s="7"/>
    </row>
    <row r="5860" hidden="1">
      <c r="A5860" s="7"/>
      <c r="B5860" s="7"/>
      <c r="C5860" s="7"/>
      <c r="D5860" s="7"/>
      <c r="E5860" s="7"/>
      <c r="F5860" s="7"/>
      <c r="G5860" s="7"/>
      <c r="H5860" s="7"/>
      <c r="I5860" s="7"/>
    </row>
    <row r="5861" hidden="1">
      <c r="A5861" s="7"/>
      <c r="B5861" s="7"/>
      <c r="C5861" s="7"/>
      <c r="D5861" s="7"/>
      <c r="E5861" s="7"/>
      <c r="F5861" s="7"/>
      <c r="G5861" s="7"/>
      <c r="H5861" s="7"/>
      <c r="I5861" s="7"/>
    </row>
    <row r="5862" hidden="1">
      <c r="A5862" s="7"/>
      <c r="B5862" s="7"/>
      <c r="C5862" s="7"/>
      <c r="D5862" s="7"/>
      <c r="E5862" s="7"/>
      <c r="F5862" s="7"/>
      <c r="G5862" s="7"/>
      <c r="H5862" s="7"/>
      <c r="I5862" s="7"/>
    </row>
    <row r="5863" hidden="1">
      <c r="A5863" s="7"/>
      <c r="B5863" s="7"/>
      <c r="C5863" s="7"/>
      <c r="D5863" s="7"/>
      <c r="E5863" s="7"/>
      <c r="F5863" s="7"/>
      <c r="G5863" s="7"/>
      <c r="H5863" s="7"/>
      <c r="I5863" s="7"/>
    </row>
    <row r="5864" hidden="1">
      <c r="A5864" s="7"/>
      <c r="B5864" s="7"/>
      <c r="C5864" s="7"/>
      <c r="D5864" s="7"/>
      <c r="E5864" s="7"/>
      <c r="F5864" s="7"/>
      <c r="G5864" s="7"/>
      <c r="H5864" s="7"/>
      <c r="I5864" s="7"/>
    </row>
    <row r="5865" hidden="1">
      <c r="A5865" s="7"/>
      <c r="B5865" s="7"/>
      <c r="C5865" s="7"/>
      <c r="D5865" s="7"/>
      <c r="E5865" s="7"/>
      <c r="F5865" s="7"/>
      <c r="G5865" s="7"/>
      <c r="H5865" s="7"/>
      <c r="I5865" s="7"/>
    </row>
    <row r="5866" hidden="1">
      <c r="A5866" s="7"/>
      <c r="B5866" s="7"/>
      <c r="C5866" s="7"/>
      <c r="D5866" s="7"/>
      <c r="E5866" s="7"/>
      <c r="F5866" s="7"/>
      <c r="G5866" s="7"/>
      <c r="H5866" s="7"/>
      <c r="I5866" s="7"/>
    </row>
    <row r="5867" hidden="1">
      <c r="A5867" s="7"/>
      <c r="B5867" s="7"/>
      <c r="C5867" s="7"/>
      <c r="D5867" s="7"/>
      <c r="E5867" s="7"/>
      <c r="F5867" s="7"/>
      <c r="G5867" s="7"/>
      <c r="H5867" s="7"/>
      <c r="I5867" s="7"/>
    </row>
    <row r="5868" hidden="1">
      <c r="A5868" s="7"/>
      <c r="B5868" s="7"/>
      <c r="C5868" s="7"/>
      <c r="D5868" s="7"/>
      <c r="E5868" s="7"/>
      <c r="F5868" s="7"/>
      <c r="G5868" s="7"/>
      <c r="H5868" s="7"/>
      <c r="I5868" s="7"/>
    </row>
    <row r="5869" hidden="1">
      <c r="A5869" s="7"/>
      <c r="B5869" s="7"/>
      <c r="C5869" s="7"/>
      <c r="D5869" s="7"/>
      <c r="E5869" s="7"/>
      <c r="F5869" s="7"/>
      <c r="G5869" s="7"/>
      <c r="H5869" s="7"/>
      <c r="I5869" s="7"/>
    </row>
    <row r="5870" hidden="1">
      <c r="A5870" s="7"/>
      <c r="B5870" s="7"/>
      <c r="C5870" s="7"/>
      <c r="D5870" s="7"/>
      <c r="E5870" s="7"/>
      <c r="F5870" s="7"/>
      <c r="G5870" s="7"/>
      <c r="H5870" s="7"/>
      <c r="I5870" s="7"/>
    </row>
    <row r="5871" hidden="1">
      <c r="A5871" s="7"/>
      <c r="B5871" s="7"/>
      <c r="C5871" s="7"/>
      <c r="D5871" s="7"/>
      <c r="E5871" s="7"/>
      <c r="F5871" s="7"/>
      <c r="G5871" s="7"/>
      <c r="H5871" s="7"/>
      <c r="I5871" s="7"/>
    </row>
    <row r="5872" hidden="1">
      <c r="A5872" s="7"/>
      <c r="B5872" s="7"/>
      <c r="C5872" s="7"/>
      <c r="D5872" s="7"/>
      <c r="E5872" s="7"/>
      <c r="F5872" s="7"/>
      <c r="G5872" s="7"/>
      <c r="H5872" s="7"/>
      <c r="I5872" s="7"/>
    </row>
    <row r="5873" hidden="1">
      <c r="A5873" s="7"/>
      <c r="B5873" s="7"/>
      <c r="C5873" s="7"/>
      <c r="D5873" s="7"/>
      <c r="E5873" s="7"/>
      <c r="F5873" s="7"/>
      <c r="G5873" s="7"/>
      <c r="H5873" s="7"/>
      <c r="I5873" s="7"/>
    </row>
    <row r="5874" hidden="1">
      <c r="A5874" s="7"/>
      <c r="B5874" s="7"/>
      <c r="C5874" s="7"/>
      <c r="D5874" s="7"/>
      <c r="E5874" s="7"/>
      <c r="F5874" s="7"/>
      <c r="G5874" s="7"/>
      <c r="H5874" s="7"/>
      <c r="I5874" s="7"/>
    </row>
    <row r="5875" hidden="1">
      <c r="A5875" s="7"/>
      <c r="B5875" s="7"/>
      <c r="C5875" s="7"/>
      <c r="D5875" s="7"/>
      <c r="E5875" s="7"/>
      <c r="F5875" s="7"/>
      <c r="G5875" s="7"/>
      <c r="H5875" s="7"/>
      <c r="I5875" s="7"/>
    </row>
    <row r="5876" hidden="1">
      <c r="A5876" s="7"/>
      <c r="B5876" s="7"/>
      <c r="C5876" s="7"/>
      <c r="D5876" s="7"/>
      <c r="E5876" s="7"/>
      <c r="F5876" s="7"/>
      <c r="G5876" s="7"/>
      <c r="H5876" s="7"/>
      <c r="I5876" s="7"/>
    </row>
    <row r="5877" hidden="1">
      <c r="A5877" s="7"/>
      <c r="B5877" s="7"/>
      <c r="C5877" s="7"/>
      <c r="D5877" s="7"/>
      <c r="E5877" s="7"/>
      <c r="F5877" s="7"/>
      <c r="G5877" s="7"/>
      <c r="H5877" s="7"/>
      <c r="I5877" s="7"/>
    </row>
    <row r="5878" hidden="1">
      <c r="A5878" s="7"/>
      <c r="B5878" s="7"/>
      <c r="C5878" s="7"/>
      <c r="D5878" s="7"/>
      <c r="E5878" s="7"/>
      <c r="F5878" s="7"/>
      <c r="G5878" s="7"/>
      <c r="H5878" s="7"/>
      <c r="I5878" s="7"/>
    </row>
    <row r="5879" hidden="1">
      <c r="A5879" s="7"/>
      <c r="B5879" s="7"/>
      <c r="C5879" s="7"/>
      <c r="D5879" s="7"/>
      <c r="E5879" s="7"/>
      <c r="F5879" s="7"/>
      <c r="G5879" s="7"/>
      <c r="H5879" s="7"/>
      <c r="I5879" s="7"/>
    </row>
    <row r="5880" hidden="1">
      <c r="A5880" s="7"/>
      <c r="B5880" s="7"/>
      <c r="C5880" s="7"/>
      <c r="D5880" s="7"/>
      <c r="E5880" s="7"/>
      <c r="F5880" s="7"/>
      <c r="G5880" s="7"/>
      <c r="H5880" s="7"/>
      <c r="I5880" s="7"/>
    </row>
    <row r="5881" hidden="1">
      <c r="A5881" s="7"/>
      <c r="B5881" s="7"/>
      <c r="C5881" s="7"/>
      <c r="D5881" s="7"/>
      <c r="E5881" s="7"/>
      <c r="F5881" s="7"/>
      <c r="G5881" s="7"/>
      <c r="H5881" s="7"/>
      <c r="I5881" s="7"/>
    </row>
    <row r="5882" hidden="1">
      <c r="A5882" s="7"/>
      <c r="B5882" s="7"/>
      <c r="C5882" s="7"/>
      <c r="D5882" s="7"/>
      <c r="E5882" s="7"/>
      <c r="F5882" s="7"/>
      <c r="G5882" s="7"/>
      <c r="H5882" s="7"/>
      <c r="I5882" s="7"/>
    </row>
    <row r="5883" hidden="1">
      <c r="A5883" s="7"/>
      <c r="B5883" s="7"/>
      <c r="C5883" s="7"/>
      <c r="D5883" s="7"/>
      <c r="E5883" s="7"/>
      <c r="F5883" s="7"/>
      <c r="G5883" s="7"/>
      <c r="H5883" s="7"/>
      <c r="I5883" s="7"/>
    </row>
    <row r="5884" hidden="1">
      <c r="A5884" s="7"/>
      <c r="B5884" s="7"/>
      <c r="C5884" s="7"/>
      <c r="D5884" s="7"/>
      <c r="E5884" s="7"/>
      <c r="F5884" s="7"/>
      <c r="G5884" s="7"/>
      <c r="H5884" s="7"/>
      <c r="I5884" s="7"/>
    </row>
    <row r="5885" hidden="1">
      <c r="A5885" s="7"/>
      <c r="B5885" s="7"/>
      <c r="C5885" s="7"/>
      <c r="D5885" s="7"/>
      <c r="E5885" s="7"/>
      <c r="F5885" s="7"/>
      <c r="G5885" s="7"/>
      <c r="H5885" s="7"/>
      <c r="I5885" s="7"/>
    </row>
    <row r="5886" hidden="1">
      <c r="A5886" s="7"/>
      <c r="B5886" s="7"/>
      <c r="C5886" s="7"/>
      <c r="D5886" s="7"/>
      <c r="E5886" s="7"/>
      <c r="F5886" s="7"/>
      <c r="G5886" s="7"/>
      <c r="H5886" s="7"/>
      <c r="I5886" s="7"/>
    </row>
    <row r="5887" hidden="1">
      <c r="A5887" s="7"/>
      <c r="B5887" s="7"/>
      <c r="C5887" s="7"/>
      <c r="D5887" s="7"/>
      <c r="E5887" s="7"/>
      <c r="F5887" s="7"/>
      <c r="G5887" s="7"/>
      <c r="H5887" s="7"/>
      <c r="I5887" s="7"/>
    </row>
    <row r="5888" hidden="1">
      <c r="A5888" s="7"/>
      <c r="B5888" s="7"/>
      <c r="C5888" s="7"/>
      <c r="D5888" s="7"/>
      <c r="E5888" s="7"/>
      <c r="F5888" s="7"/>
      <c r="G5888" s="7"/>
      <c r="H5888" s="7"/>
      <c r="I5888" s="7"/>
    </row>
    <row r="5889" hidden="1">
      <c r="A5889" s="7"/>
      <c r="B5889" s="7"/>
      <c r="C5889" s="7"/>
      <c r="D5889" s="7"/>
      <c r="E5889" s="7"/>
      <c r="F5889" s="7"/>
      <c r="G5889" s="7"/>
      <c r="H5889" s="7"/>
      <c r="I5889" s="7"/>
    </row>
    <row r="5890" hidden="1">
      <c r="A5890" s="7"/>
      <c r="B5890" s="7"/>
      <c r="C5890" s="7"/>
      <c r="D5890" s="7"/>
      <c r="E5890" s="7"/>
      <c r="F5890" s="7"/>
      <c r="G5890" s="7"/>
      <c r="H5890" s="7"/>
      <c r="I5890" s="7"/>
    </row>
    <row r="5891" hidden="1">
      <c r="A5891" s="7"/>
      <c r="B5891" s="7"/>
      <c r="C5891" s="7"/>
      <c r="D5891" s="7"/>
      <c r="E5891" s="7"/>
      <c r="F5891" s="7"/>
      <c r="G5891" s="7"/>
      <c r="H5891" s="7"/>
      <c r="I5891" s="7"/>
    </row>
    <row r="5892" hidden="1">
      <c r="A5892" s="7"/>
      <c r="B5892" s="7"/>
      <c r="C5892" s="7"/>
      <c r="D5892" s="7"/>
      <c r="E5892" s="7"/>
      <c r="F5892" s="7"/>
      <c r="G5892" s="7"/>
      <c r="H5892" s="7"/>
      <c r="I5892" s="7"/>
    </row>
    <row r="5893" hidden="1">
      <c r="A5893" s="7"/>
      <c r="B5893" s="7"/>
      <c r="C5893" s="7"/>
      <c r="D5893" s="7"/>
      <c r="E5893" s="7"/>
      <c r="F5893" s="7"/>
      <c r="G5893" s="7"/>
      <c r="H5893" s="7"/>
      <c r="I5893" s="7"/>
    </row>
    <row r="5894" hidden="1">
      <c r="A5894" s="7"/>
      <c r="B5894" s="7"/>
      <c r="C5894" s="7"/>
      <c r="D5894" s="7"/>
      <c r="E5894" s="7"/>
      <c r="F5894" s="7"/>
      <c r="G5894" s="7"/>
      <c r="H5894" s="7"/>
      <c r="I5894" s="7"/>
    </row>
    <row r="5895" hidden="1">
      <c r="A5895" s="7"/>
      <c r="B5895" s="7"/>
      <c r="C5895" s="7"/>
      <c r="D5895" s="7"/>
      <c r="E5895" s="7"/>
      <c r="F5895" s="7"/>
      <c r="G5895" s="7"/>
      <c r="H5895" s="7"/>
      <c r="I5895" s="7"/>
    </row>
    <row r="5896" hidden="1">
      <c r="A5896" s="7"/>
      <c r="B5896" s="7"/>
      <c r="C5896" s="7"/>
      <c r="D5896" s="7"/>
      <c r="E5896" s="7"/>
      <c r="F5896" s="7"/>
      <c r="G5896" s="7"/>
      <c r="H5896" s="7"/>
      <c r="I5896" s="7"/>
    </row>
    <row r="5897" hidden="1">
      <c r="A5897" s="7"/>
      <c r="B5897" s="7"/>
      <c r="C5897" s="7"/>
      <c r="D5897" s="7"/>
      <c r="E5897" s="7"/>
      <c r="F5897" s="7"/>
      <c r="G5897" s="7"/>
      <c r="H5897" s="7"/>
      <c r="I5897" s="7"/>
    </row>
    <row r="5898" hidden="1">
      <c r="A5898" s="7"/>
      <c r="B5898" s="7"/>
      <c r="C5898" s="7"/>
      <c r="D5898" s="7"/>
      <c r="E5898" s="7"/>
      <c r="F5898" s="7"/>
      <c r="G5898" s="7"/>
      <c r="H5898" s="7"/>
      <c r="I5898" s="7"/>
    </row>
    <row r="5899" hidden="1">
      <c r="A5899" s="7"/>
      <c r="B5899" s="7"/>
      <c r="C5899" s="7"/>
      <c r="D5899" s="7"/>
      <c r="E5899" s="7"/>
      <c r="F5899" s="7"/>
      <c r="G5899" s="7"/>
      <c r="H5899" s="7"/>
      <c r="I5899" s="7"/>
    </row>
    <row r="5900" hidden="1">
      <c r="A5900" s="7"/>
      <c r="B5900" s="7"/>
      <c r="C5900" s="7"/>
      <c r="D5900" s="7"/>
      <c r="E5900" s="7"/>
      <c r="F5900" s="7"/>
      <c r="G5900" s="7"/>
      <c r="H5900" s="7"/>
      <c r="I5900" s="7"/>
    </row>
    <row r="5901" hidden="1">
      <c r="A5901" s="7"/>
      <c r="B5901" s="7"/>
      <c r="C5901" s="7"/>
      <c r="D5901" s="7"/>
      <c r="E5901" s="7"/>
      <c r="F5901" s="7"/>
      <c r="G5901" s="7"/>
      <c r="H5901" s="7"/>
      <c r="I5901" s="7"/>
    </row>
    <row r="5902" hidden="1">
      <c r="A5902" s="7"/>
      <c r="B5902" s="7"/>
      <c r="C5902" s="7"/>
      <c r="D5902" s="7"/>
      <c r="E5902" s="7"/>
      <c r="F5902" s="7"/>
      <c r="G5902" s="7"/>
      <c r="H5902" s="7"/>
      <c r="I5902" s="7"/>
    </row>
    <row r="5903" hidden="1">
      <c r="A5903" s="7"/>
      <c r="B5903" s="7"/>
      <c r="C5903" s="7"/>
      <c r="D5903" s="7"/>
      <c r="E5903" s="7"/>
      <c r="F5903" s="7"/>
      <c r="G5903" s="7"/>
      <c r="H5903" s="7"/>
      <c r="I5903" s="7"/>
    </row>
    <row r="5904" hidden="1">
      <c r="A5904" s="7"/>
      <c r="B5904" s="7"/>
      <c r="C5904" s="7"/>
      <c r="D5904" s="7"/>
      <c r="E5904" s="7"/>
      <c r="F5904" s="7"/>
      <c r="G5904" s="7"/>
      <c r="H5904" s="7"/>
      <c r="I5904" s="7"/>
    </row>
    <row r="5905" hidden="1">
      <c r="A5905" s="7"/>
      <c r="B5905" s="7"/>
      <c r="C5905" s="7"/>
      <c r="D5905" s="7"/>
      <c r="E5905" s="7"/>
      <c r="F5905" s="7"/>
      <c r="G5905" s="7"/>
      <c r="H5905" s="7"/>
      <c r="I5905" s="7"/>
    </row>
    <row r="5906" hidden="1">
      <c r="A5906" s="7"/>
      <c r="B5906" s="7"/>
      <c r="C5906" s="7"/>
      <c r="D5906" s="7"/>
      <c r="E5906" s="7"/>
      <c r="F5906" s="7"/>
      <c r="G5906" s="7"/>
      <c r="H5906" s="7"/>
      <c r="I5906" s="7"/>
    </row>
    <row r="5907" hidden="1">
      <c r="A5907" s="7"/>
      <c r="B5907" s="7"/>
      <c r="C5907" s="7"/>
      <c r="D5907" s="7"/>
      <c r="E5907" s="7"/>
      <c r="F5907" s="7"/>
      <c r="G5907" s="7"/>
      <c r="H5907" s="7"/>
      <c r="I5907" s="7"/>
    </row>
    <row r="5908" hidden="1">
      <c r="A5908" s="7"/>
      <c r="B5908" s="7"/>
      <c r="C5908" s="7"/>
      <c r="D5908" s="7"/>
      <c r="E5908" s="7"/>
      <c r="F5908" s="7"/>
      <c r="G5908" s="7"/>
      <c r="H5908" s="7"/>
      <c r="I5908" s="7"/>
    </row>
    <row r="5909" hidden="1">
      <c r="A5909" s="7"/>
      <c r="B5909" s="7"/>
      <c r="C5909" s="7"/>
      <c r="D5909" s="7"/>
      <c r="E5909" s="7"/>
      <c r="F5909" s="7"/>
      <c r="G5909" s="7"/>
      <c r="H5909" s="7"/>
      <c r="I5909" s="7"/>
    </row>
    <row r="5910" hidden="1">
      <c r="A5910" s="7"/>
      <c r="B5910" s="7"/>
      <c r="C5910" s="7"/>
      <c r="D5910" s="7"/>
      <c r="E5910" s="7"/>
      <c r="F5910" s="7"/>
      <c r="G5910" s="7"/>
      <c r="H5910" s="7"/>
      <c r="I5910" s="7"/>
    </row>
    <row r="5911" hidden="1">
      <c r="A5911" s="7"/>
      <c r="B5911" s="7"/>
      <c r="C5911" s="7"/>
      <c r="D5911" s="7"/>
      <c r="E5911" s="7"/>
      <c r="F5911" s="7"/>
      <c r="G5911" s="7"/>
      <c r="H5911" s="7"/>
      <c r="I5911" s="7"/>
    </row>
    <row r="5912" hidden="1">
      <c r="A5912" s="7"/>
      <c r="B5912" s="7"/>
      <c r="C5912" s="7"/>
      <c r="D5912" s="7"/>
      <c r="E5912" s="7"/>
      <c r="F5912" s="7"/>
      <c r="G5912" s="7"/>
      <c r="H5912" s="7"/>
      <c r="I5912" s="7"/>
    </row>
    <row r="5913" hidden="1">
      <c r="A5913" s="7"/>
      <c r="B5913" s="7"/>
      <c r="C5913" s="7"/>
      <c r="D5913" s="7"/>
      <c r="E5913" s="7"/>
      <c r="F5913" s="7"/>
      <c r="G5913" s="7"/>
      <c r="H5913" s="7"/>
      <c r="I5913" s="7"/>
    </row>
    <row r="5914" hidden="1">
      <c r="A5914" s="7"/>
      <c r="B5914" s="7"/>
      <c r="C5914" s="7"/>
      <c r="D5914" s="7"/>
      <c r="E5914" s="7"/>
      <c r="F5914" s="7"/>
      <c r="G5914" s="7"/>
      <c r="H5914" s="7"/>
      <c r="I5914" s="7"/>
    </row>
    <row r="5915" hidden="1">
      <c r="A5915" s="7"/>
      <c r="B5915" s="7"/>
      <c r="C5915" s="7"/>
      <c r="D5915" s="7"/>
      <c r="E5915" s="7"/>
      <c r="F5915" s="7"/>
      <c r="G5915" s="7"/>
      <c r="H5915" s="7"/>
      <c r="I5915" s="7"/>
    </row>
    <row r="5916" hidden="1">
      <c r="A5916" s="7"/>
      <c r="B5916" s="7"/>
      <c r="C5916" s="7"/>
      <c r="D5916" s="7"/>
      <c r="E5916" s="7"/>
      <c r="F5916" s="7"/>
      <c r="G5916" s="7"/>
      <c r="H5916" s="7"/>
      <c r="I5916" s="7"/>
    </row>
    <row r="5917" hidden="1">
      <c r="A5917" s="7"/>
      <c r="B5917" s="7"/>
      <c r="C5917" s="7"/>
      <c r="D5917" s="7"/>
      <c r="E5917" s="7"/>
      <c r="F5917" s="7"/>
      <c r="G5917" s="7"/>
      <c r="H5917" s="7"/>
      <c r="I5917" s="7"/>
    </row>
    <row r="5918" hidden="1">
      <c r="A5918" s="7"/>
      <c r="B5918" s="7"/>
      <c r="C5918" s="7"/>
      <c r="D5918" s="7"/>
      <c r="E5918" s="7"/>
      <c r="F5918" s="7"/>
      <c r="G5918" s="7"/>
      <c r="H5918" s="7"/>
      <c r="I5918" s="7"/>
    </row>
    <row r="5919" hidden="1">
      <c r="A5919" s="7"/>
      <c r="B5919" s="7"/>
      <c r="C5919" s="7"/>
      <c r="D5919" s="7"/>
      <c r="E5919" s="7"/>
      <c r="F5919" s="7"/>
      <c r="G5919" s="7"/>
      <c r="H5919" s="7"/>
      <c r="I5919" s="7"/>
    </row>
    <row r="5920" hidden="1">
      <c r="A5920" s="7"/>
      <c r="B5920" s="7"/>
      <c r="C5920" s="7"/>
      <c r="D5920" s="7"/>
      <c r="E5920" s="7"/>
      <c r="F5920" s="7"/>
      <c r="G5920" s="7"/>
      <c r="H5920" s="7"/>
      <c r="I5920" s="7"/>
    </row>
    <row r="5921" hidden="1">
      <c r="A5921" s="7"/>
      <c r="B5921" s="7"/>
      <c r="C5921" s="7"/>
      <c r="D5921" s="7"/>
      <c r="E5921" s="7"/>
      <c r="F5921" s="7"/>
      <c r="G5921" s="7"/>
      <c r="H5921" s="7"/>
      <c r="I5921" s="7"/>
    </row>
    <row r="5922" hidden="1">
      <c r="A5922" s="7"/>
      <c r="B5922" s="7"/>
      <c r="C5922" s="7"/>
      <c r="D5922" s="7"/>
      <c r="E5922" s="7"/>
      <c r="F5922" s="7"/>
      <c r="G5922" s="7"/>
      <c r="H5922" s="7"/>
      <c r="I5922" s="7"/>
    </row>
    <row r="5923" hidden="1">
      <c r="A5923" s="7"/>
      <c r="B5923" s="7"/>
      <c r="C5923" s="7"/>
      <c r="D5923" s="7"/>
      <c r="E5923" s="7"/>
      <c r="F5923" s="7"/>
      <c r="G5923" s="7"/>
      <c r="H5923" s="7"/>
      <c r="I5923" s="7"/>
    </row>
    <row r="5924" hidden="1">
      <c r="A5924" s="7"/>
      <c r="B5924" s="7"/>
      <c r="C5924" s="7"/>
      <c r="D5924" s="7"/>
      <c r="E5924" s="7"/>
      <c r="F5924" s="7"/>
      <c r="G5924" s="7"/>
      <c r="H5924" s="7"/>
      <c r="I5924" s="7"/>
    </row>
    <row r="5925" hidden="1">
      <c r="A5925" s="7"/>
      <c r="B5925" s="7"/>
      <c r="C5925" s="7"/>
      <c r="D5925" s="7"/>
      <c r="E5925" s="7"/>
      <c r="F5925" s="7"/>
      <c r="G5925" s="7"/>
      <c r="H5925" s="7"/>
      <c r="I5925" s="7"/>
    </row>
    <row r="5926" hidden="1">
      <c r="A5926" s="7"/>
      <c r="B5926" s="7"/>
      <c r="C5926" s="7"/>
      <c r="D5926" s="7"/>
      <c r="E5926" s="7"/>
      <c r="F5926" s="7"/>
      <c r="G5926" s="7"/>
      <c r="H5926" s="7"/>
      <c r="I5926" s="7"/>
    </row>
    <row r="5927" hidden="1">
      <c r="A5927" s="7"/>
      <c r="B5927" s="7"/>
      <c r="C5927" s="7"/>
      <c r="D5927" s="7"/>
      <c r="E5927" s="7"/>
      <c r="F5927" s="7"/>
      <c r="G5927" s="7"/>
      <c r="H5927" s="7"/>
      <c r="I5927" s="7"/>
    </row>
    <row r="5928" hidden="1">
      <c r="A5928" s="7"/>
      <c r="B5928" s="7"/>
      <c r="C5928" s="7"/>
      <c r="D5928" s="7"/>
      <c r="E5928" s="7"/>
      <c r="F5928" s="7"/>
      <c r="G5928" s="7"/>
      <c r="H5928" s="7"/>
      <c r="I5928" s="7"/>
    </row>
    <row r="5929" hidden="1">
      <c r="A5929" s="7"/>
      <c r="B5929" s="7"/>
      <c r="C5929" s="7"/>
      <c r="D5929" s="7"/>
      <c r="E5929" s="7"/>
      <c r="F5929" s="7"/>
      <c r="G5929" s="7"/>
      <c r="H5929" s="7"/>
      <c r="I5929" s="7"/>
    </row>
    <row r="5930" hidden="1">
      <c r="A5930" s="7"/>
      <c r="B5930" s="7"/>
      <c r="C5930" s="7"/>
      <c r="D5930" s="7"/>
      <c r="E5930" s="7"/>
      <c r="F5930" s="7"/>
      <c r="G5930" s="7"/>
      <c r="H5930" s="7"/>
      <c r="I5930" s="7"/>
    </row>
    <row r="5931" hidden="1">
      <c r="A5931" s="7"/>
      <c r="B5931" s="7"/>
      <c r="C5931" s="7"/>
      <c r="D5931" s="7"/>
      <c r="E5931" s="7"/>
      <c r="F5931" s="7"/>
      <c r="G5931" s="7"/>
      <c r="H5931" s="7"/>
      <c r="I5931" s="7"/>
    </row>
    <row r="5932" hidden="1">
      <c r="A5932" s="7"/>
      <c r="B5932" s="7"/>
      <c r="C5932" s="7"/>
      <c r="D5932" s="7"/>
      <c r="E5932" s="7"/>
      <c r="F5932" s="7"/>
      <c r="G5932" s="7"/>
      <c r="H5932" s="7"/>
      <c r="I5932" s="7"/>
    </row>
    <row r="5933" hidden="1">
      <c r="A5933" s="7"/>
      <c r="B5933" s="7"/>
      <c r="C5933" s="7"/>
      <c r="D5933" s="7"/>
      <c r="E5933" s="7"/>
      <c r="F5933" s="7"/>
      <c r="G5933" s="7"/>
      <c r="H5933" s="7"/>
      <c r="I5933" s="7"/>
    </row>
    <row r="5934" hidden="1">
      <c r="A5934" s="7"/>
      <c r="B5934" s="7"/>
      <c r="C5934" s="7"/>
      <c r="D5934" s="7"/>
      <c r="E5934" s="7"/>
      <c r="F5934" s="7"/>
      <c r="G5934" s="7"/>
      <c r="H5934" s="7"/>
      <c r="I5934" s="7"/>
    </row>
    <row r="5935" hidden="1">
      <c r="A5935" s="7"/>
      <c r="B5935" s="7"/>
      <c r="C5935" s="7"/>
      <c r="D5935" s="7"/>
      <c r="E5935" s="7"/>
      <c r="F5935" s="7"/>
      <c r="G5935" s="7"/>
      <c r="H5935" s="7"/>
      <c r="I5935" s="7"/>
    </row>
    <row r="5936" hidden="1">
      <c r="A5936" s="7"/>
      <c r="B5936" s="7"/>
      <c r="C5936" s="7"/>
      <c r="D5936" s="7"/>
      <c r="E5936" s="7"/>
      <c r="F5936" s="7"/>
      <c r="G5936" s="7"/>
      <c r="H5936" s="7"/>
      <c r="I5936" s="7"/>
    </row>
    <row r="5937" hidden="1">
      <c r="A5937" s="7"/>
      <c r="B5937" s="7"/>
      <c r="C5937" s="7"/>
      <c r="D5937" s="7"/>
      <c r="E5937" s="7"/>
      <c r="F5937" s="7"/>
      <c r="G5937" s="7"/>
      <c r="H5937" s="7"/>
      <c r="I5937" s="7"/>
    </row>
    <row r="5938" hidden="1">
      <c r="A5938" s="7"/>
      <c r="B5938" s="7"/>
      <c r="C5938" s="7"/>
      <c r="D5938" s="7"/>
      <c r="E5938" s="7"/>
      <c r="F5938" s="7"/>
      <c r="G5938" s="7"/>
      <c r="H5938" s="7"/>
      <c r="I5938" s="7"/>
    </row>
    <row r="5939" hidden="1">
      <c r="A5939" s="7"/>
      <c r="B5939" s="7"/>
      <c r="C5939" s="7"/>
      <c r="D5939" s="7"/>
      <c r="E5939" s="7"/>
      <c r="F5939" s="7"/>
      <c r="G5939" s="7"/>
      <c r="H5939" s="7"/>
      <c r="I5939" s="7"/>
    </row>
    <row r="5940" hidden="1">
      <c r="A5940" s="7"/>
      <c r="B5940" s="7"/>
      <c r="C5940" s="7"/>
      <c r="D5940" s="7"/>
      <c r="E5940" s="7"/>
      <c r="F5940" s="7"/>
      <c r="G5940" s="7"/>
      <c r="H5940" s="7"/>
      <c r="I5940" s="7"/>
    </row>
    <row r="5941" hidden="1">
      <c r="A5941" s="7"/>
      <c r="B5941" s="7"/>
      <c r="C5941" s="7"/>
      <c r="D5941" s="7"/>
      <c r="E5941" s="7"/>
      <c r="F5941" s="7"/>
      <c r="G5941" s="7"/>
      <c r="H5941" s="7"/>
      <c r="I5941" s="7"/>
    </row>
    <row r="5942" hidden="1">
      <c r="A5942" s="7"/>
      <c r="B5942" s="7"/>
      <c r="C5942" s="7"/>
      <c r="D5942" s="7"/>
      <c r="E5942" s="7"/>
      <c r="F5942" s="7"/>
      <c r="G5942" s="7"/>
      <c r="H5942" s="7"/>
      <c r="I5942" s="7"/>
    </row>
    <row r="5943" hidden="1">
      <c r="A5943" s="7"/>
      <c r="B5943" s="7"/>
      <c r="C5943" s="7"/>
      <c r="D5943" s="7"/>
      <c r="E5943" s="7"/>
      <c r="F5943" s="7"/>
      <c r="G5943" s="7"/>
      <c r="H5943" s="7"/>
      <c r="I5943" s="7"/>
    </row>
    <row r="5944" hidden="1">
      <c r="A5944" s="7"/>
      <c r="B5944" s="7"/>
      <c r="C5944" s="7"/>
      <c r="D5944" s="7"/>
      <c r="E5944" s="7"/>
      <c r="F5944" s="7"/>
      <c r="G5944" s="7"/>
      <c r="H5944" s="7"/>
      <c r="I5944" s="7"/>
    </row>
    <row r="5945" hidden="1">
      <c r="A5945" s="7"/>
      <c r="B5945" s="7"/>
      <c r="C5945" s="7"/>
      <c r="D5945" s="7"/>
      <c r="E5945" s="7"/>
      <c r="F5945" s="7"/>
      <c r="G5945" s="7"/>
      <c r="H5945" s="7"/>
      <c r="I5945" s="7"/>
    </row>
    <row r="5946" hidden="1">
      <c r="A5946" s="7"/>
      <c r="B5946" s="7"/>
      <c r="C5946" s="7"/>
      <c r="D5946" s="7"/>
      <c r="E5946" s="7"/>
      <c r="F5946" s="7"/>
      <c r="G5946" s="7"/>
      <c r="H5946" s="7"/>
      <c r="I5946" s="7"/>
    </row>
    <row r="5947" hidden="1">
      <c r="A5947" s="7"/>
      <c r="B5947" s="7"/>
      <c r="C5947" s="7"/>
      <c r="D5947" s="7"/>
      <c r="E5947" s="7"/>
      <c r="F5947" s="7"/>
      <c r="G5947" s="7"/>
      <c r="H5947" s="7"/>
      <c r="I5947" s="7"/>
    </row>
    <row r="5948" hidden="1">
      <c r="A5948" s="7"/>
      <c r="B5948" s="7"/>
      <c r="C5948" s="7"/>
      <c r="D5948" s="7"/>
      <c r="E5948" s="7"/>
      <c r="F5948" s="7"/>
      <c r="G5948" s="7"/>
      <c r="H5948" s="7"/>
      <c r="I5948" s="7"/>
    </row>
    <row r="5949" hidden="1">
      <c r="A5949" s="7"/>
      <c r="B5949" s="7"/>
      <c r="C5949" s="7"/>
      <c r="D5949" s="7"/>
      <c r="E5949" s="7"/>
      <c r="F5949" s="7"/>
      <c r="G5949" s="7"/>
      <c r="H5949" s="7"/>
      <c r="I5949" s="7"/>
    </row>
    <row r="5950" hidden="1">
      <c r="A5950" s="7"/>
      <c r="B5950" s="7"/>
      <c r="C5950" s="7"/>
      <c r="D5950" s="7"/>
      <c r="E5950" s="7"/>
      <c r="F5950" s="7"/>
      <c r="G5950" s="7"/>
      <c r="H5950" s="7"/>
      <c r="I5950" s="7"/>
    </row>
    <row r="5951" hidden="1">
      <c r="A5951" s="7"/>
      <c r="B5951" s="7"/>
      <c r="C5951" s="7"/>
      <c r="D5951" s="7"/>
      <c r="E5951" s="7"/>
      <c r="F5951" s="7"/>
      <c r="G5951" s="7"/>
      <c r="H5951" s="7"/>
      <c r="I5951" s="7"/>
    </row>
    <row r="5952" hidden="1">
      <c r="A5952" s="7"/>
      <c r="B5952" s="7"/>
      <c r="C5952" s="7"/>
      <c r="D5952" s="7"/>
      <c r="E5952" s="7"/>
      <c r="F5952" s="7"/>
      <c r="G5952" s="7"/>
      <c r="H5952" s="7"/>
      <c r="I5952" s="7"/>
    </row>
    <row r="5953" hidden="1">
      <c r="A5953" s="7"/>
      <c r="B5953" s="7"/>
      <c r="C5953" s="7"/>
      <c r="D5953" s="7"/>
      <c r="E5953" s="7"/>
      <c r="F5953" s="7"/>
      <c r="G5953" s="7"/>
      <c r="H5953" s="7"/>
      <c r="I5953" s="7"/>
    </row>
    <row r="5954" hidden="1">
      <c r="A5954" s="7"/>
      <c r="B5954" s="7"/>
      <c r="C5954" s="7"/>
      <c r="D5954" s="7"/>
      <c r="E5954" s="7"/>
      <c r="F5954" s="7"/>
      <c r="G5954" s="7"/>
      <c r="H5954" s="7"/>
      <c r="I5954" s="7"/>
    </row>
    <row r="5955" hidden="1">
      <c r="A5955" s="7"/>
      <c r="B5955" s="7"/>
      <c r="C5955" s="7"/>
      <c r="D5955" s="7"/>
      <c r="E5955" s="7"/>
      <c r="F5955" s="7"/>
      <c r="G5955" s="7"/>
      <c r="H5955" s="7"/>
      <c r="I5955" s="7"/>
    </row>
    <row r="5956" hidden="1">
      <c r="A5956" s="7"/>
      <c r="B5956" s="7"/>
      <c r="C5956" s="7"/>
      <c r="D5956" s="7"/>
      <c r="E5956" s="7"/>
      <c r="F5956" s="7"/>
      <c r="G5956" s="7"/>
      <c r="H5956" s="7"/>
      <c r="I5956" s="7"/>
    </row>
    <row r="5957" hidden="1">
      <c r="A5957" s="7"/>
      <c r="B5957" s="7"/>
      <c r="C5957" s="7"/>
      <c r="D5957" s="7"/>
      <c r="E5957" s="7"/>
      <c r="F5957" s="7"/>
      <c r="G5957" s="7"/>
      <c r="H5957" s="7"/>
      <c r="I5957" s="7"/>
    </row>
    <row r="5958" hidden="1">
      <c r="A5958" s="7"/>
      <c r="B5958" s="7"/>
      <c r="C5958" s="7"/>
      <c r="D5958" s="7"/>
      <c r="E5958" s="7"/>
      <c r="F5958" s="7"/>
      <c r="G5958" s="7"/>
      <c r="H5958" s="7"/>
      <c r="I5958" s="7"/>
    </row>
    <row r="5959" hidden="1">
      <c r="A5959" s="7"/>
      <c r="B5959" s="7"/>
      <c r="C5959" s="7"/>
      <c r="D5959" s="7"/>
      <c r="E5959" s="7"/>
      <c r="F5959" s="7"/>
      <c r="G5959" s="7"/>
      <c r="H5959" s="7"/>
      <c r="I5959" s="7"/>
    </row>
    <row r="5960" hidden="1">
      <c r="A5960" s="7"/>
      <c r="B5960" s="7"/>
      <c r="C5960" s="7"/>
      <c r="D5960" s="7"/>
      <c r="E5960" s="7"/>
      <c r="F5960" s="7"/>
      <c r="G5960" s="7"/>
      <c r="H5960" s="7"/>
      <c r="I5960" s="7"/>
    </row>
    <row r="5961" hidden="1">
      <c r="A5961" s="7"/>
      <c r="B5961" s="7"/>
      <c r="C5961" s="7"/>
      <c r="D5961" s="7"/>
      <c r="E5961" s="7"/>
      <c r="F5961" s="7"/>
      <c r="G5961" s="7"/>
      <c r="H5961" s="7"/>
      <c r="I5961" s="7"/>
    </row>
    <row r="5962" hidden="1">
      <c r="A5962" s="7"/>
      <c r="B5962" s="7"/>
      <c r="C5962" s="7"/>
      <c r="D5962" s="7"/>
      <c r="E5962" s="7"/>
      <c r="F5962" s="7"/>
      <c r="G5962" s="7"/>
      <c r="H5962" s="7"/>
      <c r="I5962" s="7"/>
    </row>
    <row r="5963" hidden="1">
      <c r="A5963" s="7"/>
      <c r="B5963" s="7"/>
      <c r="C5963" s="7"/>
      <c r="D5963" s="7"/>
      <c r="E5963" s="7"/>
      <c r="F5963" s="7"/>
      <c r="G5963" s="7"/>
      <c r="H5963" s="7"/>
      <c r="I5963" s="7"/>
    </row>
    <row r="5964" hidden="1">
      <c r="A5964" s="7"/>
      <c r="B5964" s="7"/>
      <c r="C5964" s="7"/>
      <c r="D5964" s="7"/>
      <c r="E5964" s="7"/>
      <c r="F5964" s="7"/>
      <c r="G5964" s="7"/>
      <c r="H5964" s="7"/>
      <c r="I5964" s="7"/>
    </row>
    <row r="5965" hidden="1">
      <c r="A5965" s="7"/>
      <c r="B5965" s="7"/>
      <c r="C5965" s="7"/>
      <c r="D5965" s="7"/>
      <c r="E5965" s="7"/>
      <c r="F5965" s="7"/>
      <c r="G5965" s="7"/>
      <c r="H5965" s="7"/>
      <c r="I5965" s="7"/>
    </row>
    <row r="5966" hidden="1">
      <c r="A5966" s="7"/>
      <c r="B5966" s="7"/>
      <c r="C5966" s="7"/>
      <c r="D5966" s="7"/>
      <c r="E5966" s="7"/>
      <c r="F5966" s="7"/>
      <c r="G5966" s="7"/>
      <c r="H5966" s="7"/>
      <c r="I5966" s="7"/>
    </row>
    <row r="5967" hidden="1">
      <c r="A5967" s="7"/>
      <c r="B5967" s="7"/>
      <c r="C5967" s="7"/>
      <c r="D5967" s="7"/>
      <c r="E5967" s="7"/>
      <c r="F5967" s="7"/>
      <c r="G5967" s="7"/>
      <c r="H5967" s="7"/>
      <c r="I5967" s="7"/>
    </row>
    <row r="5968" hidden="1">
      <c r="A5968" s="7"/>
      <c r="B5968" s="7"/>
      <c r="C5968" s="7"/>
      <c r="D5968" s="7"/>
      <c r="E5968" s="7"/>
      <c r="F5968" s="7"/>
      <c r="G5968" s="7"/>
      <c r="H5968" s="7"/>
      <c r="I5968" s="7"/>
    </row>
    <row r="5969" hidden="1">
      <c r="A5969" s="7"/>
      <c r="B5969" s="7"/>
      <c r="C5969" s="7"/>
      <c r="D5969" s="7"/>
      <c r="E5969" s="7"/>
      <c r="F5969" s="7"/>
      <c r="G5969" s="7"/>
      <c r="H5969" s="7"/>
      <c r="I5969" s="7"/>
    </row>
    <row r="5970" hidden="1">
      <c r="A5970" s="7"/>
      <c r="B5970" s="7"/>
      <c r="C5970" s="7"/>
      <c r="D5970" s="7"/>
      <c r="E5970" s="7"/>
      <c r="F5970" s="7"/>
      <c r="G5970" s="7"/>
      <c r="H5970" s="7"/>
      <c r="I5970" s="7"/>
    </row>
    <row r="5971" hidden="1">
      <c r="A5971" s="7"/>
      <c r="B5971" s="7"/>
      <c r="C5971" s="7"/>
      <c r="D5971" s="7"/>
      <c r="E5971" s="7"/>
      <c r="F5971" s="7"/>
      <c r="G5971" s="7"/>
      <c r="H5971" s="7"/>
      <c r="I5971" s="7"/>
    </row>
    <row r="5972" hidden="1">
      <c r="A5972" s="7"/>
      <c r="B5972" s="7"/>
      <c r="C5972" s="7"/>
      <c r="D5972" s="7"/>
      <c r="E5972" s="7"/>
      <c r="F5972" s="7"/>
      <c r="G5972" s="7"/>
      <c r="H5972" s="7"/>
      <c r="I5972" s="7"/>
    </row>
    <row r="5973" hidden="1">
      <c r="A5973" s="7"/>
      <c r="B5973" s="7"/>
      <c r="C5973" s="7"/>
      <c r="D5973" s="7"/>
      <c r="E5973" s="7"/>
      <c r="F5973" s="7"/>
      <c r="G5973" s="7"/>
      <c r="H5973" s="7"/>
      <c r="I5973" s="7"/>
    </row>
    <row r="5974" hidden="1">
      <c r="A5974" s="7"/>
      <c r="B5974" s="7"/>
      <c r="C5974" s="7"/>
      <c r="D5974" s="7"/>
      <c r="E5974" s="7"/>
      <c r="F5974" s="7"/>
      <c r="G5974" s="7"/>
      <c r="H5974" s="7"/>
      <c r="I5974" s="7"/>
    </row>
    <row r="5975" hidden="1">
      <c r="A5975" s="7"/>
      <c r="B5975" s="7"/>
      <c r="C5975" s="7"/>
      <c r="D5975" s="7"/>
      <c r="E5975" s="7"/>
      <c r="F5975" s="7"/>
      <c r="G5975" s="7"/>
      <c r="H5975" s="7"/>
      <c r="I5975" s="7"/>
    </row>
    <row r="5976" hidden="1">
      <c r="A5976" s="7"/>
      <c r="B5976" s="7"/>
      <c r="C5976" s="7"/>
      <c r="D5976" s="7"/>
      <c r="E5976" s="7"/>
      <c r="F5976" s="7"/>
      <c r="G5976" s="7"/>
      <c r="H5976" s="7"/>
      <c r="I5976" s="7"/>
    </row>
    <row r="5977" hidden="1">
      <c r="A5977" s="7"/>
      <c r="B5977" s="7"/>
      <c r="C5977" s="7"/>
      <c r="D5977" s="7"/>
      <c r="E5977" s="7"/>
      <c r="F5977" s="7"/>
      <c r="G5977" s="7"/>
      <c r="H5977" s="7"/>
      <c r="I5977" s="7"/>
    </row>
    <row r="5978" hidden="1">
      <c r="A5978" s="7"/>
      <c r="B5978" s="7"/>
      <c r="C5978" s="7"/>
      <c r="D5978" s="7"/>
      <c r="E5978" s="7"/>
      <c r="F5978" s="7"/>
      <c r="G5978" s="7"/>
      <c r="H5978" s="7"/>
      <c r="I5978" s="7"/>
    </row>
    <row r="5979" hidden="1">
      <c r="A5979" s="7"/>
      <c r="B5979" s="7"/>
      <c r="C5979" s="7"/>
      <c r="D5979" s="7"/>
      <c r="E5979" s="7"/>
      <c r="F5979" s="7"/>
      <c r="G5979" s="7"/>
      <c r="H5979" s="7"/>
      <c r="I5979" s="7"/>
    </row>
    <row r="5980" hidden="1">
      <c r="A5980" s="7"/>
      <c r="B5980" s="7"/>
      <c r="C5980" s="7"/>
      <c r="D5980" s="7"/>
      <c r="E5980" s="7"/>
      <c r="F5980" s="7"/>
      <c r="G5980" s="7"/>
      <c r="H5980" s="7"/>
      <c r="I5980" s="7"/>
    </row>
    <row r="5981" hidden="1">
      <c r="A5981" s="7"/>
      <c r="B5981" s="7"/>
      <c r="C5981" s="7"/>
      <c r="D5981" s="7"/>
      <c r="E5981" s="7"/>
      <c r="F5981" s="7"/>
      <c r="G5981" s="7"/>
      <c r="H5981" s="7"/>
      <c r="I5981" s="7"/>
    </row>
    <row r="5982" hidden="1">
      <c r="A5982" s="7"/>
      <c r="B5982" s="7"/>
      <c r="C5982" s="7"/>
      <c r="D5982" s="7"/>
      <c r="E5982" s="7"/>
      <c r="F5982" s="7"/>
      <c r="G5982" s="7"/>
      <c r="H5982" s="7"/>
      <c r="I5982" s="7"/>
    </row>
    <row r="5983" hidden="1">
      <c r="A5983" s="7"/>
      <c r="B5983" s="7"/>
      <c r="C5983" s="7"/>
      <c r="D5983" s="7"/>
      <c r="E5983" s="7"/>
      <c r="F5983" s="7"/>
      <c r="G5983" s="7"/>
      <c r="H5983" s="7"/>
      <c r="I5983" s="7"/>
    </row>
    <row r="5984" hidden="1">
      <c r="A5984" s="7"/>
      <c r="B5984" s="7"/>
      <c r="C5984" s="7"/>
      <c r="D5984" s="7"/>
      <c r="E5984" s="7"/>
      <c r="F5984" s="7"/>
      <c r="G5984" s="7"/>
      <c r="H5984" s="7"/>
      <c r="I5984" s="7"/>
    </row>
    <row r="5985" hidden="1">
      <c r="A5985" s="7"/>
      <c r="B5985" s="7"/>
      <c r="C5985" s="7"/>
      <c r="D5985" s="7"/>
      <c r="E5985" s="7"/>
      <c r="F5985" s="7"/>
      <c r="G5985" s="7"/>
      <c r="H5985" s="7"/>
      <c r="I5985" s="7"/>
    </row>
    <row r="5986" hidden="1">
      <c r="A5986" s="7"/>
      <c r="B5986" s="7"/>
      <c r="C5986" s="7"/>
      <c r="D5986" s="7"/>
      <c r="E5986" s="7"/>
      <c r="F5986" s="7"/>
      <c r="G5986" s="7"/>
      <c r="H5986" s="7"/>
      <c r="I5986" s="7"/>
    </row>
    <row r="5987" hidden="1">
      <c r="A5987" s="7"/>
      <c r="B5987" s="7"/>
      <c r="C5987" s="7"/>
      <c r="D5987" s="7"/>
      <c r="E5987" s="7"/>
      <c r="F5987" s="7"/>
      <c r="G5987" s="7"/>
      <c r="H5987" s="7"/>
      <c r="I5987" s="7"/>
    </row>
    <row r="5988" hidden="1">
      <c r="A5988" s="7"/>
      <c r="B5988" s="7"/>
      <c r="C5988" s="7"/>
      <c r="D5988" s="7"/>
      <c r="E5988" s="7"/>
      <c r="F5988" s="7"/>
      <c r="G5988" s="7"/>
      <c r="H5988" s="7"/>
      <c r="I5988" s="7"/>
    </row>
    <row r="5989" hidden="1">
      <c r="A5989" s="7"/>
      <c r="B5989" s="7"/>
      <c r="C5989" s="7"/>
      <c r="D5989" s="7"/>
      <c r="E5989" s="7"/>
      <c r="F5989" s="7"/>
      <c r="G5989" s="7"/>
      <c r="H5989" s="7"/>
      <c r="I5989" s="7"/>
    </row>
    <row r="5990" hidden="1">
      <c r="A5990" s="7"/>
      <c r="B5990" s="7"/>
      <c r="C5990" s="7"/>
      <c r="D5990" s="7"/>
      <c r="E5990" s="7"/>
      <c r="F5990" s="7"/>
      <c r="G5990" s="7"/>
      <c r="H5990" s="7"/>
      <c r="I5990" s="7"/>
    </row>
    <row r="5991" hidden="1">
      <c r="A5991" s="7"/>
      <c r="B5991" s="7"/>
      <c r="C5991" s="7"/>
      <c r="D5991" s="7"/>
      <c r="E5991" s="7"/>
      <c r="F5991" s="7"/>
      <c r="G5991" s="7"/>
      <c r="H5991" s="7"/>
      <c r="I5991" s="7"/>
    </row>
    <row r="5992" hidden="1">
      <c r="A5992" s="7"/>
      <c r="B5992" s="7"/>
      <c r="C5992" s="7"/>
      <c r="D5992" s="7"/>
      <c r="E5992" s="7"/>
      <c r="F5992" s="7"/>
      <c r="G5992" s="7"/>
      <c r="H5992" s="7"/>
      <c r="I5992" s="7"/>
    </row>
    <row r="5993" hidden="1">
      <c r="A5993" s="7"/>
      <c r="B5993" s="7"/>
      <c r="C5993" s="7"/>
      <c r="D5993" s="7"/>
      <c r="E5993" s="7"/>
      <c r="F5993" s="7"/>
      <c r="G5993" s="7"/>
      <c r="H5993" s="7"/>
      <c r="I5993" s="7"/>
    </row>
    <row r="5994" hidden="1">
      <c r="A5994" s="7"/>
      <c r="B5994" s="7"/>
      <c r="C5994" s="7"/>
      <c r="D5994" s="7"/>
      <c r="E5994" s="7"/>
      <c r="F5994" s="7"/>
      <c r="G5994" s="7"/>
      <c r="H5994" s="7"/>
      <c r="I5994" s="7"/>
    </row>
    <row r="5995" hidden="1">
      <c r="A5995" s="7"/>
      <c r="B5995" s="7"/>
      <c r="C5995" s="7"/>
      <c r="D5995" s="7"/>
      <c r="E5995" s="7"/>
      <c r="F5995" s="7"/>
      <c r="G5995" s="7"/>
      <c r="H5995" s="7"/>
      <c r="I5995" s="7"/>
    </row>
    <row r="5996" hidden="1">
      <c r="A5996" s="7"/>
      <c r="B5996" s="7"/>
      <c r="C5996" s="7"/>
      <c r="D5996" s="7"/>
      <c r="E5996" s="7"/>
      <c r="F5996" s="7"/>
      <c r="G5996" s="7"/>
      <c r="H5996" s="7"/>
      <c r="I5996" s="7"/>
    </row>
    <row r="5997" hidden="1">
      <c r="A5997" s="7"/>
      <c r="B5997" s="7"/>
      <c r="C5997" s="7"/>
      <c r="D5997" s="7"/>
      <c r="E5997" s="7"/>
      <c r="F5997" s="7"/>
      <c r="G5997" s="7"/>
      <c r="H5997" s="7"/>
      <c r="I5997" s="7"/>
    </row>
    <row r="5998" hidden="1">
      <c r="A5998" s="7"/>
      <c r="B5998" s="7"/>
      <c r="C5998" s="7"/>
      <c r="D5998" s="7"/>
      <c r="E5998" s="7"/>
      <c r="F5998" s="7"/>
      <c r="G5998" s="7"/>
      <c r="H5998" s="7"/>
      <c r="I5998" s="7"/>
    </row>
    <row r="5999" hidden="1">
      <c r="A5999" s="7"/>
      <c r="B5999" s="7"/>
      <c r="C5999" s="7"/>
      <c r="D5999" s="7"/>
      <c r="E5999" s="7"/>
      <c r="F5999" s="7"/>
      <c r="G5999" s="7"/>
      <c r="H5999" s="7"/>
      <c r="I5999" s="7"/>
    </row>
    <row r="6000" hidden="1">
      <c r="A6000" s="7"/>
      <c r="B6000" s="7"/>
      <c r="C6000" s="7"/>
      <c r="D6000" s="7"/>
      <c r="E6000" s="7"/>
      <c r="F6000" s="7"/>
      <c r="G6000" s="7"/>
      <c r="H6000" s="7"/>
      <c r="I6000" s="7"/>
    </row>
    <row r="6001" hidden="1">
      <c r="A6001" s="7"/>
      <c r="B6001" s="7"/>
      <c r="C6001" s="7"/>
      <c r="D6001" s="7"/>
      <c r="E6001" s="7"/>
      <c r="F6001" s="7"/>
      <c r="G6001" s="7"/>
      <c r="H6001" s="7"/>
      <c r="I6001" s="7"/>
    </row>
  </sheetData>
  <autoFilter ref="$B$1:$B$6001">
    <filterColumn colId="0">
      <filters>
        <filter val="RM 1,678,225"/>
        <filter val="RM 828,000"/>
        <filter val="RM 7,230,000"/>
        <filter val="RM 925,000"/>
        <filter val="RM 3,700,000"/>
        <filter val="RM 973,150"/>
        <filter val="RM 658,000"/>
        <filter val="RM 577,000"/>
        <filter val="RM 933,000"/>
        <filter val="RM 2,688,800"/>
        <filter val="RM 2,570,400"/>
        <filter val="RM 1,637,500"/>
        <filter val="RM 755,000"/>
        <filter val="RM 2,250,000"/>
        <filter val="RM 690,000"/>
        <filter val="RM 4,098,000"/>
        <filter val="RM 5,750,000"/>
        <filter val="RM 988,000"/>
        <filter val="RM 1,640,000"/>
        <filter val="RM 496,000"/>
        <filter val="RM 3,941,000"/>
        <filter val="RM 399,000"/>
        <filter val="RM 1,268,000"/>
        <filter val="RM 1,035,000"/>
        <filter val="RM 3,190,000"/>
        <filter val="RM 1,967,750"/>
        <filter val="RM 2,580,000"/>
        <filter val="RM 7,400,000"/>
        <filter val="RM 49,000,000"/>
        <filter val="RM 2,982,000"/>
        <filter val="RM 1,783,000"/>
        <filter val="RM 328,000"/>
        <filter val="RM 2,990,000"/>
        <filter val="RM 4,400,000"/>
        <filter val="RM 1,589,000"/>
        <filter val="RM 6,450,000"/>
        <filter val="RM 3,748,080"/>
        <filter val="RM 345,000"/>
        <filter val="RM 1,121,800"/>
        <filter val="RM 620,000"/>
        <filter val="RM 384,384"/>
        <filter val="RM 648,888"/>
        <filter val="RM 530,000"/>
        <filter val="RM 1,849,000"/>
        <filter val="RM 3,280,000"/>
        <filter val="RM 5,580,000"/>
        <filter val="RM 2,420,000"/>
        <filter val="RM 414,600"/>
        <filter val="RM 488,000"/>
        <filter val="RM 2,772,100"/>
        <filter val="RM 3,690,000"/>
        <filter val="RM 1,550,000"/>
        <filter val="RM 6,700,000"/>
        <filter val="RM 898,000"/>
        <filter val="RM 2,788,000"/>
        <filter val="RM 880,900"/>
        <filter val="RM 6,523,000"/>
        <filter val="RM 748,000"/>
        <filter val="RM 2,660,000"/>
        <filter val="RM 3,886,800"/>
        <filter val="RM 916,000"/>
        <filter val="RM 2,146,000"/>
        <filter val="RM 1,999,000"/>
        <filter val="RM 5,670,000"/>
        <filter val="RM 675,000"/>
        <filter val="RM 578,000"/>
        <filter val="RM 1,518,000"/>
        <filter val="RM 950,000"/>
        <filter val="RM 479,000"/>
        <filter val="RM 3,513,000"/>
        <filter val="RM 770,000"/>
        <filter val="RM 3,780,000"/>
        <filter val="RM 495,000"/>
        <filter val="RM 3,843,000"/>
        <filter val="RM 8,476,050"/>
        <filter val="RM 1,050,000"/>
        <filter val="RM 515,000"/>
        <filter val="RM 6,065,800"/>
        <filter val="RM 1,348,000"/>
        <filter val="RM 2,152,000"/>
        <filter val="RM 1,970,000"/>
        <filter val="RM 418,000"/>
        <filter val="RM 1,720,000"/>
        <filter val="RM 4,957,719"/>
        <filter val="RM 4,550,000"/>
        <filter val="RM 425,000"/>
        <filter val="RM 1,880,000"/>
        <filter val="RM 280,000"/>
        <filter val="RM 3,252,600"/>
        <filter val="RM 2,159,999"/>
        <filter val="RM 1,370,650"/>
        <filter val="RM 408,000"/>
        <filter val="RM 700,000"/>
        <filter val="RM 263,000"/>
        <filter val="RM 335,000"/>
        <filter val="RM 5,500,000"/>
        <filter val="RM 359,999"/>
        <filter val="RM 1,455,000"/>
        <filter val="RM 1,730,000"/>
        <filter val="RM 783,990"/>
        <filter val="RM 610,000"/>
        <filter val="RM 1,438,000"/>
        <filter val="RM 508,000"/>
        <filter val="RM 1,804,275"/>
        <filter val="RM 1,472,920"/>
        <filter val="RM 2,500,000"/>
        <filter val="RM 1,288,972"/>
        <filter val="RM 2,750,000"/>
        <filter val="RM 585,000"/>
        <filter val="RM 860,000"/>
        <filter val="RM 3,609,950"/>
        <filter val="RM 1,790,000"/>
        <filter val="RM 568,000"/>
        <filter val="RM 3,166,000"/>
        <filter val="RM 2,080,000"/>
        <filter val="RM 1,688,000"/>
        <filter val="RM 5,600,000"/>
        <filter val="RM 1,473,950"/>
        <filter val="RM 7,607,600"/>
        <filter val="RM 5,129,000"/>
        <filter val="RM 1,060,000"/>
        <filter val="RM 4,266,600"/>
        <filter val="RM 870,000"/>
        <filter val="RM 498,000"/>
        <filter val="RM 2,244,000"/>
        <filter val="RM 1,088,000"/>
        <filter val="RM 795,308"/>
        <filter val="RM 2,473,000"/>
        <filter val="RM 7,980,000"/>
        <filter val="RM 1,630,000"/>
        <filter val="RM 9,300,000"/>
        <filter val="RM 1,290,800"/>
        <filter val="RM 1,150,000"/>
        <filter val="RM 1,178,850"/>
        <filter val="RM 3,680,000"/>
        <filter val="RM 2,688,888"/>
        <filter val="RM 1,053,000"/>
        <filter val="RM 1,460,000"/>
        <filter val="RM 915,000"/>
        <filter val="RM 3,963,960"/>
        <filter val="RM 999,999"/>
        <filter val="RM 1,998,000"/>
        <filter val="RM 419,000"/>
        <filter val="RM 656,000"/>
        <filter val="RM 2,000,000"/>
        <filter val="RM 1,480,000"/>
        <filter val="RM 2,895,000"/>
        <filter val="RM 1,035,880"/>
        <filter val="RM 12,800,000"/>
        <filter val="RM 1,719,148"/>
        <filter val="RM 749,000"/>
        <filter val="RM 1,890,000"/>
        <filter val="RM 440,000"/>
        <filter val="RM 8,500,000"/>
        <filter val="RM 575,000"/>
        <filter val="RM 435,000"/>
        <filter val="RM 478,000"/>
        <filter val="RM 47,916,000"/>
        <filter val="RM 998,000"/>
        <filter val="RM 2,930,000"/>
        <filter val="RM 3,350,000"/>
        <filter val="RM 1,731,000"/>
        <filter val="RM 1,448,000"/>
        <filter val="RM 505,000"/>
        <filter val="RM 10,000,000"/>
        <filter val="RM 5,490,000"/>
        <filter val="RM 468,600"/>
        <filter val="RM 432,000"/>
        <filter val="RM 362,000"/>
        <filter val="RM 1,668,000"/>
        <filter val="RM 618,500"/>
        <filter val="RM 1,125,460"/>
        <filter val="RM 1,960,000"/>
        <filter val="RM 513,000"/>
        <filter val="RM 3,950,000"/>
        <filter val="RM 1,123,000"/>
        <filter val="RM 3,484,600"/>
        <filter val="RM 488,888"/>
        <filter val="RM 1,035,860"/>
        <filter val="RM 460,000"/>
        <filter val="RM 9,800,000"/>
        <filter val="RM 940,000"/>
        <filter val="RM 648,000"/>
        <filter val="RM 2,100,000"/>
        <filter val="RM 7,150,000"/>
        <filter val="RM 2,757,725"/>
        <filter val="RM 7,172,300"/>
        <filter val="RM 949,999"/>
        <filter val="RM 799,000"/>
        <filter val="RM 1,710,000"/>
        <filter val="RM 9,700,000"/>
        <filter val="RM 15,000,000"/>
        <filter val="RM 985,000"/>
        <filter val="RM 2,350,000"/>
        <filter val="RM 1,318,350"/>
        <filter val="RM 4,834,740"/>
        <filter val="RM 1,303,000"/>
        <filter val="RM 1,230,000"/>
        <filter val="RM 569,200"/>
        <filter val="RM 10,500,000"/>
        <filter val="RM 606,000"/>
        <filter val="RM 497,000"/>
        <filter val="RM 3,264,000"/>
        <filter val="RM 3,450,000"/>
        <filter val="RM 1,125,000"/>
        <filter val="RM 428,000"/>
        <filter val="RM 790,000"/>
        <filter val="RM 1,875,000"/>
        <filter val="RM 1,380,000"/>
        <filter val="RM 835,000"/>
        <filter val="RM 3,738,000"/>
        <filter val="RM 1,188,000"/>
        <filter val="RM 4,390,000"/>
        <filter val="RM 1,560,000"/>
        <filter val="RM 978,458"/>
        <filter val="RM 974,600"/>
        <filter val="RM 1,052,000"/>
        <filter val="RM 2,980,000"/>
        <filter val="RM 105,000"/>
        <filter val="RM 360,000"/>
        <filter val="RM 612,000"/>
        <filter val="RM 908,000"/>
        <filter val="RM 655,000"/>
        <filter val="RM 2,719,000"/>
        <filter val="RM 11,600,000"/>
        <filter val="RM 1,723,500"/>
        <filter val="RM 2,330,000"/>
        <filter val="RM 8,070,240"/>
        <filter val="RM 398,000"/>
        <filter val="RM 4,900,000"/>
        <filter val="RM 2,284,620"/>
        <filter val="RM 619,999"/>
        <filter val="RM 7,480,000"/>
        <filter val="RM 561,100"/>
        <filter val="RM 248,000"/>
        <filter val="RM 8,000,000"/>
        <filter val="RM 1,130,000"/>
        <filter val="RM 397,000"/>
        <filter val="RM 1,295,000"/>
        <filter val="RM 3,200,000"/>
        <filter val="RM 1,818,500"/>
        <filter val="RM 2,150,000"/>
        <filter val="RM 2,680,000"/>
        <filter val="RM 2,388,000"/>
        <filter val="RM 8,100,000"/>
        <filter val="RM 2,414,710"/>
        <filter val="RM 11,800,000"/>
        <filter val="RM 4,800,000"/>
        <filter val="RM 728,000"/>
        <filter val="RM 3,300,000"/>
        <filter val="RM 899,000"/>
        <filter val="RM 2,434,900"/>
        <filter val="RM 408"/>
        <filter val="RM 540,000"/>
        <filter val="RM 2,290,710"/>
        <filter val="RM 978,000"/>
        <filter val="RM 1,410,000"/>
        <filter val="RM 2,789,000"/>
        <filter val="RM 2,910,000"/>
        <filter val="RM 333,000"/>
        <filter val="RM 7,875,000"/>
        <filter val="RM 518,000"/>
        <filter val="RM 2,889,000"/>
        <filter val="RM 2,900,000"/>
        <filter val="RM 2,270,000"/>
        <filter val="RM 4,756,000"/>
        <filter val="RM 348,000"/>
        <filter val="RM 1,160,000"/>
        <filter val="RM 445,000"/>
        <filter val="RM 615,000"/>
        <filter val="RM 4,950,000"/>
        <filter val="RM 2,730,000"/>
        <filter val="RM 1,620,000"/>
        <filter val="RM 2,196,000"/>
        <filter val="RM 2,688,000"/>
        <filter val="RM 579,999"/>
        <filter val="RM 9,600,000"/>
        <filter val="RM 914,160"/>
        <filter val="RM 600,000"/>
        <filter val="RM 589,000"/>
        <filter val="RM 1,450,000"/>
        <filter val="RM 1,078,000"/>
        <filter val="RM 3,100,000"/>
        <filter val="RM 719,000"/>
        <filter val="RM 1,780,000"/>
        <filter val="RM 385,600"/>
        <filter val="RM 1,206,600"/>
        <filter val="RM 2,440,000"/>
        <filter val="RM 275,000"/>
        <filter val="RM 3,364,000"/>
        <filter val="RM 6,880,000"/>
        <filter val="RM 3,244,000"/>
        <filter val="RM 1,490,000"/>
        <filter val="RM 5,900,000"/>
        <filter val="RM 1,377,000"/>
        <filter val="RM 388,000"/>
        <filter val="RM 5,200,000"/>
        <filter val="RM 7,500,000"/>
        <filter val="RM 2,655,400"/>
        <filter val="RM 6,385,950"/>
        <filter val="RM 7,570,450"/>
        <filter val="RM 4,958,000"/>
        <filter val="RM 298,000"/>
        <filter val="RM 945,000"/>
        <filter val="RM 573,000"/>
        <filter val="RM 6,220,000"/>
        <filter val="RM 3,790,000"/>
        <filter val="RM 4,080,000"/>
        <filter val="RM 676,775"/>
        <filter val="RM 2,480,000"/>
        <filter val="RM 4,780,000"/>
        <filter val="RM 3,090,000"/>
        <filter val="RM 499,000"/>
        <filter val="RM 430,000"/>
        <filter val="RM 18,500,000"/>
        <filter val="RM 5,878,950"/>
        <filter val="RM 4,599,999"/>
        <filter val="RM 2,126,000"/>
        <filter val="RM 6,380,000"/>
        <filter val="RM 1,038,000"/>
        <filter val="RM 2,180,000"/>
        <filter val="RM 2,500"/>
        <filter val="RM 1,690,000"/>
        <filter val="RM 1,779,286"/>
        <filter val="RM 7,000,000"/>
        <filter val="RM 2,253,000"/>
        <filter val="RM 3,300"/>
        <filter val="RM 1,642,744"/>
        <filter val="RM 2,828,280"/>
        <filter val="RM 1,990,000"/>
        <filter val="RM 7,300,000"/>
        <filter val="RM 1,138,060"/>
        <filter val="RM 710,550"/>
        <filter val="RM 2,200,000"/>
        <filter val="RM 1,739,000"/>
        <filter val="RM 2,357,000"/>
        <filter val="RM 538,500"/>
        <filter val="RM 975,000"/>
        <filter val="RM 4,250,000"/>
        <filter val="RM 588,880"/>
        <filter val="RM 960,000"/>
        <filter val="RM 558,000"/>
        <filter val="RM 685,000"/>
        <filter val="RM 470,000"/>
        <filter val="RM 10,734,750"/>
        <filter val="RM 705,000"/>
        <filter val="RM 5,400,000"/>
        <filter val="RM 815,000"/>
        <filter val="RM 1,431,886"/>
        <filter val="RM 485,000"/>
        <filter val="RM 299,000"/>
        <filter val="RM 760,000"/>
        <filter val="RM 16,000,000"/>
        <filter val="RM 670,000"/>
        <filter val="RM 6,680,000"/>
        <filter val="RM 1,820,000"/>
        <filter val="RM 557,000"/>
        <filter val="RM 2,400,000"/>
        <filter val="RM 3,960,000"/>
        <filter val="RM 15,800,000"/>
        <filter val="RM 4,450,000"/>
        <filter val="RM 289,000"/>
        <filter val="RM 2,310,000"/>
        <filter val="RM 2,052,000"/>
        <filter val="RM 230,000"/>
        <filter val="RM 2,171,505"/>
        <filter val="RM 229,000"/>
        <filter val="RM 4,980,000"/>
        <filter val="RM 504,000"/>
        <filter val="RM 1,979,250"/>
        <filter val="RM 2,535,300"/>
        <filter val="RM 318,000"/>
        <filter val="RM 848,000"/>
        <filter val="RM 1,920,000"/>
        <filter val="RM 1,980,000"/>
        <filter val="RM 2,285,000"/>
        <filter val="RM 431,000"/>
        <filter val="RM 5,149,300"/>
        <filter val="RM 881,100"/>
        <filter val="RM 800,000"/>
        <filter val="RM 3,259,200"/>
        <filter val="RM 2,268,000"/>
        <filter val="RM 905,000"/>
        <filter val="RM 2,940,000"/>
        <filter val="RM 389,000"/>
        <filter val="RM 1,852,000"/>
        <filter val="RM 5,214,000"/>
        <filter val="RM 5,231,000"/>
        <filter val="RM 1,250,000"/>
        <filter val="RM 4,995,000"/>
        <filter val="RM 2,464,350"/>
        <filter val="RM 130,000"/>
        <filter val="RM 1,320,000"/>
        <filter val="RM 13,000,000"/>
        <filter val="RM 3,990,000"/>
        <filter val="RM 2,740,000"/>
        <filter val="RM 1,177,000"/>
        <filter val="RM 285,000"/>
        <filter val="RM 315,000"/>
        <filter val="RM 730,000"/>
        <filter val="RM 358,000"/>
        <filter val="RM 1,290,000"/>
        <filter val="RM 7,612,600"/>
        <filter val="RM 5,000,000"/>
        <filter val="RM 2,716,000"/>
        <filter val="RM 529,600"/>
        <filter val="RM 1,790,820"/>
        <filter val="RM 3,230,000"/>
        <filter val="RM 818,000"/>
        <filter val="RM 4,179,628"/>
        <filter val="RM 601,469"/>
        <filter val="RM 2,570,000"/>
        <filter val="RM 10,267,000"/>
        <filter val="RM 2,140,000"/>
        <filter val="RM 3,560,000"/>
        <filter val="RM 2,945,910"/>
        <filter val="RM 559,000"/>
        <filter val="RM 1,033,000"/>
        <filter val="RM 3,270,600"/>
        <filter val="RM 2,600,000"/>
        <filter val="RM 1,207,000"/>
        <filter val="RM 1,750,000"/>
        <filter val="RM 10,051,000"/>
        <filter val="RM 7,700,000"/>
        <filter val="RM 2,188,533"/>
        <filter val="RM 718,000"/>
        <filter val="RM 15,554,250"/>
        <filter val="RM 3,317,400"/>
        <filter val="RM 3,261,000"/>
        <filter val="RM 2,357,250"/>
        <filter val="RM 1,307,475"/>
        <filter val="RM 2,999,000"/>
        <filter val="RM 300,000"/>
        <filter val="RM 1,650,000"/>
        <filter val="RM 2,700,000"/>
        <filter val="RM 415,000"/>
        <filter val="RM 7,600,000"/>
        <filter val="RM 6,335,000"/>
        <filter val="RM 370,000"/>
        <filter val="RM 1,994,000"/>
        <filter val="RM 1,358,120"/>
        <filter val="RM 298,888"/>
        <filter val="RM 2,670,000"/>
        <filter val="RM 270,000"/>
        <filter val="RM 789,000"/>
        <filter val="RM 1,390,000"/>
        <filter val="RM 458,000"/>
        <filter val="RM 661,700"/>
        <filter val="RM 1,149,000"/>
        <filter val="RM 486,000"/>
        <filter val="RM 400,000"/>
        <filter val="RM 2,284,000"/>
        <filter val="RM 6,350,000"/>
        <filter val="RM 1,291,000"/>
        <filter val="RM 888,000"/>
        <filter val="RM 2,040,000"/>
        <filter val="RM 845,000"/>
        <filter val="RM 659,000"/>
        <filter val="RM 2,715,000"/>
        <filter val="RM 1,850,000"/>
        <filter val="RM 200,000"/>
        <filter val="RM 1,621,000"/>
        <filter val="RM 1,435,000"/>
        <filter val="RM 5,070,000"/>
        <filter val="RM 1,999,999"/>
        <filter val="RM 170,000"/>
        <filter val="RM 6,950,000"/>
        <filter val="RM 2,340,000"/>
        <filter val="RM 2,251,800"/>
        <filter val="RM 1,429,123"/>
        <filter val="RM 32,670,000"/>
        <filter val="RM 630,000"/>
        <filter val="RM 2,484,000"/>
        <filter val="RM 4,280,000"/>
        <filter val="RM 5,100,000"/>
        <filter val="RM 1,208,000"/>
        <filter val="RM 7,048,350"/>
        <filter val="RM 1,420,000"/>
        <filter val="RM 18,000,000"/>
        <filter val="RM 588,000"/>
        <filter val="RM 930,000"/>
        <filter val="RM 5,788,000"/>
        <filter val="RM 545,000"/>
        <filter val="RM 10,081,000"/>
        <filter val="RM 398,800"/>
        <filter val="RM 4,753,000"/>
        <filter val="RM 3,890,000"/>
        <filter val="RM 2,055,000"/>
        <filter val="RM 4,580,000"/>
        <filter val="RM 1,613,300"/>
        <filter val="RM 383,820"/>
        <filter val="RM 1,308,000"/>
        <filter val="RM 3,288,888"/>
        <filter val="RM 416,000"/>
        <filter val="RM 7,900,000"/>
        <filter val="RM 2,398,000"/>
        <filter val="RM 4,380,000"/>
        <filter val="RM 989,000"/>
        <filter val="RM 1,190,000"/>
        <filter val="RM 9,496,000"/>
        <filter val="RM 6,750,000"/>
        <filter val="RM 645,000"/>
        <filter val="RM 1,120,000"/>
        <filter val="RM 158,000"/>
        <filter val="RM 688,000"/>
        <filter val="RM 1,950,000"/>
        <filter val="RM 3,360,000"/>
        <filter val="RM 3,051,300"/>
        <filter val="RM 5,149,700"/>
        <filter val="RM 18,200,000"/>
        <filter val="RM 788,000"/>
        <filter val="RM 7,800,000"/>
        <filter val="RM 830,000"/>
        <filter val="RM 2,653,600"/>
        <filter val="RM 918,000"/>
        <filter val="RM 1,865,000"/>
        <filter val="RM 1,521,000"/>
        <filter val="RM 1,220,000"/>
        <filter val="RM 2,160,329"/>
        <filter val="RM 1,297,500"/>
        <filter val="RM 1,090,000"/>
        <filter val="RM 9,000,000"/>
        <filter val="RM 4,180,000"/>
        <filter val="RM 7,680,000"/>
        <filter val="RM 1,833,000"/>
        <filter val="RM 295,000"/>
        <filter val="RM 384,000"/>
        <filter val="RM 570,000"/>
        <filter val="RM 392,000"/>
        <filter val="RM 6,842,500"/>
        <filter val="RM 1,760,000"/>
        <filter val="RM 1,930,000"/>
        <filter val="RM 402,000"/>
        <filter val="RM 1,161,850"/>
        <filter val="RM 1,128,800"/>
        <filter val="RM 5,800,000"/>
        <filter val="RM 7,397,250"/>
        <filter val="RM 6,090,920"/>
        <filter val="RM 519,610"/>
        <filter val="RM 449,000"/>
        <filter val="RM 1,590,000"/>
        <filter val="RM 546,000"/>
        <filter val="RM 410,000"/>
        <filter val="RM 1,299,000"/>
        <filter val="RM 12,350,000"/>
        <filter val="RM 8,800,000"/>
        <filter val="RM 50,000,000"/>
        <filter val="RM 1,396,000"/>
        <filter val="RM 1,020,000"/>
        <filter val="RM 5,460,000"/>
        <filter val="RM 2,300,000"/>
        <filter val="RM 465,000"/>
        <filter val="RM 4,210,700"/>
        <filter val="RM 368,000"/>
        <filter val="RM 841,700"/>
        <filter val="RM 2,981,550"/>
        <filter val="RM 740,000"/>
        <filter val="RM 14,000,000"/>
        <filter val="RM 883,000"/>
        <filter val="RM 1,430,000"/>
        <filter val="RM 4,680,000"/>
        <filter val="RM 1,245,000"/>
        <filter val="RM 795,000"/>
        <filter val="RM 2,290,000"/>
        <filter val="RM 1,147,000"/>
        <filter val="RM 1,499,999"/>
        <filter val="RM 1,260,000"/>
        <filter val="RM 8,300,000"/>
        <filter val="RM 708,000"/>
        <filter val="RM 13,800,000"/>
        <filter val="RM 6,000,000"/>
        <filter val="RM 1,198,800"/>
        <filter val="RM 319,999"/>
        <filter val="RM 10,540,000"/>
        <filter val="RM 240,000"/>
        <filter val="RM 5,344,829"/>
        <filter val="RM 618,000"/>
        <filter val="RM 5,300,000"/>
        <filter val="RM 768,888"/>
        <filter val="RM 812,000"/>
        <filter val="RM 1,798,000"/>
        <filter val="RM 1,049,888"/>
        <filter val="RM 2,106,463"/>
        <filter val="RM 1,698,800"/>
        <filter val="RM 910,000"/>
        <filter val="RM 31,314,631"/>
        <filter val="RM 635,000"/>
        <filter val="RM 198,000"/>
        <filter val="RM 855,800"/>
        <filter val="RM 672,300"/>
        <filter val="RM 2,800,000"/>
        <filter val="RM 17,000,000"/>
        <filter val="RM 1,719,888"/>
        <filter val="RM 868,000"/>
        <filter val="RM 1,520,000"/>
        <filter val="RM 537,000"/>
        <filter val="RM 1,289,600"/>
        <filter val="RM 62,262,000"/>
        <filter val="RM 3,368,000"/>
        <filter val="RM 5,999,000"/>
        <filter val="RM 391,000"/>
        <filter val="RM 3,291,600"/>
        <filter val="RM 3,150,000"/>
        <filter val="RM 480,000"/>
        <filter val="RM 649,999"/>
        <filter val="RM 14,500,000"/>
        <filter val="RM 403,000"/>
        <filter val="RM 2,210,000"/>
        <filter val="RM 11,000,000"/>
        <filter val="RM 3,320,000"/>
        <filter val="RM 1,100,000"/>
        <filter val="RM 2,928,000"/>
        <filter val="RM 1,216,800"/>
        <filter val="RM 553,000"/>
        <filter val="RM 278,000"/>
        <filter val="RM 1,680,000"/>
        <filter val="RM 500,000"/>
        <filter val="RM 6,480,000"/>
        <filter val="RM 4,260,000"/>
        <filter val="RM 28,000,000"/>
        <filter val="RM 385,000"/>
        <filter val="RM 288,000"/>
        <filter val="RM 2,950,000"/>
        <filter val="RM 1,298,000"/>
        <filter val="RM 2,220,000"/>
        <filter val="RM 10,800,000"/>
        <filter val="RM 9,490,000"/>
        <filter val="RM 799,999"/>
        <filter val="RM 529,000"/>
        <filter val="RM 1,150"/>
        <filter val="RM 330,000"/>
        <filter val="RM 642,000"/>
        <filter val="RM 2,008,000"/>
        <filter val="RM 639,999"/>
        <filter val="RM 6,820,000"/>
        <filter val="RM 898,380"/>
        <filter val="RM 660,000"/>
        <filter val="RM 1,131,760"/>
        <filter val="RM 1,350,000"/>
        <filter val="RM 5,854,000"/>
        <filter val="RM 7,200,000"/>
        <filter val="RM 1,075,000"/>
        <filter val="RM 3,900,000"/>
        <filter val="RM 3,490,000"/>
        <filter val="RM 2,715,300"/>
        <filter val="RM 17,500,000"/>
        <filter val="RM 836,100"/>
        <filter val="RM 769,000"/>
        <filter val="RM 2,257,000"/>
        <filter val="RM 875,000"/>
        <filter val="RM 2,370,000"/>
        <filter val="RM 3,480,000"/>
        <filter val="RM 5,950,000"/>
        <filter val="RM 805,000"/>
        <filter val="RM 2,998,000"/>
        <filter val="RM 474,000"/>
        <filter val="RM 3,330,000"/>
        <filter val="RM 11,830,000"/>
        <filter val="RM 1,799,000"/>
        <filter val="RM 8,343,600"/>
        <filter val="RM 715,000"/>
        <filter val="RM 4,996,950"/>
        <filter val="RM 765,390"/>
        <filter val="RM 4,100,000"/>
        <filter val="RM 4,350,000"/>
        <filter val="RM 536,000"/>
        <filter val="RM 320,000"/>
        <filter val="RM 6,331,050"/>
        <filter val="RM 690,788"/>
        <filter val="RM 965,000"/>
        <filter val="RM 2,880,000"/>
        <filter val="RM 3,400,000"/>
        <filter val="RM 420,000"/>
        <filter val="RM 560,000"/>
        <filter val="RM 455,000"/>
        <filter val="RM 704,880"/>
        <filter val="RM 633,000"/>
        <filter val="RM 4,200,000"/>
        <filter val="RM 412,000"/>
        <filter val="RM 2,426,016"/>
        <filter val="RM 958,000"/>
        <filter val="RM 1,734,000"/>
        <filter val="RM 2,904,300"/>
        <filter val="RM 4,657,000"/>
        <filter val="RM 990,000"/>
        <filter val="RM 996,300"/>
        <filter val="RM 1,238,000"/>
        <filter val="RM 2,550,000"/>
        <filter val="RM 1,359,800"/>
        <filter val="RM 1,818,450"/>
        <filter val="RM 390,000"/>
        <filter val="RM 2,237,620"/>
        <filter val="RM 483,000"/>
        <filter val="RM 699,000"/>
        <filter val="RM 2,478,600"/>
        <filter val="RM 6,990,000"/>
        <filter val="RM 1,475,000"/>
        <filter val="RM 528,000"/>
        <filter val="RM 900,000"/>
        <filter val="RM 2,280,000"/>
        <filter val="RM 2,453,000"/>
        <filter val="RM 2,380,000"/>
        <filter val="RM 2,800"/>
        <filter val="RM 548,000"/>
        <filter val="RM 849,000"/>
        <filter val="RM 1,580,000"/>
        <filter val="RM 9,900,000"/>
        <filter val="RM 599,000"/>
        <filter val="RM 785,000"/>
        <filter val="RM 11,500,000"/>
        <filter val="RM 3,500,000"/>
        <filter val="RM 556,000"/>
        <filter val="RM 3,688,000"/>
        <filter val="RM 1,840,000"/>
        <filter val="RM 1,090,600"/>
        <filter val="RM 3,250,000"/>
        <filter val="RM 1,110,000"/>
        <filter val="RM 490,000"/>
        <filter val="RM 970,000"/>
        <filter val="RM 2,450,000"/>
        <filter val="RM 7,043,750"/>
        <filter val="RM 475,000"/>
        <filter val="RM 1,532,576"/>
        <filter val="RM 8,400,000"/>
        <filter val="RM 1,068,000"/>
        <filter val="RM 4,041,100"/>
        <filter val="RM 368,620"/>
        <filter val="RM 885,000"/>
        <filter val="RM 1,360,000"/>
        <filter val="RM 22,000,000"/>
        <filter val="RM 714,000"/>
        <filter val="RM 527,000"/>
        <filter val="RM 646,701"/>
        <filter val="RM 375,000"/>
        <filter val="RM 1,080,000"/>
        <filter val="RM 3,000,000"/>
        <filter val="RM 640,000"/>
        <filter val="RM 4,249,350"/>
        <filter val="RM 340,000"/>
        <filter val="RM 6,918,800"/>
        <filter val="RM 2,810,000"/>
        <filter val="RM 707,000"/>
        <filter val="RM 6,660,000"/>
        <filter val="RM 369,000"/>
        <filter val="RM 8,880,000"/>
        <filter val="RM 3,750,000"/>
        <filter val="RM 1,860,000"/>
        <filter val="RM 8,000"/>
        <filter val="RM 510,300"/>
        <filter val="RM 1,003,000"/>
        <filter val="RM 405,000"/>
        <filter val="RM 4,600,000"/>
        <filter val="RM 4,850,000"/>
        <filter val="RM 820,000"/>
        <filter val="RM 448,000"/>
        <filter val="RM 7,975,250"/>
        <filter val="RM 1,395,000"/>
        <filter val="RM 549,000"/>
        <filter val="RM 1,139,000"/>
        <filter val="RM 1,180,000"/>
        <filter val="RM 1,502,400"/>
        <filter val="RM 698,000"/>
        <filter val="RM 11,900,000"/>
        <filter val="RM 948,888"/>
        <filter val="RM 1,660,000"/>
        <filter val="RM 4,700,000"/>
        <filter val="RM 1,359,640"/>
        <filter val="RM 1,570,800"/>
        <filter val="RM 1,510,000"/>
        <filter val="RM 628,000"/>
        <filter val="RM 3,650,000"/>
        <filter val="RM 920,000"/>
        <filter val="RM 450,800"/>
        <filter val="RM 3,785,400"/>
        <filter val="RM 1,280,000"/>
        <filter val="RM 1,030,000"/>
        <filter val="RM 3,170,000"/>
        <filter val="RM 598,000"/>
        <filter val="RM 555,000"/>
        <filter val="RM 7,318,000"/>
        <filter val="RM 1,496,000"/>
        <filter val="RM 2,050,000"/>
        <filter val="RM 890,000"/>
        <filter val="RM 376,000"/>
        <filter val="RM 9,500,000"/>
        <filter val="RM 439,600"/>
        <filter val="RM 2,780,000"/>
        <filter val="RM 3,550,000"/>
        <filter val="RM 597,443"/>
        <filter val="RM 8,480,000"/>
        <filter val="RM 24,680,000"/>
        <filter val="RM 968,000"/>
        <filter val="RM 3,380,000"/>
        <filter val="RM 699,999"/>
        <filter val="RM 895,000"/>
        <filter val="RM 1,698,000"/>
        <filter val="RM 798,000"/>
        <filter val="RM 3,468,000"/>
        <filter val="RM 720,000"/>
        <filter val="RM 4,500,000"/>
        <filter val="RM 2,005,000"/>
        <filter val="RM 12,500,000"/>
        <filter val="RM 406,000"/>
        <filter val="RM 2,390,000"/>
        <filter val="RM 325,000"/>
        <filter val="RM 2,842,350"/>
        <filter val="RM 880,000"/>
        <filter val="RM 6,600,000"/>
        <filter val="RM 1,225,000"/>
        <filter val="RM 1,158,200"/>
        <filter val="RM 1,500,000"/>
        <filter val="RM 8,406,500"/>
        <filter val="RM 3,854,400"/>
        <filter val="RM 999,000"/>
        <filter val="RM 638,000"/>
        <filter val="RM 3,050,000"/>
        <filter val="RM 1,649,999"/>
        <filter val="RM 8,200,000"/>
        <filter val="RM 9,388,000"/>
        <filter val="RM 550,000"/>
        <filter val="RM 1,473,450"/>
        <filter val="RM 840,000"/>
        <filter val="RM 5,650,000"/>
        <filter val="RM 590,000"/>
        <filter val="RM 565,000"/>
        <filter val="RM 310,000"/>
        <filter val="RM 1,401,662"/>
        <filter val="RM 379,000"/>
        <filter val="RM 735,000"/>
        <filter val="RM 1,288,000"/>
        <filter val="RM 3,880,000"/>
        <filter val="RM 1,210,000"/>
        <filter val="RM 2,320,000"/>
        <filter val="RM 1,174,338"/>
        <filter val="RM 629,999"/>
        <filter val="RM 2,230,000"/>
        <filter val="RM 1,040,000"/>
        <filter val="RM 6,670,000"/>
        <filter val="RM 928,000"/>
        <filter val="RM 5,480,000"/>
        <filter val="RM 5,179,400"/>
        <filter val="RM 1,198,000"/>
        <filter val="RM 678,000"/>
        <filter val="RM 1,828,000"/>
        <filter val="RM 825,000"/>
        <filter val="RM 1,506,300"/>
        <filter val="RM 808,000"/>
        <filter val="RM 1,399,000"/>
        <filter val="RM 1,149,999"/>
        <filter val="RM 138,000"/>
        <filter val="RM 1,046,100"/>
        <filter val="RM 597,000"/>
        <filter val="RM 855,000"/>
        <filter val="RM 3,600,000"/>
        <filter val="RM 1,330,000"/>
        <filter val="RM 2,890,000"/>
        <filter val="RM 810,000"/>
        <filter val="RM 535,000"/>
        <filter val="RM 1,070,000"/>
        <filter val="RM 1,240,000"/>
        <filter val="RM 8,900,000"/>
        <filter val="RM 509,000"/>
        <filter val="RM 2,499,999"/>
        <filter val="RM 180,000"/>
        <filter val="RM 130,000,000"/>
        <filter val="RM 268,000"/>
        <filter val="RM 2,650,000"/>
        <filter val="RM 1,540,000"/>
        <filter val="RM 1,530,000"/>
        <filter val="RM 6,800,000"/>
        <filter val="RM 4,300,000"/>
        <filter val="RM 520,000"/>
        <filter val="RM 339,000"/>
        <filter val="RM 2,030,000"/>
        <filter val="RM 308,000"/>
        <filter val="RM 3,800,000"/>
        <filter val="RM 1,830,000"/>
        <filter val="RM 1,488,000"/>
        <filter val="RM 4,718,000"/>
        <filter val="RM 4,690,000"/>
        <filter val="RM 669,000"/>
        <filter val="RM 664,020"/>
        <filter val="RM 608,000"/>
        <filter val="RM 468,000"/>
        <filter val="RM 2,761,000"/>
        <filter val="RM 961,158"/>
        <filter val="RM 1,359,000"/>
        <filter val="RM 1,322,355"/>
        <filter val="RM 220,000"/>
        <filter val="RM 6,999,888"/>
        <filter val="RM 7,500"/>
        <filter val="RM 395,000"/>
        <filter val="RM 7,534,038"/>
        <filter val="RM 4,626,300"/>
        <filter val="RM 4,990,000"/>
        <filter val="RM 2,850,000"/>
        <filter val="RM 378,000"/>
        <filter val="RM 6,331,500"/>
        <filter val="RM 4,000,000"/>
        <filter val="RM 679,000"/>
        <filter val="RM 865,000"/>
        <filter val="RM 1,155,600"/>
        <filter val="RM 1,800"/>
        <filter val="RM 290,000"/>
        <filter val="RM 4,344,000"/>
        <filter val="RM 8,280,000"/>
        <filter val="RM 363,000"/>
        <filter val="RM 483,300"/>
        <filter val="RM 525,000"/>
        <filter val="RM 1,498,000"/>
        <filter val="RM 1,000,000"/>
        <filter val="RM 1,065,140"/>
        <filter val="RM 380,000"/>
        <filter val="RM 510,000"/>
        <filter val="RM 3,580,000"/>
        <filter val="RM 664,000"/>
        <filter val="RM 3,710,000"/>
        <filter val="RM 5,850,000"/>
        <filter val="RM 1,770,000"/>
        <filter val="RM 10,260,000"/>
        <filter val="RM 6,900,000"/>
        <filter val="RM 765,000"/>
        <filter val="RM 951,000"/>
        <filter val="RM 579,000"/>
        <filter val="RM 3,354,000"/>
        <filter val="RM 3,125,000"/>
        <filter val="RM 250,000"/>
        <filter val="RM 4,030,000"/>
        <filter val="RM 5,751,200"/>
        <filter val="RM 437,400"/>
        <filter val="RM 664,470"/>
        <filter val="RM 5,450,000"/>
        <filter val="RM 595,000"/>
        <filter val="RM 737,000"/>
        <filter val="RM 3,080,000"/>
        <filter val="RM 338,000"/>
        <filter val="RM 1,599,000"/>
        <filter val="RM 609,000"/>
        <filter val="RM 1,340,000"/>
        <filter val="RM 8,180,000"/>
        <filter val="RM 4,718,680"/>
        <filter val="RM 2,090,000"/>
        <filter val="RM 1,800,000"/>
        <filter val="RM 668,000"/>
        <filter val="RM 580,000"/>
        <filter val="RM 850,000"/>
        <filter val="RM 710,000"/>
        <filter val="RM 625,000"/>
        <filter val="RM 3,180,000"/>
        <filter val="RM 2,000"/>
        <filter val="RM 938,000"/>
        <filter val="RM 1,900,000"/>
        <filter val="RM 1,714,000"/>
        <filter val="RM 750,000"/>
        <filter val="RM 725,000"/>
        <filter val="RM 4,256,840"/>
        <filter val="RM 1,200,000"/>
        <filter val="RM 1,061,100"/>
        <filter val="RM 5,799,950"/>
        <filter val="RM 4,247,000"/>
        <filter val="RM 680,000"/>
        <filter val="RM 1,270,000"/>
        <filter val="RM 5,499,999"/>
        <filter val="RM 1,685,000"/>
        <filter val="RM 1,823,366"/>
        <filter val="RM 768,000"/>
        <filter val="RM 665,000"/>
        <filter val="RM 695,000"/>
        <filter val="RM 11,394,000"/>
        <filter val="RM 6,441,600"/>
        <filter val="RM 5,550,000"/>
        <filter val="RM 9,960,000"/>
        <filter val="RM 48,264,480"/>
        <filter val="RM 2,160,000"/>
        <filter val="RM 838,000"/>
        <filter val="RM 1,085,000"/>
        <filter val="RM 1,200,019"/>
        <filter val="RM 1,300,000"/>
        <filter val="RM 3,699,000"/>
        <filter val="RM 439,000"/>
        <filter val="RM 543,353"/>
        <filter val="RM 1,170,000"/>
        <filter val="RM 6,200,000"/>
        <filter val="RM 2,490,000"/>
        <filter val="RM 535,400"/>
        <filter val="RM 3,698,000"/>
        <filter val="RM 1,400,000"/>
        <filter val="RM 650,000"/>
        <filter val="RM 780,000"/>
        <filter val="RM 438,000"/>
        <filter val="RM 6,500,000"/>
        <filter val="RM 738,000"/>
        <filter val="RM 4,560,000"/>
        <filter val="RM 365,000"/>
        <filter val="RM 693,000"/>
        <filter val="RM 2,790,000"/>
        <filter val="RM 800,760"/>
        <filter val="RM 1,743,000"/>
        <filter val="RM 14,800,000"/>
        <filter val="RM 4,988,888"/>
        <filter val="RM 1,700,000"/>
        <filter val="RM 1,285,000"/>
        <filter val="RM 4,467,122"/>
        <filter val="RM 5,199,999"/>
        <filter val="RM 1,370,000"/>
        <filter val="RM 1,415,000"/>
        <filter val="RM 5,350,000"/>
        <filter val="RM 448,800"/>
        <filter val="RM 2,449,440"/>
        <filter val="RM 1,395,800"/>
        <filter val="RM 1,105,500"/>
        <filter val="RM 2,520,000"/>
        <filter val="RM 450,000"/>
        <filter val="RM 1,600,000"/>
        <filter val="RM 12,000,000"/>
        <filter val="RM 192,000"/>
        <filter val="RM 566,000"/>
        <filter val="RM 4,088,000"/>
        <filter val="RM 3,000"/>
        <filter val="RM 265,000"/>
        <filter val="RM 1,305,750"/>
        <filter val="RM 1,937,320"/>
        <filter val="RM 2,044,800"/>
        <filter val="RM 378,400"/>
        <filter val="RM 1,570,000"/>
        <filter val="RM 980,000"/>
        <filter val="RM 6,300,000"/>
        <filter val="RM 350,000"/>
        <filter val="RM 538,000"/>
        <filter val="RM 2,590,000"/>
        <filter val="RM 1,099,000"/>
        <filter val="RM 2,720,000"/>
        <filter val="RM 2,413,375"/>
        <filter val="RM 329,999"/>
        <filter val="RM 4,860,000"/>
        <filter val="RM 2,934,400"/>
        <filter val="RM 1,829,880"/>
        <filter val="RM 1,470,000"/>
        <filter val="RM 6,400,000"/>
        <filter val="RM 995,000"/>
        <filter val="RM 4,130,00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6" max="6" width="26.63"/>
    <col customWidth="1" min="7" max="44" width="20.25"/>
    <col customWidth="1" min="45" max="45" width="19.88"/>
  </cols>
  <sheetData>
    <row r="1">
      <c r="A1" s="7" t="s">
        <v>1</v>
      </c>
      <c r="B1" s="7" t="s">
        <v>3</v>
      </c>
      <c r="C1" s="7" t="s">
        <v>5</v>
      </c>
      <c r="D1" s="7" t="s">
        <v>7</v>
      </c>
      <c r="E1" s="7" t="s">
        <v>9</v>
      </c>
      <c r="F1" s="7" t="s">
        <v>11</v>
      </c>
      <c r="G1" s="7" t="s">
        <v>13</v>
      </c>
      <c r="H1" s="7"/>
      <c r="I1" s="7" t="s">
        <v>13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 t="s">
        <v>15</v>
      </c>
    </row>
    <row r="2">
      <c r="A2" s="7" t="s">
        <v>17</v>
      </c>
      <c r="B2" s="7" t="s">
        <v>18</v>
      </c>
      <c r="C2" s="7" t="s">
        <v>19</v>
      </c>
      <c r="D2" s="7">
        <v>3.0</v>
      </c>
      <c r="E2" s="7">
        <v>2.0</v>
      </c>
      <c r="F2" s="7" t="s">
        <v>20</v>
      </c>
      <c r="G2" s="7" t="s">
        <v>21</v>
      </c>
      <c r="H2" s="9" t="s">
        <v>2979</v>
      </c>
      <c r="I2" t="s">
        <v>2980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tr">
        <f t="shared" ref="AD2:AD5001" si="1">left(G2,10)</f>
        <v>Built-up :</v>
      </c>
      <c r="AE2" s="7" t="str">
        <f t="shared" ref="AE2:AE5001" si="2">right(G2,8)</f>
        <v> sq. ft.</v>
      </c>
      <c r="AF2">
        <f>IFERROR(__xludf.DUMMYFUNCTION("VALUE(REGEXREPLACE(G2,""[^[:digit:]]"", """"))"),1335.0)</f>
        <v>1335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22</v>
      </c>
    </row>
    <row r="3">
      <c r="A3" s="7" t="s">
        <v>23</v>
      </c>
      <c r="B3" s="7" t="s">
        <v>24</v>
      </c>
      <c r="C3" s="7">
        <f>6</f>
        <v>6</v>
      </c>
      <c r="D3" s="7">
        <v>7.0</v>
      </c>
      <c r="E3" s="9">
        <v>2.0</v>
      </c>
      <c r="F3" s="7" t="s">
        <v>25</v>
      </c>
      <c r="G3" s="7" t="s">
        <v>26</v>
      </c>
      <c r="H3" s="9" t="s">
        <v>2981</v>
      </c>
      <c r="I3" t="s">
        <v>2982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tr">
        <f t="shared" si="1"/>
        <v>Land area </v>
      </c>
      <c r="AE3" s="7" t="str">
        <f t="shared" si="2"/>
        <v> sq. ft.</v>
      </c>
      <c r="AF3">
        <f>IFERROR(__xludf.DUMMYFUNCTION("VALUE(REGEXREPLACE(G3,""[^[:digit:]]"", """"))"),6900.0)</f>
        <v>6900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27</v>
      </c>
    </row>
    <row r="4">
      <c r="A4" s="7" t="s">
        <v>28</v>
      </c>
      <c r="B4" s="7" t="s">
        <v>29</v>
      </c>
      <c r="C4" s="7">
        <f>3</f>
        <v>3</v>
      </c>
      <c r="D4" s="7">
        <v>4.0</v>
      </c>
      <c r="E4" s="7">
        <v>2.0</v>
      </c>
      <c r="F4" s="7" t="s">
        <v>30</v>
      </c>
      <c r="G4" s="7" t="s">
        <v>31</v>
      </c>
      <c r="H4" s="9" t="s">
        <v>2979</v>
      </c>
      <c r="I4" t="s">
        <v>2983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 t="str">
        <f t="shared" si="1"/>
        <v>Built-up :</v>
      </c>
      <c r="AE4" s="7" t="str">
        <f t="shared" si="2"/>
        <v> sq. ft.</v>
      </c>
      <c r="AF4">
        <f>IFERROR(__xludf.DUMMYFUNCTION("VALUE(REGEXREPLACE(G4,""[^[:digit:]]"", """"))"),1875.0)</f>
        <v>1875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 t="s">
        <v>27</v>
      </c>
    </row>
    <row r="5">
      <c r="A5" s="7" t="s">
        <v>32</v>
      </c>
      <c r="E5" s="9">
        <v>2.0</v>
      </c>
      <c r="H5" s="9" t="s">
        <v>2984</v>
      </c>
      <c r="I5" t="s">
        <v>2985</v>
      </c>
      <c r="AD5" s="7" t="str">
        <f t="shared" si="1"/>
        <v/>
      </c>
      <c r="AE5" s="7" t="str">
        <f t="shared" si="2"/>
        <v/>
      </c>
    </row>
    <row r="6">
      <c r="A6" s="7" t="s">
        <v>33</v>
      </c>
      <c r="B6" s="7" t="s">
        <v>34</v>
      </c>
      <c r="C6" s="7">
        <f>4+1</f>
        <v>5</v>
      </c>
      <c r="D6" s="7">
        <v>3.0</v>
      </c>
      <c r="E6" s="7">
        <v>2.0</v>
      </c>
      <c r="F6" s="7" t="s">
        <v>30</v>
      </c>
      <c r="G6" s="7" t="s">
        <v>36</v>
      </c>
      <c r="H6" s="9" t="s">
        <v>2979</v>
      </c>
      <c r="I6" t="s">
        <v>2986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 t="str">
        <f t="shared" si="1"/>
        <v>Built-up :</v>
      </c>
      <c r="AE6" s="7" t="str">
        <f t="shared" si="2"/>
        <v> sq. ft.</v>
      </c>
      <c r="AF6">
        <f>IFERROR(__xludf.DUMMYFUNCTION("VALUE(REGEXREPLACE(G6,""[^[:digit:]]"", """"))"),1513.0)</f>
        <v>1513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 t="s">
        <v>27</v>
      </c>
    </row>
    <row r="7">
      <c r="A7" s="7" t="s">
        <v>37</v>
      </c>
      <c r="B7" s="7" t="s">
        <v>38</v>
      </c>
      <c r="C7" s="7">
        <f>4+2</f>
        <v>6</v>
      </c>
      <c r="D7" s="7">
        <v>5.0</v>
      </c>
      <c r="E7" s="7">
        <v>4.0</v>
      </c>
      <c r="F7" s="7" t="s">
        <v>25</v>
      </c>
      <c r="G7" s="7" t="s">
        <v>40</v>
      </c>
      <c r="H7" s="9" t="s">
        <v>2981</v>
      </c>
      <c r="I7" t="s">
        <v>2987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tr">
        <f t="shared" si="1"/>
        <v>Land area </v>
      </c>
      <c r="AE7" s="7" t="str">
        <f t="shared" si="2"/>
        <v> sq. ft.</v>
      </c>
      <c r="AF7">
        <f>IFERROR(__xludf.DUMMYFUNCTION("VALUE(REGEXREPLACE(G7,""[^[:digit:]]"", """"))"),7200.0)</f>
        <v>7200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 t="s">
        <v>27</v>
      </c>
    </row>
    <row r="8">
      <c r="A8" s="7" t="s">
        <v>41</v>
      </c>
      <c r="E8" s="9">
        <v>2.0</v>
      </c>
      <c r="H8" s="9" t="s">
        <v>2984</v>
      </c>
      <c r="I8" t="s">
        <v>2985</v>
      </c>
      <c r="AD8" s="7" t="str">
        <f t="shared" si="1"/>
        <v/>
      </c>
      <c r="AE8" s="7" t="str">
        <f t="shared" si="2"/>
        <v/>
      </c>
    </row>
    <row r="9">
      <c r="A9" s="7" t="s">
        <v>37</v>
      </c>
      <c r="B9" s="7" t="s">
        <v>42</v>
      </c>
      <c r="C9" s="7">
        <f>5</f>
        <v>5</v>
      </c>
      <c r="D9" s="7">
        <v>4.0</v>
      </c>
      <c r="E9" s="7">
        <v>4.0</v>
      </c>
      <c r="F9" s="7" t="s">
        <v>43</v>
      </c>
      <c r="G9" s="7" t="s">
        <v>44</v>
      </c>
      <c r="H9" s="9" t="s">
        <v>2981</v>
      </c>
      <c r="I9" t="s">
        <v>2988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 t="str">
        <f t="shared" si="1"/>
        <v>Land area </v>
      </c>
      <c r="AE9" s="7" t="str">
        <f t="shared" si="2"/>
        <v> sq. ft.</v>
      </c>
      <c r="AF9">
        <f>IFERROR(__xludf.DUMMYFUNCTION("VALUE(REGEXREPLACE(G9,""[^[:digit:]]"", """"))"),3600.0)</f>
        <v>3600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 t="s">
        <v>27</v>
      </c>
    </row>
    <row r="10">
      <c r="A10" s="7" t="s">
        <v>37</v>
      </c>
      <c r="B10" s="7" t="s">
        <v>45</v>
      </c>
      <c r="C10" s="7">
        <f>4+1</f>
        <v>5</v>
      </c>
      <c r="D10" s="7">
        <v>4.0</v>
      </c>
      <c r="E10" s="7">
        <v>3.0</v>
      </c>
      <c r="F10" s="7" t="s">
        <v>46</v>
      </c>
      <c r="G10" s="10" t="s">
        <v>47</v>
      </c>
      <c r="H10" s="9" t="s">
        <v>2981</v>
      </c>
      <c r="I10" t="s">
        <v>2989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2990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str">
        <f t="shared" si="1"/>
        <v>Land area </v>
      </c>
      <c r="AE10" s="7" t="str">
        <f t="shared" si="2"/>
        <v> sq. ft.</v>
      </c>
      <c r="AF10" s="7">
        <v>1875.0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s">
        <v>27</v>
      </c>
    </row>
    <row r="11">
      <c r="A11" s="7" t="s">
        <v>48</v>
      </c>
      <c r="B11" s="7" t="s">
        <v>49</v>
      </c>
      <c r="C11" s="7">
        <f>3</f>
        <v>3</v>
      </c>
      <c r="D11" s="7">
        <v>2.0</v>
      </c>
      <c r="E11" s="7">
        <v>1.0</v>
      </c>
      <c r="F11" s="7" t="s">
        <v>50</v>
      </c>
      <c r="G11" s="7" t="s">
        <v>51</v>
      </c>
      <c r="H11" s="9" t="s">
        <v>2979</v>
      </c>
      <c r="I11" t="s">
        <v>2991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 t="str">
        <f t="shared" si="1"/>
        <v>Built-up :</v>
      </c>
      <c r="AE11" s="7" t="str">
        <f t="shared" si="2"/>
        <v> sq. ft.</v>
      </c>
      <c r="AF11">
        <f>IFERROR(__xludf.DUMMYFUNCTION("VALUE(REGEXREPLACE(G11,""[^[:digit:]]"", """"))"),904.0)</f>
        <v>904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 t="s">
        <v>27</v>
      </c>
    </row>
    <row r="12">
      <c r="A12" s="7" t="s">
        <v>52</v>
      </c>
      <c r="E12" s="9">
        <v>2.0</v>
      </c>
      <c r="H12" s="9" t="s">
        <v>2984</v>
      </c>
      <c r="I12" t="s">
        <v>2985</v>
      </c>
      <c r="AD12" s="7" t="str">
        <f t="shared" si="1"/>
        <v/>
      </c>
      <c r="AE12" s="7" t="str">
        <f t="shared" si="2"/>
        <v/>
      </c>
    </row>
    <row r="13">
      <c r="A13" s="7" t="s">
        <v>37</v>
      </c>
      <c r="B13" s="7" t="s">
        <v>53</v>
      </c>
      <c r="C13" s="7">
        <f>4</f>
        <v>4</v>
      </c>
      <c r="D13" s="7">
        <v>3.0</v>
      </c>
      <c r="E13" s="9">
        <v>2.0</v>
      </c>
      <c r="F13" s="7" t="s">
        <v>54</v>
      </c>
      <c r="G13" s="7" t="s">
        <v>55</v>
      </c>
      <c r="H13" s="9" t="s">
        <v>2981</v>
      </c>
      <c r="I13" t="s">
        <v>2992</v>
      </c>
      <c r="J13" s="7"/>
      <c r="K13" s="7"/>
      <c r="L13" s="7"/>
      <c r="M13" s="7"/>
      <c r="N13" s="7"/>
      <c r="O13" s="7"/>
      <c r="P13" s="7"/>
      <c r="Q13" s="7"/>
      <c r="R13" s="7"/>
      <c r="S13" s="7" t="s">
        <v>2993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tr">
        <f t="shared" si="1"/>
        <v>Land area </v>
      </c>
      <c r="AE13" s="7" t="str">
        <f t="shared" si="2"/>
        <v> sq. ft.</v>
      </c>
      <c r="AF13" s="7">
        <v>1760.0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 t="s">
        <v>27</v>
      </c>
    </row>
    <row r="14">
      <c r="A14" s="7" t="s">
        <v>37</v>
      </c>
      <c r="B14" s="7" t="s">
        <v>56</v>
      </c>
      <c r="C14" s="7">
        <f>3+1</f>
        <v>4</v>
      </c>
      <c r="D14" s="7">
        <v>3.0</v>
      </c>
      <c r="E14" s="9">
        <v>2.0</v>
      </c>
      <c r="F14" s="7" t="s">
        <v>54</v>
      </c>
      <c r="G14" s="7" t="s">
        <v>58</v>
      </c>
      <c r="H14" s="9" t="s">
        <v>2981</v>
      </c>
      <c r="I14" t="s">
        <v>2994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tr">
        <f t="shared" si="1"/>
        <v>Land area </v>
      </c>
      <c r="AE14" s="7" t="str">
        <f t="shared" si="2"/>
        <v> sq. ft.</v>
      </c>
      <c r="AF14">
        <f>IFERROR(__xludf.DUMMYFUNCTION("VALUE(REGEXREPLACE(G14,""[^[:digit:]]"", """"))"),1900.0)</f>
        <v>1900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s">
        <v>27</v>
      </c>
    </row>
    <row r="15">
      <c r="A15" s="7" t="s">
        <v>37</v>
      </c>
      <c r="B15" s="7" t="s">
        <v>59</v>
      </c>
      <c r="C15" s="7">
        <f>6+1</f>
        <v>7</v>
      </c>
      <c r="D15" s="7">
        <v>5.0</v>
      </c>
      <c r="E15" s="7">
        <v>5.0</v>
      </c>
      <c r="F15" s="7" t="s">
        <v>61</v>
      </c>
      <c r="G15" s="7" t="s">
        <v>62</v>
      </c>
      <c r="H15" s="9" t="s">
        <v>2981</v>
      </c>
      <c r="I15" t="s">
        <v>2995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str">
        <f t="shared" si="1"/>
        <v>Land area </v>
      </c>
      <c r="AE15" s="7" t="str">
        <f t="shared" si="2"/>
        <v> sq. ft.</v>
      </c>
      <c r="AF15">
        <f>IFERROR(__xludf.DUMMYFUNCTION("VALUE(REGEXREPLACE(G15,""[^[:digit:]]"", """"))"),6000.0)</f>
        <v>6000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 t="s">
        <v>27</v>
      </c>
    </row>
    <row r="16">
      <c r="A16" s="7" t="s">
        <v>33</v>
      </c>
      <c r="E16" s="9">
        <v>2.0</v>
      </c>
      <c r="H16" s="9" t="s">
        <v>2984</v>
      </c>
      <c r="I16" t="s">
        <v>2985</v>
      </c>
      <c r="AD16" s="7" t="str">
        <f t="shared" si="1"/>
        <v/>
      </c>
      <c r="AE16" s="7" t="str">
        <f t="shared" si="2"/>
        <v/>
      </c>
      <c r="AF16">
        <f>IFERROR(__xludf.DUMMYFUNCTION("VALUE(REGEXREPLACE(G16,""[^[:digit:]]"", """"))"),0.0)</f>
        <v>0</v>
      </c>
    </row>
    <row r="17">
      <c r="A17" s="7" t="s">
        <v>37</v>
      </c>
      <c r="B17" s="7" t="s">
        <v>63</v>
      </c>
      <c r="C17" s="7">
        <f>4+1</f>
        <v>5</v>
      </c>
      <c r="D17" s="7">
        <v>3.0</v>
      </c>
      <c r="E17" s="9">
        <v>2.0</v>
      </c>
      <c r="F17" s="7" t="s">
        <v>64</v>
      </c>
      <c r="G17" s="7" t="s">
        <v>44</v>
      </c>
      <c r="H17" s="9" t="s">
        <v>2981</v>
      </c>
      <c r="I17" t="s">
        <v>2988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tr">
        <f t="shared" si="1"/>
        <v>Land area </v>
      </c>
      <c r="AE17" s="7" t="str">
        <f t="shared" si="2"/>
        <v> sq. ft.</v>
      </c>
      <c r="AF17">
        <f>IFERROR(__xludf.DUMMYFUNCTION("VALUE(REGEXREPLACE(G17,""[^[:digit:]]"", """"))"),3600.0)</f>
        <v>3600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 t="s">
        <v>27</v>
      </c>
    </row>
    <row r="18">
      <c r="A18" s="7" t="s">
        <v>65</v>
      </c>
      <c r="B18" s="7" t="s">
        <v>66</v>
      </c>
      <c r="C18" s="7">
        <f>6+1</f>
        <v>7</v>
      </c>
      <c r="D18" s="7">
        <v>7.0</v>
      </c>
      <c r="E18" s="7">
        <v>4.0</v>
      </c>
      <c r="F18" s="7" t="s">
        <v>67</v>
      </c>
      <c r="G18" s="7" t="s">
        <v>68</v>
      </c>
      <c r="H18" s="9" t="s">
        <v>2981</v>
      </c>
      <c r="I18" t="s">
        <v>2996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 t="str">
        <f t="shared" si="1"/>
        <v>Land area </v>
      </c>
      <c r="AE18" s="7" t="str">
        <f t="shared" si="2"/>
        <v> sq. ft.</v>
      </c>
      <c r="AF18">
        <f>IFERROR(__xludf.DUMMYFUNCTION("VALUE(REGEXREPLACE(G18,""[^[:digit:]]"", """"))"),8500.0)</f>
        <v>8500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 t="s">
        <v>27</v>
      </c>
    </row>
    <row r="19">
      <c r="A19" s="7" t="s">
        <v>23</v>
      </c>
      <c r="B19" s="7" t="s">
        <v>69</v>
      </c>
      <c r="C19" s="7">
        <f>5+1</f>
        <v>6</v>
      </c>
      <c r="D19" s="7">
        <v>7.0</v>
      </c>
      <c r="E19" s="9">
        <v>2.0</v>
      </c>
      <c r="F19" s="7" t="s">
        <v>67</v>
      </c>
      <c r="G19" s="7" t="s">
        <v>71</v>
      </c>
      <c r="H19" s="9" t="s">
        <v>2979</v>
      </c>
      <c r="I19" t="s">
        <v>2997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 t="str">
        <f t="shared" si="1"/>
        <v>Built-up :</v>
      </c>
      <c r="AE19" s="7" t="str">
        <f t="shared" si="2"/>
        <v> sq. ft.</v>
      </c>
      <c r="AF19">
        <f>IFERROR(__xludf.DUMMYFUNCTION("VALUE(REGEXREPLACE(G19,""[^[:digit:]]"", """"))"),4842.0)</f>
        <v>4842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 t="s">
        <v>27</v>
      </c>
    </row>
    <row r="20">
      <c r="A20" s="7" t="s">
        <v>72</v>
      </c>
      <c r="B20" s="7" t="s">
        <v>73</v>
      </c>
      <c r="C20" s="7">
        <f t="shared" ref="C20:C21" si="3">4+1</f>
        <v>5</v>
      </c>
      <c r="D20" s="7">
        <v>4.0</v>
      </c>
      <c r="E20" s="7">
        <v>2.0</v>
      </c>
      <c r="F20" s="7" t="s">
        <v>30</v>
      </c>
      <c r="G20" s="7" t="s">
        <v>74</v>
      </c>
      <c r="H20" s="9" t="s">
        <v>2979</v>
      </c>
      <c r="I20" t="s">
        <v>2998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str">
        <f t="shared" si="1"/>
        <v>Built-up :</v>
      </c>
      <c r="AE20" s="7" t="str">
        <f t="shared" si="2"/>
        <v> sq. ft.</v>
      </c>
      <c r="AF20">
        <f>IFERROR(__xludf.DUMMYFUNCTION("VALUE(REGEXREPLACE(G20,""[^[:digit:]]"", """"))"),1830.0)</f>
        <v>1830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 t="s">
        <v>27</v>
      </c>
    </row>
    <row r="21">
      <c r="A21" s="7" t="s">
        <v>72</v>
      </c>
      <c r="B21" s="7" t="s">
        <v>75</v>
      </c>
      <c r="C21" s="7">
        <f t="shared" si="3"/>
        <v>5</v>
      </c>
      <c r="D21" s="7">
        <v>6.0</v>
      </c>
      <c r="E21" s="7">
        <v>3.0</v>
      </c>
      <c r="F21" s="7" t="s">
        <v>30</v>
      </c>
      <c r="G21" s="7" t="s">
        <v>76</v>
      </c>
      <c r="H21" s="9" t="s">
        <v>2979</v>
      </c>
      <c r="I21" t="s">
        <v>2999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 t="str">
        <f t="shared" si="1"/>
        <v>Built-up :</v>
      </c>
      <c r="AE21" s="7" t="str">
        <f t="shared" si="2"/>
        <v> sq. ft.</v>
      </c>
      <c r="AF21">
        <f>IFERROR(__xludf.DUMMYFUNCTION("VALUE(REGEXREPLACE(G21,""[^[:digit:]]"", """"))"),3720.0)</f>
        <v>3720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22</v>
      </c>
    </row>
    <row r="22">
      <c r="A22" s="7" t="s">
        <v>77</v>
      </c>
      <c r="B22" s="7" t="s">
        <v>78</v>
      </c>
      <c r="C22" s="7">
        <f>3+2</f>
        <v>5</v>
      </c>
      <c r="D22" s="7">
        <v>4.0</v>
      </c>
      <c r="E22" s="7">
        <v>2.0</v>
      </c>
      <c r="F22" s="7" t="s">
        <v>30</v>
      </c>
      <c r="G22" s="7" t="s">
        <v>80</v>
      </c>
      <c r="H22" s="9" t="s">
        <v>2979</v>
      </c>
      <c r="I22" t="s">
        <v>3000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 t="str">
        <f t="shared" si="1"/>
        <v>Built-up :</v>
      </c>
      <c r="AE22" s="7" t="str">
        <f t="shared" si="2"/>
        <v> sq. ft.</v>
      </c>
      <c r="AF22">
        <f>IFERROR(__xludf.DUMMYFUNCTION("VALUE(REGEXREPLACE(G22,""[^[:digit:]]"", """"))"),1798.0)</f>
        <v>1798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27</v>
      </c>
    </row>
    <row r="23">
      <c r="A23" s="7" t="s">
        <v>23</v>
      </c>
      <c r="B23" s="7" t="s">
        <v>81</v>
      </c>
      <c r="C23" s="7">
        <f>1</f>
        <v>1</v>
      </c>
      <c r="D23" s="7">
        <v>1.0</v>
      </c>
      <c r="E23" s="7">
        <v>1.0</v>
      </c>
      <c r="F23" s="7" t="s">
        <v>82</v>
      </c>
      <c r="G23" s="7" t="s">
        <v>51</v>
      </c>
      <c r="H23" s="9" t="s">
        <v>2979</v>
      </c>
      <c r="I23" t="s">
        <v>2991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 t="str">
        <f t="shared" si="1"/>
        <v>Built-up :</v>
      </c>
      <c r="AE23" s="7" t="str">
        <f t="shared" si="2"/>
        <v> sq. ft.</v>
      </c>
      <c r="AF23">
        <f>IFERROR(__xludf.DUMMYFUNCTION("VALUE(REGEXREPLACE(G23,""[^[:digit:]]"", """"))"),904.0)</f>
        <v>904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 t="s">
        <v>22</v>
      </c>
    </row>
    <row r="24">
      <c r="A24" s="7" t="s">
        <v>72</v>
      </c>
      <c r="B24" s="7" t="s">
        <v>78</v>
      </c>
      <c r="C24" s="7">
        <f t="shared" ref="C24:C25" si="4">3+1</f>
        <v>4</v>
      </c>
      <c r="D24" s="7">
        <v>4.0</v>
      </c>
      <c r="E24" s="7">
        <v>3.0</v>
      </c>
      <c r="F24" s="7" t="s">
        <v>83</v>
      </c>
      <c r="G24" s="7" t="s">
        <v>84</v>
      </c>
      <c r="H24" s="9" t="s">
        <v>2979</v>
      </c>
      <c r="I24" t="s">
        <v>3001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 t="str">
        <f t="shared" si="1"/>
        <v>Built-up :</v>
      </c>
      <c r="AE24" s="7" t="str">
        <f t="shared" si="2"/>
        <v> sq. ft.</v>
      </c>
      <c r="AF24">
        <f>IFERROR(__xludf.DUMMYFUNCTION("VALUE(REGEXREPLACE(G24,""[^[:digit:]]"", """"))"),2163.0)</f>
        <v>2163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 t="s">
        <v>22</v>
      </c>
    </row>
    <row r="25">
      <c r="A25" s="7" t="s">
        <v>72</v>
      </c>
      <c r="B25" s="7" t="s">
        <v>85</v>
      </c>
      <c r="C25" s="7">
        <f t="shared" si="4"/>
        <v>4</v>
      </c>
      <c r="D25" s="7">
        <v>4.0</v>
      </c>
      <c r="E25" s="9">
        <v>2.0</v>
      </c>
      <c r="F25" s="7" t="s">
        <v>83</v>
      </c>
      <c r="G25" s="7" t="s">
        <v>84</v>
      </c>
      <c r="H25" s="9" t="s">
        <v>2979</v>
      </c>
      <c r="I25" t="s">
        <v>3001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 t="str">
        <f t="shared" si="1"/>
        <v>Built-up :</v>
      </c>
      <c r="AE25" s="7" t="str">
        <f t="shared" si="2"/>
        <v> sq. ft.</v>
      </c>
      <c r="AF25">
        <f>IFERROR(__xludf.DUMMYFUNCTION("VALUE(REGEXREPLACE(G25,""[^[:digit:]]"", """"))"),2163.0)</f>
        <v>2163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 t="s">
        <v>22</v>
      </c>
    </row>
    <row r="26">
      <c r="A26" s="7" t="s">
        <v>86</v>
      </c>
      <c r="B26" s="7" t="s">
        <v>87</v>
      </c>
      <c r="C26" s="7">
        <f>1</f>
        <v>1</v>
      </c>
      <c r="D26" s="7">
        <v>1.0</v>
      </c>
      <c r="E26" s="7">
        <v>1.0</v>
      </c>
      <c r="F26" s="7" t="s">
        <v>20</v>
      </c>
      <c r="G26" s="7" t="s">
        <v>88</v>
      </c>
      <c r="H26" s="9" t="s">
        <v>2979</v>
      </c>
      <c r="I26" t="s">
        <v>3002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 t="str">
        <f t="shared" si="1"/>
        <v>Built-up :</v>
      </c>
      <c r="AE26" s="7" t="str">
        <f t="shared" si="2"/>
        <v> sq. ft.</v>
      </c>
      <c r="AF26">
        <f>IFERROR(__xludf.DUMMYFUNCTION("VALUE(REGEXREPLACE(G26,""[^[:digit:]]"", """"))"),520.0)</f>
        <v>520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 t="s">
        <v>22</v>
      </c>
    </row>
    <row r="27">
      <c r="A27" s="7" t="s">
        <v>89</v>
      </c>
      <c r="C27" s="7">
        <f>5</f>
        <v>5</v>
      </c>
      <c r="D27" s="7">
        <v>4.0</v>
      </c>
      <c r="E27" s="9">
        <v>2.0</v>
      </c>
      <c r="F27" s="7" t="s">
        <v>90</v>
      </c>
      <c r="G27" s="10" t="s">
        <v>91</v>
      </c>
      <c r="H27" s="9" t="s">
        <v>2981</v>
      </c>
      <c r="I27" t="s">
        <v>3003</v>
      </c>
      <c r="J27" s="10"/>
      <c r="K27" s="10"/>
      <c r="L27" s="10"/>
      <c r="M27" s="10"/>
      <c r="N27" s="10"/>
      <c r="O27" s="10"/>
      <c r="P27" s="10"/>
      <c r="Q27" s="10"/>
      <c r="R27" s="10"/>
      <c r="S27" s="10" t="s">
        <v>2990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 t="str">
        <f t="shared" si="1"/>
        <v>Land area </v>
      </c>
      <c r="AE27" s="7" t="str">
        <f t="shared" si="2"/>
        <v> sq. ft.</v>
      </c>
      <c r="AF27" s="7">
        <v>1500.0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 t="s">
        <v>22</v>
      </c>
    </row>
    <row r="28">
      <c r="A28" s="7" t="s">
        <v>33</v>
      </c>
      <c r="B28" s="7" t="s">
        <v>92</v>
      </c>
      <c r="C28" s="7">
        <f>3+1</f>
        <v>4</v>
      </c>
      <c r="D28" s="7">
        <v>2.0</v>
      </c>
      <c r="E28" s="7">
        <v>2.0</v>
      </c>
      <c r="F28" s="7" t="s">
        <v>93</v>
      </c>
      <c r="G28" s="7" t="s">
        <v>94</v>
      </c>
      <c r="H28" s="9" t="s">
        <v>2979</v>
      </c>
      <c r="I28" t="s">
        <v>3004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 t="str">
        <f t="shared" si="1"/>
        <v>Built-up :</v>
      </c>
      <c r="AE28" s="7" t="str">
        <f t="shared" si="2"/>
        <v> sq. ft.</v>
      </c>
      <c r="AF28">
        <f>IFERROR(__xludf.DUMMYFUNCTION("VALUE(REGEXREPLACE(G28,""[^[:digit:]]"", """"))"),1236.0)</f>
        <v>1236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 t="s">
        <v>27</v>
      </c>
    </row>
    <row r="29">
      <c r="A29" s="7" t="s">
        <v>72</v>
      </c>
      <c r="E29" s="9">
        <v>2.0</v>
      </c>
      <c r="H29" s="9" t="s">
        <v>2984</v>
      </c>
      <c r="I29" t="s">
        <v>2985</v>
      </c>
      <c r="AD29" s="7" t="str">
        <f t="shared" si="1"/>
        <v/>
      </c>
      <c r="AE29" s="7" t="str">
        <f t="shared" si="2"/>
        <v/>
      </c>
      <c r="AF29">
        <f>IFERROR(__xludf.DUMMYFUNCTION("VALUE(REGEXREPLACE(G29,""[^[:digit:]]"", """"))"),0.0)</f>
        <v>0</v>
      </c>
    </row>
    <row r="30">
      <c r="A30" s="7" t="s">
        <v>28</v>
      </c>
      <c r="B30" s="7" t="s">
        <v>95</v>
      </c>
      <c r="C30" s="7">
        <f>3+1</f>
        <v>4</v>
      </c>
      <c r="D30" s="7">
        <v>4.0</v>
      </c>
      <c r="E30" s="7">
        <v>1.0</v>
      </c>
      <c r="F30" s="7" t="s">
        <v>96</v>
      </c>
      <c r="G30" s="7" t="s">
        <v>97</v>
      </c>
      <c r="H30" s="9" t="s">
        <v>2979</v>
      </c>
      <c r="I30" t="s">
        <v>3005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 t="str">
        <f t="shared" si="1"/>
        <v>Built-up :</v>
      </c>
      <c r="AE30" s="7" t="str">
        <f t="shared" si="2"/>
        <v> sq. ft.</v>
      </c>
      <c r="AF30">
        <f>IFERROR(__xludf.DUMMYFUNCTION("VALUE(REGEXREPLACE(G30,""[^[:digit:]]"", """"))"),1876.0)</f>
        <v>1876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 t="s">
        <v>27</v>
      </c>
    </row>
    <row r="31">
      <c r="A31" s="7" t="s">
        <v>72</v>
      </c>
      <c r="B31" s="7" t="s">
        <v>98</v>
      </c>
      <c r="C31" s="7">
        <f>3</f>
        <v>3</v>
      </c>
      <c r="D31" s="7">
        <v>4.0</v>
      </c>
      <c r="E31" s="9">
        <v>2.0</v>
      </c>
      <c r="F31" s="7" t="s">
        <v>93</v>
      </c>
      <c r="G31" s="7" t="s">
        <v>99</v>
      </c>
      <c r="H31" s="9" t="s">
        <v>2979</v>
      </c>
      <c r="I31" t="s">
        <v>3006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tr">
        <f t="shared" si="1"/>
        <v>Built-up :</v>
      </c>
      <c r="AE31" s="7" t="str">
        <f t="shared" si="2"/>
        <v> sq. ft.</v>
      </c>
      <c r="AF31">
        <f>IFERROR(__xludf.DUMMYFUNCTION("VALUE(REGEXREPLACE(G31,""[^[:digit:]]"", """"))"),1668.0)</f>
        <v>1668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 t="s">
        <v>27</v>
      </c>
    </row>
    <row r="32">
      <c r="A32" s="7" t="s">
        <v>100</v>
      </c>
      <c r="E32" s="9">
        <v>2.0</v>
      </c>
      <c r="H32" s="9" t="s">
        <v>2984</v>
      </c>
      <c r="I32" t="s">
        <v>2985</v>
      </c>
      <c r="AD32" s="7" t="str">
        <f t="shared" si="1"/>
        <v/>
      </c>
      <c r="AE32" s="7" t="str">
        <f t="shared" si="2"/>
        <v/>
      </c>
      <c r="AF32">
        <f>IFERROR(__xludf.DUMMYFUNCTION("VALUE(REGEXREPLACE(G32,""[^[:digit:]]"", """"))"),0.0)</f>
        <v>0</v>
      </c>
    </row>
    <row r="33">
      <c r="A33" s="7" t="s">
        <v>52</v>
      </c>
      <c r="B33" s="7" t="s">
        <v>101</v>
      </c>
      <c r="C33" s="7">
        <f>4+1</f>
        <v>5</v>
      </c>
      <c r="D33" s="7">
        <v>4.0</v>
      </c>
      <c r="E33" s="7">
        <v>4.0</v>
      </c>
      <c r="F33" s="7" t="s">
        <v>83</v>
      </c>
      <c r="G33" s="7" t="s">
        <v>102</v>
      </c>
      <c r="H33" s="9" t="s">
        <v>2979</v>
      </c>
      <c r="I33" t="s">
        <v>3007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 t="str">
        <f t="shared" si="1"/>
        <v>Built-up :</v>
      </c>
      <c r="AE33" s="7" t="str">
        <f t="shared" si="2"/>
        <v> sq. ft.</v>
      </c>
      <c r="AF33">
        <f>IFERROR(__xludf.DUMMYFUNCTION("VALUE(REGEXREPLACE(G33,""[^[:digit:]]"", """"))"),3536.0)</f>
        <v>3536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 t="s">
        <v>103</v>
      </c>
    </row>
    <row r="34">
      <c r="A34" s="7" t="s">
        <v>104</v>
      </c>
      <c r="B34" s="7" t="s">
        <v>105</v>
      </c>
      <c r="C34" s="7">
        <f>3</f>
        <v>3</v>
      </c>
      <c r="D34" s="7">
        <v>2.0</v>
      </c>
      <c r="E34" s="9">
        <v>2.0</v>
      </c>
      <c r="F34" s="7" t="s">
        <v>54</v>
      </c>
      <c r="G34" s="10" t="s">
        <v>106</v>
      </c>
      <c r="H34" s="9" t="s">
        <v>2981</v>
      </c>
      <c r="I34" t="s">
        <v>3008</v>
      </c>
      <c r="J34" s="10"/>
      <c r="K34" s="10"/>
      <c r="L34" s="10"/>
      <c r="M34" s="10"/>
      <c r="N34" s="10"/>
      <c r="O34" s="10"/>
      <c r="P34" s="10"/>
      <c r="Q34" s="10"/>
      <c r="R34" s="10"/>
      <c r="S34" s="10" t="s">
        <v>3009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 t="str">
        <f t="shared" si="1"/>
        <v>Land area </v>
      </c>
      <c r="AE34" s="7" t="str">
        <f t="shared" si="2"/>
        <v> sq. ft.</v>
      </c>
      <c r="AF34" s="7">
        <v>880.0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 t="s">
        <v>27</v>
      </c>
    </row>
    <row r="35">
      <c r="A35" s="7" t="s">
        <v>52</v>
      </c>
      <c r="B35" s="7" t="s">
        <v>107</v>
      </c>
      <c r="C35" s="7">
        <f>1</f>
        <v>1</v>
      </c>
      <c r="D35" s="7">
        <v>1.0</v>
      </c>
      <c r="E35" s="7">
        <v>1.0</v>
      </c>
      <c r="F35" s="7" t="s">
        <v>20</v>
      </c>
      <c r="G35" s="7" t="s">
        <v>108</v>
      </c>
      <c r="H35" s="9" t="s">
        <v>2979</v>
      </c>
      <c r="I35" t="s">
        <v>3010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 t="str">
        <f t="shared" si="1"/>
        <v>Built-up :</v>
      </c>
      <c r="AE35" s="7" t="str">
        <f t="shared" si="2"/>
        <v> sq. ft.</v>
      </c>
      <c r="AF35">
        <f>IFERROR(__xludf.DUMMYFUNCTION("VALUE(REGEXREPLACE(G35,""[^[:digit:]]"", """"))"),613.0)</f>
        <v>613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 t="s">
        <v>22</v>
      </c>
    </row>
    <row r="36">
      <c r="A36" s="7" t="s">
        <v>109</v>
      </c>
      <c r="E36" s="9">
        <v>2.0</v>
      </c>
      <c r="H36" s="9" t="s">
        <v>2984</v>
      </c>
      <c r="I36" t="s">
        <v>2985</v>
      </c>
      <c r="AD36" s="7" t="str">
        <f t="shared" si="1"/>
        <v/>
      </c>
      <c r="AE36" s="7" t="str">
        <f t="shared" si="2"/>
        <v/>
      </c>
      <c r="AF36">
        <f>IFERROR(__xludf.DUMMYFUNCTION("VALUE(REGEXREPLACE(G36,""[^[:digit:]]"", """"))"),0.0)</f>
        <v>0</v>
      </c>
    </row>
    <row r="37">
      <c r="A37" s="7" t="s">
        <v>17</v>
      </c>
      <c r="B37" s="7" t="s">
        <v>110</v>
      </c>
      <c r="C37" s="7">
        <f>2</f>
        <v>2</v>
      </c>
      <c r="D37" s="7">
        <v>2.0</v>
      </c>
      <c r="E37" s="7">
        <v>1.0</v>
      </c>
      <c r="F37" s="7" t="s">
        <v>20</v>
      </c>
      <c r="G37" s="7" t="s">
        <v>111</v>
      </c>
      <c r="H37" s="9" t="s">
        <v>2979</v>
      </c>
      <c r="I37" t="s">
        <v>3011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 t="str">
        <f t="shared" si="1"/>
        <v>Built-up :</v>
      </c>
      <c r="AE37" s="7" t="str">
        <f t="shared" si="2"/>
        <v> sq. ft.</v>
      </c>
      <c r="AF37">
        <f>IFERROR(__xludf.DUMMYFUNCTION("VALUE(REGEXREPLACE(G37,""[^[:digit:]]"", """"))"),1006.0)</f>
        <v>1006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 t="s">
        <v>22</v>
      </c>
    </row>
    <row r="38">
      <c r="A38" s="7" t="s">
        <v>72</v>
      </c>
      <c r="B38" s="7" t="s">
        <v>112</v>
      </c>
      <c r="C38" s="7">
        <f>4+1</f>
        <v>5</v>
      </c>
      <c r="D38" s="7">
        <v>4.0</v>
      </c>
      <c r="E38" s="9">
        <v>2.0</v>
      </c>
      <c r="F38" s="7" t="s">
        <v>83</v>
      </c>
      <c r="G38" s="7" t="s">
        <v>113</v>
      </c>
      <c r="H38" s="9" t="s">
        <v>2979</v>
      </c>
      <c r="I38" t="s">
        <v>3012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 t="str">
        <f t="shared" si="1"/>
        <v>Built-up :</v>
      </c>
      <c r="AE38" s="7" t="str">
        <f t="shared" si="2"/>
        <v> sq. ft.</v>
      </c>
      <c r="AF38">
        <f>IFERROR(__xludf.DUMMYFUNCTION("VALUE(REGEXREPLACE(G38,""[^[:digit:]]"", """"))"),2767.0)</f>
        <v>2767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>
      <c r="A39" s="7" t="s">
        <v>72</v>
      </c>
      <c r="B39" s="7" t="s">
        <v>114</v>
      </c>
      <c r="C39" s="7">
        <f>4+2</f>
        <v>6</v>
      </c>
      <c r="D39" s="7">
        <v>4.0</v>
      </c>
      <c r="E39" s="9">
        <v>2.0</v>
      </c>
      <c r="F39" s="7" t="s">
        <v>83</v>
      </c>
      <c r="G39" s="7" t="s">
        <v>115</v>
      </c>
      <c r="H39" s="9" t="s">
        <v>2979</v>
      </c>
      <c r="I39" t="s">
        <v>3013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 t="str">
        <f t="shared" si="1"/>
        <v>Built-up :</v>
      </c>
      <c r="AE39" s="7" t="str">
        <f t="shared" si="2"/>
        <v> sq. ft.</v>
      </c>
      <c r="AF39">
        <f>IFERROR(__xludf.DUMMYFUNCTION("VALUE(REGEXREPLACE(G39,""[^[:digit:]]"", """"))"),2702.0)</f>
        <v>2702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>
      <c r="A40" s="7" t="s">
        <v>32</v>
      </c>
      <c r="E40" s="9">
        <v>2.0</v>
      </c>
      <c r="H40" s="9" t="s">
        <v>2984</v>
      </c>
      <c r="I40" t="s">
        <v>2985</v>
      </c>
      <c r="AD40" s="7" t="str">
        <f t="shared" si="1"/>
        <v/>
      </c>
      <c r="AE40" s="7" t="str">
        <f t="shared" si="2"/>
        <v/>
      </c>
      <c r="AF40">
        <f>IFERROR(__xludf.DUMMYFUNCTION("VALUE(REGEXREPLACE(G40,""[^[:digit:]]"", """"))"),0.0)</f>
        <v>0</v>
      </c>
    </row>
    <row r="41">
      <c r="A41" s="7" t="s">
        <v>100</v>
      </c>
      <c r="B41" s="7" t="s">
        <v>116</v>
      </c>
      <c r="C41" s="7">
        <f t="shared" ref="C41:C42" si="5">3+2</f>
        <v>5</v>
      </c>
      <c r="D41" s="7">
        <v>4.0</v>
      </c>
      <c r="E41" s="7">
        <v>3.0</v>
      </c>
      <c r="F41" s="7" t="s">
        <v>30</v>
      </c>
      <c r="G41" s="7" t="s">
        <v>117</v>
      </c>
      <c r="H41" s="9" t="s">
        <v>2979</v>
      </c>
      <c r="I41" t="s">
        <v>3014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 t="str">
        <f t="shared" si="1"/>
        <v>Built-up :</v>
      </c>
      <c r="AE41" s="7" t="str">
        <f t="shared" si="2"/>
        <v> sq. ft.</v>
      </c>
      <c r="AF41">
        <f>IFERROR(__xludf.DUMMYFUNCTION("VALUE(REGEXREPLACE(G41,""[^[:digit:]]"", """"))"),2378.0)</f>
        <v>2378</v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 t="s">
        <v>27</v>
      </c>
    </row>
    <row r="42">
      <c r="A42" s="7" t="s">
        <v>72</v>
      </c>
      <c r="B42" s="7" t="s">
        <v>118</v>
      </c>
      <c r="C42" s="7">
        <f t="shared" si="5"/>
        <v>5</v>
      </c>
      <c r="D42" s="7">
        <v>6.0</v>
      </c>
      <c r="E42" s="7">
        <v>3.0</v>
      </c>
      <c r="F42" s="7" t="s">
        <v>30</v>
      </c>
      <c r="G42" s="7" t="s">
        <v>119</v>
      </c>
      <c r="H42" s="9" t="s">
        <v>2979</v>
      </c>
      <c r="I42" t="s">
        <v>3015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 t="str">
        <f t="shared" si="1"/>
        <v>Built-up :</v>
      </c>
      <c r="AE42" s="7" t="str">
        <f t="shared" si="2"/>
        <v> sq. ft.</v>
      </c>
      <c r="AF42">
        <f>IFERROR(__xludf.DUMMYFUNCTION("VALUE(REGEXREPLACE(G42,""[^[:digit:]]"", """"))"),2020.0)</f>
        <v>2020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 t="s">
        <v>27</v>
      </c>
    </row>
    <row r="43">
      <c r="A43" s="7" t="s">
        <v>17</v>
      </c>
      <c r="B43" s="7" t="s">
        <v>120</v>
      </c>
      <c r="C43" s="7">
        <f>4</f>
        <v>4</v>
      </c>
      <c r="D43" s="7">
        <v>4.0</v>
      </c>
      <c r="E43" s="9">
        <v>2.0</v>
      </c>
      <c r="F43" s="7" t="s">
        <v>121</v>
      </c>
      <c r="G43" s="7" t="s">
        <v>122</v>
      </c>
      <c r="H43" s="9" t="s">
        <v>2979</v>
      </c>
      <c r="I43" t="s">
        <v>3016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 t="str">
        <f t="shared" si="1"/>
        <v>Built-up :</v>
      </c>
      <c r="AE43" s="7" t="str">
        <f t="shared" si="2"/>
        <v> sq. ft.</v>
      </c>
      <c r="AF43">
        <f>IFERROR(__xludf.DUMMYFUNCTION("VALUE(REGEXREPLACE(G43,""[^[:digit:]]"", """"))"),3897.0)</f>
        <v>3897</v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 t="s">
        <v>27</v>
      </c>
    </row>
    <row r="44">
      <c r="A44" s="7" t="s">
        <v>17</v>
      </c>
      <c r="B44" s="7" t="s">
        <v>123</v>
      </c>
      <c r="C44" s="7">
        <f>3+1</f>
        <v>4</v>
      </c>
      <c r="D44" s="7">
        <v>4.0</v>
      </c>
      <c r="E44" s="7">
        <v>2.0</v>
      </c>
      <c r="F44" s="7" t="s">
        <v>121</v>
      </c>
      <c r="G44" s="7" t="s">
        <v>124</v>
      </c>
      <c r="H44" s="9" t="s">
        <v>2979</v>
      </c>
      <c r="I44" t="s">
        <v>3017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 t="str">
        <f t="shared" si="1"/>
        <v>Built-up :</v>
      </c>
      <c r="AE44" s="7" t="str">
        <f t="shared" si="2"/>
        <v> sq. ft.</v>
      </c>
      <c r="AF44">
        <f>IFERROR(__xludf.DUMMYFUNCTION("VALUE(REGEXREPLACE(G44,""[^[:digit:]]"", """"))"),2195.0)</f>
        <v>2195</v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 t="s">
        <v>22</v>
      </c>
    </row>
    <row r="45">
      <c r="A45" s="7" t="s">
        <v>17</v>
      </c>
      <c r="B45" s="7" t="s">
        <v>125</v>
      </c>
      <c r="C45" s="7">
        <f>1</f>
        <v>1</v>
      </c>
      <c r="D45" s="7">
        <v>2.0</v>
      </c>
      <c r="E45" s="7">
        <v>1.0</v>
      </c>
      <c r="F45" s="7" t="s">
        <v>20</v>
      </c>
      <c r="G45" s="7" t="s">
        <v>126</v>
      </c>
      <c r="H45" s="9" t="s">
        <v>2979</v>
      </c>
      <c r="I45" t="s">
        <v>3018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 t="str">
        <f t="shared" si="1"/>
        <v>Built-up :</v>
      </c>
      <c r="AE45" s="7" t="str">
        <f t="shared" si="2"/>
        <v> sq. ft.</v>
      </c>
      <c r="AF45">
        <f>IFERROR(__xludf.DUMMYFUNCTION("VALUE(REGEXREPLACE(G45,""[^[:digit:]]"", """"))"),1023.0)</f>
        <v>1023</v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 t="s">
        <v>27</v>
      </c>
    </row>
    <row r="46">
      <c r="A46" s="7" t="s">
        <v>23</v>
      </c>
      <c r="B46" s="7" t="s">
        <v>127</v>
      </c>
      <c r="C46" s="7">
        <f t="shared" ref="C46:C47" si="6">6</f>
        <v>6</v>
      </c>
      <c r="D46" s="7">
        <v>5.0</v>
      </c>
      <c r="E46" s="7">
        <v>5.0</v>
      </c>
      <c r="F46" s="7" t="s">
        <v>25</v>
      </c>
      <c r="G46" s="7" t="s">
        <v>128</v>
      </c>
      <c r="H46" s="9" t="s">
        <v>2981</v>
      </c>
      <c r="I46" t="s">
        <v>3019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 t="str">
        <f t="shared" si="1"/>
        <v>Land area </v>
      </c>
      <c r="AE46" s="7" t="str">
        <f t="shared" si="2"/>
        <v> sq. ft.</v>
      </c>
      <c r="AF46">
        <f>IFERROR(__xludf.DUMMYFUNCTION("VALUE(REGEXREPLACE(G46,""[^[:digit:]]"", """"))"),5274.0)</f>
        <v>5274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 t="s">
        <v>27</v>
      </c>
    </row>
    <row r="47">
      <c r="A47" s="7" t="s">
        <v>89</v>
      </c>
      <c r="B47" s="7" t="s">
        <v>34</v>
      </c>
      <c r="C47" s="7">
        <f t="shared" si="6"/>
        <v>6</v>
      </c>
      <c r="D47" s="7">
        <v>5.0</v>
      </c>
      <c r="E47" s="7">
        <v>3.0</v>
      </c>
      <c r="F47" s="7" t="s">
        <v>90</v>
      </c>
      <c r="G47" s="7" t="s">
        <v>129</v>
      </c>
      <c r="H47" s="9" t="s">
        <v>2981</v>
      </c>
      <c r="I47" t="s">
        <v>3020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 t="str">
        <f t="shared" si="1"/>
        <v>Land area </v>
      </c>
      <c r="AE47" s="7" t="str">
        <f t="shared" si="2"/>
        <v> sq. ft.</v>
      </c>
      <c r="AF47" s="7">
        <v>1600.0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 t="s">
        <v>22</v>
      </c>
    </row>
    <row r="48">
      <c r="A48" s="7" t="s">
        <v>17</v>
      </c>
      <c r="B48" s="7" t="s">
        <v>130</v>
      </c>
      <c r="C48" s="7">
        <f>3+1</f>
        <v>4</v>
      </c>
      <c r="D48" s="7">
        <v>4.0</v>
      </c>
      <c r="E48" s="7">
        <v>3.0</v>
      </c>
      <c r="F48" s="7" t="s">
        <v>121</v>
      </c>
      <c r="G48" s="7" t="s">
        <v>131</v>
      </c>
      <c r="H48" s="9" t="s">
        <v>2979</v>
      </c>
      <c r="I48" t="s">
        <v>3021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 t="str">
        <f t="shared" si="1"/>
        <v>Built-up :</v>
      </c>
      <c r="AE48" s="7" t="str">
        <f t="shared" si="2"/>
        <v> sq. ft.</v>
      </c>
      <c r="AF48">
        <f>IFERROR(__xludf.DUMMYFUNCTION("VALUE(REGEXREPLACE(G48,""[^[:digit:]]"", """"))"),3095.0)</f>
        <v>3095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 t="s">
        <v>22</v>
      </c>
    </row>
    <row r="49">
      <c r="A49" s="7" t="s">
        <v>72</v>
      </c>
      <c r="B49" s="7" t="s">
        <v>132</v>
      </c>
      <c r="C49" s="7">
        <f>2</f>
        <v>2</v>
      </c>
      <c r="D49" s="7">
        <v>2.0</v>
      </c>
      <c r="E49" s="7">
        <v>1.0</v>
      </c>
      <c r="F49" s="7" t="s">
        <v>20</v>
      </c>
      <c r="G49" s="7" t="s">
        <v>133</v>
      </c>
      <c r="H49" s="9" t="s">
        <v>2979</v>
      </c>
      <c r="I49" t="s">
        <v>3022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 t="str">
        <f t="shared" si="1"/>
        <v>Built-up :</v>
      </c>
      <c r="AE49" s="7" t="str">
        <f t="shared" si="2"/>
        <v> sq. ft.</v>
      </c>
      <c r="AF49">
        <f>IFERROR(__xludf.DUMMYFUNCTION("VALUE(REGEXREPLACE(G49,""[^[:digit:]]"", """"))"),896.0)</f>
        <v>896</v>
      </c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 t="s">
        <v>22</v>
      </c>
    </row>
    <row r="50">
      <c r="A50" s="7" t="s">
        <v>72</v>
      </c>
      <c r="B50" s="7" t="s">
        <v>134</v>
      </c>
      <c r="C50" s="7">
        <f>3</f>
        <v>3</v>
      </c>
      <c r="D50" s="7">
        <v>2.0</v>
      </c>
      <c r="E50" s="7">
        <v>2.0</v>
      </c>
      <c r="F50" s="7" t="s">
        <v>30</v>
      </c>
      <c r="G50" s="7" t="s">
        <v>135</v>
      </c>
      <c r="H50" s="9" t="s">
        <v>2979</v>
      </c>
      <c r="I50" t="s">
        <v>3023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 t="str">
        <f t="shared" si="1"/>
        <v>Built-up :</v>
      </c>
      <c r="AE50" s="7" t="str">
        <f t="shared" si="2"/>
        <v> sq. ft.</v>
      </c>
      <c r="AF50">
        <f>IFERROR(__xludf.DUMMYFUNCTION("VALUE(REGEXREPLACE(G50,""[^[:digit:]]"", """"))"),1200.0)</f>
        <v>1200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 t="s">
        <v>27</v>
      </c>
    </row>
    <row r="51">
      <c r="A51" s="7" t="s">
        <v>33</v>
      </c>
      <c r="B51" s="7" t="s">
        <v>136</v>
      </c>
      <c r="C51" s="7">
        <f>4+1</f>
        <v>5</v>
      </c>
      <c r="D51" s="7">
        <v>4.0</v>
      </c>
      <c r="E51" s="7">
        <v>4.0</v>
      </c>
      <c r="F51" s="7" t="s">
        <v>96</v>
      </c>
      <c r="G51" s="7" t="s">
        <v>137</v>
      </c>
      <c r="H51" s="9" t="s">
        <v>2979</v>
      </c>
      <c r="I51" t="s">
        <v>3024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tr">
        <f t="shared" si="1"/>
        <v>Built-up :</v>
      </c>
      <c r="AE51" s="7" t="str">
        <f t="shared" si="2"/>
        <v> sq. ft.</v>
      </c>
      <c r="AF51">
        <f>IFERROR(__xludf.DUMMYFUNCTION("VALUE(REGEXREPLACE(G51,""[^[:digit:]]"", """"))"),1772.0)</f>
        <v>1772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 t="s">
        <v>27</v>
      </c>
    </row>
    <row r="52">
      <c r="A52" s="7" t="s">
        <v>33</v>
      </c>
      <c r="B52" s="7" t="s">
        <v>138</v>
      </c>
      <c r="C52" s="7">
        <f>4</f>
        <v>4</v>
      </c>
      <c r="D52" s="7">
        <v>3.0</v>
      </c>
      <c r="E52" s="7">
        <v>2.0</v>
      </c>
      <c r="F52" s="7" t="s">
        <v>96</v>
      </c>
      <c r="G52" s="7" t="s">
        <v>36</v>
      </c>
      <c r="H52" s="9" t="s">
        <v>2979</v>
      </c>
      <c r="I52" t="s">
        <v>2986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 t="str">
        <f t="shared" si="1"/>
        <v>Built-up :</v>
      </c>
      <c r="AE52" s="7" t="str">
        <f t="shared" si="2"/>
        <v> sq. ft.</v>
      </c>
      <c r="AF52">
        <f>IFERROR(__xludf.DUMMYFUNCTION("VALUE(REGEXREPLACE(G52,""[^[:digit:]]"", """"))"),1513.0)</f>
        <v>1513</v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 t="s">
        <v>27</v>
      </c>
    </row>
    <row r="53">
      <c r="A53" s="7" t="s">
        <v>37</v>
      </c>
      <c r="E53" s="9">
        <v>2.0</v>
      </c>
      <c r="H53" s="9" t="s">
        <v>2984</v>
      </c>
      <c r="I53" t="s">
        <v>2985</v>
      </c>
      <c r="AD53" s="7" t="str">
        <f t="shared" si="1"/>
        <v/>
      </c>
      <c r="AE53" s="7" t="str">
        <f t="shared" si="2"/>
        <v/>
      </c>
      <c r="AF53">
        <f>IFERROR(__xludf.DUMMYFUNCTION("VALUE(REGEXREPLACE(G53,""[^[:digit:]]"", """"))"),0.0)</f>
        <v>0</v>
      </c>
    </row>
    <row r="54">
      <c r="A54" s="7" t="s">
        <v>86</v>
      </c>
      <c r="B54" s="7" t="s">
        <v>139</v>
      </c>
      <c r="C54" s="7">
        <f>2</f>
        <v>2</v>
      </c>
      <c r="D54" s="7">
        <v>2.0</v>
      </c>
      <c r="E54" s="7">
        <v>1.0</v>
      </c>
      <c r="F54" s="7" t="s">
        <v>121</v>
      </c>
      <c r="G54" s="7" t="s">
        <v>140</v>
      </c>
      <c r="H54" s="9" t="s">
        <v>2979</v>
      </c>
      <c r="I54" t="s">
        <v>3008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 t="str">
        <f t="shared" si="1"/>
        <v>Built-up :</v>
      </c>
      <c r="AE54" s="7" t="str">
        <f t="shared" si="2"/>
        <v> sq. ft.</v>
      </c>
      <c r="AF54">
        <f>IFERROR(__xludf.DUMMYFUNCTION("VALUE(REGEXREPLACE(G54,""[^[:digit:]]"", """"))"),880.0)</f>
        <v>880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 t="s">
        <v>27</v>
      </c>
    </row>
    <row r="55">
      <c r="A55" s="7" t="s">
        <v>17</v>
      </c>
      <c r="B55" s="7" t="s">
        <v>141</v>
      </c>
      <c r="C55" s="7">
        <f>3+1</f>
        <v>4</v>
      </c>
      <c r="D55" s="7">
        <v>3.0</v>
      </c>
      <c r="E55" s="7">
        <v>2.0</v>
      </c>
      <c r="F55" s="7" t="s">
        <v>82</v>
      </c>
      <c r="G55" s="7" t="s">
        <v>142</v>
      </c>
      <c r="H55" s="9" t="s">
        <v>2979</v>
      </c>
      <c r="I55" t="s">
        <v>3025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 t="str">
        <f t="shared" si="1"/>
        <v>Built-up :</v>
      </c>
      <c r="AE55" s="7" t="str">
        <f t="shared" si="2"/>
        <v> sq. ft.</v>
      </c>
      <c r="AF55">
        <f>IFERROR(__xludf.DUMMYFUNCTION("VALUE(REGEXREPLACE(G55,""[^[:digit:]]"", """"))"),2066.0)</f>
        <v>2066</v>
      </c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 t="s">
        <v>27</v>
      </c>
    </row>
    <row r="56">
      <c r="A56" s="7" t="s">
        <v>37</v>
      </c>
      <c r="E56" s="9">
        <v>2.0</v>
      </c>
      <c r="H56" s="9" t="s">
        <v>2984</v>
      </c>
      <c r="I56" t="s">
        <v>2985</v>
      </c>
      <c r="AD56" s="7" t="str">
        <f t="shared" si="1"/>
        <v/>
      </c>
      <c r="AE56" s="7" t="str">
        <f t="shared" si="2"/>
        <v/>
      </c>
      <c r="AF56">
        <f>IFERROR(__xludf.DUMMYFUNCTION("VALUE(REGEXREPLACE(G56,""[^[:digit:]]"", """"))"),0.0)</f>
        <v>0</v>
      </c>
    </row>
    <row r="57">
      <c r="A57" s="7" t="s">
        <v>143</v>
      </c>
      <c r="B57" s="7" t="s">
        <v>144</v>
      </c>
      <c r="C57" s="7">
        <f>2</f>
        <v>2</v>
      </c>
      <c r="D57" s="7">
        <v>2.0</v>
      </c>
      <c r="E57" s="7">
        <v>1.0</v>
      </c>
      <c r="F57" s="7" t="s">
        <v>145</v>
      </c>
      <c r="G57" s="7" t="s">
        <v>146</v>
      </c>
      <c r="H57" s="9" t="s">
        <v>2979</v>
      </c>
      <c r="I57" t="s">
        <v>3026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 t="str">
        <f t="shared" si="1"/>
        <v>Built-up :</v>
      </c>
      <c r="AE57" s="7" t="str">
        <f t="shared" si="2"/>
        <v> sq. ft.</v>
      </c>
      <c r="AF57">
        <f>IFERROR(__xludf.DUMMYFUNCTION("VALUE(REGEXREPLACE(G57,""[^[:digit:]]"", """"))"),1244.0)</f>
        <v>1244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 t="s">
        <v>22</v>
      </c>
    </row>
    <row r="58">
      <c r="A58" s="7" t="s">
        <v>72</v>
      </c>
      <c r="B58" s="7" t="s">
        <v>120</v>
      </c>
      <c r="C58" s="7">
        <f>4+2</f>
        <v>6</v>
      </c>
      <c r="D58" s="7">
        <v>6.0</v>
      </c>
      <c r="E58" s="9">
        <v>2.0</v>
      </c>
      <c r="F58" s="7" t="s">
        <v>30</v>
      </c>
      <c r="G58" s="7" t="s">
        <v>147</v>
      </c>
      <c r="H58" s="9" t="s">
        <v>2979</v>
      </c>
      <c r="I58" t="s">
        <v>3027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 t="str">
        <f t="shared" si="1"/>
        <v>Built-up :</v>
      </c>
      <c r="AE58" s="7" t="str">
        <f t="shared" si="2"/>
        <v> sq. ft.</v>
      </c>
      <c r="AF58">
        <f>IFERROR(__xludf.DUMMYFUNCTION("VALUE(REGEXREPLACE(G58,""[^[:digit:]]"", """"))"),4090.0)</f>
        <v>4090</v>
      </c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 t="s">
        <v>22</v>
      </c>
    </row>
    <row r="59">
      <c r="A59" s="7" t="s">
        <v>72</v>
      </c>
      <c r="B59" s="7" t="s">
        <v>125</v>
      </c>
      <c r="C59" s="7">
        <f>4+1</f>
        <v>5</v>
      </c>
      <c r="D59" s="7">
        <v>5.0</v>
      </c>
      <c r="E59" s="7">
        <v>2.0</v>
      </c>
      <c r="F59" s="7" t="s">
        <v>30</v>
      </c>
      <c r="G59" s="7" t="s">
        <v>115</v>
      </c>
      <c r="H59" s="9" t="s">
        <v>2979</v>
      </c>
      <c r="I59" t="s">
        <v>3013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tr">
        <f t="shared" si="1"/>
        <v>Built-up :</v>
      </c>
      <c r="AE59" s="7" t="str">
        <f t="shared" si="2"/>
        <v> sq. ft.</v>
      </c>
      <c r="AF59">
        <f>IFERROR(__xludf.DUMMYFUNCTION("VALUE(REGEXREPLACE(G59,""[^[:digit:]]"", """"))"),2702.0)</f>
        <v>2702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 t="s">
        <v>27</v>
      </c>
    </row>
    <row r="60">
      <c r="A60" s="7" t="s">
        <v>148</v>
      </c>
      <c r="E60" s="9">
        <v>2.0</v>
      </c>
      <c r="H60" s="9" t="s">
        <v>2984</v>
      </c>
      <c r="I60" t="s">
        <v>2985</v>
      </c>
      <c r="AD60" s="7" t="str">
        <f t="shared" si="1"/>
        <v/>
      </c>
      <c r="AE60" s="7" t="str">
        <f t="shared" si="2"/>
        <v/>
      </c>
      <c r="AF60">
        <f>IFERROR(__xludf.DUMMYFUNCTION("VALUE(REGEXREPLACE(G60,""[^[:digit:]]"", """"))"),0.0)</f>
        <v>0</v>
      </c>
    </row>
    <row r="61">
      <c r="A61" s="7" t="s">
        <v>17</v>
      </c>
      <c r="B61" s="7" t="s">
        <v>149</v>
      </c>
      <c r="C61" s="7">
        <f>3+1</f>
        <v>4</v>
      </c>
      <c r="D61" s="7">
        <v>3.0</v>
      </c>
      <c r="E61" s="7">
        <v>2.0</v>
      </c>
      <c r="F61" s="7" t="s">
        <v>93</v>
      </c>
      <c r="G61" s="7" t="s">
        <v>150</v>
      </c>
      <c r="H61" s="9" t="s">
        <v>2979</v>
      </c>
      <c r="I61" t="s">
        <v>3028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 t="str">
        <f t="shared" si="1"/>
        <v>Built-up :</v>
      </c>
      <c r="AE61" s="7" t="str">
        <f t="shared" si="2"/>
        <v> sq. ft.</v>
      </c>
      <c r="AF61">
        <f>IFERROR(__xludf.DUMMYFUNCTION("VALUE(REGEXREPLACE(G61,""[^[:digit:]]"", """"))"),2250.0)</f>
        <v>2250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 t="s">
        <v>22</v>
      </c>
    </row>
    <row r="62">
      <c r="A62" s="7" t="s">
        <v>52</v>
      </c>
      <c r="B62" s="7" t="s">
        <v>151</v>
      </c>
      <c r="C62" s="7">
        <f>5</f>
        <v>5</v>
      </c>
      <c r="D62" s="7">
        <v>6.0</v>
      </c>
      <c r="E62" s="7">
        <v>3.0</v>
      </c>
      <c r="F62" s="7" t="s">
        <v>83</v>
      </c>
      <c r="G62" s="7" t="s">
        <v>152</v>
      </c>
      <c r="H62" s="9" t="s">
        <v>2979</v>
      </c>
      <c r="I62" t="s">
        <v>3029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 t="str">
        <f t="shared" si="1"/>
        <v>Built-up :</v>
      </c>
      <c r="AE62" s="7" t="str">
        <f t="shared" si="2"/>
        <v> sq. ft.</v>
      </c>
      <c r="AF62">
        <f>IFERROR(__xludf.DUMMYFUNCTION("VALUE(REGEXREPLACE(G62,""[^[:digit:]]"", """"))"),4300.0)</f>
        <v>4300</v>
      </c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 t="s">
        <v>27</v>
      </c>
    </row>
    <row r="63">
      <c r="A63" s="7" t="s">
        <v>52</v>
      </c>
      <c r="B63" s="7" t="s">
        <v>153</v>
      </c>
      <c r="C63" s="7">
        <f>4+1</f>
        <v>5</v>
      </c>
      <c r="D63" s="7">
        <v>5.0</v>
      </c>
      <c r="E63" s="7">
        <v>4.0</v>
      </c>
      <c r="F63" s="7" t="s">
        <v>30</v>
      </c>
      <c r="G63" s="7" t="s">
        <v>154</v>
      </c>
      <c r="H63" s="9" t="s">
        <v>2979</v>
      </c>
      <c r="I63" t="s">
        <v>3030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 t="str">
        <f t="shared" si="1"/>
        <v>Built-up :</v>
      </c>
      <c r="AE63" s="7" t="str">
        <f t="shared" si="2"/>
        <v> sq. ft.</v>
      </c>
      <c r="AF63">
        <f>IFERROR(__xludf.DUMMYFUNCTION("VALUE(REGEXREPLACE(G63,""[^[:digit:]]"", """"))"),3628.0)</f>
        <v>3628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 t="s">
        <v>27</v>
      </c>
    </row>
    <row r="64">
      <c r="A64" s="7" t="s">
        <v>155</v>
      </c>
      <c r="E64" s="9">
        <v>2.0</v>
      </c>
      <c r="H64" s="9" t="s">
        <v>2984</v>
      </c>
      <c r="I64" t="s">
        <v>2985</v>
      </c>
      <c r="AD64" s="7" t="str">
        <f t="shared" si="1"/>
        <v/>
      </c>
      <c r="AE64" s="7" t="str">
        <f t="shared" si="2"/>
        <v/>
      </c>
      <c r="AF64">
        <f>IFERROR(__xludf.DUMMYFUNCTION("VALUE(REGEXREPLACE(G64,""[^[:digit:]]"", """"))"),0.0)</f>
        <v>0</v>
      </c>
    </row>
    <row r="65">
      <c r="A65" s="7" t="s">
        <v>86</v>
      </c>
      <c r="B65" s="7" t="s">
        <v>156</v>
      </c>
      <c r="C65" s="7">
        <f>2+1</f>
        <v>3</v>
      </c>
      <c r="D65" s="7">
        <v>2.0</v>
      </c>
      <c r="E65" s="7">
        <v>1.0</v>
      </c>
      <c r="F65" s="7" t="s">
        <v>20</v>
      </c>
      <c r="G65" s="7" t="s">
        <v>157</v>
      </c>
      <c r="H65" s="9" t="s">
        <v>2979</v>
      </c>
      <c r="I65" t="s">
        <v>3031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tr">
        <f t="shared" si="1"/>
        <v>Built-up :</v>
      </c>
      <c r="AE65" s="7" t="str">
        <f t="shared" si="2"/>
        <v> sq. ft.</v>
      </c>
      <c r="AF65">
        <f>IFERROR(__xludf.DUMMYFUNCTION("VALUE(REGEXREPLACE(G65,""[^[:digit:]]"", """"))"),1050.0)</f>
        <v>1050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 t="s">
        <v>22</v>
      </c>
    </row>
    <row r="66">
      <c r="A66" s="7" t="s">
        <v>72</v>
      </c>
      <c r="B66" s="7" t="s">
        <v>158</v>
      </c>
      <c r="C66" s="7">
        <f>3+1</f>
        <v>4</v>
      </c>
      <c r="D66" s="7">
        <v>4.0</v>
      </c>
      <c r="E66" s="9">
        <v>2.0</v>
      </c>
      <c r="F66" s="7" t="s">
        <v>83</v>
      </c>
      <c r="G66" s="7" t="s">
        <v>159</v>
      </c>
      <c r="H66" s="9" t="s">
        <v>2979</v>
      </c>
      <c r="I66" t="s">
        <v>3032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 t="str">
        <f t="shared" si="1"/>
        <v>Built-up :</v>
      </c>
      <c r="AE66" s="7" t="str">
        <f t="shared" si="2"/>
        <v> sq. ft.</v>
      </c>
      <c r="AF66">
        <f>IFERROR(__xludf.DUMMYFUNCTION("VALUE(REGEXREPLACE(G66,""[^[:digit:]]"", """"))"),2347.0)</f>
        <v>2347</v>
      </c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 t="s">
        <v>27</v>
      </c>
    </row>
    <row r="67">
      <c r="A67" s="7" t="s">
        <v>17</v>
      </c>
      <c r="B67" s="7" t="s">
        <v>160</v>
      </c>
      <c r="C67" s="7">
        <f>2</f>
        <v>2</v>
      </c>
      <c r="D67" s="7">
        <v>2.0</v>
      </c>
      <c r="E67" s="7">
        <v>1.0</v>
      </c>
      <c r="F67" s="7" t="s">
        <v>82</v>
      </c>
      <c r="G67" s="7" t="s">
        <v>161</v>
      </c>
      <c r="H67" s="9" t="s">
        <v>2979</v>
      </c>
      <c r="I67" t="s">
        <v>3033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 t="str">
        <f t="shared" si="1"/>
        <v>Built-up :</v>
      </c>
      <c r="AE67" s="7" t="str">
        <f t="shared" si="2"/>
        <v> sq. ft.</v>
      </c>
      <c r="AF67">
        <f>IFERROR(__xludf.DUMMYFUNCTION("VALUE(REGEXREPLACE(G67,""[^[:digit:]]"", """"))"),1227.0)</f>
        <v>1227</v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 t="s">
        <v>22</v>
      </c>
    </row>
    <row r="68">
      <c r="A68" s="7" t="s">
        <v>89</v>
      </c>
      <c r="B68" s="7" t="s">
        <v>162</v>
      </c>
      <c r="C68" s="7">
        <f>4+1</f>
        <v>5</v>
      </c>
      <c r="D68" s="7">
        <v>4.0</v>
      </c>
      <c r="E68" s="7">
        <v>2.0</v>
      </c>
      <c r="F68" s="7" t="s">
        <v>90</v>
      </c>
      <c r="G68" s="7" t="s">
        <v>163</v>
      </c>
      <c r="H68" s="9" t="s">
        <v>2979</v>
      </c>
      <c r="I68" t="s">
        <v>3034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 t="str">
        <f t="shared" si="1"/>
        <v>Built-up :</v>
      </c>
      <c r="AE68" s="7" t="str">
        <f t="shared" si="2"/>
        <v> sq. ft.</v>
      </c>
      <c r="AF68">
        <f>IFERROR(__xludf.DUMMYFUNCTION("VALUE(REGEXREPLACE(G68,""[^[:digit:]]"", """"))"),2512.0)</f>
        <v>2512</v>
      </c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 t="s">
        <v>27</v>
      </c>
    </row>
    <row r="69">
      <c r="A69" s="7" t="s">
        <v>164</v>
      </c>
      <c r="B69" s="7" t="s">
        <v>165</v>
      </c>
      <c r="C69" s="7">
        <f>1</f>
        <v>1</v>
      </c>
      <c r="D69" s="7">
        <v>1.0</v>
      </c>
      <c r="E69" s="7">
        <v>1.0</v>
      </c>
      <c r="F69" s="7" t="s">
        <v>20</v>
      </c>
      <c r="G69" s="7" t="s">
        <v>166</v>
      </c>
      <c r="H69" s="9" t="s">
        <v>2979</v>
      </c>
      <c r="I69" t="s">
        <v>3035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 t="str">
        <f t="shared" si="1"/>
        <v>Built-up :</v>
      </c>
      <c r="AE69" s="7" t="str">
        <f t="shared" si="2"/>
        <v> sq. ft.</v>
      </c>
      <c r="AF69">
        <f>IFERROR(__xludf.DUMMYFUNCTION("VALUE(REGEXREPLACE(G69,""[^[:digit:]]"", """"))"),1648.0)</f>
        <v>1648</v>
      </c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 t="s">
        <v>27</v>
      </c>
    </row>
    <row r="70">
      <c r="A70" s="7" t="s">
        <v>17</v>
      </c>
      <c r="B70" s="7" t="s">
        <v>78</v>
      </c>
      <c r="C70" s="7">
        <f>2</f>
        <v>2</v>
      </c>
      <c r="D70" s="7">
        <v>2.0</v>
      </c>
      <c r="E70" s="7">
        <v>1.0</v>
      </c>
      <c r="F70" s="7" t="s">
        <v>121</v>
      </c>
      <c r="G70" s="7" t="s">
        <v>167</v>
      </c>
      <c r="H70" s="9" t="s">
        <v>2979</v>
      </c>
      <c r="I70" t="s">
        <v>3036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 t="str">
        <f t="shared" si="1"/>
        <v>Built-up :</v>
      </c>
      <c r="AE70" s="7" t="str">
        <f t="shared" si="2"/>
        <v> sq. ft.</v>
      </c>
      <c r="AF70">
        <f>IFERROR(__xludf.DUMMYFUNCTION("VALUE(REGEXREPLACE(G70,""[^[:digit:]]"", """"))"),1022.0)</f>
        <v>1022</v>
      </c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 t="s">
        <v>22</v>
      </c>
    </row>
    <row r="71">
      <c r="A71" s="7" t="s">
        <v>17</v>
      </c>
      <c r="B71" s="7" t="s">
        <v>125</v>
      </c>
      <c r="C71" s="7">
        <f>1</f>
        <v>1</v>
      </c>
      <c r="D71" s="7">
        <v>2.0</v>
      </c>
      <c r="E71" s="7">
        <v>1.0</v>
      </c>
      <c r="F71" s="7" t="s">
        <v>82</v>
      </c>
      <c r="G71" s="7" t="s">
        <v>126</v>
      </c>
      <c r="H71" s="9" t="s">
        <v>2979</v>
      </c>
      <c r="I71" t="s">
        <v>3018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 t="str">
        <f t="shared" si="1"/>
        <v>Built-up :</v>
      </c>
      <c r="AE71" s="7" t="str">
        <f t="shared" si="2"/>
        <v> sq. ft.</v>
      </c>
      <c r="AF71">
        <f>IFERROR(__xludf.DUMMYFUNCTION("VALUE(REGEXREPLACE(G71,""[^[:digit:]]"", """"))"),1023.0)</f>
        <v>1023</v>
      </c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 t="s">
        <v>27</v>
      </c>
    </row>
    <row r="72">
      <c r="A72" s="7" t="s">
        <v>72</v>
      </c>
      <c r="B72" s="7" t="s">
        <v>98</v>
      </c>
      <c r="C72" s="7">
        <f>3+1</f>
        <v>4</v>
      </c>
      <c r="D72" s="7">
        <v>4.0</v>
      </c>
      <c r="E72" s="7">
        <v>2.0</v>
      </c>
      <c r="F72" s="7" t="s">
        <v>30</v>
      </c>
      <c r="G72" s="7" t="s">
        <v>74</v>
      </c>
      <c r="H72" s="9" t="s">
        <v>2979</v>
      </c>
      <c r="I72" t="s">
        <v>2998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 t="str">
        <f t="shared" si="1"/>
        <v>Built-up :</v>
      </c>
      <c r="AE72" s="7" t="str">
        <f t="shared" si="2"/>
        <v> sq. ft.</v>
      </c>
      <c r="AF72">
        <f>IFERROR(__xludf.DUMMYFUNCTION("VALUE(REGEXREPLACE(G72,""[^[:digit:]]"", """"))"),1830.0)</f>
        <v>1830</v>
      </c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 t="s">
        <v>27</v>
      </c>
    </row>
    <row r="73">
      <c r="A73" s="7" t="s">
        <v>148</v>
      </c>
      <c r="B73" s="7" t="s">
        <v>168</v>
      </c>
      <c r="C73" s="7">
        <f>4</f>
        <v>4</v>
      </c>
      <c r="D73" s="7">
        <v>3.0</v>
      </c>
      <c r="E73" s="7">
        <v>3.0</v>
      </c>
      <c r="F73" s="7" t="s">
        <v>169</v>
      </c>
      <c r="G73" s="7" t="s">
        <v>170</v>
      </c>
      <c r="H73" s="9" t="s">
        <v>2981</v>
      </c>
      <c r="I73" t="s">
        <v>3037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 t="str">
        <f t="shared" si="1"/>
        <v>Land area </v>
      </c>
      <c r="AE73" s="7" t="str">
        <f t="shared" si="2"/>
        <v> sq. ft.</v>
      </c>
      <c r="AF73" s="7">
        <v>1800.0</v>
      </c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 t="s">
        <v>27</v>
      </c>
    </row>
    <row r="74">
      <c r="A74" s="7" t="s">
        <v>171</v>
      </c>
      <c r="B74" s="7" t="s">
        <v>172</v>
      </c>
      <c r="C74" s="7">
        <f>4+1</f>
        <v>5</v>
      </c>
      <c r="D74" s="7">
        <v>2.0</v>
      </c>
      <c r="E74" s="7">
        <v>2.0</v>
      </c>
      <c r="F74" s="7" t="s">
        <v>30</v>
      </c>
      <c r="G74" s="7" t="s">
        <v>173</v>
      </c>
      <c r="H74" s="9" t="s">
        <v>2979</v>
      </c>
      <c r="I74" t="s">
        <v>3038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 t="str">
        <f t="shared" si="1"/>
        <v>Built-up :</v>
      </c>
      <c r="AE74" s="7" t="str">
        <f t="shared" si="2"/>
        <v> sq. ft.</v>
      </c>
      <c r="AF74">
        <f>IFERROR(__xludf.DUMMYFUNCTION("VALUE(REGEXREPLACE(G74,""[^[:digit:]]"", """"))"),1550.0)</f>
        <v>1550</v>
      </c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 t="s">
        <v>27</v>
      </c>
    </row>
    <row r="75">
      <c r="A75" s="7" t="s">
        <v>17</v>
      </c>
      <c r="B75" s="7" t="s">
        <v>174</v>
      </c>
      <c r="C75" s="7">
        <f>3+1</f>
        <v>4</v>
      </c>
      <c r="D75" s="7">
        <v>3.0</v>
      </c>
      <c r="E75" s="7">
        <v>3.0</v>
      </c>
      <c r="F75" s="7" t="s">
        <v>20</v>
      </c>
      <c r="G75" s="7" t="s">
        <v>142</v>
      </c>
      <c r="H75" s="9" t="s">
        <v>2979</v>
      </c>
      <c r="I75" t="s">
        <v>3025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str">
        <f t="shared" si="1"/>
        <v>Built-up :</v>
      </c>
      <c r="AE75" s="7" t="str">
        <f t="shared" si="2"/>
        <v> sq. ft.</v>
      </c>
      <c r="AF75">
        <f>IFERROR(__xludf.DUMMYFUNCTION("VALUE(REGEXREPLACE(G75,""[^[:digit:]]"", """"))"),2066.0)</f>
        <v>2066</v>
      </c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>
      <c r="A76" s="7" t="s">
        <v>72</v>
      </c>
      <c r="B76" s="7" t="s">
        <v>175</v>
      </c>
      <c r="C76" s="7">
        <f>4+1</f>
        <v>5</v>
      </c>
      <c r="D76" s="7">
        <v>4.0</v>
      </c>
      <c r="E76" s="7">
        <v>3.0</v>
      </c>
      <c r="F76" s="7" t="s">
        <v>30</v>
      </c>
      <c r="G76" s="7" t="s">
        <v>176</v>
      </c>
      <c r="H76" s="9" t="s">
        <v>2979</v>
      </c>
      <c r="I76" t="s">
        <v>3039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 t="str">
        <f t="shared" si="1"/>
        <v>Built-up :</v>
      </c>
      <c r="AE76" s="7" t="str">
        <f t="shared" si="2"/>
        <v> sq. ft.</v>
      </c>
      <c r="AF76">
        <f>IFERROR(__xludf.DUMMYFUNCTION("VALUE(REGEXREPLACE(G76,""[^[:digit:]]"", """"))"),3000.0)</f>
        <v>3000</v>
      </c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 t="s">
        <v>27</v>
      </c>
    </row>
    <row r="77">
      <c r="A77" s="7" t="s">
        <v>177</v>
      </c>
      <c r="E77" s="9">
        <v>2.0</v>
      </c>
      <c r="H77" s="9" t="s">
        <v>2984</v>
      </c>
      <c r="I77" t="s">
        <v>2985</v>
      </c>
      <c r="AD77" s="7" t="str">
        <f t="shared" si="1"/>
        <v/>
      </c>
      <c r="AE77" s="7" t="str">
        <f t="shared" si="2"/>
        <v/>
      </c>
      <c r="AF77">
        <f>IFERROR(__xludf.DUMMYFUNCTION("VALUE(REGEXREPLACE(G77,""[^[:digit:]]"", """"))"),0.0)</f>
        <v>0</v>
      </c>
    </row>
    <row r="78">
      <c r="A78" s="7" t="s">
        <v>17</v>
      </c>
      <c r="B78" s="7" t="s">
        <v>178</v>
      </c>
      <c r="C78" s="7">
        <f>3+1</f>
        <v>4</v>
      </c>
      <c r="D78" s="7">
        <v>5.0</v>
      </c>
      <c r="E78" s="7">
        <v>2.0</v>
      </c>
      <c r="F78" s="7" t="s">
        <v>83</v>
      </c>
      <c r="G78" s="7" t="s">
        <v>179</v>
      </c>
      <c r="H78" s="9" t="s">
        <v>2979</v>
      </c>
      <c r="I78" t="s">
        <v>3040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 t="str">
        <f t="shared" si="1"/>
        <v>Built-up :</v>
      </c>
      <c r="AE78" s="7" t="str">
        <f t="shared" si="2"/>
        <v> sq. ft.</v>
      </c>
      <c r="AF78">
        <f>IFERROR(__xludf.DUMMYFUNCTION("VALUE(REGEXREPLACE(G78,""[^[:digit:]]"", """"))"),2356.0)</f>
        <v>2356</v>
      </c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 t="s">
        <v>22</v>
      </c>
    </row>
    <row r="79">
      <c r="A79" s="7" t="s">
        <v>72</v>
      </c>
      <c r="B79" s="7" t="s">
        <v>75</v>
      </c>
      <c r="C79" s="7">
        <f>4+1</f>
        <v>5</v>
      </c>
      <c r="D79" s="7">
        <v>6.0</v>
      </c>
      <c r="E79" s="7">
        <v>3.0</v>
      </c>
      <c r="F79" s="7" t="s">
        <v>83</v>
      </c>
      <c r="G79" s="7" t="s">
        <v>76</v>
      </c>
      <c r="H79" s="9" t="s">
        <v>2979</v>
      </c>
      <c r="I79" t="s">
        <v>2999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 t="str">
        <f t="shared" si="1"/>
        <v>Built-up :</v>
      </c>
      <c r="AE79" s="7" t="str">
        <f t="shared" si="2"/>
        <v> sq. ft.</v>
      </c>
      <c r="AF79">
        <f>IFERROR(__xludf.DUMMYFUNCTION("VALUE(REGEXREPLACE(G79,""[^[:digit:]]"", """"))"),3720.0)</f>
        <v>3720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 t="s">
        <v>22</v>
      </c>
    </row>
    <row r="80">
      <c r="A80" s="7" t="s">
        <v>143</v>
      </c>
      <c r="E80" s="9">
        <v>2.0</v>
      </c>
      <c r="H80" s="9" t="s">
        <v>2984</v>
      </c>
      <c r="I80" t="s">
        <v>2985</v>
      </c>
      <c r="AD80" s="7" t="str">
        <f t="shared" si="1"/>
        <v/>
      </c>
      <c r="AE80" s="7" t="str">
        <f t="shared" si="2"/>
        <v/>
      </c>
      <c r="AF80">
        <f>IFERROR(__xludf.DUMMYFUNCTION("VALUE(REGEXREPLACE(G80,""[^[:digit:]]"", """"))"),0.0)</f>
        <v>0</v>
      </c>
    </row>
    <row r="81">
      <c r="A81" s="7" t="s">
        <v>180</v>
      </c>
      <c r="B81" s="7" t="s">
        <v>181</v>
      </c>
      <c r="C81" s="7">
        <f t="shared" ref="C81:C82" si="7">4+1</f>
        <v>5</v>
      </c>
      <c r="D81" s="7">
        <v>5.0</v>
      </c>
      <c r="E81" s="7">
        <v>2.0</v>
      </c>
      <c r="F81" s="7" t="s">
        <v>30</v>
      </c>
      <c r="G81" s="7" t="s">
        <v>182</v>
      </c>
      <c r="H81" s="9" t="s">
        <v>2979</v>
      </c>
      <c r="I81" t="s">
        <v>3041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 t="str">
        <f t="shared" si="1"/>
        <v>Built-up :</v>
      </c>
      <c r="AE81" s="7" t="str">
        <f t="shared" si="2"/>
        <v> sq. ft.</v>
      </c>
      <c r="AF81">
        <f>IFERROR(__xludf.DUMMYFUNCTION("VALUE(REGEXREPLACE(G81,""[^[:digit:]]"", """"))"),3713.0)</f>
        <v>3713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 t="s">
        <v>27</v>
      </c>
    </row>
    <row r="82">
      <c r="A82" s="7" t="s">
        <v>37</v>
      </c>
      <c r="B82" s="7" t="s">
        <v>183</v>
      </c>
      <c r="C82" s="7">
        <f t="shared" si="7"/>
        <v>5</v>
      </c>
      <c r="D82" s="7">
        <v>3.0</v>
      </c>
      <c r="E82" s="7">
        <v>4.0</v>
      </c>
      <c r="F82" s="7" t="s">
        <v>184</v>
      </c>
      <c r="G82" s="7" t="s">
        <v>185</v>
      </c>
      <c r="H82" s="9" t="s">
        <v>2981</v>
      </c>
      <c r="I82" t="s">
        <v>3042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 t="str">
        <f t="shared" si="1"/>
        <v>Land area </v>
      </c>
      <c r="AE82" s="7" t="str">
        <f t="shared" si="2"/>
        <v> sq. ft.</v>
      </c>
      <c r="AF82">
        <f>IFERROR(__xludf.DUMMYFUNCTION("VALUE(REGEXREPLACE(G82,""[^[:digit:]]"", """"))"),4244.0)</f>
        <v>4244</v>
      </c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 t="s">
        <v>27</v>
      </c>
    </row>
    <row r="83">
      <c r="A83" s="7" t="s">
        <v>17</v>
      </c>
      <c r="B83" s="7" t="s">
        <v>186</v>
      </c>
      <c r="C83" s="7">
        <f>1</f>
        <v>1</v>
      </c>
      <c r="D83" s="7">
        <v>1.0</v>
      </c>
      <c r="E83" s="7">
        <v>1.0</v>
      </c>
      <c r="F83" s="7" t="s">
        <v>20</v>
      </c>
      <c r="G83" s="7" t="s">
        <v>187</v>
      </c>
      <c r="H83" s="9" t="s">
        <v>2979</v>
      </c>
      <c r="I83" t="s">
        <v>3043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 t="str">
        <f t="shared" si="1"/>
        <v>Built-up :</v>
      </c>
      <c r="AE83" s="7" t="str">
        <f t="shared" si="2"/>
        <v> sq. ft.</v>
      </c>
      <c r="AF83">
        <f>IFERROR(__xludf.DUMMYFUNCTION("VALUE(REGEXREPLACE(G83,""[^[:digit:]]"", """"))"),720.0)</f>
        <v>720</v>
      </c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 t="s">
        <v>22</v>
      </c>
    </row>
    <row r="84">
      <c r="A84" s="7" t="s">
        <v>188</v>
      </c>
      <c r="E84" s="9">
        <v>2.0</v>
      </c>
      <c r="H84" s="9" t="s">
        <v>2984</v>
      </c>
      <c r="I84" t="s">
        <v>2985</v>
      </c>
      <c r="AD84" s="7" t="str">
        <f t="shared" si="1"/>
        <v/>
      </c>
      <c r="AE84" s="7" t="str">
        <f t="shared" si="2"/>
        <v/>
      </c>
      <c r="AF84">
        <f>IFERROR(__xludf.DUMMYFUNCTION("VALUE(REGEXREPLACE(G84,""[^[:digit:]]"", """"))"),0.0)</f>
        <v>0</v>
      </c>
    </row>
    <row r="85">
      <c r="A85" s="7" t="s">
        <v>17</v>
      </c>
      <c r="B85" s="7" t="s">
        <v>189</v>
      </c>
      <c r="C85" s="7">
        <f>2+1</f>
        <v>3</v>
      </c>
      <c r="D85" s="7">
        <v>2.0</v>
      </c>
      <c r="E85" s="7">
        <v>2.0</v>
      </c>
      <c r="F85" s="7" t="s">
        <v>30</v>
      </c>
      <c r="G85" s="7" t="s">
        <v>190</v>
      </c>
      <c r="H85" s="9" t="s">
        <v>2979</v>
      </c>
      <c r="I85" t="s">
        <v>3044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 t="str">
        <f t="shared" si="1"/>
        <v>Built-up :</v>
      </c>
      <c r="AE85" s="7" t="str">
        <f t="shared" si="2"/>
        <v> sq. ft.</v>
      </c>
      <c r="AF85">
        <f>IFERROR(__xludf.DUMMYFUNCTION("VALUE(REGEXREPLACE(G85,""[^[:digit:]]"", """"))"),1159.0)</f>
        <v>1159</v>
      </c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 t="s">
        <v>22</v>
      </c>
    </row>
    <row r="86">
      <c r="A86" s="7" t="s">
        <v>17</v>
      </c>
      <c r="B86" s="7" t="s">
        <v>191</v>
      </c>
      <c r="C86" s="7">
        <f t="shared" ref="C86:C87" si="8">3+1</f>
        <v>4</v>
      </c>
      <c r="D86" s="7">
        <v>3.0</v>
      </c>
      <c r="E86" s="7">
        <v>2.0</v>
      </c>
      <c r="F86" s="7" t="s">
        <v>121</v>
      </c>
      <c r="G86" s="7" t="s">
        <v>192</v>
      </c>
      <c r="H86" s="9" t="s">
        <v>2979</v>
      </c>
      <c r="I86" t="s">
        <v>3045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 t="str">
        <f t="shared" si="1"/>
        <v>Built-up :</v>
      </c>
      <c r="AE86" s="7" t="str">
        <f t="shared" si="2"/>
        <v> sq. ft.</v>
      </c>
      <c r="AF86">
        <f>IFERROR(__xludf.DUMMYFUNCTION("VALUE(REGEXREPLACE(G86,""[^[:digit:]]"", """"))"),1313.0)</f>
        <v>1313</v>
      </c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 t="s">
        <v>27</v>
      </c>
    </row>
    <row r="87">
      <c r="A87" s="7" t="s">
        <v>17</v>
      </c>
      <c r="B87" s="7" t="s">
        <v>193</v>
      </c>
      <c r="C87" s="7">
        <f t="shared" si="8"/>
        <v>4</v>
      </c>
      <c r="D87" s="7">
        <v>5.0</v>
      </c>
      <c r="E87" s="7">
        <v>2.0</v>
      </c>
      <c r="F87" s="7" t="s">
        <v>30</v>
      </c>
      <c r="G87" s="7" t="s">
        <v>194</v>
      </c>
      <c r="H87" s="9" t="s">
        <v>2979</v>
      </c>
      <c r="I87" t="s">
        <v>3046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 t="str">
        <f t="shared" si="1"/>
        <v>Built-up :</v>
      </c>
      <c r="AE87" s="7" t="str">
        <f t="shared" si="2"/>
        <v> sq. ft.</v>
      </c>
      <c r="AF87">
        <f>IFERROR(__xludf.DUMMYFUNCTION("VALUE(REGEXREPLACE(G87,""[^[:digit:]]"", """"))"),1905.0)</f>
        <v>1905</v>
      </c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 t="s">
        <v>22</v>
      </c>
    </row>
    <row r="88">
      <c r="A88" s="7" t="s">
        <v>23</v>
      </c>
      <c r="E88" s="9">
        <v>2.0</v>
      </c>
      <c r="H88" s="9" t="s">
        <v>2984</v>
      </c>
      <c r="I88" t="s">
        <v>2985</v>
      </c>
      <c r="AD88" s="7" t="str">
        <f t="shared" si="1"/>
        <v/>
      </c>
      <c r="AE88" s="7" t="str">
        <f t="shared" si="2"/>
        <v/>
      </c>
      <c r="AF88">
        <f>IFERROR(__xludf.DUMMYFUNCTION("VALUE(REGEXREPLACE(G88,""[^[:digit:]]"", """"))"),0.0)</f>
        <v>0</v>
      </c>
    </row>
    <row r="89">
      <c r="A89" s="7" t="s">
        <v>17</v>
      </c>
      <c r="B89" s="7" t="s">
        <v>125</v>
      </c>
      <c r="C89" s="7">
        <f>1</f>
        <v>1</v>
      </c>
      <c r="D89" s="7">
        <v>1.0</v>
      </c>
      <c r="E89" s="7">
        <v>2.0</v>
      </c>
      <c r="F89" s="7" t="s">
        <v>20</v>
      </c>
      <c r="G89" s="7" t="s">
        <v>126</v>
      </c>
      <c r="H89" s="9" t="s">
        <v>2979</v>
      </c>
      <c r="I89" t="s">
        <v>3018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 t="str">
        <f t="shared" si="1"/>
        <v>Built-up :</v>
      </c>
      <c r="AE89" s="7" t="str">
        <f t="shared" si="2"/>
        <v> sq. ft.</v>
      </c>
      <c r="AF89">
        <f>IFERROR(__xludf.DUMMYFUNCTION("VALUE(REGEXREPLACE(G89,""[^[:digit:]]"", """"))"),1023.0)</f>
        <v>1023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 t="s">
        <v>27</v>
      </c>
    </row>
    <row r="90">
      <c r="A90" s="7" t="s">
        <v>72</v>
      </c>
      <c r="B90" s="7" t="s">
        <v>110</v>
      </c>
      <c r="C90" s="7">
        <f>4+1</f>
        <v>5</v>
      </c>
      <c r="D90" s="7">
        <v>5.0</v>
      </c>
      <c r="E90" s="7">
        <v>3.0</v>
      </c>
      <c r="F90" s="7" t="s">
        <v>83</v>
      </c>
      <c r="G90" s="7" t="s">
        <v>195</v>
      </c>
      <c r="H90" s="9" t="s">
        <v>2981</v>
      </c>
      <c r="I90" t="s">
        <v>3047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 t="str">
        <f t="shared" si="1"/>
        <v>Land area </v>
      </c>
      <c r="AE90" s="7" t="str">
        <f t="shared" si="2"/>
        <v> sq. ft.</v>
      </c>
      <c r="AF90">
        <f>IFERROR(__xludf.DUMMYFUNCTION("VALUE(REGEXREPLACE(G90,""[^[:digit:]]"", """"))"),2702.0)</f>
        <v>2702</v>
      </c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 t="s">
        <v>27</v>
      </c>
    </row>
    <row r="91">
      <c r="A91" s="7" t="s">
        <v>17</v>
      </c>
      <c r="B91" s="7" t="s">
        <v>196</v>
      </c>
      <c r="C91" s="7">
        <f>1+1</f>
        <v>2</v>
      </c>
      <c r="D91" s="7">
        <v>1.0</v>
      </c>
      <c r="E91" s="7">
        <v>1.0</v>
      </c>
      <c r="F91" s="7" t="s">
        <v>82</v>
      </c>
      <c r="G91" s="7" t="s">
        <v>198</v>
      </c>
      <c r="H91" s="9" t="s">
        <v>2979</v>
      </c>
      <c r="I91" t="s">
        <v>3048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 t="str">
        <f t="shared" si="1"/>
        <v>Built-up :</v>
      </c>
      <c r="AE91" s="7" t="str">
        <f t="shared" si="2"/>
        <v> sq. ft.</v>
      </c>
      <c r="AF91">
        <f>IFERROR(__xludf.DUMMYFUNCTION("VALUE(REGEXREPLACE(G91,""[^[:digit:]]"", """"))"),797.0)</f>
        <v>797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 t="s">
        <v>27</v>
      </c>
    </row>
    <row r="92">
      <c r="A92" s="7" t="s">
        <v>17</v>
      </c>
      <c r="B92" s="7" t="s">
        <v>199</v>
      </c>
      <c r="C92" s="7">
        <f>1</f>
        <v>1</v>
      </c>
      <c r="D92" s="7">
        <v>1.0</v>
      </c>
      <c r="E92" s="7">
        <v>1.0</v>
      </c>
      <c r="F92" s="7" t="s">
        <v>82</v>
      </c>
      <c r="G92" s="7" t="s">
        <v>200</v>
      </c>
      <c r="H92" s="9" t="s">
        <v>2979</v>
      </c>
      <c r="I92" t="s">
        <v>3049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 t="str">
        <f t="shared" si="1"/>
        <v>Built-up :</v>
      </c>
      <c r="AE92" s="7" t="str">
        <f t="shared" si="2"/>
        <v> sq. ft.</v>
      </c>
      <c r="AF92">
        <f>IFERROR(__xludf.DUMMYFUNCTION("VALUE(REGEXREPLACE(G92,""[^[:digit:]]"", """"))"),700.0)</f>
        <v>700</v>
      </c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 t="s">
        <v>27</v>
      </c>
    </row>
    <row r="93">
      <c r="A93" s="7" t="s">
        <v>33</v>
      </c>
      <c r="B93" s="7" t="s">
        <v>201</v>
      </c>
      <c r="C93" s="7">
        <f>3</f>
        <v>3</v>
      </c>
      <c r="D93" s="7">
        <v>2.0</v>
      </c>
      <c r="E93" s="9">
        <v>2.0</v>
      </c>
      <c r="F93" s="7" t="s">
        <v>93</v>
      </c>
      <c r="G93" s="7" t="s">
        <v>202</v>
      </c>
      <c r="H93" s="9" t="s">
        <v>2979</v>
      </c>
      <c r="I93" t="s">
        <v>3050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 t="str">
        <f t="shared" si="1"/>
        <v>Built-up :</v>
      </c>
      <c r="AE93" s="7" t="str">
        <f t="shared" si="2"/>
        <v> sq. ft.</v>
      </c>
      <c r="AF93">
        <f>IFERROR(__xludf.DUMMYFUNCTION("VALUE(REGEXREPLACE(G93,""[^[:digit:]]"", """"))"),1232.0)</f>
        <v>1232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 t="s">
        <v>27</v>
      </c>
    </row>
    <row r="94">
      <c r="A94" s="7" t="s">
        <v>33</v>
      </c>
      <c r="B94" s="7" t="s">
        <v>118</v>
      </c>
      <c r="C94" s="7">
        <f>6+1</f>
        <v>7</v>
      </c>
      <c r="D94" s="7">
        <v>7.0</v>
      </c>
      <c r="E94" s="9">
        <v>2.0</v>
      </c>
      <c r="F94" s="7" t="s">
        <v>203</v>
      </c>
      <c r="G94" s="7" t="s">
        <v>204</v>
      </c>
      <c r="H94" s="9" t="s">
        <v>2981</v>
      </c>
      <c r="I94" t="s">
        <v>3051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 t="str">
        <f t="shared" si="1"/>
        <v>Land area </v>
      </c>
      <c r="AE94" s="7" t="str">
        <f t="shared" si="2"/>
        <v> sq. ft.</v>
      </c>
      <c r="AF94">
        <f>IFERROR(__xludf.DUMMYFUNCTION("VALUE(REGEXREPLACE(G94,""[^[:digit:]]"", """"))"),3033.0)</f>
        <v>3033</v>
      </c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 t="s">
        <v>103</v>
      </c>
    </row>
    <row r="95">
      <c r="A95" s="7" t="s">
        <v>17</v>
      </c>
      <c r="B95" s="7" t="s">
        <v>125</v>
      </c>
      <c r="C95" s="7">
        <f>3+1</f>
        <v>4</v>
      </c>
      <c r="D95" s="7">
        <v>4.0</v>
      </c>
      <c r="E95" s="7">
        <v>3.0</v>
      </c>
      <c r="F95" s="7" t="s">
        <v>121</v>
      </c>
      <c r="G95" s="7" t="s">
        <v>205</v>
      </c>
      <c r="H95" s="9" t="s">
        <v>2979</v>
      </c>
      <c r="I95" t="s">
        <v>3052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 t="str">
        <f t="shared" si="1"/>
        <v>Built-up :</v>
      </c>
      <c r="AE95" s="7" t="str">
        <f t="shared" si="2"/>
        <v> sq. ft.</v>
      </c>
      <c r="AF95">
        <f>IFERROR(__xludf.DUMMYFUNCTION("VALUE(REGEXREPLACE(G95,""[^[:digit:]]"", """"))"),3282.0)</f>
        <v>3282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 t="s">
        <v>27</v>
      </c>
    </row>
    <row r="96">
      <c r="A96" s="7" t="s">
        <v>33</v>
      </c>
      <c r="B96" s="7" t="s">
        <v>206</v>
      </c>
      <c r="C96" s="7">
        <f>4+1</f>
        <v>5</v>
      </c>
      <c r="D96" s="7">
        <v>3.0</v>
      </c>
      <c r="E96" s="7">
        <v>2.0</v>
      </c>
      <c r="F96" s="7" t="s">
        <v>83</v>
      </c>
      <c r="G96" s="7" t="s">
        <v>36</v>
      </c>
      <c r="H96" s="9" t="s">
        <v>2979</v>
      </c>
      <c r="I96" t="s">
        <v>2986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 t="str">
        <f t="shared" si="1"/>
        <v>Built-up :</v>
      </c>
      <c r="AE96" s="7" t="str">
        <f t="shared" si="2"/>
        <v> sq. ft.</v>
      </c>
      <c r="AF96">
        <f>IFERROR(__xludf.DUMMYFUNCTION("VALUE(REGEXREPLACE(G96,""[^[:digit:]]"", """"))"),1513.0)</f>
        <v>1513</v>
      </c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 t="s">
        <v>27</v>
      </c>
    </row>
    <row r="97">
      <c r="A97" s="7" t="s">
        <v>17</v>
      </c>
      <c r="B97" s="7" t="s">
        <v>125</v>
      </c>
      <c r="C97" s="7">
        <f>1</f>
        <v>1</v>
      </c>
      <c r="D97" s="7">
        <v>1.0</v>
      </c>
      <c r="E97" s="7">
        <v>2.0</v>
      </c>
      <c r="F97" s="7" t="s">
        <v>82</v>
      </c>
      <c r="G97" s="7" t="s">
        <v>207</v>
      </c>
      <c r="H97" s="9" t="s">
        <v>2979</v>
      </c>
      <c r="I97" t="s">
        <v>3053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 t="str">
        <f t="shared" si="1"/>
        <v>Built-up :</v>
      </c>
      <c r="AE97" s="7" t="str">
        <f t="shared" si="2"/>
        <v> sq. ft.</v>
      </c>
      <c r="AF97">
        <f>IFERROR(__xludf.DUMMYFUNCTION("VALUE(REGEXREPLACE(G97,""[^[:digit:]]"", """"))"),1046.0)</f>
        <v>1046</v>
      </c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 t="s">
        <v>27</v>
      </c>
    </row>
    <row r="98">
      <c r="A98" s="7" t="s">
        <v>37</v>
      </c>
      <c r="B98" s="7" t="s">
        <v>208</v>
      </c>
      <c r="C98" s="7">
        <f>5+1</f>
        <v>6</v>
      </c>
      <c r="D98" s="7">
        <v>7.0</v>
      </c>
      <c r="E98" s="7">
        <v>6.0</v>
      </c>
      <c r="F98" s="7" t="s">
        <v>25</v>
      </c>
      <c r="G98" s="7" t="s">
        <v>209</v>
      </c>
      <c r="H98" s="9" t="s">
        <v>2981</v>
      </c>
      <c r="I98" t="s">
        <v>3054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 t="str">
        <f t="shared" si="1"/>
        <v>Land area </v>
      </c>
      <c r="AE98" s="7" t="str">
        <f t="shared" si="2"/>
        <v> sq. ft.</v>
      </c>
      <c r="AF98">
        <f>IFERROR(__xludf.DUMMYFUNCTION("VALUE(REGEXREPLACE(G98,""[^[:digit:]]"", """"))"),8113.0)</f>
        <v>8113</v>
      </c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 t="s">
        <v>27</v>
      </c>
    </row>
    <row r="99">
      <c r="A99" s="7" t="s">
        <v>37</v>
      </c>
      <c r="B99" s="7" t="s">
        <v>210</v>
      </c>
      <c r="C99" s="7">
        <f>4</f>
        <v>4</v>
      </c>
      <c r="D99" s="7">
        <v>3.0</v>
      </c>
      <c r="E99" s="7">
        <v>2.0</v>
      </c>
      <c r="F99" s="7" t="s">
        <v>54</v>
      </c>
      <c r="G99" s="7" t="s">
        <v>211</v>
      </c>
      <c r="H99" s="9" t="s">
        <v>2981</v>
      </c>
      <c r="I99" t="s">
        <v>2992</v>
      </c>
      <c r="J99" s="7"/>
      <c r="K99" s="7"/>
      <c r="L99" s="7"/>
      <c r="M99" s="7"/>
      <c r="N99" s="7"/>
      <c r="O99" s="7"/>
      <c r="P99" s="7"/>
      <c r="Q99" s="7"/>
      <c r="R99" s="7"/>
      <c r="S99" s="7" t="s">
        <v>2993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 t="str">
        <f t="shared" si="1"/>
        <v>Land area </v>
      </c>
      <c r="AE99" s="7" t="str">
        <f t="shared" si="2"/>
        <v> sq. ft.</v>
      </c>
      <c r="AF99" s="7">
        <v>1760.0</v>
      </c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 t="s">
        <v>27</v>
      </c>
    </row>
    <row r="100">
      <c r="A100" s="7" t="s">
        <v>72</v>
      </c>
      <c r="B100" s="7" t="s">
        <v>158</v>
      </c>
      <c r="C100" s="7">
        <f>4+1</f>
        <v>5</v>
      </c>
      <c r="D100" s="7">
        <v>4.0</v>
      </c>
      <c r="E100" s="7">
        <v>2.0</v>
      </c>
      <c r="F100" s="7" t="s">
        <v>83</v>
      </c>
      <c r="G100" s="7" t="s">
        <v>74</v>
      </c>
      <c r="H100" s="9" t="s">
        <v>2979</v>
      </c>
      <c r="I100" t="s">
        <v>2998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 t="str">
        <f t="shared" si="1"/>
        <v>Built-up :</v>
      </c>
      <c r="AE100" s="7" t="str">
        <f t="shared" si="2"/>
        <v> sq. ft.</v>
      </c>
      <c r="AF100">
        <f>IFERROR(__xludf.DUMMYFUNCTION("VALUE(REGEXREPLACE(G100,""[^[:digit:]]"", """"))"),1830.0)</f>
        <v>1830</v>
      </c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 t="s">
        <v>27</v>
      </c>
    </row>
    <row r="101">
      <c r="A101" s="7" t="s">
        <v>32</v>
      </c>
      <c r="E101" s="9">
        <v>2.0</v>
      </c>
      <c r="H101" s="9" t="s">
        <v>2984</v>
      </c>
      <c r="I101" t="s">
        <v>2985</v>
      </c>
      <c r="AD101" s="7" t="str">
        <f t="shared" si="1"/>
        <v/>
      </c>
      <c r="AE101" s="7" t="str">
        <f t="shared" si="2"/>
        <v/>
      </c>
      <c r="AF101">
        <f>IFERROR(__xludf.DUMMYFUNCTION("VALUE(REGEXREPLACE(G101,""[^[:digit:]]"", """"))"),0.0)</f>
        <v>0</v>
      </c>
    </row>
    <row r="102">
      <c r="A102" s="7" t="s">
        <v>17</v>
      </c>
      <c r="B102" s="7" t="s">
        <v>212</v>
      </c>
      <c r="C102" s="7">
        <f>2</f>
        <v>2</v>
      </c>
      <c r="D102" s="7">
        <v>2.0</v>
      </c>
      <c r="E102" s="7">
        <v>1.0</v>
      </c>
      <c r="F102" s="7" t="s">
        <v>83</v>
      </c>
      <c r="G102" s="7" t="s">
        <v>213</v>
      </c>
      <c r="H102" s="9" t="s">
        <v>2979</v>
      </c>
      <c r="I102" t="s">
        <v>3055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 t="str">
        <f t="shared" si="1"/>
        <v>Built-up :</v>
      </c>
      <c r="AE102" s="7" t="str">
        <f t="shared" si="2"/>
        <v> sq. ft.</v>
      </c>
      <c r="AF102">
        <f>IFERROR(__xludf.DUMMYFUNCTION("VALUE(REGEXREPLACE(G102,""[^[:digit:]]"", """"))"),976.0)</f>
        <v>976</v>
      </c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 t="s">
        <v>27</v>
      </c>
    </row>
    <row r="103">
      <c r="A103" s="7" t="s">
        <v>28</v>
      </c>
      <c r="B103" s="7" t="s">
        <v>214</v>
      </c>
      <c r="C103" s="7">
        <f>3+1</f>
        <v>4</v>
      </c>
      <c r="D103" s="7">
        <v>4.0</v>
      </c>
      <c r="E103" s="7">
        <v>1.0</v>
      </c>
      <c r="F103" s="7" t="s">
        <v>93</v>
      </c>
      <c r="G103" s="7" t="s">
        <v>215</v>
      </c>
      <c r="H103" s="9" t="s">
        <v>2979</v>
      </c>
      <c r="I103" t="s">
        <v>3056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 t="str">
        <f t="shared" si="1"/>
        <v>Built-up :</v>
      </c>
      <c r="AE103" s="7" t="str">
        <f t="shared" si="2"/>
        <v> sq. ft.</v>
      </c>
      <c r="AF103">
        <f>IFERROR(__xludf.DUMMYFUNCTION("VALUE(REGEXREPLACE(G103,""[^[:digit:]]"", """"))"),1942.0)</f>
        <v>1942</v>
      </c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 t="s">
        <v>27</v>
      </c>
    </row>
    <row r="104">
      <c r="A104" s="7" t="s">
        <v>32</v>
      </c>
      <c r="E104" s="9">
        <v>2.0</v>
      </c>
      <c r="H104" s="9" t="s">
        <v>2984</v>
      </c>
      <c r="I104" t="s">
        <v>2985</v>
      </c>
      <c r="AD104" s="7" t="str">
        <f t="shared" si="1"/>
        <v/>
      </c>
      <c r="AE104" s="7" t="str">
        <f t="shared" si="2"/>
        <v/>
      </c>
      <c r="AF104">
        <f>IFERROR(__xludf.DUMMYFUNCTION("VALUE(REGEXREPLACE(G104,""[^[:digit:]]"", """"))"),0.0)</f>
        <v>0</v>
      </c>
    </row>
    <row r="105">
      <c r="A105" s="7" t="s">
        <v>33</v>
      </c>
      <c r="B105" s="7" t="s">
        <v>34</v>
      </c>
      <c r="C105" s="7">
        <f>4+1</f>
        <v>5</v>
      </c>
      <c r="D105" s="7">
        <v>3.0</v>
      </c>
      <c r="E105" s="7">
        <v>2.0</v>
      </c>
      <c r="F105" s="7" t="s">
        <v>30</v>
      </c>
      <c r="G105" s="7" t="s">
        <v>36</v>
      </c>
      <c r="H105" s="9" t="s">
        <v>2979</v>
      </c>
      <c r="I105" t="s">
        <v>2986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 t="str">
        <f t="shared" si="1"/>
        <v>Built-up :</v>
      </c>
      <c r="AE105" s="7" t="str">
        <f t="shared" si="2"/>
        <v> sq. ft.</v>
      </c>
      <c r="AF105">
        <f>IFERROR(__xludf.DUMMYFUNCTION("VALUE(REGEXREPLACE(G105,""[^[:digit:]]"", """"))"),1513.0)</f>
        <v>1513</v>
      </c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 t="s">
        <v>27</v>
      </c>
    </row>
    <row r="106">
      <c r="A106" s="7" t="s">
        <v>180</v>
      </c>
      <c r="B106" s="7" t="s">
        <v>56</v>
      </c>
      <c r="C106" s="7">
        <f>2+1</f>
        <v>3</v>
      </c>
      <c r="D106" s="7">
        <v>2.0</v>
      </c>
      <c r="E106" s="7">
        <v>1.0</v>
      </c>
      <c r="F106" s="7" t="s">
        <v>82</v>
      </c>
      <c r="G106" s="7" t="s">
        <v>216</v>
      </c>
      <c r="H106" s="9" t="s">
        <v>2979</v>
      </c>
      <c r="I106" t="s">
        <v>3057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 t="str">
        <f t="shared" si="1"/>
        <v>Built-up :</v>
      </c>
      <c r="AE106" s="7" t="str">
        <f t="shared" si="2"/>
        <v> sq. ft.</v>
      </c>
      <c r="AF106">
        <f>IFERROR(__xludf.DUMMYFUNCTION("VALUE(REGEXREPLACE(G106,""[^[:digit:]]"", """"))"),1442.0)</f>
        <v>1442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 t="s">
        <v>22</v>
      </c>
    </row>
    <row r="107">
      <c r="A107" s="7" t="s">
        <v>17</v>
      </c>
      <c r="B107" s="7" t="s">
        <v>156</v>
      </c>
      <c r="C107" s="7">
        <f>1</f>
        <v>1</v>
      </c>
      <c r="D107" s="7">
        <v>2.0</v>
      </c>
      <c r="E107" s="9">
        <v>2.0</v>
      </c>
      <c r="F107" s="7" t="s">
        <v>20</v>
      </c>
      <c r="G107" s="7" t="s">
        <v>217</v>
      </c>
      <c r="H107" s="9" t="s">
        <v>2979</v>
      </c>
      <c r="I107" t="s">
        <v>3058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 t="str">
        <f t="shared" si="1"/>
        <v>Built-up :</v>
      </c>
      <c r="AE107" s="7" t="str">
        <f t="shared" si="2"/>
        <v> sq. ft.</v>
      </c>
      <c r="AF107">
        <f>IFERROR(__xludf.DUMMYFUNCTION("VALUE(REGEXREPLACE(G107,""[^[:digit:]]"", """"))"),761.0)</f>
        <v>761</v>
      </c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 t="s">
        <v>22</v>
      </c>
    </row>
    <row r="108">
      <c r="A108" s="7" t="s">
        <v>188</v>
      </c>
      <c r="E108" s="9">
        <v>2.0</v>
      </c>
      <c r="H108" s="9" t="s">
        <v>2984</v>
      </c>
      <c r="I108" t="s">
        <v>2985</v>
      </c>
      <c r="AD108" s="7" t="str">
        <f t="shared" si="1"/>
        <v/>
      </c>
      <c r="AE108" s="7" t="str">
        <f t="shared" si="2"/>
        <v/>
      </c>
      <c r="AF108">
        <f>IFERROR(__xludf.DUMMYFUNCTION("VALUE(REGEXREPLACE(G108,""[^[:digit:]]"", """"))"),0.0)</f>
        <v>0</v>
      </c>
    </row>
    <row r="109">
      <c r="A109" s="7" t="s">
        <v>23</v>
      </c>
      <c r="B109" s="7" t="s">
        <v>24</v>
      </c>
      <c r="C109" s="7">
        <f>5+2</f>
        <v>7</v>
      </c>
      <c r="D109" s="7">
        <v>7.0</v>
      </c>
      <c r="E109" s="9">
        <v>2.0</v>
      </c>
      <c r="F109" s="7" t="s">
        <v>25</v>
      </c>
      <c r="G109" s="7" t="s">
        <v>219</v>
      </c>
      <c r="H109" s="9" t="s">
        <v>2981</v>
      </c>
      <c r="I109" t="s">
        <v>3059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 t="str">
        <f t="shared" si="1"/>
        <v>Land area </v>
      </c>
      <c r="AE109" s="7" t="str">
        <f t="shared" si="2"/>
        <v> sq. ft.</v>
      </c>
      <c r="AF109">
        <f>IFERROR(__xludf.DUMMYFUNCTION("VALUE(REGEXREPLACE(G109,""[^[:digit:]]"", """"))"),7000.0)</f>
        <v>7000</v>
      </c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>
      <c r="A110" s="7" t="s">
        <v>72</v>
      </c>
      <c r="B110" s="7" t="s">
        <v>63</v>
      </c>
      <c r="C110" s="7">
        <f>4+1</f>
        <v>5</v>
      </c>
      <c r="D110" s="7">
        <v>6.0</v>
      </c>
      <c r="E110" s="7">
        <v>3.0</v>
      </c>
      <c r="F110" s="7" t="s">
        <v>30</v>
      </c>
      <c r="G110" s="7" t="s">
        <v>220</v>
      </c>
      <c r="H110" s="9" t="s">
        <v>2979</v>
      </c>
      <c r="I110" t="s">
        <v>3060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 t="str">
        <f t="shared" si="1"/>
        <v>Built-up :</v>
      </c>
      <c r="AE110" s="7" t="str">
        <f t="shared" si="2"/>
        <v> sq. ft.</v>
      </c>
      <c r="AF110">
        <f>IFERROR(__xludf.DUMMYFUNCTION("VALUE(REGEXREPLACE(G110,""[^[:digit:]]"", """"))"),3400.0)</f>
        <v>3400</v>
      </c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 t="s">
        <v>22</v>
      </c>
    </row>
    <row r="111">
      <c r="A111" s="7" t="s">
        <v>33</v>
      </c>
      <c r="B111" s="7" t="s">
        <v>221</v>
      </c>
      <c r="C111" s="7">
        <f>2</f>
        <v>2</v>
      </c>
      <c r="D111" s="7">
        <v>2.0</v>
      </c>
      <c r="E111" s="7">
        <v>2.0</v>
      </c>
      <c r="F111" s="7" t="s">
        <v>20</v>
      </c>
      <c r="G111" s="7" t="s">
        <v>222</v>
      </c>
      <c r="H111" s="9" t="s">
        <v>2979</v>
      </c>
      <c r="I111" t="s">
        <v>3061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 t="str">
        <f t="shared" si="1"/>
        <v>Built-up :</v>
      </c>
      <c r="AE111" s="7" t="str">
        <f t="shared" si="2"/>
        <v> sq. ft.</v>
      </c>
      <c r="AF111">
        <f>IFERROR(__xludf.DUMMYFUNCTION("VALUE(REGEXREPLACE(G111,""[^[:digit:]]"", """"))"),791.0)</f>
        <v>791</v>
      </c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 t="s">
        <v>27</v>
      </c>
    </row>
    <row r="112">
      <c r="A112" s="7" t="s">
        <v>223</v>
      </c>
      <c r="E112" s="9">
        <v>2.0</v>
      </c>
      <c r="H112" s="9" t="s">
        <v>2984</v>
      </c>
      <c r="I112" t="s">
        <v>2985</v>
      </c>
      <c r="AD112" s="7" t="str">
        <f t="shared" si="1"/>
        <v/>
      </c>
      <c r="AE112" s="7" t="str">
        <f t="shared" si="2"/>
        <v/>
      </c>
      <c r="AF112">
        <f>IFERROR(__xludf.DUMMYFUNCTION("VALUE(REGEXREPLACE(G112,""[^[:digit:]]"", """"))"),0.0)</f>
        <v>0</v>
      </c>
    </row>
    <row r="113">
      <c r="A113" s="7" t="s">
        <v>104</v>
      </c>
      <c r="B113" s="7" t="s">
        <v>224</v>
      </c>
      <c r="C113" s="7">
        <f>5+1</f>
        <v>6</v>
      </c>
      <c r="D113" s="7">
        <v>5.0</v>
      </c>
      <c r="E113" s="7">
        <v>4.0</v>
      </c>
      <c r="F113" s="7" t="s">
        <v>203</v>
      </c>
      <c r="G113" s="7" t="s">
        <v>225</v>
      </c>
      <c r="H113" s="9" t="s">
        <v>2981</v>
      </c>
      <c r="I113" t="s">
        <v>3062</v>
      </c>
      <c r="J113" s="7"/>
      <c r="K113" s="7"/>
      <c r="L113" s="7"/>
      <c r="M113" s="7"/>
      <c r="N113" s="7"/>
      <c r="O113" s="7"/>
      <c r="P113" s="7"/>
      <c r="Q113" s="7"/>
      <c r="R113" s="7"/>
      <c r="S113" s="7" t="s">
        <v>2990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 t="str">
        <f t="shared" si="1"/>
        <v>Land area </v>
      </c>
      <c r="AE113" s="7" t="str">
        <f t="shared" si="2"/>
        <v> sq. ft.</v>
      </c>
      <c r="AF113" s="7">
        <v>2400.0</v>
      </c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 t="s">
        <v>27</v>
      </c>
    </row>
    <row r="114">
      <c r="A114" s="7" t="s">
        <v>17</v>
      </c>
      <c r="B114" s="7" t="s">
        <v>73</v>
      </c>
      <c r="C114" s="7">
        <f>1</f>
        <v>1</v>
      </c>
      <c r="D114" s="7">
        <v>1.0</v>
      </c>
      <c r="E114" s="7">
        <v>1.0</v>
      </c>
      <c r="F114" s="7" t="s">
        <v>121</v>
      </c>
      <c r="G114" s="7" t="s">
        <v>226</v>
      </c>
      <c r="H114" s="9" t="s">
        <v>2979</v>
      </c>
      <c r="I114" t="s">
        <v>3063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 t="str">
        <f t="shared" si="1"/>
        <v>Built-up :</v>
      </c>
      <c r="AE114" s="7" t="str">
        <f t="shared" si="2"/>
        <v> sq. ft.</v>
      </c>
      <c r="AF114">
        <f>IFERROR(__xludf.DUMMYFUNCTION("VALUE(REGEXREPLACE(G114,""[^[:digit:]]"", """"))"),728.0)</f>
        <v>728</v>
      </c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 t="s">
        <v>22</v>
      </c>
    </row>
    <row r="115">
      <c r="A115" s="7" t="s">
        <v>77</v>
      </c>
      <c r="B115" s="7" t="s">
        <v>227</v>
      </c>
      <c r="C115" s="7">
        <f>3+1</f>
        <v>4</v>
      </c>
      <c r="D115" s="7">
        <v>3.0</v>
      </c>
      <c r="E115" s="9">
        <v>2.0</v>
      </c>
      <c r="F115" s="7" t="s">
        <v>90</v>
      </c>
      <c r="G115" s="7" t="s">
        <v>228</v>
      </c>
      <c r="H115" s="9" t="s">
        <v>2979</v>
      </c>
      <c r="I115" t="s">
        <v>3064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 t="str">
        <f t="shared" si="1"/>
        <v>Built-up :</v>
      </c>
      <c r="AE115" s="7" t="str">
        <f t="shared" si="2"/>
        <v> sq. ft.</v>
      </c>
      <c r="AF115">
        <f>IFERROR(__xludf.DUMMYFUNCTION("VALUE(REGEXREPLACE(G115,""[^[:digit:]]"", """"))"),3211.0)</f>
        <v>3211</v>
      </c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 t="s">
        <v>27</v>
      </c>
    </row>
    <row r="116">
      <c r="A116" s="7" t="s">
        <v>77</v>
      </c>
      <c r="B116" s="7" t="s">
        <v>229</v>
      </c>
      <c r="C116" s="7">
        <f>2+1</f>
        <v>3</v>
      </c>
      <c r="D116" s="7">
        <v>2.0</v>
      </c>
      <c r="E116" s="7">
        <v>2.0</v>
      </c>
      <c r="F116" s="7" t="s">
        <v>83</v>
      </c>
      <c r="G116" s="7" t="s">
        <v>230</v>
      </c>
      <c r="H116" s="9" t="s">
        <v>2979</v>
      </c>
      <c r="I116" t="s">
        <v>3065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 t="str">
        <f t="shared" si="1"/>
        <v>Built-up :</v>
      </c>
      <c r="AE116" s="7" t="str">
        <f t="shared" si="2"/>
        <v> sq. ft.</v>
      </c>
      <c r="AF116">
        <f>IFERROR(__xludf.DUMMYFUNCTION("VALUE(REGEXREPLACE(G116,""[^[:digit:]]"", """"))"),1389.0)</f>
        <v>1389</v>
      </c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 t="s">
        <v>27</v>
      </c>
    </row>
    <row r="117">
      <c r="A117" s="7" t="s">
        <v>72</v>
      </c>
      <c r="B117" s="7" t="s">
        <v>42</v>
      </c>
      <c r="C117" s="7">
        <f>4+1</f>
        <v>5</v>
      </c>
      <c r="D117" s="7">
        <v>4.0</v>
      </c>
      <c r="E117" s="7">
        <v>3.0</v>
      </c>
      <c r="F117" s="7" t="s">
        <v>83</v>
      </c>
      <c r="G117" s="7" t="s">
        <v>231</v>
      </c>
      <c r="H117" s="9" t="s">
        <v>2979</v>
      </c>
      <c r="I117" t="s">
        <v>3066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 t="str">
        <f t="shared" si="1"/>
        <v>Built-up :</v>
      </c>
      <c r="AE117" s="7" t="str">
        <f t="shared" si="2"/>
        <v> sq. ft.</v>
      </c>
      <c r="AF117">
        <f>IFERROR(__xludf.DUMMYFUNCTION("VALUE(REGEXREPLACE(G117,""[^[:digit:]]"", """"))"),3041.0)</f>
        <v>3041</v>
      </c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 t="s">
        <v>27</v>
      </c>
    </row>
    <row r="118">
      <c r="A118" s="7" t="s">
        <v>86</v>
      </c>
      <c r="B118" s="7" t="s">
        <v>221</v>
      </c>
      <c r="C118" s="7">
        <f>1+1</f>
        <v>2</v>
      </c>
      <c r="D118" s="7">
        <v>1.0</v>
      </c>
      <c r="E118" s="7">
        <v>1.0</v>
      </c>
      <c r="F118" s="7" t="s">
        <v>20</v>
      </c>
      <c r="G118" s="7" t="s">
        <v>232</v>
      </c>
      <c r="H118" s="9" t="s">
        <v>2979</v>
      </c>
      <c r="I118" t="s">
        <v>3067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 t="str">
        <f t="shared" si="1"/>
        <v>Built-up :</v>
      </c>
      <c r="AE118" s="7" t="str">
        <f t="shared" si="2"/>
        <v> sq. ft.</v>
      </c>
      <c r="AF118">
        <f>IFERROR(__xludf.DUMMYFUNCTION("VALUE(REGEXREPLACE(G118,""[^[:digit:]]"", """"))"),663.0)</f>
        <v>663</v>
      </c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 t="s">
        <v>27</v>
      </c>
    </row>
    <row r="119">
      <c r="A119" s="7" t="s">
        <v>17</v>
      </c>
      <c r="B119" s="7" t="s">
        <v>233</v>
      </c>
      <c r="C119" s="7">
        <f>2+1</f>
        <v>3</v>
      </c>
      <c r="D119" s="7">
        <v>2.0</v>
      </c>
      <c r="E119" s="7">
        <v>2.0</v>
      </c>
      <c r="F119" s="7" t="s">
        <v>20</v>
      </c>
      <c r="G119" s="7" t="s">
        <v>234</v>
      </c>
      <c r="H119" s="9" t="s">
        <v>2979</v>
      </c>
      <c r="I119" t="s">
        <v>3068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 t="str">
        <f t="shared" si="1"/>
        <v>Built-up :</v>
      </c>
      <c r="AE119" s="7" t="str">
        <f t="shared" si="2"/>
        <v> sq. ft.</v>
      </c>
      <c r="AF119">
        <f>IFERROR(__xludf.DUMMYFUNCTION("VALUE(REGEXREPLACE(G119,""[^[:digit:]]"", """"))"),1399.0)</f>
        <v>1399</v>
      </c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 t="s">
        <v>22</v>
      </c>
    </row>
    <row r="120">
      <c r="A120" s="7" t="s">
        <v>33</v>
      </c>
      <c r="B120" s="7" t="s">
        <v>235</v>
      </c>
      <c r="C120" s="7">
        <f>4+1</f>
        <v>5</v>
      </c>
      <c r="D120" s="7">
        <v>3.0</v>
      </c>
      <c r="E120" s="7">
        <v>2.0</v>
      </c>
      <c r="F120" s="7" t="s">
        <v>83</v>
      </c>
      <c r="G120" s="7" t="s">
        <v>36</v>
      </c>
      <c r="H120" s="9" t="s">
        <v>2979</v>
      </c>
      <c r="I120" t="s">
        <v>2986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 t="str">
        <f t="shared" si="1"/>
        <v>Built-up :</v>
      </c>
      <c r="AE120" s="7" t="str">
        <f t="shared" si="2"/>
        <v> sq. ft.</v>
      </c>
      <c r="AF120">
        <f>IFERROR(__xludf.DUMMYFUNCTION("VALUE(REGEXREPLACE(G120,""[^[:digit:]]"", """"))"),1513.0)</f>
        <v>1513</v>
      </c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 t="s">
        <v>27</v>
      </c>
    </row>
    <row r="121">
      <c r="A121" s="7" t="s">
        <v>17</v>
      </c>
      <c r="B121" s="7" t="s">
        <v>120</v>
      </c>
      <c r="C121" s="7">
        <f t="shared" ref="C121:C122" si="9">3+1</f>
        <v>4</v>
      </c>
      <c r="D121" s="7">
        <v>5.0</v>
      </c>
      <c r="E121" s="7">
        <v>2.0</v>
      </c>
      <c r="F121" s="7" t="s">
        <v>121</v>
      </c>
      <c r="G121" s="7" t="s">
        <v>122</v>
      </c>
      <c r="H121" s="9" t="s">
        <v>2979</v>
      </c>
      <c r="I121" t="s">
        <v>3016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 t="str">
        <f t="shared" si="1"/>
        <v>Built-up :</v>
      </c>
      <c r="AE121" s="7" t="str">
        <f t="shared" si="2"/>
        <v> sq. ft.</v>
      </c>
      <c r="AF121">
        <f>IFERROR(__xludf.DUMMYFUNCTION("VALUE(REGEXREPLACE(G121,""[^[:digit:]]"", """"))"),3897.0)</f>
        <v>3897</v>
      </c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 t="s">
        <v>27</v>
      </c>
    </row>
    <row r="122">
      <c r="A122" s="7" t="s">
        <v>17</v>
      </c>
      <c r="B122" s="7" t="s">
        <v>120</v>
      </c>
      <c r="C122" s="7">
        <f t="shared" si="9"/>
        <v>4</v>
      </c>
      <c r="D122" s="7">
        <v>5.0</v>
      </c>
      <c r="E122" s="7">
        <v>2.0</v>
      </c>
      <c r="F122" s="7" t="s">
        <v>121</v>
      </c>
      <c r="G122" s="7" t="s">
        <v>122</v>
      </c>
      <c r="H122" s="9" t="s">
        <v>2979</v>
      </c>
      <c r="I122" t="s">
        <v>3016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 t="str">
        <f t="shared" si="1"/>
        <v>Built-up :</v>
      </c>
      <c r="AE122" s="7" t="str">
        <f t="shared" si="2"/>
        <v> sq. ft.</v>
      </c>
      <c r="AF122">
        <f>IFERROR(__xludf.DUMMYFUNCTION("VALUE(REGEXREPLACE(G122,""[^[:digit:]]"", """"))"),3897.0)</f>
        <v>3897</v>
      </c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 t="s">
        <v>27</v>
      </c>
    </row>
    <row r="123">
      <c r="A123" s="7" t="s">
        <v>17</v>
      </c>
      <c r="B123" s="7" t="s">
        <v>236</v>
      </c>
      <c r="C123" s="7">
        <f>1</f>
        <v>1</v>
      </c>
      <c r="D123" s="7">
        <v>1.0</v>
      </c>
      <c r="E123" s="7">
        <v>1.0</v>
      </c>
      <c r="F123" s="7" t="s">
        <v>20</v>
      </c>
      <c r="G123" s="7" t="s">
        <v>237</v>
      </c>
      <c r="H123" s="9" t="s">
        <v>2979</v>
      </c>
      <c r="I123" t="s">
        <v>3069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 t="str">
        <f t="shared" si="1"/>
        <v>Built-up :</v>
      </c>
      <c r="AE123" s="7" t="str">
        <f t="shared" si="2"/>
        <v> sq. ft.</v>
      </c>
      <c r="AF123">
        <f>IFERROR(__xludf.DUMMYFUNCTION("VALUE(REGEXREPLACE(G123,""[^[:digit:]]"", """"))"),1087.0)</f>
        <v>1087</v>
      </c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 t="s">
        <v>22</v>
      </c>
    </row>
    <row r="124">
      <c r="A124" s="7" t="s">
        <v>72</v>
      </c>
      <c r="B124" s="7" t="s">
        <v>210</v>
      </c>
      <c r="C124" s="7">
        <f>4+1</f>
        <v>5</v>
      </c>
      <c r="D124" s="7">
        <v>4.0</v>
      </c>
      <c r="E124" s="7">
        <v>2.0</v>
      </c>
      <c r="F124" s="7" t="s">
        <v>83</v>
      </c>
      <c r="G124" s="7" t="s">
        <v>238</v>
      </c>
      <c r="H124" s="9" t="s">
        <v>2979</v>
      </c>
      <c r="I124" t="s">
        <v>3070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 t="str">
        <f t="shared" si="1"/>
        <v>Built-up :</v>
      </c>
      <c r="AE124" s="7" t="str">
        <f t="shared" si="2"/>
        <v> sq. ft.</v>
      </c>
      <c r="AF124">
        <f>IFERROR(__xludf.DUMMYFUNCTION("VALUE(REGEXREPLACE(G124,""[^[:digit:]]"", """"))"),2065.0)</f>
        <v>2065</v>
      </c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 t="s">
        <v>27</v>
      </c>
    </row>
    <row r="125">
      <c r="A125" s="7" t="s">
        <v>109</v>
      </c>
      <c r="E125" s="9">
        <v>2.0</v>
      </c>
      <c r="H125" s="9" t="s">
        <v>2984</v>
      </c>
      <c r="I125" t="s">
        <v>2985</v>
      </c>
      <c r="AD125" s="7" t="str">
        <f t="shared" si="1"/>
        <v/>
      </c>
      <c r="AE125" s="7" t="str">
        <f t="shared" si="2"/>
        <v/>
      </c>
      <c r="AF125">
        <f>IFERROR(__xludf.DUMMYFUNCTION("VALUE(REGEXREPLACE(G125,""[^[:digit:]]"", """"))"),0.0)</f>
        <v>0</v>
      </c>
    </row>
    <row r="126">
      <c r="A126" s="7" t="s">
        <v>37</v>
      </c>
      <c r="B126" s="7" t="s">
        <v>239</v>
      </c>
      <c r="C126" s="7">
        <f>4</f>
        <v>4</v>
      </c>
      <c r="D126" s="7">
        <v>3.0</v>
      </c>
      <c r="E126" s="7">
        <v>3.0</v>
      </c>
      <c r="F126" s="7" t="s">
        <v>54</v>
      </c>
      <c r="G126" s="7" t="s">
        <v>47</v>
      </c>
      <c r="H126" s="9" t="s">
        <v>2981</v>
      </c>
      <c r="I126" t="s">
        <v>2989</v>
      </c>
      <c r="J126" s="7"/>
      <c r="K126" s="7"/>
      <c r="L126" s="7"/>
      <c r="M126" s="7"/>
      <c r="N126" s="7"/>
      <c r="O126" s="7"/>
      <c r="P126" s="7"/>
      <c r="Q126" s="7"/>
      <c r="R126" s="7"/>
      <c r="S126" s="7" t="s">
        <v>2990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 t="str">
        <f t="shared" si="1"/>
        <v>Land area </v>
      </c>
      <c r="AE126" s="7" t="str">
        <f t="shared" si="2"/>
        <v> sq. ft.</v>
      </c>
      <c r="AF126" s="7">
        <v>1875.0</v>
      </c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 t="s">
        <v>27</v>
      </c>
    </row>
    <row r="127">
      <c r="A127" s="7" t="s">
        <v>17</v>
      </c>
      <c r="B127" s="7" t="s">
        <v>18</v>
      </c>
      <c r="C127" s="7">
        <f>2</f>
        <v>2</v>
      </c>
      <c r="D127" s="7">
        <v>2.0</v>
      </c>
      <c r="E127" s="7">
        <v>1.0</v>
      </c>
      <c r="F127" s="7" t="s">
        <v>83</v>
      </c>
      <c r="G127" s="7" t="s">
        <v>240</v>
      </c>
      <c r="H127" s="9" t="s">
        <v>2979</v>
      </c>
      <c r="I127" t="s">
        <v>3071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 t="str">
        <f t="shared" si="1"/>
        <v>Built-up :</v>
      </c>
      <c r="AE127" s="7" t="str">
        <f t="shared" si="2"/>
        <v> sq. ft.</v>
      </c>
      <c r="AF127">
        <f>IFERROR(__xludf.DUMMYFUNCTION("VALUE(REGEXREPLACE(G127,""[^[:digit:]]"", """"))"),736.0)</f>
        <v>736</v>
      </c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 t="s">
        <v>27</v>
      </c>
    </row>
    <row r="128">
      <c r="A128" s="7" t="s">
        <v>241</v>
      </c>
      <c r="E128" s="9">
        <v>2.0</v>
      </c>
      <c r="H128" s="9" t="s">
        <v>2984</v>
      </c>
      <c r="I128" t="s">
        <v>2985</v>
      </c>
      <c r="AD128" s="7" t="str">
        <f t="shared" si="1"/>
        <v/>
      </c>
      <c r="AE128" s="7" t="str">
        <f t="shared" si="2"/>
        <v/>
      </c>
      <c r="AF128">
        <f>IFERROR(__xludf.DUMMYFUNCTION("VALUE(REGEXREPLACE(G128,""[^[:digit:]]"", """"))"),0.0)</f>
        <v>0</v>
      </c>
    </row>
    <row r="129">
      <c r="A129" s="7" t="s">
        <v>86</v>
      </c>
      <c r="B129" s="7" t="s">
        <v>221</v>
      </c>
      <c r="C129" s="7">
        <f>1+1</f>
        <v>2</v>
      </c>
      <c r="D129" s="7">
        <v>1.0</v>
      </c>
      <c r="E129" s="7">
        <v>1.0</v>
      </c>
      <c r="F129" s="7" t="s">
        <v>20</v>
      </c>
      <c r="G129" s="7" t="s">
        <v>242</v>
      </c>
      <c r="H129" s="9" t="s">
        <v>2979</v>
      </c>
      <c r="I129" t="s">
        <v>3072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 t="str">
        <f t="shared" si="1"/>
        <v>Built-up :</v>
      </c>
      <c r="AE129" s="7" t="str">
        <f t="shared" si="2"/>
        <v> sq. ft.</v>
      </c>
      <c r="AF129">
        <f>IFERROR(__xludf.DUMMYFUNCTION("VALUE(REGEXREPLACE(G129,""[^[:digit:]]"", """"))"),650.0)</f>
        <v>650</v>
      </c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 t="s">
        <v>22</v>
      </c>
    </row>
    <row r="130">
      <c r="A130" s="7" t="s">
        <v>17</v>
      </c>
      <c r="B130" s="7" t="s">
        <v>243</v>
      </c>
      <c r="C130" s="7">
        <f>2</f>
        <v>2</v>
      </c>
      <c r="D130" s="7">
        <v>2.0</v>
      </c>
      <c r="E130" s="7">
        <v>1.0</v>
      </c>
      <c r="F130" s="7" t="s">
        <v>20</v>
      </c>
      <c r="G130" s="7" t="s">
        <v>157</v>
      </c>
      <c r="H130" s="9" t="s">
        <v>2979</v>
      </c>
      <c r="I130" t="s">
        <v>3031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 t="str">
        <f t="shared" si="1"/>
        <v>Built-up :</v>
      </c>
      <c r="AE130" s="7" t="str">
        <f t="shared" si="2"/>
        <v> sq. ft.</v>
      </c>
      <c r="AF130">
        <f>IFERROR(__xludf.DUMMYFUNCTION("VALUE(REGEXREPLACE(G130,""[^[:digit:]]"", """"))"),1050.0)</f>
        <v>1050</v>
      </c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 t="s">
        <v>22</v>
      </c>
    </row>
    <row r="131">
      <c r="A131" s="7" t="s">
        <v>86</v>
      </c>
      <c r="B131" s="7" t="s">
        <v>87</v>
      </c>
      <c r="C131" s="7">
        <f>1</f>
        <v>1</v>
      </c>
      <c r="D131" s="7">
        <v>1.0</v>
      </c>
      <c r="E131" s="7">
        <v>1.0</v>
      </c>
      <c r="F131" s="7" t="s">
        <v>82</v>
      </c>
      <c r="G131" s="7" t="s">
        <v>244</v>
      </c>
      <c r="H131" s="9" t="s">
        <v>2979</v>
      </c>
      <c r="I131" t="s">
        <v>3073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 t="str">
        <f t="shared" si="1"/>
        <v>Built-up :</v>
      </c>
      <c r="AE131" s="7" t="str">
        <f t="shared" si="2"/>
        <v> sq. ft.</v>
      </c>
      <c r="AF131">
        <f>IFERROR(__xludf.DUMMYFUNCTION("VALUE(REGEXREPLACE(G131,""[^[:digit:]]"", """"))"),500.0)</f>
        <v>500</v>
      </c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 t="s">
        <v>22</v>
      </c>
    </row>
    <row r="132">
      <c r="A132" s="7" t="s">
        <v>171</v>
      </c>
      <c r="E132" s="9">
        <v>2.0</v>
      </c>
      <c r="H132" s="9" t="s">
        <v>2984</v>
      </c>
      <c r="I132" t="s">
        <v>2985</v>
      </c>
      <c r="AD132" s="7" t="str">
        <f t="shared" si="1"/>
        <v/>
      </c>
      <c r="AE132" s="7" t="str">
        <f t="shared" si="2"/>
        <v/>
      </c>
      <c r="AF132">
        <f>IFERROR(__xludf.DUMMYFUNCTION("VALUE(REGEXREPLACE(G132,""[^[:digit:]]"", """"))"),0.0)</f>
        <v>0</v>
      </c>
    </row>
    <row r="133">
      <c r="A133" s="7" t="s">
        <v>86</v>
      </c>
      <c r="B133" s="7" t="s">
        <v>245</v>
      </c>
      <c r="C133" s="7">
        <f>2</f>
        <v>2</v>
      </c>
      <c r="D133" s="7">
        <v>2.0</v>
      </c>
      <c r="E133" s="7">
        <v>1.0</v>
      </c>
      <c r="F133" s="7" t="s">
        <v>121</v>
      </c>
      <c r="G133" s="7" t="s">
        <v>246</v>
      </c>
      <c r="H133" s="9" t="s">
        <v>2979</v>
      </c>
      <c r="I133" t="s">
        <v>3074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 t="str">
        <f t="shared" si="1"/>
        <v>Built-up :</v>
      </c>
      <c r="AE133" s="7" t="str">
        <f t="shared" si="2"/>
        <v> sq. ft.</v>
      </c>
      <c r="AF133">
        <f>IFERROR(__xludf.DUMMYFUNCTION("VALUE(REGEXREPLACE(G133,""[^[:digit:]]"", """"))"),825.0)</f>
        <v>825</v>
      </c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 t="s">
        <v>27</v>
      </c>
    </row>
    <row r="134">
      <c r="A134" s="7" t="s">
        <v>77</v>
      </c>
      <c r="B134" s="7" t="s">
        <v>247</v>
      </c>
      <c r="C134" s="7">
        <f t="shared" ref="C134:C135" si="10">3+1</f>
        <v>4</v>
      </c>
      <c r="D134" s="7">
        <v>4.0</v>
      </c>
      <c r="E134" s="9">
        <v>2.0</v>
      </c>
      <c r="F134" s="7" t="s">
        <v>169</v>
      </c>
      <c r="G134" s="7" t="s">
        <v>248</v>
      </c>
      <c r="H134" s="9" t="s">
        <v>2979</v>
      </c>
      <c r="I134" t="s">
        <v>3075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 t="str">
        <f t="shared" si="1"/>
        <v>Built-up :</v>
      </c>
      <c r="AE134" s="7" t="str">
        <f t="shared" si="2"/>
        <v> sq. ft.</v>
      </c>
      <c r="AF134">
        <f>IFERROR(__xludf.DUMMYFUNCTION("VALUE(REGEXREPLACE(G134,""[^[:digit:]]"", """"))"),2200.0)</f>
        <v>2200</v>
      </c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 t="s">
        <v>27</v>
      </c>
    </row>
    <row r="135">
      <c r="A135" s="7" t="s">
        <v>28</v>
      </c>
      <c r="B135" s="7" t="s">
        <v>249</v>
      </c>
      <c r="C135" s="7">
        <f t="shared" si="10"/>
        <v>4</v>
      </c>
      <c r="D135" s="7">
        <v>5.0</v>
      </c>
      <c r="E135" s="7">
        <v>2.0</v>
      </c>
      <c r="F135" s="7" t="s">
        <v>83</v>
      </c>
      <c r="G135" s="7" t="s">
        <v>250</v>
      </c>
      <c r="H135" s="9" t="s">
        <v>2979</v>
      </c>
      <c r="I135" t="s">
        <v>3076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 t="str">
        <f t="shared" si="1"/>
        <v>Built-up :</v>
      </c>
      <c r="AE135" s="7" t="str">
        <f t="shared" si="2"/>
        <v> sq. ft.</v>
      </c>
      <c r="AF135">
        <f>IFERROR(__xludf.DUMMYFUNCTION("VALUE(REGEXREPLACE(G135,""[^[:digit:]]"", """"))"),1853.0)</f>
        <v>1853</v>
      </c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 t="s">
        <v>251</v>
      </c>
    </row>
    <row r="136">
      <c r="A136" s="7" t="s">
        <v>164</v>
      </c>
      <c r="E136" s="9">
        <v>2.0</v>
      </c>
      <c r="H136" s="9" t="s">
        <v>2984</v>
      </c>
      <c r="I136" t="s">
        <v>2985</v>
      </c>
      <c r="AD136" s="7" t="str">
        <f t="shared" si="1"/>
        <v/>
      </c>
      <c r="AE136" s="7" t="str">
        <f t="shared" si="2"/>
        <v/>
      </c>
      <c r="AF136">
        <f>IFERROR(__xludf.DUMMYFUNCTION("VALUE(REGEXREPLACE(G136,""[^[:digit:]]"", """"))"),0.0)</f>
        <v>0</v>
      </c>
    </row>
    <row r="137">
      <c r="A137" s="7" t="s">
        <v>17</v>
      </c>
      <c r="B137" s="7" t="s">
        <v>191</v>
      </c>
      <c r="C137" s="7">
        <f>1</f>
        <v>1</v>
      </c>
      <c r="D137" s="7">
        <v>1.0</v>
      </c>
      <c r="E137" s="7">
        <v>1.0</v>
      </c>
      <c r="F137" s="7" t="s">
        <v>96</v>
      </c>
      <c r="G137" s="7" t="s">
        <v>252</v>
      </c>
      <c r="H137" s="9" t="s">
        <v>2979</v>
      </c>
      <c r="I137" t="s">
        <v>3077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 t="str">
        <f t="shared" si="1"/>
        <v>Built-up :</v>
      </c>
      <c r="AE137" s="7" t="str">
        <f t="shared" si="2"/>
        <v> sq. ft.</v>
      </c>
      <c r="AF137">
        <f>IFERROR(__xludf.DUMMYFUNCTION("VALUE(REGEXREPLACE(G137,""[^[:digit:]]"", """"))"),657.0)</f>
        <v>657</v>
      </c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 t="s">
        <v>22</v>
      </c>
    </row>
    <row r="138">
      <c r="A138" s="7" t="s">
        <v>89</v>
      </c>
      <c r="B138" s="7" t="s">
        <v>253</v>
      </c>
      <c r="C138" s="7">
        <f>3</f>
        <v>3</v>
      </c>
      <c r="D138" s="7">
        <v>3.0</v>
      </c>
      <c r="E138" s="7">
        <v>1.0</v>
      </c>
      <c r="F138" s="7" t="s">
        <v>82</v>
      </c>
      <c r="G138" s="7" t="s">
        <v>254</v>
      </c>
      <c r="H138" s="9" t="s">
        <v>2979</v>
      </c>
      <c r="I138" t="s">
        <v>3078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 t="str">
        <f t="shared" si="1"/>
        <v>Built-up :</v>
      </c>
      <c r="AE138" s="7" t="str">
        <f t="shared" si="2"/>
        <v> sq. ft.</v>
      </c>
      <c r="AF138">
        <f>IFERROR(__xludf.DUMMYFUNCTION("VALUE(REGEXREPLACE(G138,""[^[:digit:]]"", """"))"),1045.0)</f>
        <v>1045</v>
      </c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 t="s">
        <v>103</v>
      </c>
    </row>
    <row r="139">
      <c r="A139" s="7" t="s">
        <v>23</v>
      </c>
      <c r="B139" s="7" t="s">
        <v>255</v>
      </c>
      <c r="C139" s="7">
        <f>5+1</f>
        <v>6</v>
      </c>
      <c r="D139" s="7">
        <v>6.0</v>
      </c>
      <c r="E139" s="9">
        <v>2.0</v>
      </c>
      <c r="F139" s="7" t="s">
        <v>43</v>
      </c>
      <c r="G139" s="7" t="s">
        <v>256</v>
      </c>
      <c r="H139" s="9" t="s">
        <v>2981</v>
      </c>
      <c r="I139" t="s">
        <v>3079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 t="str">
        <f t="shared" si="1"/>
        <v>Land area </v>
      </c>
      <c r="AE139" s="7" t="str">
        <f t="shared" si="2"/>
        <v> sq. ft.</v>
      </c>
      <c r="AF139">
        <f>IFERROR(__xludf.DUMMYFUNCTION("VALUE(REGEXREPLACE(G139,""[^[:digit:]]"", """"))"),3700.0)</f>
        <v>3700</v>
      </c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 t="s">
        <v>22</v>
      </c>
    </row>
    <row r="140">
      <c r="A140" s="7" t="s">
        <v>72</v>
      </c>
      <c r="B140" s="7" t="s">
        <v>257</v>
      </c>
      <c r="C140" s="7">
        <f>4+1</f>
        <v>5</v>
      </c>
      <c r="D140" s="7">
        <v>5.0</v>
      </c>
      <c r="E140" s="7">
        <v>3.0</v>
      </c>
      <c r="F140" s="7" t="s">
        <v>30</v>
      </c>
      <c r="G140" s="7" t="s">
        <v>231</v>
      </c>
      <c r="H140" s="9" t="s">
        <v>2979</v>
      </c>
      <c r="I140" t="s">
        <v>3066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 t="str">
        <f t="shared" si="1"/>
        <v>Built-up :</v>
      </c>
      <c r="AE140" s="7" t="str">
        <f t="shared" si="2"/>
        <v> sq. ft.</v>
      </c>
      <c r="AF140">
        <f>IFERROR(__xludf.DUMMYFUNCTION("VALUE(REGEXREPLACE(G140,""[^[:digit:]]"", """"))"),3041.0)</f>
        <v>3041</v>
      </c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 t="s">
        <v>27</v>
      </c>
    </row>
    <row r="141">
      <c r="A141" s="7" t="s">
        <v>164</v>
      </c>
      <c r="B141" s="7" t="s">
        <v>258</v>
      </c>
      <c r="C141" s="7">
        <f t="shared" ref="C141:C142" si="11">3+1</f>
        <v>4</v>
      </c>
      <c r="D141" s="7">
        <v>4.0</v>
      </c>
      <c r="E141" s="7">
        <v>2.0</v>
      </c>
      <c r="F141" s="7" t="s">
        <v>121</v>
      </c>
      <c r="G141" s="7" t="s">
        <v>259</v>
      </c>
      <c r="H141" s="9" t="s">
        <v>2979</v>
      </c>
      <c r="I141" t="s">
        <v>3080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 t="str">
        <f t="shared" si="1"/>
        <v>Built-up :</v>
      </c>
      <c r="AE141" s="7" t="str">
        <f t="shared" si="2"/>
        <v> sq. ft.</v>
      </c>
      <c r="AF141">
        <f>IFERROR(__xludf.DUMMYFUNCTION("VALUE(REGEXREPLACE(G141,""[^[:digit:]]"", """"))"),2227.0)</f>
        <v>2227</v>
      </c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 t="s">
        <v>27</v>
      </c>
    </row>
    <row r="142">
      <c r="A142" s="7" t="s">
        <v>164</v>
      </c>
      <c r="B142" s="7" t="s">
        <v>260</v>
      </c>
      <c r="C142" s="7">
        <f t="shared" si="11"/>
        <v>4</v>
      </c>
      <c r="D142" s="7">
        <v>3.0</v>
      </c>
      <c r="E142" s="9">
        <v>2.0</v>
      </c>
      <c r="F142" s="7" t="s">
        <v>30</v>
      </c>
      <c r="G142" s="7" t="s">
        <v>261</v>
      </c>
      <c r="H142" s="9" t="s">
        <v>2979</v>
      </c>
      <c r="I142" t="s">
        <v>3081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 t="str">
        <f t="shared" si="1"/>
        <v>Built-up :</v>
      </c>
      <c r="AE142" s="7" t="str">
        <f t="shared" si="2"/>
        <v> sq. ft.</v>
      </c>
      <c r="AF142">
        <f>IFERROR(__xludf.DUMMYFUNCTION("VALUE(REGEXREPLACE(G142,""[^[:digit:]]"", """"))"),1544.0)</f>
        <v>1544</v>
      </c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 t="s">
        <v>22</v>
      </c>
    </row>
    <row r="143">
      <c r="A143" s="7" t="s">
        <v>262</v>
      </c>
      <c r="B143" s="7" t="s">
        <v>263</v>
      </c>
      <c r="C143" s="7">
        <f>6+1</f>
        <v>7</v>
      </c>
      <c r="D143" s="7">
        <v>7.0</v>
      </c>
      <c r="E143" s="7">
        <v>6.0</v>
      </c>
      <c r="F143" s="7" t="s">
        <v>67</v>
      </c>
      <c r="G143" s="7" t="s">
        <v>264</v>
      </c>
      <c r="H143" s="9" t="s">
        <v>2981</v>
      </c>
      <c r="I143" t="s">
        <v>3082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 t="str">
        <f t="shared" si="1"/>
        <v>Land area </v>
      </c>
      <c r="AE143" s="7" t="str">
        <f t="shared" si="2"/>
        <v> sq. ft.</v>
      </c>
      <c r="AF143">
        <f>IFERROR(__xludf.DUMMYFUNCTION("VALUE(REGEXREPLACE(G143,""[^[:digit:]]"", """"))"),10000.0)</f>
        <v>10000</v>
      </c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 t="s">
        <v>27</v>
      </c>
    </row>
    <row r="144">
      <c r="A144" s="7" t="s">
        <v>17</v>
      </c>
      <c r="B144" s="7" t="s">
        <v>265</v>
      </c>
      <c r="C144" s="7">
        <f>3</f>
        <v>3</v>
      </c>
      <c r="D144" s="7">
        <v>3.0</v>
      </c>
      <c r="E144" s="7">
        <v>2.0</v>
      </c>
      <c r="F144" s="7" t="s">
        <v>93</v>
      </c>
      <c r="G144" s="7" t="s">
        <v>266</v>
      </c>
      <c r="H144" s="9" t="s">
        <v>2979</v>
      </c>
      <c r="I144" t="s">
        <v>3083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 t="str">
        <f t="shared" si="1"/>
        <v>Built-up :</v>
      </c>
      <c r="AE144" s="7" t="str">
        <f t="shared" si="2"/>
        <v> sq. ft.</v>
      </c>
      <c r="AF144">
        <f>IFERROR(__xludf.DUMMYFUNCTION("VALUE(REGEXREPLACE(G144,""[^[:digit:]]"", """"))"),2454.0)</f>
        <v>2454</v>
      </c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>
      <c r="A145" s="7" t="s">
        <v>267</v>
      </c>
      <c r="B145" s="7" t="s">
        <v>268</v>
      </c>
      <c r="C145" s="7">
        <f>2</f>
        <v>2</v>
      </c>
      <c r="D145" s="7">
        <v>2.0</v>
      </c>
      <c r="E145" s="7">
        <v>1.0</v>
      </c>
      <c r="F145" s="7" t="s">
        <v>121</v>
      </c>
      <c r="G145" s="7" t="s">
        <v>269</v>
      </c>
      <c r="H145" s="9" t="s">
        <v>2979</v>
      </c>
      <c r="I145" t="s">
        <v>3084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 t="str">
        <f t="shared" si="1"/>
        <v>Built-up :</v>
      </c>
      <c r="AE145" s="7" t="str">
        <f t="shared" si="2"/>
        <v> sq. ft.</v>
      </c>
      <c r="AF145">
        <f>IFERROR(__xludf.DUMMYFUNCTION("VALUE(REGEXREPLACE(G145,""[^[:digit:]]"", """"))"),715.0)</f>
        <v>715</v>
      </c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 t="s">
        <v>27</v>
      </c>
    </row>
    <row r="146">
      <c r="A146" s="7" t="s">
        <v>23</v>
      </c>
      <c r="B146" s="7" t="s">
        <v>270</v>
      </c>
      <c r="C146" s="7">
        <f>5+1</f>
        <v>6</v>
      </c>
      <c r="D146" s="7">
        <v>7.0</v>
      </c>
      <c r="E146" s="7">
        <v>3.0</v>
      </c>
      <c r="F146" s="7" t="s">
        <v>67</v>
      </c>
      <c r="G146" s="7" t="s">
        <v>271</v>
      </c>
      <c r="H146" s="9" t="s">
        <v>2981</v>
      </c>
      <c r="I146" t="s">
        <v>3085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 t="str">
        <f t="shared" si="1"/>
        <v>Land area </v>
      </c>
      <c r="AE146" s="7" t="str">
        <f t="shared" si="2"/>
        <v> sq. ft.</v>
      </c>
      <c r="AF146">
        <f>IFERROR(__xludf.DUMMYFUNCTION("VALUE(REGEXREPLACE(G146,""[^[:digit:]]"", """"))"),7500.0)</f>
        <v>7500</v>
      </c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 t="s">
        <v>27</v>
      </c>
    </row>
    <row r="147">
      <c r="A147" s="7" t="s">
        <v>77</v>
      </c>
      <c r="B147" s="7" t="s">
        <v>272</v>
      </c>
      <c r="C147" s="7">
        <f>5</f>
        <v>5</v>
      </c>
      <c r="D147" s="7">
        <v>5.0</v>
      </c>
      <c r="E147" s="9">
        <v>2.0</v>
      </c>
      <c r="F147" s="7" t="s">
        <v>273</v>
      </c>
      <c r="G147" s="10" t="s">
        <v>274</v>
      </c>
      <c r="H147" s="9" t="s">
        <v>2981</v>
      </c>
      <c r="I147" t="s">
        <v>3086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2990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 t="str">
        <f t="shared" si="1"/>
        <v>Land area </v>
      </c>
      <c r="AE147" s="7" t="str">
        <f t="shared" si="2"/>
        <v> sq. ft.</v>
      </c>
      <c r="AF147" s="7">
        <v>2850.0</v>
      </c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 t="s">
        <v>27</v>
      </c>
    </row>
    <row r="148">
      <c r="A148" s="7" t="s">
        <v>77</v>
      </c>
      <c r="B148" s="7" t="s">
        <v>125</v>
      </c>
      <c r="C148" s="7">
        <f>4</f>
        <v>4</v>
      </c>
      <c r="D148" s="7">
        <v>3.0</v>
      </c>
      <c r="E148" s="7">
        <v>2.0</v>
      </c>
      <c r="F148" s="7" t="s">
        <v>54</v>
      </c>
      <c r="G148" s="10" t="s">
        <v>275</v>
      </c>
      <c r="H148" s="9" t="s">
        <v>2981</v>
      </c>
      <c r="I148" t="s">
        <v>3087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 t="s">
        <v>3088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 t="str">
        <f t="shared" si="1"/>
        <v>Land area </v>
      </c>
      <c r="AE148" s="7" t="str">
        <f t="shared" si="2"/>
        <v> sq. ft.</v>
      </c>
      <c r="AF148" s="7">
        <v>1826.0</v>
      </c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 t="s">
        <v>27</v>
      </c>
    </row>
    <row r="149">
      <c r="A149" s="7" t="s">
        <v>33</v>
      </c>
      <c r="E149" s="9">
        <v>2.0</v>
      </c>
      <c r="H149" s="9" t="s">
        <v>2984</v>
      </c>
      <c r="I149" t="s">
        <v>2985</v>
      </c>
      <c r="AD149" s="7" t="str">
        <f t="shared" si="1"/>
        <v/>
      </c>
      <c r="AE149" s="7" t="str">
        <f t="shared" si="2"/>
        <v/>
      </c>
      <c r="AF149">
        <f>IFERROR(__xludf.DUMMYFUNCTION("VALUE(REGEXREPLACE(G149,""[^[:digit:]]"", """"))"),0.0)</f>
        <v>0</v>
      </c>
    </row>
    <row r="150">
      <c r="A150" s="7" t="s">
        <v>17</v>
      </c>
      <c r="B150" s="7" t="s">
        <v>120</v>
      </c>
      <c r="C150" s="7">
        <f>4</f>
        <v>4</v>
      </c>
      <c r="D150" s="7">
        <v>4.0</v>
      </c>
      <c r="E150" s="9">
        <v>2.0</v>
      </c>
      <c r="F150" s="7" t="s">
        <v>121</v>
      </c>
      <c r="G150" s="7" t="s">
        <v>122</v>
      </c>
      <c r="H150" s="9" t="s">
        <v>2979</v>
      </c>
      <c r="I150" t="s">
        <v>3016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 t="str">
        <f t="shared" si="1"/>
        <v>Built-up :</v>
      </c>
      <c r="AE150" s="7" t="str">
        <f t="shared" si="2"/>
        <v> sq. ft.</v>
      </c>
      <c r="AF150">
        <f>IFERROR(__xludf.DUMMYFUNCTION("VALUE(REGEXREPLACE(G150,""[^[:digit:]]"", """"))"),3897.0)</f>
        <v>3897</v>
      </c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 t="s">
        <v>27</v>
      </c>
    </row>
    <row r="151">
      <c r="A151" s="7" t="s">
        <v>72</v>
      </c>
      <c r="B151" s="7" t="s">
        <v>257</v>
      </c>
      <c r="C151" s="7">
        <f>4+1</f>
        <v>5</v>
      </c>
      <c r="D151" s="7">
        <v>5.0</v>
      </c>
      <c r="E151" s="7">
        <v>3.0</v>
      </c>
      <c r="F151" s="7" t="s">
        <v>83</v>
      </c>
      <c r="G151" s="7" t="s">
        <v>231</v>
      </c>
      <c r="H151" s="9" t="s">
        <v>2979</v>
      </c>
      <c r="I151" t="s">
        <v>3066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 t="str">
        <f t="shared" si="1"/>
        <v>Built-up :</v>
      </c>
      <c r="AE151" s="7" t="str">
        <f t="shared" si="2"/>
        <v> sq. ft.</v>
      </c>
      <c r="AF151">
        <f>IFERROR(__xludf.DUMMYFUNCTION("VALUE(REGEXREPLACE(G151,""[^[:digit:]]"", """"))"),3041.0)</f>
        <v>3041</v>
      </c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 t="s">
        <v>103</v>
      </c>
    </row>
    <row r="152">
      <c r="A152" s="7" t="s">
        <v>17</v>
      </c>
      <c r="B152" s="7" t="s">
        <v>165</v>
      </c>
      <c r="C152" s="7">
        <f>3</f>
        <v>3</v>
      </c>
      <c r="D152" s="7">
        <v>3.0</v>
      </c>
      <c r="E152" s="7">
        <v>1.0</v>
      </c>
      <c r="F152" s="7" t="s">
        <v>20</v>
      </c>
      <c r="G152" s="7" t="s">
        <v>276</v>
      </c>
      <c r="H152" s="9" t="s">
        <v>2979</v>
      </c>
      <c r="I152" t="s">
        <v>3089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 t="str">
        <f t="shared" si="1"/>
        <v>Built-up :</v>
      </c>
      <c r="AE152" s="7" t="str">
        <f t="shared" si="2"/>
        <v> sq. ft.</v>
      </c>
      <c r="AF152">
        <f>IFERROR(__xludf.DUMMYFUNCTION("VALUE(REGEXREPLACE(G152,""[^[:digit:]]"", """"))"),1560.0)</f>
        <v>1560</v>
      </c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 t="s">
        <v>22</v>
      </c>
    </row>
    <row r="153">
      <c r="A153" s="7" t="s">
        <v>72</v>
      </c>
      <c r="B153" s="7" t="s">
        <v>277</v>
      </c>
      <c r="C153" s="7">
        <f t="shared" ref="C153:C154" si="12">4</f>
        <v>4</v>
      </c>
      <c r="D153" s="7">
        <v>4.0</v>
      </c>
      <c r="E153" s="7">
        <v>2.0</v>
      </c>
      <c r="F153" s="7" t="s">
        <v>83</v>
      </c>
      <c r="G153" s="7" t="s">
        <v>278</v>
      </c>
      <c r="H153" s="9" t="s">
        <v>2979</v>
      </c>
      <c r="I153" t="s">
        <v>3090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 t="str">
        <f t="shared" si="1"/>
        <v>Built-up :</v>
      </c>
      <c r="AE153" s="7" t="str">
        <f t="shared" si="2"/>
        <v> sq. ft.</v>
      </c>
      <c r="AF153">
        <f>IFERROR(__xludf.DUMMYFUNCTION("VALUE(REGEXREPLACE(G153,""[^[:digit:]]"", """"))"),2243.0)</f>
        <v>2243</v>
      </c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>
      <c r="A154" s="7" t="s">
        <v>37</v>
      </c>
      <c r="B154" s="7" t="s">
        <v>279</v>
      </c>
      <c r="C154" s="7">
        <f t="shared" si="12"/>
        <v>4</v>
      </c>
      <c r="D154" s="7">
        <v>3.0</v>
      </c>
      <c r="E154" s="7">
        <v>2.0</v>
      </c>
      <c r="F154" s="7" t="s">
        <v>169</v>
      </c>
      <c r="G154" s="10" t="s">
        <v>280</v>
      </c>
      <c r="H154" s="9" t="s">
        <v>2981</v>
      </c>
      <c r="I154" t="s">
        <v>3037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2990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 t="str">
        <f t="shared" si="1"/>
        <v>Land area </v>
      </c>
      <c r="AE154" s="7" t="str">
        <f t="shared" si="2"/>
        <v> sq. ft.</v>
      </c>
      <c r="AF154" s="7">
        <v>1800.0</v>
      </c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 t="s">
        <v>22</v>
      </c>
    </row>
    <row r="155">
      <c r="A155" s="7" t="s">
        <v>17</v>
      </c>
      <c r="B155" s="7" t="s">
        <v>120</v>
      </c>
      <c r="C155" s="7">
        <f>3+1</f>
        <v>4</v>
      </c>
      <c r="D155" s="7">
        <v>4.0</v>
      </c>
      <c r="E155" s="7">
        <v>2.0</v>
      </c>
      <c r="F155" s="7" t="s">
        <v>121</v>
      </c>
      <c r="G155" s="7" t="s">
        <v>122</v>
      </c>
      <c r="H155" s="9" t="s">
        <v>2979</v>
      </c>
      <c r="I155" t="s">
        <v>3016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 t="str">
        <f t="shared" si="1"/>
        <v>Built-up :</v>
      </c>
      <c r="AE155" s="7" t="str">
        <f t="shared" si="2"/>
        <v> sq. ft.</v>
      </c>
      <c r="AF155">
        <f>IFERROR(__xludf.DUMMYFUNCTION("VALUE(REGEXREPLACE(G155,""[^[:digit:]]"", """"))"),3897.0)</f>
        <v>3897</v>
      </c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 t="s">
        <v>22</v>
      </c>
    </row>
    <row r="156">
      <c r="A156" s="7" t="s">
        <v>77</v>
      </c>
      <c r="B156" s="7" t="s">
        <v>281</v>
      </c>
      <c r="C156" s="7">
        <f t="shared" ref="C156:C158" si="13">4+1</f>
        <v>5</v>
      </c>
      <c r="D156" s="7">
        <v>6.0</v>
      </c>
      <c r="E156" s="9">
        <v>2.0</v>
      </c>
      <c r="F156" s="7" t="s">
        <v>282</v>
      </c>
      <c r="G156" s="10" t="s">
        <v>283</v>
      </c>
      <c r="H156" s="9" t="s">
        <v>2981</v>
      </c>
      <c r="I156" t="s">
        <v>3091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2990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 t="str">
        <f t="shared" si="1"/>
        <v>Land area </v>
      </c>
      <c r="AE156" s="7" t="str">
        <f t="shared" si="2"/>
        <v> sq. ft.</v>
      </c>
      <c r="AF156" s="7">
        <v>1650.0</v>
      </c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 t="s">
        <v>27</v>
      </c>
    </row>
    <row r="157">
      <c r="A157" s="7" t="s">
        <v>33</v>
      </c>
      <c r="B157" s="7" t="s">
        <v>284</v>
      </c>
      <c r="C157" s="7">
        <f t="shared" si="13"/>
        <v>5</v>
      </c>
      <c r="D157" s="7">
        <v>4.0</v>
      </c>
      <c r="E157" s="7">
        <v>4.0</v>
      </c>
      <c r="F157" s="7" t="s">
        <v>30</v>
      </c>
      <c r="G157" s="7" t="s">
        <v>137</v>
      </c>
      <c r="H157" s="9" t="s">
        <v>2979</v>
      </c>
      <c r="I157" t="s">
        <v>3024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 t="str">
        <f t="shared" si="1"/>
        <v>Built-up :</v>
      </c>
      <c r="AE157" s="7" t="str">
        <f t="shared" si="2"/>
        <v> sq. ft.</v>
      </c>
      <c r="AF157">
        <f>IFERROR(__xludf.DUMMYFUNCTION("VALUE(REGEXREPLACE(G157,""[^[:digit:]]"", """"))"),1772.0)</f>
        <v>1772</v>
      </c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 t="s">
        <v>27</v>
      </c>
    </row>
    <row r="158">
      <c r="A158" s="7" t="s">
        <v>33</v>
      </c>
      <c r="B158" s="7" t="s">
        <v>34</v>
      </c>
      <c r="C158" s="7">
        <f t="shared" si="13"/>
        <v>5</v>
      </c>
      <c r="D158" s="7">
        <v>3.0</v>
      </c>
      <c r="E158" s="7">
        <v>3.0</v>
      </c>
      <c r="F158" s="7" t="s">
        <v>30</v>
      </c>
      <c r="G158" s="7" t="s">
        <v>36</v>
      </c>
      <c r="H158" s="9" t="s">
        <v>2979</v>
      </c>
      <c r="I158" t="s">
        <v>2986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 t="str">
        <f t="shared" si="1"/>
        <v>Built-up :</v>
      </c>
      <c r="AE158" s="7" t="str">
        <f t="shared" si="2"/>
        <v> sq. ft.</v>
      </c>
      <c r="AF158">
        <f>IFERROR(__xludf.DUMMYFUNCTION("VALUE(REGEXREPLACE(G158,""[^[:digit:]]"", """"))"),1513.0)</f>
        <v>1513</v>
      </c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 t="s">
        <v>27</v>
      </c>
    </row>
    <row r="159">
      <c r="A159" s="7" t="s">
        <v>17</v>
      </c>
      <c r="B159" s="7" t="s">
        <v>158</v>
      </c>
      <c r="C159" s="7">
        <f>3</f>
        <v>3</v>
      </c>
      <c r="D159" s="7">
        <v>1.0</v>
      </c>
      <c r="E159" s="7">
        <v>1.0</v>
      </c>
      <c r="F159" s="7" t="s">
        <v>30</v>
      </c>
      <c r="G159" s="7" t="s">
        <v>285</v>
      </c>
      <c r="H159" s="9" t="s">
        <v>2979</v>
      </c>
      <c r="I159" t="s">
        <v>3092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 t="str">
        <f t="shared" si="1"/>
        <v>Built-up :</v>
      </c>
      <c r="AE159" s="7" t="str">
        <f t="shared" si="2"/>
        <v> sq. ft.</v>
      </c>
      <c r="AF159">
        <f>IFERROR(__xludf.DUMMYFUNCTION("VALUE(REGEXREPLACE(G159,""[^[:digit:]]"", """"))"),2174.0)</f>
        <v>2174</v>
      </c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 t="s">
        <v>27</v>
      </c>
    </row>
    <row r="160">
      <c r="A160" s="7" t="s">
        <v>155</v>
      </c>
      <c r="B160" s="7" t="s">
        <v>286</v>
      </c>
      <c r="C160" s="7">
        <f>3+1</f>
        <v>4</v>
      </c>
      <c r="D160" s="7">
        <v>3.0</v>
      </c>
      <c r="E160" s="7">
        <v>3.0</v>
      </c>
      <c r="F160" s="7" t="s">
        <v>30</v>
      </c>
      <c r="G160" s="7" t="s">
        <v>287</v>
      </c>
      <c r="H160" s="9" t="s">
        <v>2979</v>
      </c>
      <c r="I160" t="s">
        <v>3093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 t="str">
        <f t="shared" si="1"/>
        <v>Built-up :</v>
      </c>
      <c r="AE160" s="7" t="str">
        <f t="shared" si="2"/>
        <v> sq. ft.</v>
      </c>
      <c r="AF160">
        <f>IFERROR(__xludf.DUMMYFUNCTION("VALUE(REGEXREPLACE(G160,""[^[:digit:]]"", """"))"),1345.0)</f>
        <v>1345</v>
      </c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 t="s">
        <v>22</v>
      </c>
    </row>
    <row r="161">
      <c r="A161" s="7" t="s">
        <v>17</v>
      </c>
      <c r="B161" s="7" t="s">
        <v>229</v>
      </c>
      <c r="C161" s="7">
        <f>2+2</f>
        <v>4</v>
      </c>
      <c r="D161" s="7">
        <v>3.0</v>
      </c>
      <c r="E161" s="7">
        <v>2.0</v>
      </c>
      <c r="F161" s="7" t="s">
        <v>82</v>
      </c>
      <c r="G161" s="7" t="s">
        <v>192</v>
      </c>
      <c r="H161" s="9" t="s">
        <v>2979</v>
      </c>
      <c r="I161" t="s">
        <v>3045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 t="str">
        <f t="shared" si="1"/>
        <v>Built-up :</v>
      </c>
      <c r="AE161" s="7" t="str">
        <f t="shared" si="2"/>
        <v> sq. ft.</v>
      </c>
      <c r="AF161">
        <f>IFERROR(__xludf.DUMMYFUNCTION("VALUE(REGEXREPLACE(G161,""[^[:digit:]]"", """"))"),1313.0)</f>
        <v>1313</v>
      </c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 t="s">
        <v>22</v>
      </c>
    </row>
    <row r="162">
      <c r="A162" s="7" t="s">
        <v>100</v>
      </c>
      <c r="B162" s="7" t="s">
        <v>289</v>
      </c>
      <c r="C162" s="7">
        <f>2</f>
        <v>2</v>
      </c>
      <c r="D162" s="7">
        <v>2.0</v>
      </c>
      <c r="E162" s="7">
        <v>1.0</v>
      </c>
      <c r="F162" s="7" t="s">
        <v>20</v>
      </c>
      <c r="G162" s="7" t="s">
        <v>198</v>
      </c>
      <c r="H162" s="9" t="s">
        <v>2979</v>
      </c>
      <c r="I162" t="s">
        <v>3048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 t="str">
        <f t="shared" si="1"/>
        <v>Built-up :</v>
      </c>
      <c r="AE162" s="7" t="str">
        <f t="shared" si="2"/>
        <v> sq. ft.</v>
      </c>
      <c r="AF162">
        <f>IFERROR(__xludf.DUMMYFUNCTION("VALUE(REGEXREPLACE(G162,""[^[:digit:]]"", """"))"),797.0)</f>
        <v>797</v>
      </c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>
      <c r="A163" s="7" t="s">
        <v>77</v>
      </c>
      <c r="B163" s="7" t="s">
        <v>290</v>
      </c>
      <c r="C163" s="7">
        <f>4+1</f>
        <v>5</v>
      </c>
      <c r="D163" s="7">
        <v>5.0</v>
      </c>
      <c r="E163" s="9">
        <v>2.0</v>
      </c>
      <c r="F163" s="7" t="s">
        <v>90</v>
      </c>
      <c r="G163" s="7" t="s">
        <v>291</v>
      </c>
      <c r="H163" s="9" t="s">
        <v>2979</v>
      </c>
      <c r="I163" t="s">
        <v>3094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 t="str">
        <f t="shared" si="1"/>
        <v>Built-up :</v>
      </c>
      <c r="AE163" s="7" t="str">
        <f t="shared" si="2"/>
        <v> sq. ft.</v>
      </c>
      <c r="AF163">
        <f>IFERROR(__xludf.DUMMYFUNCTION("VALUE(REGEXREPLACE(G163,""[^[:digit:]]"", """"))"),4306.0)</f>
        <v>4306</v>
      </c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 t="s">
        <v>27</v>
      </c>
    </row>
    <row r="164">
      <c r="A164" s="7" t="s">
        <v>77</v>
      </c>
      <c r="B164" s="7" t="s">
        <v>292</v>
      </c>
      <c r="C164" s="7">
        <f>5+1</f>
        <v>6</v>
      </c>
      <c r="D164" s="7">
        <v>6.0</v>
      </c>
      <c r="E164" s="9">
        <v>2.0</v>
      </c>
      <c r="F164" s="7" t="s">
        <v>90</v>
      </c>
      <c r="G164" s="7" t="s">
        <v>293</v>
      </c>
      <c r="H164" s="9" t="s">
        <v>2979</v>
      </c>
      <c r="I164" t="s">
        <v>3095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 t="str">
        <f t="shared" si="1"/>
        <v>Built-up :</v>
      </c>
      <c r="AE164" s="7" t="str">
        <f t="shared" si="2"/>
        <v> sq. ft.</v>
      </c>
      <c r="AF164">
        <f>IFERROR(__xludf.DUMMYFUNCTION("VALUE(REGEXREPLACE(G164,""[^[:digit:]]"", """"))"),5448.0)</f>
        <v>5448</v>
      </c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 t="s">
        <v>103</v>
      </c>
    </row>
    <row r="165">
      <c r="A165" s="7" t="s">
        <v>17</v>
      </c>
      <c r="B165" s="7" t="s">
        <v>294</v>
      </c>
      <c r="C165" s="7">
        <f t="shared" ref="C165:C166" si="14">3+1</f>
        <v>4</v>
      </c>
      <c r="D165" s="7">
        <v>3.0</v>
      </c>
      <c r="E165" s="7">
        <v>2.0</v>
      </c>
      <c r="F165" s="7" t="s">
        <v>93</v>
      </c>
      <c r="G165" s="7" t="s">
        <v>295</v>
      </c>
      <c r="H165" s="9" t="s">
        <v>2979</v>
      </c>
      <c r="I165" t="s">
        <v>3096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 t="str">
        <f t="shared" si="1"/>
        <v>Built-up :</v>
      </c>
      <c r="AE165" s="7" t="str">
        <f t="shared" si="2"/>
        <v> sq. ft.</v>
      </c>
      <c r="AF165">
        <f>IFERROR(__xludf.DUMMYFUNCTION("VALUE(REGEXREPLACE(G165,""[^[:digit:]]"", """"))"),3218.0)</f>
        <v>3218</v>
      </c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 t="s">
        <v>27</v>
      </c>
    </row>
    <row r="166">
      <c r="A166" s="7" t="s">
        <v>17</v>
      </c>
      <c r="B166" s="7" t="s">
        <v>296</v>
      </c>
      <c r="C166" s="7">
        <f t="shared" si="14"/>
        <v>4</v>
      </c>
      <c r="D166" s="7">
        <v>3.0</v>
      </c>
      <c r="E166" s="7">
        <v>2.0</v>
      </c>
      <c r="F166" s="7" t="s">
        <v>93</v>
      </c>
      <c r="G166" s="7" t="s">
        <v>297</v>
      </c>
      <c r="H166" s="9" t="s">
        <v>2979</v>
      </c>
      <c r="I166" t="s">
        <v>3097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 t="str">
        <f t="shared" si="1"/>
        <v>Built-up :</v>
      </c>
      <c r="AE166" s="7" t="str">
        <f t="shared" si="2"/>
        <v> sq. ft.</v>
      </c>
      <c r="AF166">
        <f>IFERROR(__xludf.DUMMYFUNCTION("VALUE(REGEXREPLACE(G166,""[^[:digit:]]"", """"))"),2809.0)</f>
        <v>2809</v>
      </c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 t="s">
        <v>27</v>
      </c>
    </row>
    <row r="167">
      <c r="A167" s="7" t="s">
        <v>77</v>
      </c>
      <c r="B167" s="7" t="s">
        <v>298</v>
      </c>
      <c r="C167" s="7">
        <f>7+1</f>
        <v>8</v>
      </c>
      <c r="D167" s="7">
        <v>9.0</v>
      </c>
      <c r="E167" s="9">
        <v>2.0</v>
      </c>
      <c r="F167" s="7" t="s">
        <v>300</v>
      </c>
      <c r="G167" s="7" t="s">
        <v>301</v>
      </c>
      <c r="H167" s="9" t="s">
        <v>2979</v>
      </c>
      <c r="I167" t="s">
        <v>3098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 t="str">
        <f t="shared" si="1"/>
        <v>Built-up :</v>
      </c>
      <c r="AE167" s="7" t="str">
        <f t="shared" si="2"/>
        <v> sq. ft.</v>
      </c>
      <c r="AF167">
        <f>IFERROR(__xludf.DUMMYFUNCTION("VALUE(REGEXREPLACE(G167,""[^[:digit:]]"", """"))"),7000.0)</f>
        <v>7000</v>
      </c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 t="s">
        <v>27</v>
      </c>
    </row>
    <row r="168">
      <c r="A168" s="7" t="s">
        <v>77</v>
      </c>
      <c r="B168" s="7" t="s">
        <v>302</v>
      </c>
      <c r="C168" s="7">
        <f>2+1</f>
        <v>3</v>
      </c>
      <c r="D168" s="7">
        <v>3.0</v>
      </c>
      <c r="E168" s="9">
        <v>2.0</v>
      </c>
      <c r="F168" s="7" t="s">
        <v>93</v>
      </c>
      <c r="G168" s="7" t="s">
        <v>303</v>
      </c>
      <c r="H168" s="9" t="s">
        <v>2979</v>
      </c>
      <c r="I168" t="s">
        <v>3099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 t="str">
        <f t="shared" si="1"/>
        <v>Built-up :</v>
      </c>
      <c r="AE168" s="7" t="str">
        <f t="shared" si="2"/>
        <v> sq. ft.</v>
      </c>
      <c r="AF168">
        <f>IFERROR(__xludf.DUMMYFUNCTION("VALUE(REGEXREPLACE(G168,""[^[:digit:]]"", """"))"),1485.0)</f>
        <v>1485</v>
      </c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 t="s">
        <v>27</v>
      </c>
    </row>
    <row r="169">
      <c r="A169" s="7" t="s">
        <v>77</v>
      </c>
      <c r="B169" s="7" t="s">
        <v>304</v>
      </c>
      <c r="C169" s="7">
        <f>5+2</f>
        <v>7</v>
      </c>
      <c r="D169" s="7">
        <v>7.0</v>
      </c>
      <c r="E169" s="9">
        <v>2.0</v>
      </c>
      <c r="F169" s="7" t="s">
        <v>300</v>
      </c>
      <c r="G169" s="10" t="s">
        <v>305</v>
      </c>
      <c r="H169" s="9" t="s">
        <v>2981</v>
      </c>
      <c r="I169" t="s">
        <v>3100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 t="s">
        <v>3101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 t="str">
        <f t="shared" si="1"/>
        <v>Land area </v>
      </c>
      <c r="AE169" s="7" t="str">
        <f t="shared" si="2"/>
        <v> sq. ft.</v>
      </c>
      <c r="AF169" s="7">
        <v>2805.0</v>
      </c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 t="s">
        <v>103</v>
      </c>
    </row>
    <row r="170">
      <c r="A170" s="7" t="s">
        <v>77</v>
      </c>
      <c r="B170" s="7" t="s">
        <v>306</v>
      </c>
      <c r="C170" s="7">
        <f>3+1</f>
        <v>4</v>
      </c>
      <c r="D170" s="7">
        <v>4.0</v>
      </c>
      <c r="E170" s="9">
        <v>2.0</v>
      </c>
      <c r="F170" s="7" t="s">
        <v>54</v>
      </c>
      <c r="G170" s="7" t="s">
        <v>307</v>
      </c>
      <c r="H170" s="9" t="s">
        <v>2979</v>
      </c>
      <c r="I170" t="s">
        <v>3102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 t="str">
        <f t="shared" si="1"/>
        <v>Built-up :</v>
      </c>
      <c r="AE170" s="7" t="str">
        <f t="shared" si="2"/>
        <v> sq. ft.</v>
      </c>
      <c r="AF170">
        <f>IFERROR(__xludf.DUMMYFUNCTION("VALUE(REGEXREPLACE(G170,""[^[:digit:]]"", """"))"),2500.0)</f>
        <v>2500</v>
      </c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 t="s">
        <v>27</v>
      </c>
    </row>
    <row r="171">
      <c r="A171" s="7" t="s">
        <v>104</v>
      </c>
      <c r="B171" s="7" t="s">
        <v>206</v>
      </c>
      <c r="C171" s="7">
        <f>5</f>
        <v>5</v>
      </c>
      <c r="D171" s="7">
        <v>3.0</v>
      </c>
      <c r="E171" s="9">
        <v>2.0</v>
      </c>
      <c r="F171" s="7" t="s">
        <v>46</v>
      </c>
      <c r="G171" s="7" t="s">
        <v>308</v>
      </c>
      <c r="H171" s="9" t="s">
        <v>2981</v>
      </c>
      <c r="I171" t="s">
        <v>3020</v>
      </c>
      <c r="J171" s="7"/>
      <c r="K171" s="7"/>
      <c r="L171" s="7"/>
      <c r="M171" s="7"/>
      <c r="N171" s="7"/>
      <c r="O171" s="7"/>
      <c r="P171" s="7"/>
      <c r="Q171" s="7"/>
      <c r="R171" s="7"/>
      <c r="S171" s="7" t="s">
        <v>2993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 t="str">
        <f t="shared" si="1"/>
        <v>Land area </v>
      </c>
      <c r="AE171" s="7" t="str">
        <f t="shared" si="2"/>
        <v> sq. ft.</v>
      </c>
      <c r="AF171" s="7">
        <v>1600.0</v>
      </c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 t="s">
        <v>27</v>
      </c>
    </row>
    <row r="172">
      <c r="A172" s="7" t="s">
        <v>72</v>
      </c>
      <c r="B172" s="7" t="s">
        <v>309</v>
      </c>
      <c r="C172" s="7">
        <f>4</f>
        <v>4</v>
      </c>
      <c r="D172" s="7">
        <v>4.0</v>
      </c>
      <c r="E172" s="9">
        <v>2.0</v>
      </c>
      <c r="F172" s="7" t="s">
        <v>93</v>
      </c>
      <c r="G172" s="7" t="s">
        <v>310</v>
      </c>
      <c r="H172" s="9" t="s">
        <v>2979</v>
      </c>
      <c r="I172" t="s">
        <v>3103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 t="str">
        <f t="shared" si="1"/>
        <v>Built-up :</v>
      </c>
      <c r="AE172" s="7" t="str">
        <f t="shared" si="2"/>
        <v> sq. ft.</v>
      </c>
      <c r="AF172">
        <f>IFERROR(__xludf.DUMMYFUNCTION("VALUE(REGEXREPLACE(G172,""[^[:digit:]]"", """"))"),2441.0)</f>
        <v>2441</v>
      </c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 t="s">
        <v>22</v>
      </c>
    </row>
    <row r="173">
      <c r="A173" s="7" t="s">
        <v>17</v>
      </c>
      <c r="B173" s="7" t="s">
        <v>311</v>
      </c>
      <c r="C173" s="7">
        <f>2</f>
        <v>2</v>
      </c>
      <c r="D173" s="7">
        <v>2.0</v>
      </c>
      <c r="E173" s="7">
        <v>1.0</v>
      </c>
      <c r="F173" s="7" t="s">
        <v>121</v>
      </c>
      <c r="G173" s="7" t="s">
        <v>140</v>
      </c>
      <c r="H173" s="9" t="s">
        <v>2979</v>
      </c>
      <c r="I173" t="s">
        <v>3008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 t="str">
        <f t="shared" si="1"/>
        <v>Built-up :</v>
      </c>
      <c r="AE173" s="7" t="str">
        <f t="shared" si="2"/>
        <v> sq. ft.</v>
      </c>
      <c r="AF173">
        <f>IFERROR(__xludf.DUMMYFUNCTION("VALUE(REGEXREPLACE(G173,""[^[:digit:]]"", """"))"),880.0)</f>
        <v>880</v>
      </c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 t="s">
        <v>22</v>
      </c>
    </row>
    <row r="174">
      <c r="A174" s="7" t="s">
        <v>17</v>
      </c>
      <c r="B174" s="7" t="s">
        <v>120</v>
      </c>
      <c r="C174" s="7">
        <f>4+1</f>
        <v>5</v>
      </c>
      <c r="D174" s="7">
        <v>3.0</v>
      </c>
      <c r="E174" s="7">
        <v>2.0</v>
      </c>
      <c r="F174" s="7" t="s">
        <v>312</v>
      </c>
      <c r="G174" s="7" t="s">
        <v>122</v>
      </c>
      <c r="H174" s="9" t="s">
        <v>2979</v>
      </c>
      <c r="I174" t="s">
        <v>3016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 t="str">
        <f t="shared" si="1"/>
        <v>Built-up :</v>
      </c>
      <c r="AE174" s="7" t="str">
        <f t="shared" si="2"/>
        <v> sq. ft.</v>
      </c>
      <c r="AF174">
        <f>IFERROR(__xludf.DUMMYFUNCTION("VALUE(REGEXREPLACE(G174,""[^[:digit:]]"", """"))"),3897.0)</f>
        <v>3897</v>
      </c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 t="s">
        <v>27</v>
      </c>
    </row>
    <row r="175">
      <c r="A175" s="7" t="s">
        <v>17</v>
      </c>
      <c r="B175" s="7" t="s">
        <v>313</v>
      </c>
      <c r="C175" s="7">
        <f>3+1</f>
        <v>4</v>
      </c>
      <c r="D175" s="7">
        <v>4.0</v>
      </c>
      <c r="E175" s="7">
        <v>3.0</v>
      </c>
      <c r="F175" s="7" t="s">
        <v>83</v>
      </c>
      <c r="G175" s="7" t="s">
        <v>297</v>
      </c>
      <c r="H175" s="9" t="s">
        <v>2979</v>
      </c>
      <c r="I175" t="s">
        <v>3097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 t="str">
        <f t="shared" si="1"/>
        <v>Built-up :</v>
      </c>
      <c r="AE175" s="7" t="str">
        <f t="shared" si="2"/>
        <v> sq. ft.</v>
      </c>
      <c r="AF175">
        <f>IFERROR(__xludf.DUMMYFUNCTION("VALUE(REGEXREPLACE(G175,""[^[:digit:]]"", """"))"),2809.0)</f>
        <v>2809</v>
      </c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 t="s">
        <v>22</v>
      </c>
    </row>
    <row r="176">
      <c r="A176" s="7" t="s">
        <v>155</v>
      </c>
      <c r="B176" s="7" t="s">
        <v>314</v>
      </c>
      <c r="C176" s="7">
        <f>3</f>
        <v>3</v>
      </c>
      <c r="D176" s="7">
        <v>2.0</v>
      </c>
      <c r="E176" s="7">
        <v>2.0</v>
      </c>
      <c r="F176" s="7" t="s">
        <v>83</v>
      </c>
      <c r="G176" s="7" t="s">
        <v>315</v>
      </c>
      <c r="H176" s="9" t="s">
        <v>2979</v>
      </c>
      <c r="I176" t="s">
        <v>3104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 t="str">
        <f t="shared" si="1"/>
        <v>Built-up :</v>
      </c>
      <c r="AE176" s="7" t="str">
        <f t="shared" si="2"/>
        <v> sq. ft.</v>
      </c>
      <c r="AF176">
        <f>IFERROR(__xludf.DUMMYFUNCTION("VALUE(REGEXREPLACE(G176,""[^[:digit:]]"", """"))"),1085.0)</f>
        <v>1085</v>
      </c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 t="s">
        <v>27</v>
      </c>
    </row>
    <row r="177">
      <c r="A177" s="7" t="s">
        <v>32</v>
      </c>
      <c r="B177" s="7" t="s">
        <v>316</v>
      </c>
      <c r="D177" s="7">
        <v>4.0</v>
      </c>
      <c r="E177" s="7">
        <v>3.0</v>
      </c>
      <c r="F177" s="7" t="s">
        <v>54</v>
      </c>
      <c r="G177" s="10" t="s">
        <v>211</v>
      </c>
      <c r="H177" s="9" t="s">
        <v>2981</v>
      </c>
      <c r="I177" t="s">
        <v>2992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2993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 t="str">
        <f t="shared" si="1"/>
        <v>Land area </v>
      </c>
      <c r="AE177" s="7" t="str">
        <f t="shared" si="2"/>
        <v> sq. ft.</v>
      </c>
      <c r="AF177" s="7">
        <v>1760.0</v>
      </c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 t="s">
        <v>103</v>
      </c>
    </row>
    <row r="178">
      <c r="A178" s="7" t="s">
        <v>77</v>
      </c>
      <c r="B178" s="7" t="s">
        <v>317</v>
      </c>
      <c r="C178" s="7">
        <f>3+1</f>
        <v>4</v>
      </c>
      <c r="D178" s="7">
        <v>3.0</v>
      </c>
      <c r="E178" s="9">
        <v>2.0</v>
      </c>
      <c r="F178" s="7" t="s">
        <v>83</v>
      </c>
      <c r="G178" s="7" t="s">
        <v>318</v>
      </c>
      <c r="H178" s="9" t="s">
        <v>2979</v>
      </c>
      <c r="I178" t="s">
        <v>3105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 t="str">
        <f t="shared" si="1"/>
        <v>Built-up :</v>
      </c>
      <c r="AE178" s="7" t="str">
        <f t="shared" si="2"/>
        <v> sq. ft.</v>
      </c>
      <c r="AF178">
        <f>IFERROR(__xludf.DUMMYFUNCTION("VALUE(REGEXREPLACE(G178,""[^[:digit:]]"", """"))"),1572.0)</f>
        <v>1572</v>
      </c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 t="s">
        <v>27</v>
      </c>
    </row>
    <row r="179">
      <c r="A179" s="7" t="s">
        <v>77</v>
      </c>
      <c r="B179" s="7" t="s">
        <v>319</v>
      </c>
      <c r="C179" s="7">
        <f>4+1</f>
        <v>5</v>
      </c>
      <c r="D179" s="7">
        <v>5.0</v>
      </c>
      <c r="E179" s="9">
        <v>2.0</v>
      </c>
      <c r="F179" s="7" t="s">
        <v>273</v>
      </c>
      <c r="G179" s="7" t="s">
        <v>320</v>
      </c>
      <c r="H179" s="9" t="s">
        <v>2981</v>
      </c>
      <c r="I179" t="s">
        <v>3106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 t="str">
        <f t="shared" si="1"/>
        <v>Land area </v>
      </c>
      <c r="AE179" s="7" t="str">
        <f t="shared" si="2"/>
        <v> sq. ft.</v>
      </c>
      <c r="AF179">
        <f>IFERROR(__xludf.DUMMYFUNCTION("VALUE(REGEXREPLACE(G179,""[^[:digit:]]"", """"))"),3450.0)</f>
        <v>3450</v>
      </c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 t="s">
        <v>27</v>
      </c>
    </row>
    <row r="180">
      <c r="A180" s="7" t="s">
        <v>77</v>
      </c>
      <c r="B180" s="7" t="s">
        <v>243</v>
      </c>
      <c r="C180" s="7">
        <f>2</f>
        <v>2</v>
      </c>
      <c r="D180" s="7">
        <v>2.0</v>
      </c>
      <c r="E180" s="7">
        <v>2.0</v>
      </c>
      <c r="F180" s="7" t="s">
        <v>93</v>
      </c>
      <c r="G180" s="7" t="s">
        <v>321</v>
      </c>
      <c r="H180" s="9" t="s">
        <v>2979</v>
      </c>
      <c r="I180" t="s">
        <v>3107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 t="str">
        <f t="shared" si="1"/>
        <v>Built-up :</v>
      </c>
      <c r="AE180" s="7" t="str">
        <f t="shared" si="2"/>
        <v> sq. ft.</v>
      </c>
      <c r="AF180">
        <f>IFERROR(__xludf.DUMMYFUNCTION("VALUE(REGEXREPLACE(G180,""[^[:digit:]]"", """"))"),1292.0)</f>
        <v>1292</v>
      </c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 t="s">
        <v>27</v>
      </c>
    </row>
    <row r="181">
      <c r="A181" s="7" t="s">
        <v>17</v>
      </c>
      <c r="B181" s="7" t="s">
        <v>125</v>
      </c>
      <c r="C181" s="7">
        <f>1</f>
        <v>1</v>
      </c>
      <c r="D181" s="7">
        <v>2.0</v>
      </c>
      <c r="E181" s="7">
        <v>1.0</v>
      </c>
      <c r="F181" s="7" t="s">
        <v>20</v>
      </c>
      <c r="G181" s="7" t="s">
        <v>126</v>
      </c>
      <c r="H181" s="9" t="s">
        <v>2979</v>
      </c>
      <c r="I181" t="s">
        <v>3018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 t="str">
        <f t="shared" si="1"/>
        <v>Built-up :</v>
      </c>
      <c r="AE181" s="7" t="str">
        <f t="shared" si="2"/>
        <v> sq. ft.</v>
      </c>
      <c r="AF181">
        <f>IFERROR(__xludf.DUMMYFUNCTION("VALUE(REGEXREPLACE(G181,""[^[:digit:]]"", """"))"),1023.0)</f>
        <v>1023</v>
      </c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 t="s">
        <v>27</v>
      </c>
    </row>
    <row r="182">
      <c r="A182" s="7" t="s">
        <v>17</v>
      </c>
      <c r="B182" s="7" t="s">
        <v>322</v>
      </c>
      <c r="C182" s="7">
        <f t="shared" ref="C182:C183" si="15">2</f>
        <v>2</v>
      </c>
      <c r="D182" s="7">
        <v>2.0</v>
      </c>
      <c r="E182" s="7">
        <v>1.0</v>
      </c>
      <c r="F182" s="7" t="s">
        <v>83</v>
      </c>
      <c r="G182" s="7" t="s">
        <v>323</v>
      </c>
      <c r="H182" s="9" t="s">
        <v>2979</v>
      </c>
      <c r="I182" t="s">
        <v>3108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 t="str">
        <f t="shared" si="1"/>
        <v>Built-up :</v>
      </c>
      <c r="AE182" s="7" t="str">
        <f t="shared" si="2"/>
        <v> sq. ft.</v>
      </c>
      <c r="AF182">
        <f>IFERROR(__xludf.DUMMYFUNCTION("VALUE(REGEXREPLACE(G182,""[^[:digit:]]"", """"))"),915.0)</f>
        <v>915</v>
      </c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 t="s">
        <v>27</v>
      </c>
    </row>
    <row r="183">
      <c r="A183" s="7" t="s">
        <v>17</v>
      </c>
      <c r="B183" s="7" t="s">
        <v>85</v>
      </c>
      <c r="C183" s="7">
        <f t="shared" si="15"/>
        <v>2</v>
      </c>
      <c r="D183" s="7">
        <v>2.0</v>
      </c>
      <c r="E183" s="7">
        <v>2.0</v>
      </c>
      <c r="F183" s="7" t="s">
        <v>121</v>
      </c>
      <c r="G183" s="7" t="s">
        <v>324</v>
      </c>
      <c r="H183" s="9" t="s">
        <v>2979</v>
      </c>
      <c r="I183" t="s">
        <v>3109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 t="str">
        <f t="shared" si="1"/>
        <v>Built-up :</v>
      </c>
      <c r="AE183" s="7" t="str">
        <f t="shared" si="2"/>
        <v> sq. ft.</v>
      </c>
      <c r="AF183">
        <f>IFERROR(__xludf.DUMMYFUNCTION("VALUE(REGEXREPLACE(G183,""[^[:digit:]]"", """"))"),1090.0)</f>
        <v>1090</v>
      </c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 t="s">
        <v>22</v>
      </c>
    </row>
    <row r="184">
      <c r="A184" s="7" t="s">
        <v>17</v>
      </c>
      <c r="B184" s="7" t="s">
        <v>191</v>
      </c>
      <c r="C184" s="7" t="s">
        <v>325</v>
      </c>
      <c r="D184" s="7">
        <v>1.0</v>
      </c>
      <c r="E184" s="9">
        <v>2.0</v>
      </c>
      <c r="F184" s="7" t="s">
        <v>326</v>
      </c>
      <c r="G184" s="7" t="s">
        <v>252</v>
      </c>
      <c r="H184" s="9" t="s">
        <v>2979</v>
      </c>
      <c r="I184" t="s">
        <v>3077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 t="str">
        <f t="shared" si="1"/>
        <v>Built-up :</v>
      </c>
      <c r="AE184" s="7" t="str">
        <f t="shared" si="2"/>
        <v> sq. ft.</v>
      </c>
      <c r="AF184">
        <f>IFERROR(__xludf.DUMMYFUNCTION("VALUE(REGEXREPLACE(G184,""[^[:digit:]]"", """"))"),657.0)</f>
        <v>657</v>
      </c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 t="s">
        <v>22</v>
      </c>
    </row>
    <row r="185">
      <c r="A185" s="7" t="s">
        <v>17</v>
      </c>
      <c r="B185" s="7" t="s">
        <v>327</v>
      </c>
      <c r="C185" s="7">
        <f>1</f>
        <v>1</v>
      </c>
      <c r="D185" s="7">
        <v>1.0</v>
      </c>
      <c r="E185" s="7">
        <v>1.0</v>
      </c>
      <c r="F185" s="7" t="s">
        <v>20</v>
      </c>
      <c r="G185" s="7" t="s">
        <v>328</v>
      </c>
      <c r="H185" s="9" t="s">
        <v>2979</v>
      </c>
      <c r="I185" t="s">
        <v>3110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 t="str">
        <f t="shared" si="1"/>
        <v>Built-up :</v>
      </c>
      <c r="AE185" s="7" t="str">
        <f t="shared" si="2"/>
        <v> sq. ft.</v>
      </c>
      <c r="AF185">
        <f>IFERROR(__xludf.DUMMYFUNCTION("VALUE(REGEXREPLACE(G185,""[^[:digit:]]"", """"))"),925.0)</f>
        <v>925</v>
      </c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 t="s">
        <v>27</v>
      </c>
    </row>
    <row r="186">
      <c r="A186" s="7" t="s">
        <v>17</v>
      </c>
      <c r="B186" s="7" t="s">
        <v>120</v>
      </c>
      <c r="C186" s="7">
        <f>3</f>
        <v>3</v>
      </c>
      <c r="D186" s="7">
        <v>4.0</v>
      </c>
      <c r="E186" s="7">
        <v>2.0</v>
      </c>
      <c r="F186" s="7" t="s">
        <v>121</v>
      </c>
      <c r="G186" s="7" t="s">
        <v>122</v>
      </c>
      <c r="H186" s="9" t="s">
        <v>2979</v>
      </c>
      <c r="I186" t="s">
        <v>3016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 t="str">
        <f t="shared" si="1"/>
        <v>Built-up :</v>
      </c>
      <c r="AE186" s="7" t="str">
        <f t="shared" si="2"/>
        <v> sq. ft.</v>
      </c>
      <c r="AF186">
        <f>IFERROR(__xludf.DUMMYFUNCTION("VALUE(REGEXREPLACE(G186,""[^[:digit:]]"", """"))"),3897.0)</f>
        <v>3897</v>
      </c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 t="s">
        <v>27</v>
      </c>
    </row>
    <row r="187">
      <c r="A187" s="7" t="s">
        <v>37</v>
      </c>
      <c r="B187" s="7" t="s">
        <v>210</v>
      </c>
      <c r="C187" s="7">
        <f t="shared" ref="C187:C188" si="16">4</f>
        <v>4</v>
      </c>
      <c r="D187" s="7">
        <v>3.0</v>
      </c>
      <c r="E187" s="7">
        <v>2.0</v>
      </c>
      <c r="F187" s="7" t="s">
        <v>54</v>
      </c>
      <c r="G187" s="10" t="s">
        <v>211</v>
      </c>
      <c r="H187" s="9" t="s">
        <v>2981</v>
      </c>
      <c r="I187" t="s">
        <v>2992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 t="s">
        <v>2993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 t="str">
        <f t="shared" si="1"/>
        <v>Land area </v>
      </c>
      <c r="AE187" s="7" t="str">
        <f t="shared" si="2"/>
        <v> sq. ft.</v>
      </c>
      <c r="AF187" s="7">
        <v>1760.0</v>
      </c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 t="s">
        <v>27</v>
      </c>
    </row>
    <row r="188">
      <c r="A188" s="7" t="s">
        <v>23</v>
      </c>
      <c r="B188" s="7" t="s">
        <v>309</v>
      </c>
      <c r="C188" s="7">
        <f t="shared" si="16"/>
        <v>4</v>
      </c>
      <c r="D188" s="7">
        <v>3.0</v>
      </c>
      <c r="E188" s="7">
        <v>3.0</v>
      </c>
      <c r="F188" s="7" t="s">
        <v>54</v>
      </c>
      <c r="G188" s="10" t="s">
        <v>211</v>
      </c>
      <c r="H188" s="9" t="s">
        <v>2981</v>
      </c>
      <c r="I188" t="s">
        <v>2992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 t="s">
        <v>2993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 t="str">
        <f t="shared" si="1"/>
        <v>Land area </v>
      </c>
      <c r="AE188" s="7" t="str">
        <f t="shared" si="2"/>
        <v> sq. ft.</v>
      </c>
      <c r="AF188" s="7">
        <v>1760.0</v>
      </c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>
      <c r="A189" s="7" t="s">
        <v>37</v>
      </c>
      <c r="B189" s="7" t="s">
        <v>38</v>
      </c>
      <c r="C189" s="7">
        <f>6</f>
        <v>6</v>
      </c>
      <c r="D189" s="7">
        <v>5.0</v>
      </c>
      <c r="E189" s="7">
        <v>3.0</v>
      </c>
      <c r="F189" s="7" t="s">
        <v>25</v>
      </c>
      <c r="G189" s="7" t="s">
        <v>40</v>
      </c>
      <c r="H189" s="9" t="s">
        <v>2981</v>
      </c>
      <c r="I189" t="s">
        <v>2987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 t="str">
        <f t="shared" si="1"/>
        <v>Land area </v>
      </c>
      <c r="AE189" s="7" t="str">
        <f t="shared" si="2"/>
        <v> sq. ft.</v>
      </c>
      <c r="AF189">
        <f>IFERROR(__xludf.DUMMYFUNCTION("VALUE(REGEXREPLACE(G189,""[^[:digit:]]"", """"))"),7200.0)</f>
        <v>7200</v>
      </c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 t="s">
        <v>27</v>
      </c>
    </row>
    <row r="190">
      <c r="A190" s="7" t="s">
        <v>33</v>
      </c>
      <c r="B190" s="7" t="s">
        <v>229</v>
      </c>
      <c r="C190" s="7">
        <f>4+1</f>
        <v>5</v>
      </c>
      <c r="D190" s="7">
        <v>4.0</v>
      </c>
      <c r="E190" s="7">
        <v>4.0</v>
      </c>
      <c r="F190" s="7" t="s">
        <v>83</v>
      </c>
      <c r="G190" s="7" t="s">
        <v>137</v>
      </c>
      <c r="H190" s="9" t="s">
        <v>2979</v>
      </c>
      <c r="I190" t="s">
        <v>3024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 t="str">
        <f t="shared" si="1"/>
        <v>Built-up :</v>
      </c>
      <c r="AE190" s="7" t="str">
        <f t="shared" si="2"/>
        <v> sq. ft.</v>
      </c>
      <c r="AF190">
        <f>IFERROR(__xludf.DUMMYFUNCTION("VALUE(REGEXREPLACE(G190,""[^[:digit:]]"", """"))"),1772.0)</f>
        <v>1772</v>
      </c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 t="s">
        <v>27</v>
      </c>
    </row>
    <row r="191">
      <c r="A191" s="7" t="s">
        <v>33</v>
      </c>
      <c r="B191" s="7" t="s">
        <v>329</v>
      </c>
      <c r="C191" s="7">
        <f>5+1</f>
        <v>6</v>
      </c>
      <c r="D191" s="7">
        <v>4.0</v>
      </c>
      <c r="E191" s="7">
        <v>4.0</v>
      </c>
      <c r="F191" s="7" t="s">
        <v>83</v>
      </c>
      <c r="G191" s="7" t="s">
        <v>330</v>
      </c>
      <c r="H191" s="9" t="s">
        <v>2979</v>
      </c>
      <c r="I191" t="s">
        <v>3111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 t="str">
        <f t="shared" si="1"/>
        <v>Built-up :</v>
      </c>
      <c r="AE191" s="7" t="str">
        <f t="shared" si="2"/>
        <v> sq. ft.</v>
      </c>
      <c r="AF191">
        <f>IFERROR(__xludf.DUMMYFUNCTION("VALUE(REGEXREPLACE(G191,""[^[:digit:]]"", """"))"),1930.0)</f>
        <v>1930</v>
      </c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 t="s">
        <v>27</v>
      </c>
    </row>
    <row r="192">
      <c r="A192" s="7" t="s">
        <v>33</v>
      </c>
      <c r="B192" s="7" t="s">
        <v>34</v>
      </c>
      <c r="C192" s="7">
        <f>4+1</f>
        <v>5</v>
      </c>
      <c r="D192" s="7">
        <v>3.0</v>
      </c>
      <c r="E192" s="7">
        <v>2.0</v>
      </c>
      <c r="F192" s="7" t="s">
        <v>83</v>
      </c>
      <c r="G192" s="7" t="s">
        <v>36</v>
      </c>
      <c r="H192" s="9" t="s">
        <v>2979</v>
      </c>
      <c r="I192" t="s">
        <v>2986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 t="str">
        <f t="shared" si="1"/>
        <v>Built-up :</v>
      </c>
      <c r="AE192" s="7" t="str">
        <f t="shared" si="2"/>
        <v> sq. ft.</v>
      </c>
      <c r="AF192">
        <f>IFERROR(__xludf.DUMMYFUNCTION("VALUE(REGEXREPLACE(G192,""[^[:digit:]]"", """"))"),1513.0)</f>
        <v>1513</v>
      </c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 t="s">
        <v>27</v>
      </c>
    </row>
    <row r="193">
      <c r="A193" s="7" t="s">
        <v>23</v>
      </c>
      <c r="B193" s="7" t="s">
        <v>331</v>
      </c>
      <c r="C193" s="7">
        <f>2+1</f>
        <v>3</v>
      </c>
      <c r="D193" s="7">
        <v>4.0</v>
      </c>
      <c r="E193" s="7">
        <v>2.0</v>
      </c>
      <c r="F193" s="7" t="s">
        <v>20</v>
      </c>
      <c r="G193" s="7" t="s">
        <v>99</v>
      </c>
      <c r="H193" s="9" t="s">
        <v>2979</v>
      </c>
      <c r="I193" t="s">
        <v>3006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 t="str">
        <f t="shared" si="1"/>
        <v>Built-up :</v>
      </c>
      <c r="AE193" s="7" t="str">
        <f t="shared" si="2"/>
        <v> sq. ft.</v>
      </c>
      <c r="AF193">
        <f>IFERROR(__xludf.DUMMYFUNCTION("VALUE(REGEXREPLACE(G193,""[^[:digit:]]"", """"))"),1668.0)</f>
        <v>1668</v>
      </c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 t="s">
        <v>27</v>
      </c>
    </row>
    <row r="194">
      <c r="A194" s="7" t="s">
        <v>33</v>
      </c>
      <c r="B194" s="7" t="s">
        <v>332</v>
      </c>
      <c r="C194" s="7">
        <f>5+1</f>
        <v>6</v>
      </c>
      <c r="D194" s="7">
        <v>5.0</v>
      </c>
      <c r="E194" s="7">
        <v>4.0</v>
      </c>
      <c r="F194" s="7" t="s">
        <v>282</v>
      </c>
      <c r="G194" s="7" t="s">
        <v>333</v>
      </c>
      <c r="H194" s="9" t="s">
        <v>2981</v>
      </c>
      <c r="I194" t="s">
        <v>3091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 t="str">
        <f t="shared" si="1"/>
        <v>Land area </v>
      </c>
      <c r="AE194" s="7" t="str">
        <f t="shared" si="2"/>
        <v> sq. ft.</v>
      </c>
      <c r="AF194">
        <f>IFERROR(__xludf.DUMMYFUNCTION("VALUE(REGEXREPLACE(G194,""[^[:digit:]]"", """"))"),1650.0)</f>
        <v>1650</v>
      </c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 t="s">
        <v>27</v>
      </c>
    </row>
    <row r="195">
      <c r="A195" s="7" t="s">
        <v>72</v>
      </c>
      <c r="B195" s="7" t="s">
        <v>81</v>
      </c>
      <c r="C195" s="7">
        <f>3+1</f>
        <v>4</v>
      </c>
      <c r="D195" s="7">
        <v>4.0</v>
      </c>
      <c r="E195" s="7">
        <v>2.0</v>
      </c>
      <c r="F195" s="7" t="s">
        <v>83</v>
      </c>
      <c r="G195" s="7" t="s">
        <v>334</v>
      </c>
      <c r="H195" s="9" t="s">
        <v>2979</v>
      </c>
      <c r="I195" t="s">
        <v>3112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 t="str">
        <f t="shared" si="1"/>
        <v>Built-up :</v>
      </c>
      <c r="AE195" s="7" t="str">
        <f t="shared" si="2"/>
        <v> sq. ft.</v>
      </c>
      <c r="AF195">
        <f>IFERROR(__xludf.DUMMYFUNCTION("VALUE(REGEXREPLACE(G195,""[^[:digit:]]"", """"))"),1496.0)</f>
        <v>1496</v>
      </c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 t="s">
        <v>27</v>
      </c>
    </row>
    <row r="196">
      <c r="A196" s="7" t="s">
        <v>171</v>
      </c>
      <c r="B196" s="7" t="s">
        <v>139</v>
      </c>
      <c r="C196" s="7">
        <f>3</f>
        <v>3</v>
      </c>
      <c r="D196" s="7">
        <v>3.0</v>
      </c>
      <c r="E196" s="7">
        <v>2.0</v>
      </c>
      <c r="F196" s="7" t="s">
        <v>30</v>
      </c>
      <c r="G196" s="7" t="s">
        <v>335</v>
      </c>
      <c r="H196" s="9" t="s">
        <v>2979</v>
      </c>
      <c r="I196" t="s">
        <v>3113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 t="str">
        <f t="shared" si="1"/>
        <v>Built-up :</v>
      </c>
      <c r="AE196" s="7" t="str">
        <f t="shared" si="2"/>
        <v> sq. ft.</v>
      </c>
      <c r="AF196">
        <f>IFERROR(__xludf.DUMMYFUNCTION("VALUE(REGEXREPLACE(G196,""[^[:digit:]]"", """"))"),1368.0)</f>
        <v>1368</v>
      </c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 t="s">
        <v>27</v>
      </c>
    </row>
    <row r="197">
      <c r="A197" s="7" t="s">
        <v>77</v>
      </c>
      <c r="B197" s="7" t="s">
        <v>279</v>
      </c>
      <c r="C197" s="7">
        <f>2</f>
        <v>2</v>
      </c>
      <c r="D197" s="7">
        <v>2.0</v>
      </c>
      <c r="E197" s="7">
        <v>2.0</v>
      </c>
      <c r="F197" s="7" t="s">
        <v>93</v>
      </c>
      <c r="G197" s="7" t="s">
        <v>321</v>
      </c>
      <c r="H197" s="9" t="s">
        <v>2979</v>
      </c>
      <c r="I197" t="s">
        <v>3107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 t="str">
        <f t="shared" si="1"/>
        <v>Built-up :</v>
      </c>
      <c r="AE197" s="7" t="str">
        <f t="shared" si="2"/>
        <v> sq. ft.</v>
      </c>
      <c r="AF197">
        <f>IFERROR(__xludf.DUMMYFUNCTION("VALUE(REGEXREPLACE(G197,""[^[:digit:]]"", """"))"),1292.0)</f>
        <v>1292</v>
      </c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 t="s">
        <v>27</v>
      </c>
    </row>
    <row r="198">
      <c r="A198" s="7" t="s">
        <v>77</v>
      </c>
      <c r="B198" s="7" t="s">
        <v>336</v>
      </c>
      <c r="C198" s="7">
        <f>3+1</f>
        <v>4</v>
      </c>
      <c r="D198" s="7">
        <v>3.0</v>
      </c>
      <c r="E198" s="7">
        <v>2.0</v>
      </c>
      <c r="F198" s="7" t="s">
        <v>90</v>
      </c>
      <c r="G198" s="7" t="s">
        <v>248</v>
      </c>
      <c r="H198" s="9" t="s">
        <v>2979</v>
      </c>
      <c r="I198" t="s">
        <v>3075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 t="str">
        <f t="shared" si="1"/>
        <v>Built-up :</v>
      </c>
      <c r="AE198" s="7" t="str">
        <f t="shared" si="2"/>
        <v> sq. ft.</v>
      </c>
      <c r="AF198">
        <f>IFERROR(__xludf.DUMMYFUNCTION("VALUE(REGEXREPLACE(G198,""[^[:digit:]]"", """"))"),2200.0)</f>
        <v>2200</v>
      </c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 t="s">
        <v>27</v>
      </c>
    </row>
    <row r="199">
      <c r="A199" s="7" t="s">
        <v>17</v>
      </c>
      <c r="B199" s="7" t="s">
        <v>327</v>
      </c>
      <c r="C199" s="7">
        <f>1</f>
        <v>1</v>
      </c>
      <c r="D199" s="7">
        <v>1.0</v>
      </c>
      <c r="E199" s="7">
        <v>1.0</v>
      </c>
      <c r="F199" s="7" t="s">
        <v>20</v>
      </c>
      <c r="G199" s="7" t="s">
        <v>328</v>
      </c>
      <c r="H199" s="9" t="s">
        <v>2979</v>
      </c>
      <c r="I199" t="s">
        <v>3110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 t="str">
        <f t="shared" si="1"/>
        <v>Built-up :</v>
      </c>
      <c r="AE199" s="7" t="str">
        <f t="shared" si="2"/>
        <v> sq. ft.</v>
      </c>
      <c r="AF199">
        <f>IFERROR(__xludf.DUMMYFUNCTION("VALUE(REGEXREPLACE(G199,""[^[:digit:]]"", """"))"),925.0)</f>
        <v>925</v>
      </c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>
      <c r="A200" s="7" t="s">
        <v>17</v>
      </c>
      <c r="B200" s="7" t="s">
        <v>337</v>
      </c>
      <c r="C200" s="7">
        <f>3</f>
        <v>3</v>
      </c>
      <c r="D200" s="7">
        <v>3.0</v>
      </c>
      <c r="E200" s="7">
        <v>1.0</v>
      </c>
      <c r="F200" s="7" t="s">
        <v>30</v>
      </c>
      <c r="G200" s="7" t="s">
        <v>338</v>
      </c>
      <c r="H200" s="9" t="s">
        <v>2979</v>
      </c>
      <c r="I200" t="s">
        <v>3114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 t="str">
        <f t="shared" si="1"/>
        <v>Built-up :</v>
      </c>
      <c r="AE200" s="7" t="str">
        <f t="shared" si="2"/>
        <v> sq. ft.</v>
      </c>
      <c r="AF200">
        <f>IFERROR(__xludf.DUMMYFUNCTION("VALUE(REGEXREPLACE(G200,""[^[:digit:]]"", """"))"),1619.0)</f>
        <v>1619</v>
      </c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 t="s">
        <v>22</v>
      </c>
    </row>
    <row r="201">
      <c r="A201" s="7" t="s">
        <v>17</v>
      </c>
      <c r="B201" s="7" t="s">
        <v>42</v>
      </c>
      <c r="C201" s="7">
        <f t="shared" ref="C201:C202" si="17">3+1</f>
        <v>4</v>
      </c>
      <c r="D201" s="7">
        <v>4.0</v>
      </c>
      <c r="E201" s="7">
        <v>3.0</v>
      </c>
      <c r="F201" s="7" t="s">
        <v>83</v>
      </c>
      <c r="G201" s="7" t="s">
        <v>297</v>
      </c>
      <c r="H201" s="9" t="s">
        <v>2979</v>
      </c>
      <c r="I201" t="s">
        <v>3097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 t="str">
        <f t="shared" si="1"/>
        <v>Built-up :</v>
      </c>
      <c r="AE201" s="7" t="str">
        <f t="shared" si="2"/>
        <v> sq. ft.</v>
      </c>
      <c r="AF201">
        <f>IFERROR(__xludf.DUMMYFUNCTION("VALUE(REGEXREPLACE(G201,""[^[:digit:]]"", """"))"),2809.0)</f>
        <v>2809</v>
      </c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 t="s">
        <v>22</v>
      </c>
    </row>
    <row r="202">
      <c r="A202" s="7" t="s">
        <v>17</v>
      </c>
      <c r="B202" s="7" t="s">
        <v>127</v>
      </c>
      <c r="C202" s="7">
        <f t="shared" si="17"/>
        <v>4</v>
      </c>
      <c r="D202" s="7">
        <v>4.0</v>
      </c>
      <c r="E202" s="7">
        <v>2.0</v>
      </c>
      <c r="F202" s="7" t="s">
        <v>121</v>
      </c>
      <c r="G202" s="7" t="s">
        <v>124</v>
      </c>
      <c r="H202" s="9" t="s">
        <v>2979</v>
      </c>
      <c r="I202" t="s">
        <v>3017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 t="str">
        <f t="shared" si="1"/>
        <v>Built-up :</v>
      </c>
      <c r="AE202" s="7" t="str">
        <f t="shared" si="2"/>
        <v> sq. ft.</v>
      </c>
      <c r="AF202">
        <f>IFERROR(__xludf.DUMMYFUNCTION("VALUE(REGEXREPLACE(G202,""[^[:digit:]]"", """"))"),2195.0)</f>
        <v>2195</v>
      </c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 t="s">
        <v>27</v>
      </c>
    </row>
    <row r="203">
      <c r="A203" s="7" t="s">
        <v>17</v>
      </c>
      <c r="B203" s="7" t="s">
        <v>339</v>
      </c>
      <c r="C203" s="7">
        <f>2+1</f>
        <v>3</v>
      </c>
      <c r="D203" s="7">
        <v>3.0</v>
      </c>
      <c r="E203" s="7">
        <v>1.0</v>
      </c>
      <c r="F203" s="7" t="s">
        <v>121</v>
      </c>
      <c r="G203" s="7" t="s">
        <v>340</v>
      </c>
      <c r="H203" s="9" t="s">
        <v>2979</v>
      </c>
      <c r="I203" t="s">
        <v>3115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 t="str">
        <f t="shared" si="1"/>
        <v>Built-up :</v>
      </c>
      <c r="AE203" s="7" t="str">
        <f t="shared" si="2"/>
        <v> sq. ft.</v>
      </c>
      <c r="AF203">
        <f>IFERROR(__xludf.DUMMYFUNCTION("VALUE(REGEXREPLACE(G203,""[^[:digit:]]"", """"))"),2789.0)</f>
        <v>2789</v>
      </c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 t="s">
        <v>22</v>
      </c>
    </row>
    <row r="204">
      <c r="A204" s="7" t="s">
        <v>17</v>
      </c>
      <c r="B204" s="7" t="s">
        <v>42</v>
      </c>
      <c r="C204" s="7">
        <f>2</f>
        <v>2</v>
      </c>
      <c r="D204" s="7">
        <v>2.0</v>
      </c>
      <c r="E204" s="7">
        <v>1.0</v>
      </c>
      <c r="F204" s="7" t="s">
        <v>82</v>
      </c>
      <c r="G204" s="7" t="s">
        <v>341</v>
      </c>
      <c r="H204" s="9" t="s">
        <v>2979</v>
      </c>
      <c r="I204" t="s">
        <v>3116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 t="str">
        <f t="shared" si="1"/>
        <v>Built-up :</v>
      </c>
      <c r="AE204" s="7" t="str">
        <f t="shared" si="2"/>
        <v> sq. ft.</v>
      </c>
      <c r="AF204">
        <f>IFERROR(__xludf.DUMMYFUNCTION("VALUE(REGEXREPLACE(G204,""[^[:digit:]]"", """"))"),1184.0)</f>
        <v>1184</v>
      </c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 t="s">
        <v>22</v>
      </c>
    </row>
    <row r="205">
      <c r="A205" s="7" t="s">
        <v>17</v>
      </c>
      <c r="B205" s="7" t="s">
        <v>45</v>
      </c>
      <c r="C205" s="7">
        <f>1+1</f>
        <v>2</v>
      </c>
      <c r="D205" s="7">
        <v>2.0</v>
      </c>
      <c r="E205" s="7">
        <v>1.0</v>
      </c>
      <c r="F205" s="7" t="s">
        <v>82</v>
      </c>
      <c r="G205" s="7" t="s">
        <v>342</v>
      </c>
      <c r="H205" s="9" t="s">
        <v>2979</v>
      </c>
      <c r="I205" t="s">
        <v>3117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 t="str">
        <f t="shared" si="1"/>
        <v>Built-up :</v>
      </c>
      <c r="AE205" s="7" t="str">
        <f t="shared" si="2"/>
        <v> sq. ft.</v>
      </c>
      <c r="AF205">
        <f>IFERROR(__xludf.DUMMYFUNCTION("VALUE(REGEXREPLACE(G205,""[^[:digit:]]"", """"))"),1076.0)</f>
        <v>1076</v>
      </c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 t="s">
        <v>27</v>
      </c>
    </row>
    <row r="206">
      <c r="A206" s="7" t="s">
        <v>37</v>
      </c>
      <c r="B206" s="7" t="s">
        <v>229</v>
      </c>
      <c r="C206" s="7">
        <f>3</f>
        <v>3</v>
      </c>
      <c r="D206" s="7">
        <v>2.0</v>
      </c>
      <c r="E206" s="7">
        <v>2.0</v>
      </c>
      <c r="F206" s="7" t="s">
        <v>343</v>
      </c>
      <c r="G206" s="7" t="s">
        <v>344</v>
      </c>
      <c r="H206" s="9" t="s">
        <v>2981</v>
      </c>
      <c r="I206" t="s">
        <v>3118</v>
      </c>
      <c r="J206" s="7"/>
      <c r="K206" s="7"/>
      <c r="L206" s="7"/>
      <c r="M206" s="7"/>
      <c r="N206" s="7"/>
      <c r="O206" s="7"/>
      <c r="P206" s="7"/>
      <c r="Q206" s="7"/>
      <c r="R206" s="7"/>
      <c r="S206" s="7" t="s">
        <v>2993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 t="str">
        <f t="shared" si="1"/>
        <v>Land area </v>
      </c>
      <c r="AE206" s="7" t="str">
        <f t="shared" si="2"/>
        <v> sq. ft.</v>
      </c>
      <c r="AF206">
        <f>IFERROR(__xludf.DUMMYFUNCTION("VALUE(REGEXREPLACE(G206,""[^[:digit:]]"", """"))"),2480.0)</f>
        <v>2480</v>
      </c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>
      <c r="A207" s="7" t="s">
        <v>155</v>
      </c>
      <c r="B207" s="7" t="s">
        <v>34</v>
      </c>
      <c r="C207" s="7">
        <f t="shared" ref="C207:C208" si="18">3+1</f>
        <v>4</v>
      </c>
      <c r="D207" s="7">
        <v>4.0</v>
      </c>
      <c r="E207" s="7">
        <v>3.0</v>
      </c>
      <c r="F207" s="7" t="s">
        <v>83</v>
      </c>
      <c r="G207" s="7" t="s">
        <v>345</v>
      </c>
      <c r="H207" s="9" t="s">
        <v>2979</v>
      </c>
      <c r="I207" t="s">
        <v>3119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 t="str">
        <f t="shared" si="1"/>
        <v>Built-up :</v>
      </c>
      <c r="AE207" s="7" t="str">
        <f t="shared" si="2"/>
        <v> sq. ft.</v>
      </c>
      <c r="AF207">
        <f>IFERROR(__xludf.DUMMYFUNCTION("VALUE(REGEXREPLACE(G207,""[^[:digit:]]"", """"))"),1381.0)</f>
        <v>1381</v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>
      <c r="A208" s="7" t="s">
        <v>104</v>
      </c>
      <c r="B208" s="7" t="s">
        <v>346</v>
      </c>
      <c r="C208" s="7">
        <f t="shared" si="18"/>
        <v>4</v>
      </c>
      <c r="D208" s="7">
        <v>2.0</v>
      </c>
      <c r="E208" s="7">
        <v>4.0</v>
      </c>
      <c r="F208" s="7" t="s">
        <v>347</v>
      </c>
      <c r="G208" s="7" t="s">
        <v>348</v>
      </c>
      <c r="H208" s="9" t="s">
        <v>2981</v>
      </c>
      <c r="I208" t="s">
        <v>3120</v>
      </c>
      <c r="J208" s="7"/>
      <c r="K208" s="7"/>
      <c r="L208" s="7"/>
      <c r="M208" s="7"/>
      <c r="N208" s="7"/>
      <c r="O208" s="7"/>
      <c r="P208" s="7"/>
      <c r="Q208" s="7"/>
      <c r="R208" s="7"/>
      <c r="S208" s="7" t="s">
        <v>3121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 t="str">
        <f t="shared" si="1"/>
        <v>Land area </v>
      </c>
      <c r="AE208" s="7" t="str">
        <f t="shared" si="2"/>
        <v> sq. ft.</v>
      </c>
      <c r="AF208">
        <f>IFERROR(__xludf.DUMMYFUNCTION("VALUE(REGEXREPLACE(G208,""[^[:digit:]]"", """"))"),2770.0)</f>
        <v>2770</v>
      </c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 t="s">
        <v>27</v>
      </c>
    </row>
    <row r="209">
      <c r="A209" s="7" t="s">
        <v>17</v>
      </c>
      <c r="B209" s="7" t="s">
        <v>349</v>
      </c>
      <c r="C209" s="7">
        <f>2</f>
        <v>2</v>
      </c>
      <c r="D209" s="7">
        <v>2.0</v>
      </c>
      <c r="E209" s="7">
        <v>1.0</v>
      </c>
      <c r="F209" s="7" t="s">
        <v>121</v>
      </c>
      <c r="G209" s="7" t="s">
        <v>157</v>
      </c>
      <c r="H209" s="9" t="s">
        <v>2979</v>
      </c>
      <c r="I209" t="s">
        <v>3031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 t="str">
        <f t="shared" si="1"/>
        <v>Built-up :</v>
      </c>
      <c r="AE209" s="7" t="str">
        <f t="shared" si="2"/>
        <v> sq. ft.</v>
      </c>
      <c r="AF209">
        <f>IFERROR(__xludf.DUMMYFUNCTION("VALUE(REGEXREPLACE(G209,""[^[:digit:]]"", """"))"),1050.0)</f>
        <v>1050</v>
      </c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 t="s">
        <v>22</v>
      </c>
    </row>
    <row r="210">
      <c r="A210" s="7" t="s">
        <v>104</v>
      </c>
      <c r="B210" s="7" t="s">
        <v>156</v>
      </c>
      <c r="C210" s="7">
        <f>4</f>
        <v>4</v>
      </c>
      <c r="D210" s="7">
        <v>3.0</v>
      </c>
      <c r="E210" s="7">
        <v>2.0</v>
      </c>
      <c r="F210" s="7" t="s">
        <v>54</v>
      </c>
      <c r="G210" s="7" t="s">
        <v>211</v>
      </c>
      <c r="H210" s="9" t="s">
        <v>2981</v>
      </c>
      <c r="I210" t="s">
        <v>2992</v>
      </c>
      <c r="J210" s="7"/>
      <c r="K210" s="7"/>
      <c r="L210" s="7"/>
      <c r="M210" s="7"/>
      <c r="N210" s="7"/>
      <c r="O210" s="7"/>
      <c r="P210" s="7"/>
      <c r="Q210" s="7"/>
      <c r="R210" s="7"/>
      <c r="S210" s="7" t="s">
        <v>2993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 t="str">
        <f t="shared" si="1"/>
        <v>Land area </v>
      </c>
      <c r="AE210" s="7" t="str">
        <f t="shared" si="2"/>
        <v> sq. ft.</v>
      </c>
      <c r="AF210">
        <f>IFERROR(__xludf.DUMMYFUNCTION("VALUE(REGEXREPLACE(G210,""[^[:digit:]]"", """"))"),2280.0)</f>
        <v>2280</v>
      </c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 t="s">
        <v>27</v>
      </c>
    </row>
    <row r="211">
      <c r="A211" s="7" t="s">
        <v>23</v>
      </c>
      <c r="B211" s="7" t="s">
        <v>350</v>
      </c>
      <c r="C211" s="7">
        <f>6</f>
        <v>6</v>
      </c>
      <c r="D211" s="7">
        <v>5.0</v>
      </c>
      <c r="E211" s="7">
        <v>4.0</v>
      </c>
      <c r="F211" s="7" t="s">
        <v>25</v>
      </c>
      <c r="G211" s="7" t="s">
        <v>40</v>
      </c>
      <c r="H211" s="9" t="s">
        <v>2981</v>
      </c>
      <c r="I211" t="s">
        <v>2987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 t="str">
        <f t="shared" si="1"/>
        <v>Land area </v>
      </c>
      <c r="AE211" s="7" t="str">
        <f t="shared" si="2"/>
        <v> sq. ft.</v>
      </c>
      <c r="AF211">
        <f>IFERROR(__xludf.DUMMYFUNCTION("VALUE(REGEXREPLACE(G211,""[^[:digit:]]"", """"))"),7200.0)</f>
        <v>7200</v>
      </c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 t="s">
        <v>27</v>
      </c>
    </row>
    <row r="212">
      <c r="A212" s="7" t="s">
        <v>72</v>
      </c>
      <c r="B212" s="7" t="s">
        <v>144</v>
      </c>
      <c r="C212" s="7">
        <f>4</f>
        <v>4</v>
      </c>
      <c r="D212" s="7">
        <v>4.0</v>
      </c>
      <c r="E212" s="7">
        <v>2.0</v>
      </c>
      <c r="F212" s="7" t="s">
        <v>83</v>
      </c>
      <c r="G212" s="7" t="s">
        <v>74</v>
      </c>
      <c r="H212" s="9" t="s">
        <v>2979</v>
      </c>
      <c r="I212" t="s">
        <v>2998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 t="str">
        <f t="shared" si="1"/>
        <v>Built-up :</v>
      </c>
      <c r="AE212" s="7" t="str">
        <f t="shared" si="2"/>
        <v> sq. ft.</v>
      </c>
      <c r="AF212">
        <f>IFERROR(__xludf.DUMMYFUNCTION("VALUE(REGEXREPLACE(G212,""[^[:digit:]]"", """"))"),1830.0)</f>
        <v>1830</v>
      </c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 t="s">
        <v>27</v>
      </c>
    </row>
    <row r="213">
      <c r="A213" s="7" t="s">
        <v>177</v>
      </c>
      <c r="B213" s="7" t="s">
        <v>351</v>
      </c>
      <c r="C213" s="7">
        <f>4+1</f>
        <v>5</v>
      </c>
      <c r="D213" s="7">
        <v>5.0</v>
      </c>
      <c r="E213" s="7">
        <v>4.0</v>
      </c>
      <c r="F213" s="7" t="s">
        <v>67</v>
      </c>
      <c r="G213" s="7" t="s">
        <v>352</v>
      </c>
      <c r="H213" s="9" t="s">
        <v>2979</v>
      </c>
      <c r="I213" t="s">
        <v>3122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 t="str">
        <f t="shared" si="1"/>
        <v>Built-up :</v>
      </c>
      <c r="AE213" s="7" t="str">
        <f t="shared" si="2"/>
        <v> sq. ft.</v>
      </c>
      <c r="AF213">
        <f>IFERROR(__xludf.DUMMYFUNCTION("VALUE(REGEXREPLACE(G213,""[^[:digit:]]"", """"))"),4067.0)</f>
        <v>4067</v>
      </c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 t="s">
        <v>27</v>
      </c>
    </row>
    <row r="214">
      <c r="A214" s="7" t="s">
        <v>86</v>
      </c>
      <c r="B214" s="7" t="s">
        <v>353</v>
      </c>
      <c r="C214" s="7">
        <f>1</f>
        <v>1</v>
      </c>
      <c r="D214" s="7">
        <v>1.0</v>
      </c>
      <c r="E214" s="7">
        <v>1.0</v>
      </c>
      <c r="F214" s="7" t="s">
        <v>354</v>
      </c>
      <c r="G214" s="7" t="s">
        <v>355</v>
      </c>
      <c r="H214" s="9" t="s">
        <v>2979</v>
      </c>
      <c r="I214" t="s">
        <v>3123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 t="str">
        <f t="shared" si="1"/>
        <v>Built-up :</v>
      </c>
      <c r="AE214" s="7" t="str">
        <f t="shared" si="2"/>
        <v> sq. ft.</v>
      </c>
      <c r="AF214">
        <f>IFERROR(__xludf.DUMMYFUNCTION("VALUE(REGEXREPLACE(G214,""[^[:digit:]]"", """"))"),495.0)</f>
        <v>495</v>
      </c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>
      <c r="A215" s="7" t="s">
        <v>17</v>
      </c>
      <c r="B215" s="7" t="s">
        <v>120</v>
      </c>
      <c r="C215" s="7">
        <f>3+2</f>
        <v>5</v>
      </c>
      <c r="D215" s="7">
        <v>5.0</v>
      </c>
      <c r="E215" s="7">
        <v>2.0</v>
      </c>
      <c r="F215" s="7" t="s">
        <v>312</v>
      </c>
      <c r="G215" s="7" t="s">
        <v>122</v>
      </c>
      <c r="H215" s="9" t="s">
        <v>2979</v>
      </c>
      <c r="I215" t="s">
        <v>3016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 t="str">
        <f t="shared" si="1"/>
        <v>Built-up :</v>
      </c>
      <c r="AE215" s="7" t="str">
        <f t="shared" si="2"/>
        <v> sq. ft.</v>
      </c>
      <c r="AF215">
        <f>IFERROR(__xludf.DUMMYFUNCTION("VALUE(REGEXREPLACE(G215,""[^[:digit:]]"", """"))"),3897.0)</f>
        <v>3897</v>
      </c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 t="s">
        <v>251</v>
      </c>
    </row>
    <row r="216">
      <c r="A216" s="7" t="s">
        <v>37</v>
      </c>
      <c r="B216" s="7" t="s">
        <v>356</v>
      </c>
      <c r="C216" s="7">
        <f>4</f>
        <v>4</v>
      </c>
      <c r="D216" s="7">
        <v>3.0</v>
      </c>
      <c r="E216" s="9">
        <v>2.0</v>
      </c>
      <c r="F216" s="7" t="s">
        <v>54</v>
      </c>
      <c r="G216" s="7" t="s">
        <v>357</v>
      </c>
      <c r="H216" s="9" t="s">
        <v>2981</v>
      </c>
      <c r="I216" t="s">
        <v>3124</v>
      </c>
      <c r="J216" s="7"/>
      <c r="K216" s="7"/>
      <c r="L216" s="7"/>
      <c r="M216" s="7"/>
      <c r="N216" s="7"/>
      <c r="O216" s="7"/>
      <c r="P216" s="7"/>
      <c r="Q216" s="7"/>
      <c r="R216" s="7"/>
      <c r="S216" s="7" t="s">
        <v>3125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 t="str">
        <f t="shared" si="1"/>
        <v>Land area </v>
      </c>
      <c r="AE216" s="7" t="str">
        <f t="shared" si="2"/>
        <v> sq. ft.</v>
      </c>
      <c r="AF216" s="7">
        <v>2090.0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 t="s">
        <v>27</v>
      </c>
    </row>
    <row r="217">
      <c r="A217" s="7" t="s">
        <v>358</v>
      </c>
      <c r="B217" s="7" t="s">
        <v>359</v>
      </c>
      <c r="C217" s="7">
        <f>3+1</f>
        <v>4</v>
      </c>
      <c r="D217" s="7">
        <v>4.0</v>
      </c>
      <c r="E217" s="7">
        <v>2.0</v>
      </c>
      <c r="F217" s="7" t="s">
        <v>30</v>
      </c>
      <c r="G217" s="7" t="s">
        <v>360</v>
      </c>
      <c r="H217" s="9" t="s">
        <v>2979</v>
      </c>
      <c r="I217" t="s">
        <v>3126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 t="str">
        <f t="shared" si="1"/>
        <v>Built-up :</v>
      </c>
      <c r="AE217" s="7" t="str">
        <f t="shared" si="2"/>
        <v> sq. ft.</v>
      </c>
      <c r="AF217">
        <f>IFERROR(__xludf.DUMMYFUNCTION("VALUE(REGEXREPLACE(G217,""[^[:digit:]]"", """"))"),1643.0)</f>
        <v>1643</v>
      </c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 t="s">
        <v>27</v>
      </c>
    </row>
    <row r="218">
      <c r="A218" s="7" t="s">
        <v>267</v>
      </c>
      <c r="B218" s="7" t="s">
        <v>361</v>
      </c>
      <c r="C218" s="7">
        <f>2</f>
        <v>2</v>
      </c>
      <c r="D218" s="7">
        <v>2.0</v>
      </c>
      <c r="E218" s="9">
        <v>2.0</v>
      </c>
      <c r="F218" s="7" t="s">
        <v>20</v>
      </c>
      <c r="G218" s="7" t="s">
        <v>269</v>
      </c>
      <c r="H218" s="9" t="s">
        <v>2979</v>
      </c>
      <c r="I218" t="s">
        <v>3084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 t="str">
        <f t="shared" si="1"/>
        <v>Built-up :</v>
      </c>
      <c r="AE218" s="7" t="str">
        <f t="shared" si="2"/>
        <v> sq. ft.</v>
      </c>
      <c r="AF218">
        <f>IFERROR(__xludf.DUMMYFUNCTION("VALUE(REGEXREPLACE(G218,""[^[:digit:]]"", """"))"),715.0)</f>
        <v>715</v>
      </c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>
      <c r="A219" s="7" t="s">
        <v>17</v>
      </c>
      <c r="B219" s="7" t="s">
        <v>362</v>
      </c>
      <c r="C219" s="7">
        <f>3+1</f>
        <v>4</v>
      </c>
      <c r="D219" s="7">
        <v>4.0</v>
      </c>
      <c r="E219" s="7">
        <v>3.0</v>
      </c>
      <c r="F219" s="7" t="s">
        <v>121</v>
      </c>
      <c r="G219" s="7" t="s">
        <v>363</v>
      </c>
      <c r="H219" s="9" t="s">
        <v>2979</v>
      </c>
      <c r="I219" t="s">
        <v>3127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 t="str">
        <f t="shared" si="1"/>
        <v>Built-up :</v>
      </c>
      <c r="AE219" s="7" t="str">
        <f t="shared" si="2"/>
        <v> sq. ft.</v>
      </c>
      <c r="AF219">
        <f>IFERROR(__xludf.DUMMYFUNCTION("VALUE(REGEXREPLACE(G219,""[^[:digit:]]"", """"))"),2142.0)</f>
        <v>2142</v>
      </c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 t="s">
        <v>27</v>
      </c>
    </row>
    <row r="220">
      <c r="A220" s="7" t="s">
        <v>143</v>
      </c>
      <c r="B220" s="7" t="s">
        <v>364</v>
      </c>
      <c r="C220" s="7" t="s">
        <v>325</v>
      </c>
      <c r="D220" s="7">
        <v>1.0</v>
      </c>
      <c r="E220" s="7">
        <v>1.0</v>
      </c>
      <c r="F220" s="7" t="s">
        <v>82</v>
      </c>
      <c r="G220" s="7" t="s">
        <v>365</v>
      </c>
      <c r="H220" s="9" t="s">
        <v>2979</v>
      </c>
      <c r="I220" t="s">
        <v>3128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 t="str">
        <f t="shared" si="1"/>
        <v>Built-up :</v>
      </c>
      <c r="AE220" s="7" t="str">
        <f t="shared" si="2"/>
        <v> sq. ft.</v>
      </c>
      <c r="AF220">
        <f>IFERROR(__xludf.DUMMYFUNCTION("VALUE(REGEXREPLACE(G220,""[^[:digit:]]"", """"))"),685.0)</f>
        <v>685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 t="s">
        <v>27</v>
      </c>
    </row>
    <row r="221">
      <c r="A221" s="7" t="s">
        <v>143</v>
      </c>
      <c r="B221" s="7" t="s">
        <v>366</v>
      </c>
      <c r="C221" s="7">
        <f>2</f>
        <v>2</v>
      </c>
      <c r="D221" s="7">
        <v>1.0</v>
      </c>
      <c r="E221" s="7">
        <v>1.0</v>
      </c>
      <c r="F221" s="7" t="s">
        <v>82</v>
      </c>
      <c r="G221" s="7" t="s">
        <v>367</v>
      </c>
      <c r="H221" s="9" t="s">
        <v>2979</v>
      </c>
      <c r="I221" t="s">
        <v>3129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 t="str">
        <f t="shared" si="1"/>
        <v>Built-up :</v>
      </c>
      <c r="AE221" s="7" t="str">
        <f t="shared" si="2"/>
        <v> sq. ft.</v>
      </c>
      <c r="AF221">
        <f>IFERROR(__xludf.DUMMYFUNCTION("VALUE(REGEXREPLACE(G221,""[^[:digit:]]"", """"))"),717.0)</f>
        <v>717</v>
      </c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 t="s">
        <v>27</v>
      </c>
    </row>
    <row r="222">
      <c r="A222" s="7" t="s">
        <v>368</v>
      </c>
      <c r="B222" s="7" t="s">
        <v>369</v>
      </c>
      <c r="C222" s="7">
        <f t="shared" ref="C222:C224" si="19">3</f>
        <v>3</v>
      </c>
      <c r="D222" s="7">
        <v>2.0</v>
      </c>
      <c r="E222" s="7">
        <v>2.0</v>
      </c>
      <c r="F222" s="7" t="s">
        <v>20</v>
      </c>
      <c r="H222" s="9" t="s">
        <v>2984</v>
      </c>
      <c r="I222" t="s">
        <v>2985</v>
      </c>
      <c r="AD222" s="7" t="str">
        <f t="shared" si="1"/>
        <v/>
      </c>
      <c r="AE222" s="7" t="str">
        <f t="shared" si="2"/>
        <v/>
      </c>
      <c r="AF222">
        <f>IFERROR(__xludf.DUMMYFUNCTION("VALUE(REGEXREPLACE(G222,""[^[:digit:]]"", """"))"),0.0)</f>
        <v>0</v>
      </c>
      <c r="AS222" s="7" t="s">
        <v>27</v>
      </c>
    </row>
    <row r="223">
      <c r="A223" s="7" t="s">
        <v>37</v>
      </c>
      <c r="B223" s="7" t="s">
        <v>174</v>
      </c>
      <c r="C223" s="7">
        <f t="shared" si="19"/>
        <v>3</v>
      </c>
      <c r="D223" s="7">
        <v>2.0</v>
      </c>
      <c r="E223" s="9">
        <v>2.0</v>
      </c>
      <c r="F223" s="7" t="s">
        <v>343</v>
      </c>
      <c r="G223" s="7" t="s">
        <v>370</v>
      </c>
      <c r="H223" s="9" t="s">
        <v>2981</v>
      </c>
      <c r="I223" t="s">
        <v>3130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 t="str">
        <f t="shared" si="1"/>
        <v>Land area </v>
      </c>
      <c r="AE223" s="7" t="str">
        <f t="shared" si="2"/>
        <v> sq. ft.</v>
      </c>
      <c r="AF223">
        <f>IFERROR(__xludf.DUMMYFUNCTION("VALUE(REGEXREPLACE(G223,""[^[:digit:]]"", """"))"),5700.0)</f>
        <v>5700</v>
      </c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 t="s">
        <v>27</v>
      </c>
    </row>
    <row r="224">
      <c r="A224" s="7" t="s">
        <v>371</v>
      </c>
      <c r="B224" s="7" t="s">
        <v>372</v>
      </c>
      <c r="C224" s="7">
        <f t="shared" si="19"/>
        <v>3</v>
      </c>
      <c r="D224" s="7">
        <v>2.0</v>
      </c>
      <c r="E224" s="7">
        <v>2.0</v>
      </c>
      <c r="F224" s="7" t="s">
        <v>83</v>
      </c>
      <c r="G224" s="7" t="s">
        <v>373</v>
      </c>
      <c r="H224" s="9" t="s">
        <v>2979</v>
      </c>
      <c r="I224" t="s">
        <v>3131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 t="str">
        <f t="shared" si="1"/>
        <v>Built-up :</v>
      </c>
      <c r="AE224" s="7" t="str">
        <f t="shared" si="2"/>
        <v> sq. ft.</v>
      </c>
      <c r="AF224">
        <f>IFERROR(__xludf.DUMMYFUNCTION("VALUE(REGEXREPLACE(G224,""[^[:digit:]]"", """"))"),1152.0)</f>
        <v>1152</v>
      </c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 t="s">
        <v>27</v>
      </c>
    </row>
    <row r="225">
      <c r="A225" s="7" t="s">
        <v>52</v>
      </c>
      <c r="B225" s="7" t="s">
        <v>374</v>
      </c>
      <c r="C225" s="7">
        <f>4+1</f>
        <v>5</v>
      </c>
      <c r="D225" s="7">
        <v>5.0</v>
      </c>
      <c r="E225" s="9">
        <v>2.0</v>
      </c>
      <c r="F225" s="7" t="s">
        <v>83</v>
      </c>
      <c r="G225" s="7" t="s">
        <v>375</v>
      </c>
      <c r="H225" s="9" t="s">
        <v>2979</v>
      </c>
      <c r="I225" t="s">
        <v>3132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 t="str">
        <f t="shared" si="1"/>
        <v>Built-up :</v>
      </c>
      <c r="AE225" s="7" t="str">
        <f t="shared" si="2"/>
        <v> sq. ft.</v>
      </c>
      <c r="AF225">
        <f>IFERROR(__xludf.DUMMYFUNCTION("VALUE(REGEXREPLACE(G225,""[^[:digit:]]"", """"))"),3369.0)</f>
        <v>3369</v>
      </c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 t="s">
        <v>27</v>
      </c>
    </row>
    <row r="226">
      <c r="A226" s="7" t="s">
        <v>72</v>
      </c>
      <c r="B226" s="7" t="s">
        <v>322</v>
      </c>
      <c r="C226" s="7">
        <f>3+1</f>
        <v>4</v>
      </c>
      <c r="D226" s="7">
        <v>4.0</v>
      </c>
      <c r="E226" s="9">
        <v>2.0</v>
      </c>
      <c r="F226" s="7" t="s">
        <v>83</v>
      </c>
      <c r="G226" s="7" t="s">
        <v>376</v>
      </c>
      <c r="H226" s="9" t="s">
        <v>2979</v>
      </c>
      <c r="I226" t="s">
        <v>3133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 t="str">
        <f t="shared" si="1"/>
        <v>Built-up :</v>
      </c>
      <c r="AE226" s="7" t="str">
        <f t="shared" si="2"/>
        <v> sq. ft.</v>
      </c>
      <c r="AF226">
        <f>IFERROR(__xludf.DUMMYFUNCTION("VALUE(REGEXREPLACE(G226,""[^[:digit:]]"", """"))"),2411.0)</f>
        <v>2411</v>
      </c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 t="s">
        <v>22</v>
      </c>
    </row>
    <row r="227">
      <c r="A227" s="7" t="s">
        <v>72</v>
      </c>
      <c r="B227" s="7" t="s">
        <v>377</v>
      </c>
      <c r="C227" s="7">
        <f>5+1</f>
        <v>6</v>
      </c>
      <c r="D227" s="7">
        <v>5.0</v>
      </c>
      <c r="E227" s="7">
        <v>3.0</v>
      </c>
      <c r="F227" s="7" t="s">
        <v>378</v>
      </c>
      <c r="G227" s="7" t="s">
        <v>379</v>
      </c>
      <c r="H227" s="9" t="s">
        <v>2979</v>
      </c>
      <c r="I227" t="s">
        <v>3134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 t="str">
        <f t="shared" si="1"/>
        <v>Built-up :</v>
      </c>
      <c r="AE227" s="7" t="str">
        <f t="shared" si="2"/>
        <v> sq. ft.</v>
      </c>
      <c r="AF227">
        <f>IFERROR(__xludf.DUMMYFUNCTION("VALUE(REGEXREPLACE(G227,""[^[:digit:]]"", """"))"),3907.0)</f>
        <v>3907</v>
      </c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 t="s">
        <v>27</v>
      </c>
    </row>
    <row r="228">
      <c r="A228" s="7" t="s">
        <v>17</v>
      </c>
      <c r="B228" s="7" t="s">
        <v>327</v>
      </c>
      <c r="C228" s="7">
        <f>2</f>
        <v>2</v>
      </c>
      <c r="D228" s="7">
        <v>2.0</v>
      </c>
      <c r="E228" s="7">
        <v>2.0</v>
      </c>
      <c r="F228" s="7" t="s">
        <v>83</v>
      </c>
      <c r="G228" s="7" t="s">
        <v>380</v>
      </c>
      <c r="H228" s="9" t="s">
        <v>2979</v>
      </c>
      <c r="I228" t="s">
        <v>3135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 t="str">
        <f t="shared" si="1"/>
        <v>Built-up :</v>
      </c>
      <c r="AE228" s="7" t="str">
        <f t="shared" si="2"/>
        <v> sq. ft.</v>
      </c>
      <c r="AF228">
        <f>IFERROR(__xludf.DUMMYFUNCTION("VALUE(REGEXREPLACE(G228,""[^[:digit:]]"", """"))"),871.0)</f>
        <v>871</v>
      </c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 t="s">
        <v>22</v>
      </c>
    </row>
    <row r="229">
      <c r="A229" s="7" t="s">
        <v>155</v>
      </c>
      <c r="B229" s="7" t="s">
        <v>381</v>
      </c>
      <c r="C229" s="7">
        <f>3+1</f>
        <v>4</v>
      </c>
      <c r="D229" s="7">
        <v>4.0</v>
      </c>
      <c r="E229" s="7">
        <v>2.0</v>
      </c>
      <c r="F229" s="7" t="s">
        <v>30</v>
      </c>
      <c r="G229" s="7" t="s">
        <v>382</v>
      </c>
      <c r="H229" s="9" t="s">
        <v>2979</v>
      </c>
      <c r="I229" t="s">
        <v>3136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 t="str">
        <f t="shared" si="1"/>
        <v>Built-up :</v>
      </c>
      <c r="AE229" s="7" t="str">
        <f t="shared" si="2"/>
        <v> sq. ft.</v>
      </c>
      <c r="AF229">
        <f>IFERROR(__xludf.DUMMYFUNCTION("VALUE(REGEXREPLACE(G229,""[^[:digit:]]"", """"))"),1488.0)</f>
        <v>1488</v>
      </c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 t="s">
        <v>103</v>
      </c>
    </row>
    <row r="230">
      <c r="A230" s="7" t="s">
        <v>143</v>
      </c>
      <c r="B230" s="7" t="s">
        <v>87</v>
      </c>
      <c r="C230" s="7">
        <f>4</f>
        <v>4</v>
      </c>
      <c r="D230" s="7">
        <v>2.0</v>
      </c>
      <c r="E230" s="7">
        <v>2.0</v>
      </c>
      <c r="F230" s="7" t="s">
        <v>83</v>
      </c>
      <c r="G230" s="7" t="s">
        <v>383</v>
      </c>
      <c r="H230" s="9" t="s">
        <v>2979</v>
      </c>
      <c r="I230" t="s">
        <v>3137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 t="str">
        <f t="shared" si="1"/>
        <v>Built-up :</v>
      </c>
      <c r="AE230" s="7" t="str">
        <f t="shared" si="2"/>
        <v> sq. ft.</v>
      </c>
      <c r="AF230">
        <f>IFERROR(__xludf.DUMMYFUNCTION("VALUE(REGEXREPLACE(G230,""[^[:digit:]]"", """"))"),1065.0)</f>
        <v>1065</v>
      </c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 t="s">
        <v>103</v>
      </c>
    </row>
    <row r="231">
      <c r="A231" s="7" t="s">
        <v>72</v>
      </c>
      <c r="B231" s="7" t="s">
        <v>127</v>
      </c>
      <c r="C231" s="7">
        <f>5+1</f>
        <v>6</v>
      </c>
      <c r="D231" s="7">
        <v>5.0</v>
      </c>
      <c r="E231" s="7">
        <v>3.0</v>
      </c>
      <c r="F231" s="7" t="s">
        <v>30</v>
      </c>
      <c r="G231" s="7" t="s">
        <v>384</v>
      </c>
      <c r="H231" s="9" t="s">
        <v>2979</v>
      </c>
      <c r="I231" t="s">
        <v>3138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 t="str">
        <f t="shared" si="1"/>
        <v>Built-up :</v>
      </c>
      <c r="AE231" s="7" t="str">
        <f t="shared" si="2"/>
        <v> sq. ft.</v>
      </c>
      <c r="AF231">
        <f>IFERROR(__xludf.DUMMYFUNCTION("VALUE(REGEXREPLACE(G231,""[^[:digit:]]"", """"))"),3709.0)</f>
        <v>3709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 t="s">
        <v>27</v>
      </c>
    </row>
    <row r="232">
      <c r="A232" s="7" t="s">
        <v>17</v>
      </c>
      <c r="B232" s="7" t="s">
        <v>85</v>
      </c>
      <c r="C232" s="7">
        <f>2</f>
        <v>2</v>
      </c>
      <c r="D232" s="7">
        <v>1.0</v>
      </c>
      <c r="E232" s="7">
        <v>1.0</v>
      </c>
      <c r="F232" s="7" t="s">
        <v>385</v>
      </c>
      <c r="G232" s="7" t="s">
        <v>157</v>
      </c>
      <c r="H232" s="9" t="s">
        <v>2979</v>
      </c>
      <c r="I232" t="s">
        <v>3031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 t="str">
        <f t="shared" si="1"/>
        <v>Built-up :</v>
      </c>
      <c r="AE232" s="7" t="str">
        <f t="shared" si="2"/>
        <v> sq. ft.</v>
      </c>
      <c r="AF232">
        <f>IFERROR(__xludf.DUMMYFUNCTION("VALUE(REGEXREPLACE(G232,""[^[:digit:]]"", """"))"),1050.0)</f>
        <v>1050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 t="s">
        <v>22</v>
      </c>
    </row>
    <row r="233">
      <c r="A233" s="7" t="s">
        <v>77</v>
      </c>
      <c r="B233" s="7" t="s">
        <v>386</v>
      </c>
      <c r="C233" s="7">
        <f>4+1</f>
        <v>5</v>
      </c>
      <c r="D233" s="7">
        <v>4.0</v>
      </c>
      <c r="E233" s="7">
        <v>3.0</v>
      </c>
      <c r="F233" s="7" t="s">
        <v>30</v>
      </c>
      <c r="G233" s="7" t="s">
        <v>266</v>
      </c>
      <c r="H233" s="9" t="s">
        <v>2979</v>
      </c>
      <c r="I233" t="s">
        <v>3083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 t="str">
        <f t="shared" si="1"/>
        <v>Built-up :</v>
      </c>
      <c r="AE233" s="7" t="str">
        <f t="shared" si="2"/>
        <v> sq. ft.</v>
      </c>
      <c r="AF233">
        <f>IFERROR(__xludf.DUMMYFUNCTION("VALUE(REGEXREPLACE(G233,""[^[:digit:]]"", """"))"),2454.0)</f>
        <v>2454</v>
      </c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 t="s">
        <v>22</v>
      </c>
    </row>
    <row r="234">
      <c r="A234" s="7" t="s">
        <v>77</v>
      </c>
      <c r="B234" s="7" t="s">
        <v>243</v>
      </c>
      <c r="C234" s="7">
        <f>2+2</f>
        <v>4</v>
      </c>
      <c r="D234" s="7">
        <v>3.0</v>
      </c>
      <c r="E234" s="7">
        <v>2.0</v>
      </c>
      <c r="F234" s="7" t="s">
        <v>30</v>
      </c>
      <c r="G234" s="7" t="s">
        <v>230</v>
      </c>
      <c r="H234" s="9" t="s">
        <v>2979</v>
      </c>
      <c r="I234" t="s">
        <v>3065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 t="str">
        <f t="shared" si="1"/>
        <v>Built-up :</v>
      </c>
      <c r="AE234" s="7" t="str">
        <f t="shared" si="2"/>
        <v> sq. ft.</v>
      </c>
      <c r="AF234">
        <f>IFERROR(__xludf.DUMMYFUNCTION("VALUE(REGEXREPLACE(G234,""[^[:digit:]]"", """"))"),1389.0)</f>
        <v>1389</v>
      </c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>
      <c r="A235" s="7" t="s">
        <v>17</v>
      </c>
      <c r="B235" s="7" t="s">
        <v>144</v>
      </c>
      <c r="C235" s="7">
        <f>4+1</f>
        <v>5</v>
      </c>
      <c r="D235" s="7">
        <v>5.0</v>
      </c>
      <c r="E235" s="9">
        <v>2.0</v>
      </c>
      <c r="F235" s="7" t="s">
        <v>83</v>
      </c>
      <c r="G235" s="7" t="s">
        <v>387</v>
      </c>
      <c r="H235" s="9" t="s">
        <v>2979</v>
      </c>
      <c r="I235" t="s">
        <v>3139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 t="str">
        <f t="shared" si="1"/>
        <v>Built-up :</v>
      </c>
      <c r="AE235" s="7" t="str">
        <f t="shared" si="2"/>
        <v> sq. ft.</v>
      </c>
      <c r="AF235">
        <f>IFERROR(__xludf.DUMMYFUNCTION("VALUE(REGEXREPLACE(G235,""[^[:digit:]]"", """"))"),2315.0)</f>
        <v>2315</v>
      </c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>
      <c r="A236" s="7" t="s">
        <v>33</v>
      </c>
      <c r="B236" s="7" t="s">
        <v>388</v>
      </c>
      <c r="C236" s="7">
        <f t="shared" ref="C236:C237" si="20">5+1</f>
        <v>6</v>
      </c>
      <c r="D236" s="7">
        <v>6.0</v>
      </c>
      <c r="E236" s="7">
        <v>4.0</v>
      </c>
      <c r="F236" s="7" t="s">
        <v>90</v>
      </c>
      <c r="G236" s="7" t="s">
        <v>220</v>
      </c>
      <c r="H236" s="9" t="s">
        <v>2979</v>
      </c>
      <c r="I236" t="s">
        <v>3060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 t="str">
        <f t="shared" si="1"/>
        <v>Built-up :</v>
      </c>
      <c r="AE236" s="7" t="str">
        <f t="shared" si="2"/>
        <v> sq. ft.</v>
      </c>
      <c r="AF236">
        <f>IFERROR(__xludf.DUMMYFUNCTION("VALUE(REGEXREPLACE(G236,""[^[:digit:]]"", """"))"),3400.0)</f>
        <v>3400</v>
      </c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 t="s">
        <v>27</v>
      </c>
    </row>
    <row r="237">
      <c r="A237" s="7" t="s">
        <v>37</v>
      </c>
      <c r="B237" s="7" t="s">
        <v>208</v>
      </c>
      <c r="C237" s="7">
        <f t="shared" si="20"/>
        <v>6</v>
      </c>
      <c r="D237" s="7">
        <v>7.0</v>
      </c>
      <c r="E237" s="7">
        <v>6.0</v>
      </c>
      <c r="F237" s="7" t="s">
        <v>61</v>
      </c>
      <c r="G237" s="7" t="s">
        <v>209</v>
      </c>
      <c r="H237" s="9" t="s">
        <v>2981</v>
      </c>
      <c r="I237" t="s">
        <v>3054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 t="str">
        <f t="shared" si="1"/>
        <v>Land area </v>
      </c>
      <c r="AE237" s="7" t="str">
        <f t="shared" si="2"/>
        <v> sq. ft.</v>
      </c>
      <c r="AF237">
        <f>IFERROR(__xludf.DUMMYFUNCTION("VALUE(REGEXREPLACE(G237,""[^[:digit:]]"", """"))"),8113.0)</f>
        <v>8113</v>
      </c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 t="s">
        <v>27</v>
      </c>
    </row>
    <row r="238">
      <c r="A238" s="7" t="s">
        <v>72</v>
      </c>
      <c r="B238" s="7" t="s">
        <v>322</v>
      </c>
      <c r="C238" s="7">
        <f>4+1</f>
        <v>5</v>
      </c>
      <c r="D238" s="7">
        <v>4.0</v>
      </c>
      <c r="E238" s="7">
        <v>2.0</v>
      </c>
      <c r="F238" s="7" t="s">
        <v>30</v>
      </c>
      <c r="G238" s="7" t="s">
        <v>74</v>
      </c>
      <c r="H238" s="9" t="s">
        <v>2979</v>
      </c>
      <c r="I238" t="s">
        <v>2998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 t="str">
        <f t="shared" si="1"/>
        <v>Built-up :</v>
      </c>
      <c r="AE238" s="7" t="str">
        <f t="shared" si="2"/>
        <v> sq. ft.</v>
      </c>
      <c r="AF238">
        <f>IFERROR(__xludf.DUMMYFUNCTION("VALUE(REGEXREPLACE(G238,""[^[:digit:]]"", """"))"),1830.0)</f>
        <v>1830</v>
      </c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 t="s">
        <v>27</v>
      </c>
    </row>
    <row r="239">
      <c r="A239" s="7" t="s">
        <v>17</v>
      </c>
      <c r="B239" s="7" t="s">
        <v>130</v>
      </c>
      <c r="C239" s="7">
        <f>2</f>
        <v>2</v>
      </c>
      <c r="D239" s="7">
        <v>2.0</v>
      </c>
      <c r="E239" s="7">
        <v>2.0</v>
      </c>
      <c r="F239" s="7" t="s">
        <v>20</v>
      </c>
      <c r="G239" s="7" t="s">
        <v>389</v>
      </c>
      <c r="H239" s="9" t="s">
        <v>2979</v>
      </c>
      <c r="I239" t="s">
        <v>3140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 t="str">
        <f t="shared" si="1"/>
        <v>Built-up :</v>
      </c>
      <c r="AE239" s="7" t="str">
        <f t="shared" si="2"/>
        <v> sq. ft.</v>
      </c>
      <c r="AF239">
        <f>IFERROR(__xludf.DUMMYFUNCTION("VALUE(REGEXREPLACE(G239,""[^[:digit:]]"", """"))"),1195.0)</f>
        <v>1195</v>
      </c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 t="s">
        <v>27</v>
      </c>
    </row>
    <row r="240">
      <c r="A240" s="7" t="s">
        <v>17</v>
      </c>
      <c r="B240" s="7" t="s">
        <v>390</v>
      </c>
      <c r="C240" s="7">
        <f>3+1</f>
        <v>4</v>
      </c>
      <c r="D240" s="7">
        <v>4.0</v>
      </c>
      <c r="E240" s="7">
        <v>2.0</v>
      </c>
      <c r="F240" s="7" t="s">
        <v>121</v>
      </c>
      <c r="G240" s="7" t="s">
        <v>124</v>
      </c>
      <c r="H240" s="9" t="s">
        <v>2979</v>
      </c>
      <c r="I240" t="s">
        <v>3017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 t="str">
        <f t="shared" si="1"/>
        <v>Built-up :</v>
      </c>
      <c r="AE240" s="7" t="str">
        <f t="shared" si="2"/>
        <v> sq. ft.</v>
      </c>
      <c r="AF240">
        <f>IFERROR(__xludf.DUMMYFUNCTION("VALUE(REGEXREPLACE(G240,""[^[:digit:]]"", """"))"),2195.0)</f>
        <v>2195</v>
      </c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 t="s">
        <v>27</v>
      </c>
    </row>
    <row r="241">
      <c r="A241" s="7" t="s">
        <v>371</v>
      </c>
      <c r="B241" s="7" t="s">
        <v>353</v>
      </c>
      <c r="C241" s="7">
        <f>3</f>
        <v>3</v>
      </c>
      <c r="D241" s="7">
        <v>2.0</v>
      </c>
      <c r="E241" s="7">
        <v>2.0</v>
      </c>
      <c r="F241" s="7" t="s">
        <v>20</v>
      </c>
      <c r="H241" s="9" t="s">
        <v>2984</v>
      </c>
      <c r="I241" t="s">
        <v>2985</v>
      </c>
      <c r="AD241" s="7" t="str">
        <f t="shared" si="1"/>
        <v/>
      </c>
      <c r="AE241" s="7" t="str">
        <f t="shared" si="2"/>
        <v/>
      </c>
      <c r="AF241">
        <f>IFERROR(__xludf.DUMMYFUNCTION("VALUE(REGEXREPLACE(G241,""[^[:digit:]]"", """"))"),0.0)</f>
        <v>0</v>
      </c>
      <c r="AS241" s="7" t="s">
        <v>27</v>
      </c>
    </row>
    <row r="242">
      <c r="A242" s="7" t="s">
        <v>17</v>
      </c>
      <c r="B242" s="7" t="s">
        <v>322</v>
      </c>
      <c r="C242" s="7">
        <f>2+1</f>
        <v>3</v>
      </c>
      <c r="D242" s="7">
        <v>2.0</v>
      </c>
      <c r="E242" s="7">
        <v>1.0</v>
      </c>
      <c r="F242" s="7" t="s">
        <v>83</v>
      </c>
      <c r="G242" s="7" t="s">
        <v>323</v>
      </c>
      <c r="H242" s="9" t="s">
        <v>2979</v>
      </c>
      <c r="I242" t="s">
        <v>3108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 t="str">
        <f t="shared" si="1"/>
        <v>Built-up :</v>
      </c>
      <c r="AE242" s="7" t="str">
        <f t="shared" si="2"/>
        <v> sq. ft.</v>
      </c>
      <c r="AF242">
        <f>IFERROR(__xludf.DUMMYFUNCTION("VALUE(REGEXREPLACE(G242,""[^[:digit:]]"", """"))"),915.0)</f>
        <v>915</v>
      </c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 t="s">
        <v>22</v>
      </c>
    </row>
    <row r="243">
      <c r="A243" s="7" t="s">
        <v>17</v>
      </c>
      <c r="B243" s="7" t="s">
        <v>174</v>
      </c>
      <c r="C243" s="7">
        <f>4+1</f>
        <v>5</v>
      </c>
      <c r="D243" s="7">
        <v>5.0</v>
      </c>
      <c r="E243" s="7">
        <v>3.0</v>
      </c>
      <c r="F243" s="7" t="s">
        <v>83</v>
      </c>
      <c r="G243" s="7" t="s">
        <v>295</v>
      </c>
      <c r="H243" s="9" t="s">
        <v>2979</v>
      </c>
      <c r="I243" t="s">
        <v>3096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 t="str">
        <f t="shared" si="1"/>
        <v>Built-up :</v>
      </c>
      <c r="AE243" s="7" t="str">
        <f t="shared" si="2"/>
        <v> sq. ft.</v>
      </c>
      <c r="AF243">
        <f>IFERROR(__xludf.DUMMYFUNCTION("VALUE(REGEXREPLACE(G243,""[^[:digit:]]"", """"))"),3218.0)</f>
        <v>3218</v>
      </c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 t="s">
        <v>27</v>
      </c>
    </row>
    <row r="244">
      <c r="A244" s="7" t="s">
        <v>171</v>
      </c>
      <c r="B244" s="7" t="s">
        <v>391</v>
      </c>
      <c r="C244" s="7">
        <f>3</f>
        <v>3</v>
      </c>
      <c r="D244" s="7">
        <v>2.0</v>
      </c>
      <c r="E244" s="7">
        <v>1.0</v>
      </c>
      <c r="F244" s="7" t="s">
        <v>83</v>
      </c>
      <c r="G244" s="7" t="s">
        <v>392</v>
      </c>
      <c r="H244" s="9" t="s">
        <v>2979</v>
      </c>
      <c r="I244" t="s">
        <v>3141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 t="str">
        <f t="shared" si="1"/>
        <v>Built-up :</v>
      </c>
      <c r="AE244" s="7" t="str">
        <f t="shared" si="2"/>
        <v> sq. ft.</v>
      </c>
      <c r="AF244">
        <f>IFERROR(__xludf.DUMMYFUNCTION("VALUE(REGEXREPLACE(G244,""[^[:digit:]]"", """"))"),850.0)</f>
        <v>850</v>
      </c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>
      <c r="A245" s="7" t="s">
        <v>17</v>
      </c>
      <c r="B245" s="7" t="s">
        <v>327</v>
      </c>
      <c r="C245" s="7">
        <f>2</f>
        <v>2</v>
      </c>
      <c r="D245" s="7">
        <v>2.0</v>
      </c>
      <c r="E245" s="9">
        <v>2.0</v>
      </c>
      <c r="F245" s="7" t="s">
        <v>30</v>
      </c>
      <c r="G245" s="7" t="s">
        <v>380</v>
      </c>
      <c r="H245" s="9" t="s">
        <v>2979</v>
      </c>
      <c r="I245" t="s">
        <v>3135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 t="str">
        <f t="shared" si="1"/>
        <v>Built-up :</v>
      </c>
      <c r="AE245" s="7" t="str">
        <f t="shared" si="2"/>
        <v> sq. ft.</v>
      </c>
      <c r="AF245">
        <f>IFERROR(__xludf.DUMMYFUNCTION("VALUE(REGEXREPLACE(G245,""[^[:digit:]]"", """"))"),871.0)</f>
        <v>871</v>
      </c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 t="s">
        <v>22</v>
      </c>
    </row>
    <row r="246">
      <c r="A246" s="7" t="s">
        <v>17</v>
      </c>
      <c r="B246" s="7" t="s">
        <v>191</v>
      </c>
      <c r="C246" s="7">
        <f t="shared" ref="C246:C247" si="21">1</f>
        <v>1</v>
      </c>
      <c r="D246" s="7">
        <v>1.0</v>
      </c>
      <c r="E246" s="7">
        <v>1.0</v>
      </c>
      <c r="F246" s="7" t="s">
        <v>96</v>
      </c>
      <c r="G246" s="7" t="s">
        <v>393</v>
      </c>
      <c r="H246" s="9" t="s">
        <v>2979</v>
      </c>
      <c r="I246" t="s">
        <v>3142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 t="str">
        <f t="shared" si="1"/>
        <v>Built-up :</v>
      </c>
      <c r="AE246" s="7" t="str">
        <f t="shared" si="2"/>
        <v> sq. ft.</v>
      </c>
      <c r="AF246">
        <f>IFERROR(__xludf.DUMMYFUNCTION("VALUE(REGEXREPLACE(G246,""[^[:digit:]]"", """"))"),751.0)</f>
        <v>751</v>
      </c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 t="s">
        <v>27</v>
      </c>
    </row>
    <row r="247">
      <c r="A247" s="7" t="s">
        <v>17</v>
      </c>
      <c r="B247" s="7" t="s">
        <v>191</v>
      </c>
      <c r="C247" s="7">
        <f t="shared" si="21"/>
        <v>1</v>
      </c>
      <c r="D247" s="7">
        <v>1.0</v>
      </c>
      <c r="E247" s="7">
        <v>1.0</v>
      </c>
      <c r="F247" s="7" t="s">
        <v>96</v>
      </c>
      <c r="G247" s="7" t="s">
        <v>393</v>
      </c>
      <c r="H247" s="9" t="s">
        <v>2979</v>
      </c>
      <c r="I247" t="s">
        <v>3142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 t="str">
        <f t="shared" si="1"/>
        <v>Built-up :</v>
      </c>
      <c r="AE247" s="7" t="str">
        <f t="shared" si="2"/>
        <v> sq. ft.</v>
      </c>
      <c r="AF247">
        <f>IFERROR(__xludf.DUMMYFUNCTION("VALUE(REGEXREPLACE(G247,""[^[:digit:]]"", """"))"),751.0)</f>
        <v>751</v>
      </c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 t="s">
        <v>27</v>
      </c>
    </row>
    <row r="248">
      <c r="A248" s="7" t="s">
        <v>17</v>
      </c>
      <c r="B248" s="7" t="s">
        <v>236</v>
      </c>
      <c r="C248" s="7">
        <f>2+1</f>
        <v>3</v>
      </c>
      <c r="D248" s="7">
        <v>2.0</v>
      </c>
      <c r="E248" s="7">
        <v>1.0</v>
      </c>
      <c r="F248" s="7" t="s">
        <v>121</v>
      </c>
      <c r="G248" s="7" t="s">
        <v>394</v>
      </c>
      <c r="H248" s="9" t="s">
        <v>2979</v>
      </c>
      <c r="I248" t="s">
        <v>3143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 t="str">
        <f t="shared" si="1"/>
        <v>Built-up :</v>
      </c>
      <c r="AE248" s="7" t="str">
        <f t="shared" si="2"/>
        <v> sq. ft.</v>
      </c>
      <c r="AF248">
        <f>IFERROR(__xludf.DUMMYFUNCTION("VALUE(REGEXREPLACE(G248,""[^[:digit:]]"", """"))"),1350.0)</f>
        <v>1350</v>
      </c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 t="s">
        <v>22</v>
      </c>
    </row>
    <row r="249">
      <c r="A249" s="7" t="s">
        <v>17</v>
      </c>
      <c r="B249" s="7" t="s">
        <v>395</v>
      </c>
      <c r="C249" s="7">
        <f>3+1</f>
        <v>4</v>
      </c>
      <c r="D249" s="7">
        <v>4.0</v>
      </c>
      <c r="E249" s="7">
        <v>2.0</v>
      </c>
      <c r="F249" s="7" t="s">
        <v>121</v>
      </c>
      <c r="G249" s="7" t="s">
        <v>124</v>
      </c>
      <c r="H249" s="9" t="s">
        <v>2979</v>
      </c>
      <c r="I249" t="s">
        <v>3017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 t="str">
        <f t="shared" si="1"/>
        <v>Built-up :</v>
      </c>
      <c r="AE249" s="7" t="str">
        <f t="shared" si="2"/>
        <v> sq. ft.</v>
      </c>
      <c r="AF249">
        <f>IFERROR(__xludf.DUMMYFUNCTION("VALUE(REGEXREPLACE(G249,""[^[:digit:]]"", """"))"),2195.0)</f>
        <v>2195</v>
      </c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 t="s">
        <v>27</v>
      </c>
    </row>
    <row r="250">
      <c r="A250" s="7" t="s">
        <v>72</v>
      </c>
      <c r="B250" s="7" t="s">
        <v>257</v>
      </c>
      <c r="C250" s="7">
        <f>4+1</f>
        <v>5</v>
      </c>
      <c r="D250" s="7">
        <v>6.0</v>
      </c>
      <c r="E250" s="9">
        <v>2.0</v>
      </c>
      <c r="F250" s="7" t="s">
        <v>83</v>
      </c>
      <c r="G250" s="7" t="s">
        <v>115</v>
      </c>
      <c r="H250" s="9" t="s">
        <v>2979</v>
      </c>
      <c r="I250" t="s">
        <v>3013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 t="str">
        <f t="shared" si="1"/>
        <v>Built-up :</v>
      </c>
      <c r="AE250" s="7" t="str">
        <f t="shared" si="2"/>
        <v> sq. ft.</v>
      </c>
      <c r="AF250">
        <f>IFERROR(__xludf.DUMMYFUNCTION("VALUE(REGEXREPLACE(G250,""[^[:digit:]]"", """"))"),2702.0)</f>
        <v>2702</v>
      </c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 t="s">
        <v>27</v>
      </c>
    </row>
    <row r="251">
      <c r="A251" s="7" t="s">
        <v>368</v>
      </c>
      <c r="B251" s="7" t="s">
        <v>396</v>
      </c>
      <c r="C251" s="7">
        <f>3+1</f>
        <v>4</v>
      </c>
      <c r="D251" s="7">
        <v>3.0</v>
      </c>
      <c r="E251" s="7">
        <v>4.0</v>
      </c>
      <c r="F251" s="7" t="s">
        <v>82</v>
      </c>
      <c r="G251" s="7" t="s">
        <v>397</v>
      </c>
      <c r="H251" s="9" t="s">
        <v>2979</v>
      </c>
      <c r="I251" t="s">
        <v>3144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 t="str">
        <f t="shared" si="1"/>
        <v>Built-up :</v>
      </c>
      <c r="AE251" s="7" t="str">
        <f t="shared" si="2"/>
        <v> sq. ft.</v>
      </c>
      <c r="AF251">
        <f>IFERROR(__xludf.DUMMYFUNCTION("VALUE(REGEXREPLACE(G251,""[^[:digit:]]"", """"))"),1265.0)</f>
        <v>1265</v>
      </c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 t="s">
        <v>27</v>
      </c>
    </row>
    <row r="252">
      <c r="A252" s="7" t="s">
        <v>72</v>
      </c>
      <c r="B252" s="7" t="s">
        <v>398</v>
      </c>
      <c r="C252" s="7">
        <f t="shared" ref="C252:C253" si="22">4+1</f>
        <v>5</v>
      </c>
      <c r="D252" s="7">
        <v>5.0</v>
      </c>
      <c r="E252" s="9">
        <v>2.0</v>
      </c>
      <c r="F252" s="7" t="s">
        <v>83</v>
      </c>
      <c r="G252" s="7" t="s">
        <v>115</v>
      </c>
      <c r="H252" s="9" t="s">
        <v>2979</v>
      </c>
      <c r="I252" t="s">
        <v>3013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 t="str">
        <f t="shared" si="1"/>
        <v>Built-up :</v>
      </c>
      <c r="AE252" s="7" t="str">
        <f t="shared" si="2"/>
        <v> sq. ft.</v>
      </c>
      <c r="AF252">
        <f>IFERROR(__xludf.DUMMYFUNCTION("VALUE(REGEXREPLACE(G252,""[^[:digit:]]"", """"))"),2702.0)</f>
        <v>2702</v>
      </c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 t="s">
        <v>27</v>
      </c>
    </row>
    <row r="253">
      <c r="A253" s="7" t="s">
        <v>72</v>
      </c>
      <c r="B253" s="7" t="s">
        <v>98</v>
      </c>
      <c r="C253" s="7">
        <f t="shared" si="22"/>
        <v>5</v>
      </c>
      <c r="D253" s="7">
        <v>4.0</v>
      </c>
      <c r="E253" s="7">
        <v>2.0</v>
      </c>
      <c r="F253" s="7" t="s">
        <v>30</v>
      </c>
      <c r="G253" s="7" t="s">
        <v>74</v>
      </c>
      <c r="H253" s="9" t="s">
        <v>2979</v>
      </c>
      <c r="I253" t="s">
        <v>2998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 t="str">
        <f t="shared" si="1"/>
        <v>Built-up :</v>
      </c>
      <c r="AE253" s="7" t="str">
        <f t="shared" si="2"/>
        <v> sq. ft.</v>
      </c>
      <c r="AF253">
        <f>IFERROR(__xludf.DUMMYFUNCTION("VALUE(REGEXREPLACE(G253,""[^[:digit:]]"", """"))"),1830.0)</f>
        <v>1830</v>
      </c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 t="s">
        <v>27</v>
      </c>
    </row>
    <row r="254">
      <c r="A254" s="7" t="s">
        <v>180</v>
      </c>
      <c r="B254" s="7" t="s">
        <v>399</v>
      </c>
      <c r="C254" s="7">
        <f>2+1</f>
        <v>3</v>
      </c>
      <c r="D254" s="7">
        <v>3.0</v>
      </c>
      <c r="E254" s="7">
        <v>1.0</v>
      </c>
      <c r="F254" s="7" t="s">
        <v>20</v>
      </c>
      <c r="G254" s="7" t="s">
        <v>216</v>
      </c>
      <c r="H254" s="9" t="s">
        <v>2979</v>
      </c>
      <c r="I254" t="s">
        <v>3057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 t="str">
        <f t="shared" si="1"/>
        <v>Built-up :</v>
      </c>
      <c r="AE254" s="7" t="str">
        <f t="shared" si="2"/>
        <v> sq. ft.</v>
      </c>
      <c r="AF254">
        <f>IFERROR(__xludf.DUMMYFUNCTION("VALUE(REGEXREPLACE(G254,""[^[:digit:]]"", """"))"),1442.0)</f>
        <v>1442</v>
      </c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 t="s">
        <v>27</v>
      </c>
    </row>
    <row r="255">
      <c r="A255" s="7" t="s">
        <v>77</v>
      </c>
      <c r="B255" s="7" t="s">
        <v>73</v>
      </c>
      <c r="C255" s="7">
        <f>3+1</f>
        <v>4</v>
      </c>
      <c r="D255" s="7">
        <v>3.0</v>
      </c>
      <c r="E255" s="7">
        <v>2.0</v>
      </c>
      <c r="F255" s="7" t="s">
        <v>54</v>
      </c>
      <c r="G255" s="7" t="s">
        <v>400</v>
      </c>
      <c r="H255" s="9" t="s">
        <v>2979</v>
      </c>
      <c r="I255" t="s">
        <v>3145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 t="str">
        <f t="shared" si="1"/>
        <v>Built-up :</v>
      </c>
      <c r="AE255" s="7" t="str">
        <f t="shared" si="2"/>
        <v> sq. ft.</v>
      </c>
      <c r="AF255">
        <f>IFERROR(__xludf.DUMMYFUNCTION("VALUE(REGEXREPLACE(G255,""[^[:digit:]]"", """"))"),2400.0)</f>
        <v>2400</v>
      </c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 t="s">
        <v>22</v>
      </c>
    </row>
    <row r="256">
      <c r="A256" s="7" t="s">
        <v>104</v>
      </c>
      <c r="B256" s="7" t="s">
        <v>401</v>
      </c>
      <c r="C256" s="7">
        <f>5</f>
        <v>5</v>
      </c>
      <c r="D256" s="7">
        <v>4.0</v>
      </c>
      <c r="E256" s="9">
        <v>2.0</v>
      </c>
      <c r="F256" s="7" t="s">
        <v>64</v>
      </c>
      <c r="G256" s="7" t="s">
        <v>402</v>
      </c>
      <c r="H256" s="9" t="s">
        <v>2981</v>
      </c>
      <c r="I256" t="s">
        <v>3146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 t="str">
        <f t="shared" si="1"/>
        <v>Land area </v>
      </c>
      <c r="AE256" s="7" t="str">
        <f t="shared" si="2"/>
        <v> sq. ft.</v>
      </c>
      <c r="AF256">
        <f>IFERROR(__xludf.DUMMYFUNCTION("VALUE(REGEXREPLACE(G256,""[^[:digit:]]"", """"))"),4050.0)</f>
        <v>4050</v>
      </c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 t="s">
        <v>27</v>
      </c>
    </row>
    <row r="257">
      <c r="A257" s="7" t="s">
        <v>33</v>
      </c>
      <c r="B257" s="7" t="s">
        <v>329</v>
      </c>
      <c r="C257" s="7">
        <f>5+1</f>
        <v>6</v>
      </c>
      <c r="D257" s="7">
        <v>4.0</v>
      </c>
      <c r="E257" s="7">
        <v>4.0</v>
      </c>
      <c r="F257" s="7" t="s">
        <v>30</v>
      </c>
      <c r="G257" s="7" t="s">
        <v>330</v>
      </c>
      <c r="H257" s="9" t="s">
        <v>2979</v>
      </c>
      <c r="I257" t="s">
        <v>3111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 t="str">
        <f t="shared" si="1"/>
        <v>Built-up :</v>
      </c>
      <c r="AE257" s="7" t="str">
        <f t="shared" si="2"/>
        <v> sq. ft.</v>
      </c>
      <c r="AF257">
        <f>IFERROR(__xludf.DUMMYFUNCTION("VALUE(REGEXREPLACE(G257,""[^[:digit:]]"", """"))"),1930.0)</f>
        <v>1930</v>
      </c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 t="s">
        <v>27</v>
      </c>
    </row>
    <row r="258">
      <c r="A258" s="7" t="s">
        <v>17</v>
      </c>
      <c r="B258" s="7" t="s">
        <v>125</v>
      </c>
      <c r="C258" s="7">
        <f t="shared" ref="C258:C259" si="23">1</f>
        <v>1</v>
      </c>
      <c r="D258" s="7">
        <v>2.0</v>
      </c>
      <c r="E258" s="7">
        <v>1.0</v>
      </c>
      <c r="F258" s="7" t="s">
        <v>20</v>
      </c>
      <c r="G258" s="7" t="s">
        <v>207</v>
      </c>
      <c r="H258" s="9" t="s">
        <v>2979</v>
      </c>
      <c r="I258" t="s">
        <v>3053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 t="str">
        <f t="shared" si="1"/>
        <v>Built-up :</v>
      </c>
      <c r="AE258" s="7" t="str">
        <f t="shared" si="2"/>
        <v> sq. ft.</v>
      </c>
      <c r="AF258">
        <f>IFERROR(__xludf.DUMMYFUNCTION("VALUE(REGEXREPLACE(G258,""[^[:digit:]]"", """"))"),1046.0)</f>
        <v>1046</v>
      </c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 t="s">
        <v>27</v>
      </c>
    </row>
    <row r="259">
      <c r="A259" s="7" t="s">
        <v>17</v>
      </c>
      <c r="B259" s="7" t="s">
        <v>125</v>
      </c>
      <c r="C259" s="7">
        <f t="shared" si="23"/>
        <v>1</v>
      </c>
      <c r="D259" s="7">
        <v>1.0</v>
      </c>
      <c r="E259" s="7">
        <v>2.0</v>
      </c>
      <c r="F259" s="7" t="s">
        <v>82</v>
      </c>
      <c r="G259" s="7" t="s">
        <v>207</v>
      </c>
      <c r="H259" s="9" t="s">
        <v>2979</v>
      </c>
      <c r="I259" t="s">
        <v>3053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 t="str">
        <f t="shared" si="1"/>
        <v>Built-up :</v>
      </c>
      <c r="AE259" s="7" t="str">
        <f t="shared" si="2"/>
        <v> sq. ft.</v>
      </c>
      <c r="AF259">
        <f>IFERROR(__xludf.DUMMYFUNCTION("VALUE(REGEXREPLACE(G259,""[^[:digit:]]"", """"))"),1046.0)</f>
        <v>1046</v>
      </c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 t="s">
        <v>27</v>
      </c>
    </row>
    <row r="260">
      <c r="A260" s="7" t="s">
        <v>72</v>
      </c>
      <c r="B260" s="7" t="s">
        <v>403</v>
      </c>
      <c r="C260" s="7">
        <f>3+1</f>
        <v>4</v>
      </c>
      <c r="D260" s="7">
        <v>3.0</v>
      </c>
      <c r="E260" s="7">
        <v>2.0</v>
      </c>
      <c r="F260" s="7" t="s">
        <v>83</v>
      </c>
      <c r="G260" s="7" t="s">
        <v>404</v>
      </c>
      <c r="H260" s="9" t="s">
        <v>2979</v>
      </c>
      <c r="I260" t="s">
        <v>3147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 t="str">
        <f t="shared" si="1"/>
        <v>Built-up :</v>
      </c>
      <c r="AE260" s="7" t="str">
        <f t="shared" si="2"/>
        <v> sq. ft.</v>
      </c>
      <c r="AF260">
        <f>IFERROR(__xludf.DUMMYFUNCTION("VALUE(REGEXREPLACE(G260,""[^[:digit:]]"", """"))"),1878.0)</f>
        <v>1878</v>
      </c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 t="s">
        <v>27</v>
      </c>
    </row>
    <row r="261">
      <c r="A261" s="7" t="s">
        <v>72</v>
      </c>
      <c r="B261" s="7" t="s">
        <v>405</v>
      </c>
      <c r="C261" s="7">
        <f>5+1</f>
        <v>6</v>
      </c>
      <c r="D261" s="7">
        <v>4.0</v>
      </c>
      <c r="E261" s="7">
        <v>3.0</v>
      </c>
      <c r="F261" s="7" t="s">
        <v>83</v>
      </c>
      <c r="G261" s="7" t="s">
        <v>406</v>
      </c>
      <c r="H261" s="9" t="s">
        <v>2979</v>
      </c>
      <c r="I261" t="s">
        <v>3148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 t="str">
        <f t="shared" si="1"/>
        <v>Built-up :</v>
      </c>
      <c r="AE261" s="7" t="str">
        <f t="shared" si="2"/>
        <v> sq. ft.</v>
      </c>
      <c r="AF261">
        <f>IFERROR(__xludf.DUMMYFUNCTION("VALUE(REGEXREPLACE(G261,""[^[:digit:]]"", """"))"),2069.0)</f>
        <v>2069</v>
      </c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 t="s">
        <v>27</v>
      </c>
    </row>
    <row r="262">
      <c r="A262" s="7" t="s">
        <v>17</v>
      </c>
      <c r="B262" s="7" t="s">
        <v>407</v>
      </c>
      <c r="C262" s="7">
        <f>1</f>
        <v>1</v>
      </c>
      <c r="D262" s="7">
        <v>1.0</v>
      </c>
      <c r="E262" s="7">
        <v>1.0</v>
      </c>
      <c r="F262" s="7" t="s">
        <v>20</v>
      </c>
      <c r="G262" s="7" t="s">
        <v>408</v>
      </c>
      <c r="H262" s="9" t="s">
        <v>2979</v>
      </c>
      <c r="I262" t="s">
        <v>3149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 t="str">
        <f t="shared" si="1"/>
        <v>Built-up :</v>
      </c>
      <c r="AE262" s="7" t="str">
        <f t="shared" si="2"/>
        <v> sq. ft.</v>
      </c>
      <c r="AF262">
        <f>IFERROR(__xludf.DUMMYFUNCTION("VALUE(REGEXREPLACE(G262,""[^[:digit:]]"", """"))"),710.0)</f>
        <v>710</v>
      </c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 t="s">
        <v>22</v>
      </c>
    </row>
    <row r="263">
      <c r="A263" s="7" t="s">
        <v>100</v>
      </c>
      <c r="B263" s="7" t="s">
        <v>409</v>
      </c>
      <c r="C263" s="7">
        <f t="shared" ref="C263:C265" si="24">3+1</f>
        <v>4</v>
      </c>
      <c r="D263" s="7">
        <v>2.0</v>
      </c>
      <c r="E263" s="7">
        <v>2.0</v>
      </c>
      <c r="F263" s="7" t="s">
        <v>121</v>
      </c>
      <c r="G263" s="7" t="s">
        <v>410</v>
      </c>
      <c r="H263" s="9" t="s">
        <v>2979</v>
      </c>
      <c r="I263" t="s">
        <v>3150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 t="str">
        <f t="shared" si="1"/>
        <v>Built-up :</v>
      </c>
      <c r="AE263" s="7" t="str">
        <f t="shared" si="2"/>
        <v> sq. ft.</v>
      </c>
      <c r="AF263">
        <f>IFERROR(__xludf.DUMMYFUNCTION("VALUE(REGEXREPLACE(G263,""[^[:digit:]]"", """"))"),1094.0)</f>
        <v>1094</v>
      </c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 t="s">
        <v>27</v>
      </c>
    </row>
    <row r="264">
      <c r="A264" s="7" t="s">
        <v>72</v>
      </c>
      <c r="B264" s="7" t="s">
        <v>411</v>
      </c>
      <c r="C264" s="7">
        <f t="shared" si="24"/>
        <v>4</v>
      </c>
      <c r="D264" s="7">
        <v>5.0</v>
      </c>
      <c r="E264" s="7">
        <v>3.0</v>
      </c>
      <c r="F264" s="7" t="s">
        <v>83</v>
      </c>
      <c r="G264" s="7" t="s">
        <v>412</v>
      </c>
      <c r="H264" s="9" t="s">
        <v>2979</v>
      </c>
      <c r="I264" t="s">
        <v>3151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 t="str">
        <f t="shared" si="1"/>
        <v>Built-up :</v>
      </c>
      <c r="AE264" s="7" t="str">
        <f t="shared" si="2"/>
        <v> sq. ft.</v>
      </c>
      <c r="AF264">
        <f>IFERROR(__xludf.DUMMYFUNCTION("VALUE(REGEXREPLACE(G264,""[^[:digit:]]"", """"))"),2700.0)</f>
        <v>2700</v>
      </c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>
      <c r="A265" s="7" t="s">
        <v>72</v>
      </c>
      <c r="B265" s="7" t="s">
        <v>349</v>
      </c>
      <c r="C265" s="7">
        <f t="shared" si="24"/>
        <v>4</v>
      </c>
      <c r="D265" s="7">
        <v>4.0</v>
      </c>
      <c r="E265" s="7">
        <v>2.0</v>
      </c>
      <c r="F265" s="7" t="s">
        <v>83</v>
      </c>
      <c r="G265" s="7" t="s">
        <v>334</v>
      </c>
      <c r="H265" s="9" t="s">
        <v>2979</v>
      </c>
      <c r="I265" t="s">
        <v>3112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 t="str">
        <f t="shared" si="1"/>
        <v>Built-up :</v>
      </c>
      <c r="AE265" s="7" t="str">
        <f t="shared" si="2"/>
        <v> sq. ft.</v>
      </c>
      <c r="AF265">
        <f>IFERROR(__xludf.DUMMYFUNCTION("VALUE(REGEXREPLACE(G265,""[^[:digit:]]"", """"))"),1496.0)</f>
        <v>1496</v>
      </c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 t="s">
        <v>27</v>
      </c>
    </row>
    <row r="266">
      <c r="A266" s="7" t="s">
        <v>17</v>
      </c>
      <c r="B266" s="7" t="s">
        <v>413</v>
      </c>
      <c r="C266" s="7">
        <f>4+1</f>
        <v>5</v>
      </c>
      <c r="D266" s="7">
        <v>6.0</v>
      </c>
      <c r="E266" s="7">
        <v>2.0</v>
      </c>
      <c r="F266" s="7" t="s">
        <v>312</v>
      </c>
      <c r="G266" s="7" t="s">
        <v>414</v>
      </c>
      <c r="H266" s="9" t="s">
        <v>2979</v>
      </c>
      <c r="I266" t="s">
        <v>3152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 t="str">
        <f t="shared" si="1"/>
        <v>Built-up :</v>
      </c>
      <c r="AE266" s="7" t="str">
        <f t="shared" si="2"/>
        <v> sq. ft.</v>
      </c>
      <c r="AF266">
        <f>IFERROR(__xludf.DUMMYFUNCTION("VALUE(REGEXREPLACE(G266,""[^[:digit:]]"", """"))"),2975.0)</f>
        <v>2975</v>
      </c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 t="s">
        <v>22</v>
      </c>
    </row>
    <row r="267">
      <c r="A267" s="7" t="s">
        <v>72</v>
      </c>
      <c r="B267" s="7" t="s">
        <v>311</v>
      </c>
      <c r="C267" s="7">
        <f>3</f>
        <v>3</v>
      </c>
      <c r="D267" s="7">
        <v>2.0</v>
      </c>
      <c r="E267" s="7">
        <v>2.0</v>
      </c>
      <c r="F267" s="7" t="s">
        <v>83</v>
      </c>
      <c r="G267" s="7" t="s">
        <v>135</v>
      </c>
      <c r="H267" s="9" t="s">
        <v>2979</v>
      </c>
      <c r="I267" t="s">
        <v>3023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 t="str">
        <f t="shared" si="1"/>
        <v>Built-up :</v>
      </c>
      <c r="AE267" s="7" t="str">
        <f t="shared" si="2"/>
        <v> sq. ft.</v>
      </c>
      <c r="AF267">
        <f>IFERROR(__xludf.DUMMYFUNCTION("VALUE(REGEXREPLACE(G267,""[^[:digit:]]"", """"))"),1200.0)</f>
        <v>1200</v>
      </c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 t="s">
        <v>27</v>
      </c>
    </row>
    <row r="268">
      <c r="A268" s="7" t="s">
        <v>17</v>
      </c>
      <c r="B268" s="7" t="s">
        <v>415</v>
      </c>
      <c r="C268" s="7">
        <f t="shared" ref="C268:C269" si="25">2</f>
        <v>2</v>
      </c>
      <c r="D268" s="7">
        <v>2.0</v>
      </c>
      <c r="E268" s="7">
        <v>1.0</v>
      </c>
      <c r="F268" s="7" t="s">
        <v>83</v>
      </c>
      <c r="G268" s="7" t="s">
        <v>240</v>
      </c>
      <c r="H268" s="9" t="s">
        <v>2979</v>
      </c>
      <c r="I268" t="s">
        <v>3071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 t="str">
        <f t="shared" si="1"/>
        <v>Built-up :</v>
      </c>
      <c r="AE268" s="7" t="str">
        <f t="shared" si="2"/>
        <v> sq. ft.</v>
      </c>
      <c r="AF268">
        <f>IFERROR(__xludf.DUMMYFUNCTION("VALUE(REGEXREPLACE(G268,""[^[:digit:]]"", """"))"),736.0)</f>
        <v>736</v>
      </c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 t="s">
        <v>27</v>
      </c>
    </row>
    <row r="269">
      <c r="A269" s="7" t="s">
        <v>86</v>
      </c>
      <c r="B269" s="7" t="s">
        <v>168</v>
      </c>
      <c r="C269" s="7">
        <f t="shared" si="25"/>
        <v>2</v>
      </c>
      <c r="D269" s="7">
        <v>2.0</v>
      </c>
      <c r="E269" s="7">
        <v>1.0</v>
      </c>
      <c r="F269" s="7" t="s">
        <v>82</v>
      </c>
      <c r="G269" s="7" t="s">
        <v>416</v>
      </c>
      <c r="H269" s="9" t="s">
        <v>2979</v>
      </c>
      <c r="I269" t="s">
        <v>3153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 t="str">
        <f t="shared" si="1"/>
        <v>Built-up :</v>
      </c>
      <c r="AE269" s="7" t="str">
        <f t="shared" si="2"/>
        <v> sq. ft.</v>
      </c>
      <c r="AF269">
        <f>IFERROR(__xludf.DUMMYFUNCTION("VALUE(REGEXREPLACE(G269,""[^[:digit:]]"", """"))"),823.0)</f>
        <v>823</v>
      </c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 t="s">
        <v>27</v>
      </c>
    </row>
    <row r="270">
      <c r="A270" s="7" t="s">
        <v>23</v>
      </c>
      <c r="B270" s="7" t="s">
        <v>309</v>
      </c>
      <c r="C270" s="7">
        <f>3+1</f>
        <v>4</v>
      </c>
      <c r="D270" s="7">
        <v>4.0</v>
      </c>
      <c r="E270" s="7">
        <v>2.0</v>
      </c>
      <c r="F270" s="7" t="s">
        <v>30</v>
      </c>
      <c r="G270" s="7" t="s">
        <v>417</v>
      </c>
      <c r="H270" s="9" t="s">
        <v>2979</v>
      </c>
      <c r="I270" t="s">
        <v>3154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 t="str">
        <f t="shared" si="1"/>
        <v>Built-up :</v>
      </c>
      <c r="AE270" s="7" t="str">
        <f t="shared" si="2"/>
        <v> sq. ft.</v>
      </c>
      <c r="AF270">
        <f>IFERROR(__xludf.DUMMYFUNCTION("VALUE(REGEXREPLACE(G270,""[^[:digit:]]"", """"))"),2153.0)</f>
        <v>2153</v>
      </c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 t="s">
        <v>27</v>
      </c>
    </row>
    <row r="271">
      <c r="A271" s="7" t="s">
        <v>33</v>
      </c>
      <c r="B271" s="7" t="s">
        <v>34</v>
      </c>
      <c r="C271" s="7">
        <f>4+1</f>
        <v>5</v>
      </c>
      <c r="D271" s="7">
        <v>4.0</v>
      </c>
      <c r="E271" s="9">
        <v>2.0</v>
      </c>
      <c r="F271" s="7" t="s">
        <v>83</v>
      </c>
      <c r="G271" s="7" t="s">
        <v>36</v>
      </c>
      <c r="H271" s="9" t="s">
        <v>2979</v>
      </c>
      <c r="I271" t="s">
        <v>2986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 t="str">
        <f t="shared" si="1"/>
        <v>Built-up :</v>
      </c>
      <c r="AE271" s="7" t="str">
        <f t="shared" si="2"/>
        <v> sq. ft.</v>
      </c>
      <c r="AF271">
        <f>IFERROR(__xludf.DUMMYFUNCTION("VALUE(REGEXREPLACE(G271,""[^[:digit:]]"", """"))"),1513.0)</f>
        <v>1513</v>
      </c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>
      <c r="A272" s="7" t="s">
        <v>72</v>
      </c>
      <c r="B272" s="7" t="s">
        <v>78</v>
      </c>
      <c r="C272" s="7">
        <f>3</f>
        <v>3</v>
      </c>
      <c r="D272" s="7">
        <v>2.0</v>
      </c>
      <c r="E272" s="7">
        <v>2.0</v>
      </c>
      <c r="F272" s="7" t="s">
        <v>83</v>
      </c>
      <c r="G272" s="7" t="s">
        <v>135</v>
      </c>
      <c r="H272" s="9" t="s">
        <v>2979</v>
      </c>
      <c r="I272" t="s">
        <v>3023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 t="str">
        <f t="shared" si="1"/>
        <v>Built-up :</v>
      </c>
      <c r="AE272" s="7" t="str">
        <f t="shared" si="2"/>
        <v> sq. ft.</v>
      </c>
      <c r="AF272">
        <f>IFERROR(__xludf.DUMMYFUNCTION("VALUE(REGEXREPLACE(G272,""[^[:digit:]]"", """"))"),1200.0)</f>
        <v>1200</v>
      </c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 t="s">
        <v>22</v>
      </c>
    </row>
    <row r="273">
      <c r="A273" s="7" t="s">
        <v>72</v>
      </c>
      <c r="B273" s="7" t="s">
        <v>125</v>
      </c>
      <c r="C273" s="7">
        <f>4+1</f>
        <v>5</v>
      </c>
      <c r="D273" s="7">
        <v>6.0</v>
      </c>
      <c r="E273" s="7">
        <v>3.0</v>
      </c>
      <c r="F273" s="7" t="s">
        <v>30</v>
      </c>
      <c r="G273" s="7" t="s">
        <v>115</v>
      </c>
      <c r="H273" s="9" t="s">
        <v>2979</v>
      </c>
      <c r="I273" t="s">
        <v>3013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 t="str">
        <f t="shared" si="1"/>
        <v>Built-up :</v>
      </c>
      <c r="AE273" s="7" t="str">
        <f t="shared" si="2"/>
        <v> sq. ft.</v>
      </c>
      <c r="AF273">
        <f>IFERROR(__xludf.DUMMYFUNCTION("VALUE(REGEXREPLACE(G273,""[^[:digit:]]"", """"))"),2702.0)</f>
        <v>2702</v>
      </c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 t="s">
        <v>27</v>
      </c>
    </row>
    <row r="274">
      <c r="A274" s="7" t="s">
        <v>17</v>
      </c>
      <c r="B274" s="7" t="s">
        <v>191</v>
      </c>
      <c r="C274" s="7">
        <f>2+1</f>
        <v>3</v>
      </c>
      <c r="D274" s="7">
        <v>2.0</v>
      </c>
      <c r="E274" s="9">
        <v>2.0</v>
      </c>
      <c r="F274" s="7" t="s">
        <v>20</v>
      </c>
      <c r="G274" s="7" t="s">
        <v>418</v>
      </c>
      <c r="H274" s="9" t="s">
        <v>2979</v>
      </c>
      <c r="I274" t="s">
        <v>3155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 t="str">
        <f t="shared" si="1"/>
        <v>Built-up :</v>
      </c>
      <c r="AE274" s="7" t="str">
        <f t="shared" si="2"/>
        <v> sq. ft.</v>
      </c>
      <c r="AF274">
        <f>IFERROR(__xludf.DUMMYFUNCTION("VALUE(REGEXREPLACE(G274,""[^[:digit:]]"", """"))"),777.0)</f>
        <v>777</v>
      </c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 t="s">
        <v>27</v>
      </c>
    </row>
    <row r="275">
      <c r="A275" s="7" t="s">
        <v>17</v>
      </c>
      <c r="B275" s="7" t="s">
        <v>419</v>
      </c>
      <c r="C275" s="7">
        <f>2+2</f>
        <v>4</v>
      </c>
      <c r="D275" s="7">
        <v>3.0</v>
      </c>
      <c r="E275" s="7">
        <v>2.0</v>
      </c>
      <c r="F275" s="7" t="s">
        <v>121</v>
      </c>
      <c r="G275" s="7" t="s">
        <v>192</v>
      </c>
      <c r="H275" s="9" t="s">
        <v>2979</v>
      </c>
      <c r="I275" t="s">
        <v>3045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 t="str">
        <f t="shared" si="1"/>
        <v>Built-up :</v>
      </c>
      <c r="AE275" s="7" t="str">
        <f t="shared" si="2"/>
        <v> sq. ft.</v>
      </c>
      <c r="AF275">
        <f>IFERROR(__xludf.DUMMYFUNCTION("VALUE(REGEXREPLACE(G275,""[^[:digit:]]"", """"))"),1313.0)</f>
        <v>1313</v>
      </c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 t="s">
        <v>22</v>
      </c>
    </row>
    <row r="276">
      <c r="A276" s="7" t="s">
        <v>17</v>
      </c>
      <c r="B276" s="7" t="s">
        <v>420</v>
      </c>
      <c r="C276" s="7">
        <f>3+1</f>
        <v>4</v>
      </c>
      <c r="D276" s="7">
        <v>4.0</v>
      </c>
      <c r="E276" s="7">
        <v>2.0</v>
      </c>
      <c r="F276" s="7" t="s">
        <v>121</v>
      </c>
      <c r="G276" s="7" t="s">
        <v>124</v>
      </c>
      <c r="H276" s="9" t="s">
        <v>2979</v>
      </c>
      <c r="I276" t="s">
        <v>3017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 t="str">
        <f t="shared" si="1"/>
        <v>Built-up :</v>
      </c>
      <c r="AE276" s="7" t="str">
        <f t="shared" si="2"/>
        <v> sq. ft.</v>
      </c>
      <c r="AF276">
        <f>IFERROR(__xludf.DUMMYFUNCTION("VALUE(REGEXREPLACE(G276,""[^[:digit:]]"", """"))"),2195.0)</f>
        <v>2195</v>
      </c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 t="s">
        <v>27</v>
      </c>
    </row>
    <row r="277">
      <c r="A277" s="7" t="s">
        <v>17</v>
      </c>
      <c r="B277" s="7" t="s">
        <v>130</v>
      </c>
      <c r="C277" s="7">
        <f>2</f>
        <v>2</v>
      </c>
      <c r="D277" s="7">
        <v>2.0</v>
      </c>
      <c r="E277" s="7">
        <v>2.0</v>
      </c>
      <c r="F277" s="7" t="s">
        <v>121</v>
      </c>
      <c r="G277" s="7" t="s">
        <v>341</v>
      </c>
      <c r="H277" s="9" t="s">
        <v>2979</v>
      </c>
      <c r="I277" t="s">
        <v>3116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 t="str">
        <f t="shared" si="1"/>
        <v>Built-up :</v>
      </c>
      <c r="AE277" s="7" t="str">
        <f t="shared" si="2"/>
        <v> sq. ft.</v>
      </c>
      <c r="AF277">
        <f>IFERROR(__xludf.DUMMYFUNCTION("VALUE(REGEXREPLACE(G277,""[^[:digit:]]"", """"))"),1184.0)</f>
        <v>1184</v>
      </c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 t="s">
        <v>22</v>
      </c>
    </row>
    <row r="278">
      <c r="A278" s="7" t="s">
        <v>17</v>
      </c>
      <c r="B278" s="7" t="s">
        <v>322</v>
      </c>
      <c r="C278" s="7">
        <f>1+1</f>
        <v>2</v>
      </c>
      <c r="D278" s="7">
        <v>2.0</v>
      </c>
      <c r="E278" s="7">
        <v>1.0</v>
      </c>
      <c r="F278" s="7" t="s">
        <v>82</v>
      </c>
      <c r="G278" s="7" t="s">
        <v>237</v>
      </c>
      <c r="H278" s="9" t="s">
        <v>2979</v>
      </c>
      <c r="I278" t="s">
        <v>3069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 t="str">
        <f t="shared" si="1"/>
        <v>Built-up :</v>
      </c>
      <c r="AE278" s="7" t="str">
        <f t="shared" si="2"/>
        <v> sq. ft.</v>
      </c>
      <c r="AF278">
        <f>IFERROR(__xludf.DUMMYFUNCTION("VALUE(REGEXREPLACE(G278,""[^[:digit:]]"", """"))"),1087.0)</f>
        <v>1087</v>
      </c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 t="s">
        <v>22</v>
      </c>
    </row>
    <row r="279">
      <c r="A279" s="7" t="s">
        <v>77</v>
      </c>
      <c r="B279" s="7" t="s">
        <v>421</v>
      </c>
      <c r="C279" s="7">
        <f>7+1</f>
        <v>8</v>
      </c>
      <c r="D279" s="7">
        <v>9.0</v>
      </c>
      <c r="E279" s="7">
        <v>6.0</v>
      </c>
      <c r="F279" s="7" t="s">
        <v>300</v>
      </c>
      <c r="G279" s="7" t="s">
        <v>301</v>
      </c>
      <c r="H279" s="9" t="s">
        <v>2979</v>
      </c>
      <c r="I279" t="s">
        <v>3098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 t="str">
        <f t="shared" si="1"/>
        <v>Built-up :</v>
      </c>
      <c r="AE279" s="7" t="str">
        <f t="shared" si="2"/>
        <v> sq. ft.</v>
      </c>
      <c r="AF279">
        <f>IFERROR(__xludf.DUMMYFUNCTION("VALUE(REGEXREPLACE(G279,""[^[:digit:]]"", """"))"),7000.0)</f>
        <v>7000</v>
      </c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 t="s">
        <v>27</v>
      </c>
    </row>
    <row r="280">
      <c r="A280" s="7" t="s">
        <v>17</v>
      </c>
      <c r="B280" s="7" t="s">
        <v>422</v>
      </c>
      <c r="C280" s="7">
        <f>3+1</f>
        <v>4</v>
      </c>
      <c r="D280" s="7">
        <v>5.0</v>
      </c>
      <c r="E280" s="7">
        <v>2.0</v>
      </c>
      <c r="F280" s="7" t="s">
        <v>83</v>
      </c>
      <c r="G280" s="7" t="s">
        <v>179</v>
      </c>
      <c r="H280" s="9" t="s">
        <v>2979</v>
      </c>
      <c r="I280" t="s">
        <v>3040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 t="str">
        <f t="shared" si="1"/>
        <v>Built-up :</v>
      </c>
      <c r="AE280" s="7" t="str">
        <f t="shared" si="2"/>
        <v> sq. ft.</v>
      </c>
      <c r="AF280">
        <f>IFERROR(__xludf.DUMMYFUNCTION("VALUE(REGEXREPLACE(G280,""[^[:digit:]]"", """"))"),2356.0)</f>
        <v>2356</v>
      </c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 t="s">
        <v>22</v>
      </c>
    </row>
    <row r="281">
      <c r="A281" s="7" t="s">
        <v>86</v>
      </c>
      <c r="B281" s="7" t="s">
        <v>423</v>
      </c>
      <c r="C281" s="7">
        <f>2+1</f>
        <v>3</v>
      </c>
      <c r="D281" s="7">
        <v>2.0</v>
      </c>
      <c r="E281" s="7">
        <v>1.0</v>
      </c>
      <c r="F281" s="7" t="s">
        <v>20</v>
      </c>
      <c r="G281" s="7" t="s">
        <v>135</v>
      </c>
      <c r="H281" s="9" t="s">
        <v>2979</v>
      </c>
      <c r="I281" t="s">
        <v>3023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 t="str">
        <f t="shared" si="1"/>
        <v>Built-up :</v>
      </c>
      <c r="AE281" s="7" t="str">
        <f t="shared" si="2"/>
        <v> sq. ft.</v>
      </c>
      <c r="AF281">
        <f>IFERROR(__xludf.DUMMYFUNCTION("VALUE(REGEXREPLACE(G281,""[^[:digit:]]"", """"))"),1200.0)</f>
        <v>1200</v>
      </c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 t="s">
        <v>22</v>
      </c>
    </row>
    <row r="282">
      <c r="A282" s="7" t="s">
        <v>17</v>
      </c>
      <c r="B282" s="7" t="s">
        <v>424</v>
      </c>
      <c r="C282" s="7">
        <f>2</f>
        <v>2</v>
      </c>
      <c r="D282" s="7">
        <v>1.0</v>
      </c>
      <c r="E282" s="7">
        <v>1.0</v>
      </c>
      <c r="F282" s="7" t="s">
        <v>82</v>
      </c>
      <c r="G282" s="7" t="s">
        <v>425</v>
      </c>
      <c r="H282" s="9" t="s">
        <v>2979</v>
      </c>
      <c r="I282" t="s">
        <v>3156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 t="str">
        <f t="shared" si="1"/>
        <v>Built-up :</v>
      </c>
      <c r="AE282" s="7" t="str">
        <f t="shared" si="2"/>
        <v> sq. ft.</v>
      </c>
      <c r="AF282">
        <f>IFERROR(__xludf.DUMMYFUNCTION("VALUE(REGEXREPLACE(G282,""[^[:digit:]]"", """"))"),1020.0)</f>
        <v>1020</v>
      </c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 t="s">
        <v>22</v>
      </c>
    </row>
    <row r="283">
      <c r="A283" s="7" t="s">
        <v>177</v>
      </c>
      <c r="B283" s="7" t="s">
        <v>426</v>
      </c>
      <c r="C283" s="7">
        <f>3+1</f>
        <v>4</v>
      </c>
      <c r="D283" s="7">
        <v>3.0</v>
      </c>
      <c r="E283" s="7">
        <v>2.0</v>
      </c>
      <c r="F283" s="7" t="s">
        <v>30</v>
      </c>
      <c r="G283" s="7" t="s">
        <v>427</v>
      </c>
      <c r="H283" s="9" t="s">
        <v>2979</v>
      </c>
      <c r="I283" t="s">
        <v>3157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 t="str">
        <f t="shared" si="1"/>
        <v>Built-up :</v>
      </c>
      <c r="AE283" s="7" t="str">
        <f t="shared" si="2"/>
        <v> sq. ft.</v>
      </c>
      <c r="AF283">
        <f>IFERROR(__xludf.DUMMYFUNCTION("VALUE(REGEXREPLACE(G283,""[^[:digit:]]"", """"))"),2095.0)</f>
        <v>2095</v>
      </c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 t="s">
        <v>22</v>
      </c>
    </row>
    <row r="284">
      <c r="A284" s="7" t="s">
        <v>428</v>
      </c>
      <c r="B284" s="7" t="s">
        <v>429</v>
      </c>
      <c r="C284" s="7">
        <f>7</f>
        <v>7</v>
      </c>
      <c r="D284" s="7">
        <v>8.0</v>
      </c>
      <c r="E284" s="7">
        <v>4.0</v>
      </c>
      <c r="F284" s="7" t="s">
        <v>67</v>
      </c>
      <c r="G284" s="7" t="s">
        <v>430</v>
      </c>
      <c r="H284" s="9" t="s">
        <v>2981</v>
      </c>
      <c r="I284" t="s">
        <v>3158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 t="str">
        <f t="shared" si="1"/>
        <v>Land area </v>
      </c>
      <c r="AE284" s="7" t="str">
        <f t="shared" si="2"/>
        <v> sq. ft.</v>
      </c>
      <c r="AF284">
        <f>IFERROR(__xludf.DUMMYFUNCTION("VALUE(REGEXREPLACE(G284,""[^[:digit:]]"", """"))"),6300.0)</f>
        <v>6300</v>
      </c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 t="s">
        <v>103</v>
      </c>
    </row>
    <row r="285">
      <c r="A285" s="7" t="s">
        <v>17</v>
      </c>
      <c r="B285" s="7" t="s">
        <v>120</v>
      </c>
      <c r="C285" s="7">
        <f>3+1</f>
        <v>4</v>
      </c>
      <c r="D285" s="7">
        <v>5.0</v>
      </c>
      <c r="E285" s="7">
        <v>2.0</v>
      </c>
      <c r="F285" s="7" t="s">
        <v>121</v>
      </c>
      <c r="G285" s="7" t="s">
        <v>122</v>
      </c>
      <c r="H285" s="9" t="s">
        <v>2979</v>
      </c>
      <c r="I285" t="s">
        <v>3016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 t="str">
        <f t="shared" si="1"/>
        <v>Built-up :</v>
      </c>
      <c r="AE285" s="7" t="str">
        <f t="shared" si="2"/>
        <v> sq. ft.</v>
      </c>
      <c r="AF285">
        <f>IFERROR(__xludf.DUMMYFUNCTION("VALUE(REGEXREPLACE(G285,""[^[:digit:]]"", """"))"),3897.0)</f>
        <v>3897</v>
      </c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 t="s">
        <v>27</v>
      </c>
    </row>
    <row r="286">
      <c r="A286" s="7" t="s">
        <v>72</v>
      </c>
      <c r="B286" s="7" t="s">
        <v>125</v>
      </c>
      <c r="C286" s="7">
        <f>4+1</f>
        <v>5</v>
      </c>
      <c r="D286" s="7">
        <v>5.0</v>
      </c>
      <c r="E286" s="9">
        <v>2.0</v>
      </c>
      <c r="F286" s="7" t="s">
        <v>83</v>
      </c>
      <c r="G286" s="7" t="s">
        <v>431</v>
      </c>
      <c r="H286" s="9" t="s">
        <v>2979</v>
      </c>
      <c r="I286" t="s">
        <v>3159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 t="str">
        <f t="shared" si="1"/>
        <v>Built-up :</v>
      </c>
      <c r="AE286" s="7" t="str">
        <f t="shared" si="2"/>
        <v> sq. ft.</v>
      </c>
      <c r="AF286">
        <f>IFERROR(__xludf.DUMMYFUNCTION("VALUE(REGEXREPLACE(G286,""[^[:digit:]]"", """"))"),2906.0)</f>
        <v>2906</v>
      </c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 t="s">
        <v>27</v>
      </c>
    </row>
    <row r="287">
      <c r="A287" s="7" t="s">
        <v>432</v>
      </c>
      <c r="B287" s="7" t="s">
        <v>433</v>
      </c>
      <c r="C287" s="7">
        <f>4+2</f>
        <v>6</v>
      </c>
      <c r="D287" s="7">
        <v>6.0</v>
      </c>
      <c r="E287" s="7">
        <v>4.0</v>
      </c>
      <c r="F287" s="7" t="s">
        <v>25</v>
      </c>
      <c r="G287" s="7" t="s">
        <v>434</v>
      </c>
      <c r="H287" s="9" t="s">
        <v>2981</v>
      </c>
      <c r="I287" t="s">
        <v>3160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 t="str">
        <f t="shared" si="1"/>
        <v>Land area </v>
      </c>
      <c r="AE287" s="7" t="str">
        <f t="shared" si="2"/>
        <v> sq. ft.</v>
      </c>
      <c r="AF287">
        <f>IFERROR(__xludf.DUMMYFUNCTION("VALUE(REGEXREPLACE(G287,""[^[:digit:]]"", """"))"),8611.0)</f>
        <v>8611</v>
      </c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 t="s">
        <v>22</v>
      </c>
    </row>
    <row r="288">
      <c r="A288" s="7" t="s">
        <v>77</v>
      </c>
      <c r="B288" s="7" t="s">
        <v>260</v>
      </c>
      <c r="C288" s="7">
        <f>3+2</f>
        <v>5</v>
      </c>
      <c r="D288" s="7">
        <v>4.0</v>
      </c>
      <c r="E288" s="7">
        <v>2.0</v>
      </c>
      <c r="F288" s="7" t="s">
        <v>30</v>
      </c>
      <c r="G288" s="7" t="s">
        <v>435</v>
      </c>
      <c r="H288" s="9" t="s">
        <v>2979</v>
      </c>
      <c r="I288" t="s">
        <v>3161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 t="str">
        <f t="shared" si="1"/>
        <v>Built-up :</v>
      </c>
      <c r="AE288" s="7" t="str">
        <f t="shared" si="2"/>
        <v> sq. ft.</v>
      </c>
      <c r="AF288">
        <f>IFERROR(__xludf.DUMMYFUNCTION("VALUE(REGEXREPLACE(G288,""[^[:digit:]]"", """"))"),1917.0)</f>
        <v>1917</v>
      </c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 t="s">
        <v>27</v>
      </c>
    </row>
    <row r="289">
      <c r="A289" s="7" t="s">
        <v>86</v>
      </c>
      <c r="B289" s="7" t="s">
        <v>229</v>
      </c>
      <c r="C289" s="7">
        <f>3</f>
        <v>3</v>
      </c>
      <c r="D289" s="7">
        <v>2.0</v>
      </c>
      <c r="E289" s="7">
        <v>2.0</v>
      </c>
      <c r="F289" s="7" t="s">
        <v>93</v>
      </c>
      <c r="G289" s="7" t="s">
        <v>303</v>
      </c>
      <c r="H289" s="9" t="s">
        <v>2979</v>
      </c>
      <c r="I289" t="s">
        <v>3099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 t="str">
        <f t="shared" si="1"/>
        <v>Built-up :</v>
      </c>
      <c r="AE289" s="7" t="str">
        <f t="shared" si="2"/>
        <v> sq. ft.</v>
      </c>
      <c r="AF289">
        <f>IFERROR(__xludf.DUMMYFUNCTION("VALUE(REGEXREPLACE(G289,""[^[:digit:]]"", """"))"),1485.0)</f>
        <v>1485</v>
      </c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 t="s">
        <v>22</v>
      </c>
    </row>
    <row r="290">
      <c r="A290" s="7" t="s">
        <v>17</v>
      </c>
      <c r="B290" s="7" t="s">
        <v>436</v>
      </c>
      <c r="C290" s="7">
        <f>1</f>
        <v>1</v>
      </c>
      <c r="D290" s="7">
        <v>1.0</v>
      </c>
      <c r="E290" s="7">
        <v>1.0</v>
      </c>
      <c r="F290" s="7" t="s">
        <v>93</v>
      </c>
      <c r="H290" s="9" t="s">
        <v>2984</v>
      </c>
      <c r="I290" t="s">
        <v>2985</v>
      </c>
      <c r="AD290" s="7" t="str">
        <f t="shared" si="1"/>
        <v/>
      </c>
      <c r="AE290" s="7" t="str">
        <f t="shared" si="2"/>
        <v/>
      </c>
      <c r="AF290">
        <f>IFERROR(__xludf.DUMMYFUNCTION("VALUE(REGEXREPLACE(G290,""[^[:digit:]]"", """"))"),0.0)</f>
        <v>0</v>
      </c>
      <c r="AS290" s="7" t="s">
        <v>27</v>
      </c>
    </row>
    <row r="291">
      <c r="A291" s="7" t="s">
        <v>437</v>
      </c>
      <c r="B291" s="7" t="s">
        <v>438</v>
      </c>
      <c r="C291" s="7">
        <f>2</f>
        <v>2</v>
      </c>
      <c r="D291" s="7">
        <v>2.0</v>
      </c>
      <c r="E291" s="7">
        <v>1.0</v>
      </c>
      <c r="F291" s="7" t="s">
        <v>30</v>
      </c>
      <c r="G291" s="7" t="s">
        <v>439</v>
      </c>
      <c r="H291" s="9" t="s">
        <v>2979</v>
      </c>
      <c r="I291" t="s">
        <v>3162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 t="str">
        <f t="shared" si="1"/>
        <v>Built-up :</v>
      </c>
      <c r="AE291" s="7" t="str">
        <f t="shared" si="2"/>
        <v> sq. ft.</v>
      </c>
      <c r="AF291">
        <f>IFERROR(__xludf.DUMMYFUNCTION("VALUE(REGEXREPLACE(G291,""[^[:digit:]]"", """"))"),577.0)</f>
        <v>577</v>
      </c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 t="s">
        <v>27</v>
      </c>
    </row>
    <row r="292">
      <c r="A292" s="7" t="s">
        <v>32</v>
      </c>
      <c r="B292" s="7" t="s">
        <v>139</v>
      </c>
      <c r="C292" s="7">
        <f t="shared" ref="C292:C293" si="26">4+1</f>
        <v>5</v>
      </c>
      <c r="D292" s="7">
        <v>4.0</v>
      </c>
      <c r="E292" s="9">
        <v>2.0</v>
      </c>
      <c r="F292" s="7" t="s">
        <v>67</v>
      </c>
      <c r="G292" s="7" t="s">
        <v>440</v>
      </c>
      <c r="H292" s="9" t="s">
        <v>2981</v>
      </c>
      <c r="I292" t="s">
        <v>3163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 t="str">
        <f t="shared" si="1"/>
        <v>Land area </v>
      </c>
      <c r="AE292" s="7" t="str">
        <f t="shared" si="2"/>
        <v> sq. ft.</v>
      </c>
      <c r="AF292">
        <f>IFERROR(__xludf.DUMMYFUNCTION("VALUE(REGEXREPLACE(G292,""[^[:digit:]]"", """"))"),5320.0)</f>
        <v>5320</v>
      </c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>
      <c r="A293" s="7" t="s">
        <v>441</v>
      </c>
      <c r="B293" s="7" t="s">
        <v>442</v>
      </c>
      <c r="C293" s="7">
        <f t="shared" si="26"/>
        <v>5</v>
      </c>
      <c r="D293" s="7">
        <v>6.0</v>
      </c>
      <c r="E293" s="7">
        <v>3.0</v>
      </c>
      <c r="F293" s="7" t="s">
        <v>443</v>
      </c>
      <c r="G293" s="7" t="s">
        <v>444</v>
      </c>
      <c r="H293" s="9" t="s">
        <v>2981</v>
      </c>
      <c r="I293" t="s">
        <v>3164</v>
      </c>
      <c r="J293" s="7"/>
      <c r="K293" s="7"/>
      <c r="L293" s="7"/>
      <c r="M293" s="7"/>
      <c r="N293" s="7"/>
      <c r="O293" s="7"/>
      <c r="P293" s="7"/>
      <c r="Q293" s="7"/>
      <c r="R293" s="7"/>
      <c r="S293" s="7" t="s">
        <v>3101</v>
      </c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 t="str">
        <f t="shared" si="1"/>
        <v>Land area </v>
      </c>
      <c r="AE293" s="7" t="str">
        <f t="shared" si="2"/>
        <v> sq. ft.</v>
      </c>
      <c r="AF293">
        <f>IFERROR(__xludf.DUMMYFUNCTION("VALUE(REGEXREPLACE(G293,""[^[:digit:]]"", """"))"),2485.0)</f>
        <v>2485</v>
      </c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 t="s">
        <v>27</v>
      </c>
    </row>
    <row r="294">
      <c r="A294" s="7" t="s">
        <v>17</v>
      </c>
      <c r="B294" s="7" t="s">
        <v>445</v>
      </c>
      <c r="C294" s="7">
        <f>2</f>
        <v>2</v>
      </c>
      <c r="D294" s="7">
        <v>2.0</v>
      </c>
      <c r="E294" s="7">
        <v>1.0</v>
      </c>
      <c r="F294" s="7" t="s">
        <v>82</v>
      </c>
      <c r="G294" s="7" t="s">
        <v>446</v>
      </c>
      <c r="H294" s="9" t="s">
        <v>2979</v>
      </c>
      <c r="I294" t="s">
        <v>3165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 t="str">
        <f t="shared" si="1"/>
        <v>Built-up :</v>
      </c>
      <c r="AE294" s="7" t="str">
        <f t="shared" si="2"/>
        <v> sq. ft.</v>
      </c>
      <c r="AF294">
        <f>IFERROR(__xludf.DUMMYFUNCTION("VALUE(REGEXREPLACE(G294,""[^[:digit:]]"", """"))"),1271.0)</f>
        <v>1271</v>
      </c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>
      <c r="A295" s="7" t="s">
        <v>72</v>
      </c>
      <c r="B295" s="7" t="s">
        <v>189</v>
      </c>
      <c r="C295" s="7">
        <f t="shared" ref="C295:C296" si="27">4+1</f>
        <v>5</v>
      </c>
      <c r="D295" s="7">
        <v>4.0</v>
      </c>
      <c r="E295" s="7">
        <v>2.0</v>
      </c>
      <c r="F295" s="7" t="s">
        <v>30</v>
      </c>
      <c r="G295" s="7" t="s">
        <v>74</v>
      </c>
      <c r="H295" s="9" t="s">
        <v>2979</v>
      </c>
      <c r="I295" t="s">
        <v>2998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 t="str">
        <f t="shared" si="1"/>
        <v>Built-up :</v>
      </c>
      <c r="AE295" s="7" t="str">
        <f t="shared" si="2"/>
        <v> sq. ft.</v>
      </c>
      <c r="AF295">
        <f>IFERROR(__xludf.DUMMYFUNCTION("VALUE(REGEXREPLACE(G295,""[^[:digit:]]"", """"))"),1830.0)</f>
        <v>1830</v>
      </c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 t="s">
        <v>27</v>
      </c>
    </row>
    <row r="296">
      <c r="A296" s="7" t="s">
        <v>52</v>
      </c>
      <c r="B296" s="7" t="s">
        <v>447</v>
      </c>
      <c r="C296" s="7">
        <f t="shared" si="27"/>
        <v>5</v>
      </c>
      <c r="D296" s="7">
        <v>5.0</v>
      </c>
      <c r="E296" s="7">
        <v>2.0</v>
      </c>
      <c r="F296" s="7" t="s">
        <v>30</v>
      </c>
      <c r="G296" s="7" t="s">
        <v>154</v>
      </c>
      <c r="H296" s="9" t="s">
        <v>2979</v>
      </c>
      <c r="I296" t="s">
        <v>3030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 t="str">
        <f t="shared" si="1"/>
        <v>Built-up :</v>
      </c>
      <c r="AE296" s="7" t="str">
        <f t="shared" si="2"/>
        <v> sq. ft.</v>
      </c>
      <c r="AF296">
        <f>IFERROR(__xludf.DUMMYFUNCTION("VALUE(REGEXREPLACE(G296,""[^[:digit:]]"", """"))"),3628.0)</f>
        <v>3628</v>
      </c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>
      <c r="A297" s="7" t="s">
        <v>72</v>
      </c>
      <c r="B297" s="7" t="s">
        <v>448</v>
      </c>
      <c r="C297" s="7">
        <f>3+1</f>
        <v>4</v>
      </c>
      <c r="D297" s="7">
        <v>4.0</v>
      </c>
      <c r="E297" s="7">
        <v>2.0</v>
      </c>
      <c r="F297" s="7" t="s">
        <v>83</v>
      </c>
      <c r="G297" s="7" t="s">
        <v>449</v>
      </c>
      <c r="H297" s="9" t="s">
        <v>2979</v>
      </c>
      <c r="I297" t="s">
        <v>3166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 t="str">
        <f t="shared" si="1"/>
        <v>Built-up :</v>
      </c>
      <c r="AE297" s="7" t="str">
        <f t="shared" si="2"/>
        <v> sq. ft.</v>
      </c>
      <c r="AF297">
        <f>IFERROR(__xludf.DUMMYFUNCTION("VALUE(REGEXREPLACE(G297,""[^[:digit:]]"", """"))"),1499.0)</f>
        <v>1499</v>
      </c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 t="s">
        <v>27</v>
      </c>
    </row>
    <row r="298">
      <c r="A298" s="7" t="s">
        <v>72</v>
      </c>
      <c r="B298" s="7" t="s">
        <v>98</v>
      </c>
      <c r="C298" s="7">
        <f>4+1</f>
        <v>5</v>
      </c>
      <c r="D298" s="7">
        <v>4.0</v>
      </c>
      <c r="E298" s="7">
        <v>2.0</v>
      </c>
      <c r="F298" s="7" t="s">
        <v>83</v>
      </c>
      <c r="G298" s="7" t="s">
        <v>450</v>
      </c>
      <c r="H298" s="9" t="s">
        <v>2979</v>
      </c>
      <c r="I298" t="s">
        <v>3167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 t="str">
        <f t="shared" si="1"/>
        <v>Built-up :</v>
      </c>
      <c r="AE298" s="7" t="str">
        <f t="shared" si="2"/>
        <v> sq. ft.</v>
      </c>
      <c r="AF298">
        <f>IFERROR(__xludf.DUMMYFUNCTION("VALUE(REGEXREPLACE(G298,""[^[:digit:]]"", """"))"),1832.0)</f>
        <v>1832</v>
      </c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 t="s">
        <v>27</v>
      </c>
    </row>
    <row r="299">
      <c r="A299" s="7" t="s">
        <v>441</v>
      </c>
      <c r="B299" s="7" t="s">
        <v>442</v>
      </c>
      <c r="C299" s="7">
        <f>5+1</f>
        <v>6</v>
      </c>
      <c r="D299" s="7">
        <v>6.0</v>
      </c>
      <c r="E299" s="7">
        <v>3.0</v>
      </c>
      <c r="F299" s="7" t="s">
        <v>451</v>
      </c>
      <c r="G299" s="7" t="s">
        <v>444</v>
      </c>
      <c r="H299" s="9" t="s">
        <v>2981</v>
      </c>
      <c r="I299" t="s">
        <v>3164</v>
      </c>
      <c r="J299" s="7"/>
      <c r="K299" s="7"/>
      <c r="L299" s="7"/>
      <c r="M299" s="7"/>
      <c r="N299" s="7"/>
      <c r="O299" s="7"/>
      <c r="P299" s="7"/>
      <c r="Q299" s="7"/>
      <c r="R299" s="7"/>
      <c r="S299" s="7" t="s">
        <v>3101</v>
      </c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 t="str">
        <f t="shared" si="1"/>
        <v>Land area </v>
      </c>
      <c r="AE299" s="7" t="str">
        <f t="shared" si="2"/>
        <v> sq. ft.</v>
      </c>
      <c r="AF299">
        <f>IFERROR(__xludf.DUMMYFUNCTION("VALUE(REGEXREPLACE(G299,""[^[:digit:]]"", """"))"),2485.0)</f>
        <v>2485</v>
      </c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 t="s">
        <v>27</v>
      </c>
    </row>
    <row r="300">
      <c r="A300" s="7" t="s">
        <v>17</v>
      </c>
      <c r="B300" s="7" t="s">
        <v>53</v>
      </c>
      <c r="C300" s="7">
        <f>3+1</f>
        <v>4</v>
      </c>
      <c r="D300" s="7">
        <v>2.0</v>
      </c>
      <c r="E300" s="7">
        <v>3.0</v>
      </c>
      <c r="F300" s="7" t="s">
        <v>83</v>
      </c>
      <c r="G300" s="7" t="s">
        <v>190</v>
      </c>
      <c r="H300" s="9" t="s">
        <v>2979</v>
      </c>
      <c r="I300" t="s">
        <v>3044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 t="str">
        <f t="shared" si="1"/>
        <v>Built-up :</v>
      </c>
      <c r="AE300" s="7" t="str">
        <f t="shared" si="2"/>
        <v> sq. ft.</v>
      </c>
      <c r="AF300">
        <f>IFERROR(__xludf.DUMMYFUNCTION("VALUE(REGEXREPLACE(G300,""[^[:digit:]]"", """"))"),1159.0)</f>
        <v>1159</v>
      </c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 t="s">
        <v>22</v>
      </c>
    </row>
    <row r="301">
      <c r="A301" s="7" t="s">
        <v>17</v>
      </c>
      <c r="B301" s="7" t="s">
        <v>452</v>
      </c>
      <c r="C301" s="7">
        <f>3</f>
        <v>3</v>
      </c>
      <c r="D301" s="7">
        <v>3.0</v>
      </c>
      <c r="E301" s="7">
        <v>2.0</v>
      </c>
      <c r="F301" s="7" t="s">
        <v>83</v>
      </c>
      <c r="G301" s="7" t="s">
        <v>453</v>
      </c>
      <c r="H301" s="9" t="s">
        <v>2979</v>
      </c>
      <c r="I301" t="s">
        <v>3168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 t="str">
        <f t="shared" si="1"/>
        <v>Built-up :</v>
      </c>
      <c r="AE301" s="7" t="str">
        <f t="shared" si="2"/>
        <v> sq. ft.</v>
      </c>
      <c r="AF301">
        <f>IFERROR(__xludf.DUMMYFUNCTION("VALUE(REGEXREPLACE(G301,""[^[:digit:]]"", """"))"),1502.0)</f>
        <v>1502</v>
      </c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 t="s">
        <v>22</v>
      </c>
    </row>
    <row r="302">
      <c r="A302" s="7" t="s">
        <v>17</v>
      </c>
      <c r="B302" s="7" t="s">
        <v>448</v>
      </c>
      <c r="C302" s="7">
        <f>2</f>
        <v>2</v>
      </c>
      <c r="D302" s="7">
        <v>2.0</v>
      </c>
      <c r="E302" s="7">
        <v>1.0</v>
      </c>
      <c r="F302" s="7" t="s">
        <v>93</v>
      </c>
      <c r="G302" s="7" t="s">
        <v>213</v>
      </c>
      <c r="H302" s="9" t="s">
        <v>2979</v>
      </c>
      <c r="I302" t="s">
        <v>3055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 t="str">
        <f t="shared" si="1"/>
        <v>Built-up :</v>
      </c>
      <c r="AE302" s="7" t="str">
        <f t="shared" si="2"/>
        <v> sq. ft.</v>
      </c>
      <c r="AF302">
        <f>IFERROR(__xludf.DUMMYFUNCTION("VALUE(REGEXREPLACE(G302,""[^[:digit:]]"", """"))"),976.0)</f>
        <v>976</v>
      </c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 t="s">
        <v>22</v>
      </c>
    </row>
    <row r="303">
      <c r="A303" s="7" t="s">
        <v>17</v>
      </c>
      <c r="B303" s="7" t="s">
        <v>120</v>
      </c>
      <c r="C303" s="7">
        <f>4+1</f>
        <v>5</v>
      </c>
      <c r="D303" s="7">
        <v>5.0</v>
      </c>
      <c r="E303" s="7">
        <v>2.0</v>
      </c>
      <c r="F303" s="7" t="s">
        <v>121</v>
      </c>
      <c r="G303" s="7" t="s">
        <v>454</v>
      </c>
      <c r="H303" s="9" t="s">
        <v>2981</v>
      </c>
      <c r="I303" t="s">
        <v>3169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 t="str">
        <f t="shared" si="1"/>
        <v>Land area </v>
      </c>
      <c r="AE303" s="7" t="str">
        <f t="shared" si="2"/>
        <v> sq. ft.</v>
      </c>
      <c r="AF303">
        <f>IFERROR(__xludf.DUMMYFUNCTION("VALUE(REGEXREPLACE(G303,""[^[:digit:]]"", """"))"),3897.0)</f>
        <v>3897</v>
      </c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 t="s">
        <v>27</v>
      </c>
    </row>
    <row r="304">
      <c r="A304" s="7" t="s">
        <v>17</v>
      </c>
      <c r="B304" s="7" t="s">
        <v>415</v>
      </c>
      <c r="C304" s="7">
        <f>2</f>
        <v>2</v>
      </c>
      <c r="D304" s="7">
        <v>2.0</v>
      </c>
      <c r="E304" s="7">
        <v>1.0</v>
      </c>
      <c r="F304" s="7" t="s">
        <v>83</v>
      </c>
      <c r="G304" s="7" t="s">
        <v>240</v>
      </c>
      <c r="H304" s="9" t="s">
        <v>2979</v>
      </c>
      <c r="I304" t="s">
        <v>3071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 t="str">
        <f t="shared" si="1"/>
        <v>Built-up :</v>
      </c>
      <c r="AE304" s="7" t="str">
        <f t="shared" si="2"/>
        <v> sq. ft.</v>
      </c>
      <c r="AF304">
        <f>IFERROR(__xludf.DUMMYFUNCTION("VALUE(REGEXREPLACE(G304,""[^[:digit:]]"", """"))"),736.0)</f>
        <v>736</v>
      </c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 t="s">
        <v>27</v>
      </c>
    </row>
    <row r="305">
      <c r="A305" s="7" t="s">
        <v>72</v>
      </c>
      <c r="B305" s="7" t="s">
        <v>455</v>
      </c>
      <c r="E305" s="7">
        <v>3.0</v>
      </c>
      <c r="F305" s="7" t="s">
        <v>83</v>
      </c>
      <c r="G305" s="7" t="s">
        <v>456</v>
      </c>
      <c r="H305" s="9" t="s">
        <v>2979</v>
      </c>
      <c r="I305" t="s">
        <v>3170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 t="str">
        <f t="shared" si="1"/>
        <v>Built-up :</v>
      </c>
      <c r="AE305" s="7" t="str">
        <f t="shared" si="2"/>
        <v> sq. ft.</v>
      </c>
      <c r="AF305">
        <f>IFERROR(__xludf.DUMMYFUNCTION("VALUE(REGEXREPLACE(G305,""[^[:digit:]]"", """"))"),2973.0)</f>
        <v>2973</v>
      </c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>
      <c r="A306" s="7" t="s">
        <v>17</v>
      </c>
      <c r="B306" s="7" t="s">
        <v>448</v>
      </c>
      <c r="C306" s="7">
        <f>2</f>
        <v>2</v>
      </c>
      <c r="D306" s="7">
        <v>2.0</v>
      </c>
      <c r="E306" s="7">
        <v>1.0</v>
      </c>
      <c r="F306" s="7" t="s">
        <v>83</v>
      </c>
      <c r="H306" s="9" t="s">
        <v>2984</v>
      </c>
      <c r="I306" t="s">
        <v>2985</v>
      </c>
      <c r="AD306" s="7" t="str">
        <f t="shared" si="1"/>
        <v/>
      </c>
      <c r="AE306" s="7" t="str">
        <f t="shared" si="2"/>
        <v/>
      </c>
      <c r="AF306">
        <f>IFERROR(__xludf.DUMMYFUNCTION("VALUE(REGEXREPLACE(G306,""[^[:digit:]]"", """"))"),0.0)</f>
        <v>0</v>
      </c>
    </row>
    <row r="307">
      <c r="A307" s="7" t="s">
        <v>17</v>
      </c>
      <c r="B307" s="7" t="s">
        <v>457</v>
      </c>
      <c r="C307" s="7">
        <f>1</f>
        <v>1</v>
      </c>
      <c r="D307" s="7">
        <v>1.0</v>
      </c>
      <c r="E307" s="7">
        <v>1.0</v>
      </c>
      <c r="F307" s="7" t="s">
        <v>83</v>
      </c>
      <c r="G307" s="7" t="s">
        <v>393</v>
      </c>
      <c r="H307" s="9" t="s">
        <v>2979</v>
      </c>
      <c r="I307" t="s">
        <v>3142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 t="str">
        <f t="shared" si="1"/>
        <v>Built-up :</v>
      </c>
      <c r="AE307" s="7" t="str">
        <f t="shared" si="2"/>
        <v> sq. ft.</v>
      </c>
      <c r="AF307">
        <f>IFERROR(__xludf.DUMMYFUNCTION("VALUE(REGEXREPLACE(G307,""[^[:digit:]]"", """"))"),751.0)</f>
        <v>751</v>
      </c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 t="s">
        <v>27</v>
      </c>
    </row>
    <row r="308">
      <c r="A308" s="7" t="s">
        <v>17</v>
      </c>
      <c r="B308" s="7" t="s">
        <v>458</v>
      </c>
      <c r="C308" s="7">
        <f>2</f>
        <v>2</v>
      </c>
      <c r="D308" s="7">
        <v>2.0</v>
      </c>
      <c r="E308" s="7">
        <v>2.0</v>
      </c>
      <c r="F308" s="7" t="s">
        <v>121</v>
      </c>
      <c r="G308" s="7" t="s">
        <v>459</v>
      </c>
      <c r="H308" s="9" t="s">
        <v>2979</v>
      </c>
      <c r="I308" t="s">
        <v>3171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 t="str">
        <f t="shared" si="1"/>
        <v>Built-up :</v>
      </c>
      <c r="AE308" s="7" t="str">
        <f t="shared" si="2"/>
        <v> sq. ft.</v>
      </c>
      <c r="AF308">
        <f>IFERROR(__xludf.DUMMYFUNCTION("VALUE(REGEXREPLACE(G308,""[^[:digit:]]"", """"))"),1114.0)</f>
        <v>1114</v>
      </c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 t="s">
        <v>22</v>
      </c>
    </row>
    <row r="309">
      <c r="A309" s="7" t="s">
        <v>77</v>
      </c>
      <c r="B309" s="7" t="s">
        <v>460</v>
      </c>
      <c r="C309" s="7">
        <f>3</f>
        <v>3</v>
      </c>
      <c r="D309" s="7">
        <v>3.0</v>
      </c>
      <c r="E309" s="9">
        <v>2.0</v>
      </c>
      <c r="F309" s="7" t="s">
        <v>90</v>
      </c>
      <c r="G309" s="7" t="s">
        <v>461</v>
      </c>
      <c r="H309" s="9" t="s">
        <v>2979</v>
      </c>
      <c r="I309" t="s">
        <v>3172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 t="str">
        <f t="shared" si="1"/>
        <v>Built-up :</v>
      </c>
      <c r="AE309" s="7" t="str">
        <f t="shared" si="2"/>
        <v> sq. ft.</v>
      </c>
      <c r="AF309">
        <f>IFERROR(__xludf.DUMMYFUNCTION("VALUE(REGEXREPLACE(G309,""[^[:digit:]]"", """"))"),1900.0)</f>
        <v>1900</v>
      </c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 t="s">
        <v>27</v>
      </c>
    </row>
    <row r="310">
      <c r="A310" s="7" t="s">
        <v>23</v>
      </c>
      <c r="B310" s="7" t="s">
        <v>462</v>
      </c>
      <c r="C310" s="7">
        <f>1+1</f>
        <v>2</v>
      </c>
      <c r="D310" s="7">
        <v>2.0</v>
      </c>
      <c r="E310" s="7">
        <v>1.0</v>
      </c>
      <c r="F310" s="7" t="s">
        <v>20</v>
      </c>
      <c r="G310" s="7" t="s">
        <v>463</v>
      </c>
      <c r="H310" s="9" t="s">
        <v>2979</v>
      </c>
      <c r="I310" t="s">
        <v>3173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 t="str">
        <f t="shared" si="1"/>
        <v>Built-up :</v>
      </c>
      <c r="AE310" s="7" t="str">
        <f t="shared" si="2"/>
        <v> sq. ft.</v>
      </c>
      <c r="AF310">
        <f>IFERROR(__xludf.DUMMYFUNCTION("VALUE(REGEXREPLACE(G310,""[^[:digit:]]"", """"))"),1194.0)</f>
        <v>1194</v>
      </c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 t="s">
        <v>27</v>
      </c>
    </row>
    <row r="311">
      <c r="A311" s="7" t="s">
        <v>77</v>
      </c>
      <c r="B311" s="7" t="s">
        <v>327</v>
      </c>
      <c r="C311" s="7">
        <f>2+1</f>
        <v>3</v>
      </c>
      <c r="D311" s="7">
        <v>3.0</v>
      </c>
      <c r="E311" s="7">
        <v>2.0</v>
      </c>
      <c r="F311" s="7" t="s">
        <v>93</v>
      </c>
      <c r="G311" s="7" t="s">
        <v>464</v>
      </c>
      <c r="H311" s="9" t="s">
        <v>2979</v>
      </c>
      <c r="I311" t="s">
        <v>3174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 t="str">
        <f t="shared" si="1"/>
        <v>Built-up :</v>
      </c>
      <c r="AE311" s="7" t="str">
        <f t="shared" si="2"/>
        <v> sq. ft.</v>
      </c>
      <c r="AF311">
        <f>IFERROR(__xludf.DUMMYFUNCTION("VALUE(REGEXREPLACE(G311,""[^[:digit:]]"", """"))"),1367.0)</f>
        <v>1367</v>
      </c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 t="s">
        <v>27</v>
      </c>
    </row>
    <row r="312">
      <c r="A312" s="7" t="s">
        <v>262</v>
      </c>
      <c r="B312" s="7" t="s">
        <v>465</v>
      </c>
      <c r="C312" s="7">
        <f>7</f>
        <v>7</v>
      </c>
      <c r="D312" s="7">
        <v>7.0</v>
      </c>
      <c r="E312" s="7">
        <v>6.0</v>
      </c>
      <c r="F312" s="7" t="s">
        <v>67</v>
      </c>
      <c r="G312" s="7" t="s">
        <v>466</v>
      </c>
      <c r="H312" s="9" t="s">
        <v>2981</v>
      </c>
      <c r="I312" t="s">
        <v>3175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 t="str">
        <f t="shared" si="1"/>
        <v>Land area </v>
      </c>
      <c r="AE312" s="7" t="str">
        <f t="shared" si="2"/>
        <v> sq. ft.</v>
      </c>
      <c r="AF312">
        <f>IFERROR(__xludf.DUMMYFUNCTION("VALUE(REGEXREPLACE(G312,""[^[:digit:]]"", """"))"),10600.0)</f>
        <v>10600</v>
      </c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 t="s">
        <v>27</v>
      </c>
    </row>
    <row r="313">
      <c r="A313" s="7" t="s">
        <v>23</v>
      </c>
      <c r="B313" s="7" t="s">
        <v>350</v>
      </c>
      <c r="C313" s="7">
        <f>5+1</f>
        <v>6</v>
      </c>
      <c r="D313" s="7">
        <v>4.0</v>
      </c>
      <c r="E313" s="7">
        <v>6.0</v>
      </c>
      <c r="F313" s="7" t="s">
        <v>67</v>
      </c>
      <c r="G313" s="7" t="s">
        <v>467</v>
      </c>
      <c r="H313" s="9" t="s">
        <v>2981</v>
      </c>
      <c r="I313" t="s">
        <v>3176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 t="str">
        <f t="shared" si="1"/>
        <v>Land area </v>
      </c>
      <c r="AE313" s="7" t="str">
        <f t="shared" si="2"/>
        <v> sq. ft.</v>
      </c>
      <c r="AF313">
        <f>IFERROR(__xludf.DUMMYFUNCTION("VALUE(REGEXREPLACE(G313,""[^[:digit:]]"", """"))"),7880.0)</f>
        <v>7880</v>
      </c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 t="s">
        <v>27</v>
      </c>
    </row>
    <row r="314">
      <c r="A314" s="7" t="s">
        <v>77</v>
      </c>
      <c r="B314" s="7" t="s">
        <v>468</v>
      </c>
      <c r="C314" s="7">
        <f t="shared" ref="C314:C315" si="28">3+1</f>
        <v>4</v>
      </c>
      <c r="D314" s="7">
        <v>4.0</v>
      </c>
      <c r="E314" s="9">
        <v>2.0</v>
      </c>
      <c r="F314" s="7" t="s">
        <v>54</v>
      </c>
      <c r="G314" s="7" t="s">
        <v>469</v>
      </c>
      <c r="H314" s="9" t="s">
        <v>2981</v>
      </c>
      <c r="I314" t="s">
        <v>3177</v>
      </c>
      <c r="J314" s="7"/>
      <c r="K314" s="7"/>
      <c r="L314" s="7"/>
      <c r="M314" s="7"/>
      <c r="N314" s="7"/>
      <c r="O314" s="7"/>
      <c r="P314" s="7"/>
      <c r="Q314" s="7"/>
      <c r="R314" s="7"/>
      <c r="S314" s="7" t="s">
        <v>3178</v>
      </c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 t="str">
        <f t="shared" si="1"/>
        <v>Land area </v>
      </c>
      <c r="AE314" s="7" t="str">
        <f t="shared" si="2"/>
        <v> sq. ft.</v>
      </c>
      <c r="AF314">
        <f>IFERROR(__xludf.DUMMYFUNCTION("VALUE(REGEXREPLACE(G314,""[^[:digit:]]"", """"))"),2289.0)</f>
        <v>2289</v>
      </c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 t="s">
        <v>27</v>
      </c>
    </row>
    <row r="315">
      <c r="A315" s="7" t="s">
        <v>77</v>
      </c>
      <c r="B315" s="7" t="s">
        <v>422</v>
      </c>
      <c r="C315" s="7">
        <f t="shared" si="28"/>
        <v>4</v>
      </c>
      <c r="D315" s="7">
        <v>4.0</v>
      </c>
      <c r="E315" s="9">
        <v>2.0</v>
      </c>
      <c r="F315" s="7" t="s">
        <v>54</v>
      </c>
      <c r="G315" s="7" t="s">
        <v>283</v>
      </c>
      <c r="H315" s="9" t="s">
        <v>2981</v>
      </c>
      <c r="I315" t="s">
        <v>3091</v>
      </c>
      <c r="J315" s="7"/>
      <c r="K315" s="7"/>
      <c r="L315" s="7"/>
      <c r="M315" s="7"/>
      <c r="N315" s="7"/>
      <c r="O315" s="7"/>
      <c r="P315" s="7"/>
      <c r="Q315" s="7"/>
      <c r="R315" s="7"/>
      <c r="S315" s="7" t="s">
        <v>2990</v>
      </c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 t="str">
        <f t="shared" si="1"/>
        <v>Land area </v>
      </c>
      <c r="AE315" s="7" t="str">
        <f t="shared" si="2"/>
        <v> sq. ft.</v>
      </c>
      <c r="AF315">
        <f>IFERROR(__xludf.DUMMYFUNCTION("VALUE(REGEXREPLACE(G315,""[^[:digit:]]"", """"))"),2275.0)</f>
        <v>2275</v>
      </c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 t="s">
        <v>27</v>
      </c>
    </row>
    <row r="316">
      <c r="A316" s="7" t="s">
        <v>77</v>
      </c>
      <c r="B316" s="7" t="s">
        <v>329</v>
      </c>
      <c r="C316" s="7">
        <f>2</f>
        <v>2</v>
      </c>
      <c r="D316" s="7">
        <v>2.0</v>
      </c>
      <c r="E316" s="9">
        <v>2.0</v>
      </c>
      <c r="F316" s="7" t="s">
        <v>470</v>
      </c>
      <c r="G316" s="7" t="s">
        <v>471</v>
      </c>
      <c r="H316" s="9" t="s">
        <v>2979</v>
      </c>
      <c r="I316" t="s">
        <v>3179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 t="str">
        <f t="shared" si="1"/>
        <v>Built-up :</v>
      </c>
      <c r="AE316" s="7" t="str">
        <f t="shared" si="2"/>
        <v> sq. ft.</v>
      </c>
      <c r="AF316">
        <f>IFERROR(__xludf.DUMMYFUNCTION("VALUE(REGEXREPLACE(G316,""[^[:digit:]]"", """"))"),1400.0)</f>
        <v>1400</v>
      </c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 t="s">
        <v>27</v>
      </c>
    </row>
    <row r="317">
      <c r="A317" s="7" t="s">
        <v>177</v>
      </c>
      <c r="B317" s="7" t="s">
        <v>403</v>
      </c>
      <c r="C317" s="7">
        <f>3</f>
        <v>3</v>
      </c>
      <c r="D317" s="7">
        <v>2.0</v>
      </c>
      <c r="E317" s="7">
        <v>2.0</v>
      </c>
      <c r="F317" s="7" t="s">
        <v>470</v>
      </c>
      <c r="G317" s="7" t="s">
        <v>400</v>
      </c>
      <c r="H317" s="9" t="s">
        <v>2979</v>
      </c>
      <c r="I317" t="s">
        <v>3145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 t="str">
        <f t="shared" si="1"/>
        <v>Built-up :</v>
      </c>
      <c r="AE317" s="7" t="str">
        <f t="shared" si="2"/>
        <v> sq. ft.</v>
      </c>
      <c r="AF317">
        <f>IFERROR(__xludf.DUMMYFUNCTION("VALUE(REGEXREPLACE(G317,""[^[:digit:]]"", """"))"),2400.0)</f>
        <v>2400</v>
      </c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 t="s">
        <v>27</v>
      </c>
    </row>
    <row r="318">
      <c r="A318" s="7" t="s">
        <v>77</v>
      </c>
      <c r="B318" s="7" t="s">
        <v>472</v>
      </c>
      <c r="C318" s="7">
        <f t="shared" ref="C318:C320" si="29">3+1</f>
        <v>4</v>
      </c>
      <c r="D318" s="7">
        <v>3.0</v>
      </c>
      <c r="E318" s="7">
        <v>2.0</v>
      </c>
      <c r="F318" s="7" t="s">
        <v>30</v>
      </c>
      <c r="G318" s="7" t="s">
        <v>473</v>
      </c>
      <c r="H318" s="9" t="s">
        <v>2979</v>
      </c>
      <c r="I318" t="s">
        <v>3180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 t="str">
        <f t="shared" si="1"/>
        <v>Built-up :</v>
      </c>
      <c r="AE318" s="7" t="str">
        <f t="shared" si="2"/>
        <v> sq. ft.</v>
      </c>
      <c r="AF318">
        <f>IFERROR(__xludf.DUMMYFUNCTION("VALUE(REGEXREPLACE(G318,""[^[:digit:]]"", """"))"),1690.0)</f>
        <v>1690</v>
      </c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 t="s">
        <v>22</v>
      </c>
    </row>
    <row r="319">
      <c r="A319" s="7" t="s">
        <v>77</v>
      </c>
      <c r="B319" s="7" t="s">
        <v>78</v>
      </c>
      <c r="C319" s="7">
        <f t="shared" si="29"/>
        <v>4</v>
      </c>
      <c r="D319" s="7">
        <v>2.0</v>
      </c>
      <c r="E319" s="7">
        <v>2.0</v>
      </c>
      <c r="F319" s="7" t="s">
        <v>93</v>
      </c>
      <c r="G319" s="7" t="s">
        <v>474</v>
      </c>
      <c r="H319" s="9" t="s">
        <v>2979</v>
      </c>
      <c r="I319" t="s">
        <v>3181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 t="str">
        <f t="shared" si="1"/>
        <v>Built-up :</v>
      </c>
      <c r="AE319" s="7" t="str">
        <f t="shared" si="2"/>
        <v> sq. ft.</v>
      </c>
      <c r="AF319">
        <f>IFERROR(__xludf.DUMMYFUNCTION("VALUE(REGEXREPLACE(G319,""[^[:digit:]]"", """"))"),1346.0)</f>
        <v>1346</v>
      </c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 t="s">
        <v>22</v>
      </c>
    </row>
    <row r="320">
      <c r="A320" s="7" t="s">
        <v>77</v>
      </c>
      <c r="B320" s="7" t="s">
        <v>475</v>
      </c>
      <c r="C320" s="7">
        <f t="shared" si="29"/>
        <v>4</v>
      </c>
      <c r="D320" s="7">
        <v>4.0</v>
      </c>
      <c r="E320" s="9">
        <v>2.0</v>
      </c>
      <c r="F320" s="7" t="s">
        <v>90</v>
      </c>
      <c r="G320" s="7" t="s">
        <v>476</v>
      </c>
      <c r="H320" s="9" t="s">
        <v>2981</v>
      </c>
      <c r="I320" t="s">
        <v>3182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 t="str">
        <f t="shared" si="1"/>
        <v>Land area </v>
      </c>
      <c r="AE320" s="7" t="str">
        <f t="shared" si="2"/>
        <v> sq. ft.</v>
      </c>
      <c r="AF320">
        <f>IFERROR(__xludf.DUMMYFUNCTION("VALUE(REGEXREPLACE(G320,""[^[:digit:]]"", """"))"),1302.0)</f>
        <v>1302</v>
      </c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 t="s">
        <v>27</v>
      </c>
    </row>
    <row r="321">
      <c r="A321" s="7" t="s">
        <v>77</v>
      </c>
      <c r="B321" s="7" t="s">
        <v>477</v>
      </c>
      <c r="C321" s="7">
        <f>4+1</f>
        <v>5</v>
      </c>
      <c r="D321" s="7">
        <v>4.0</v>
      </c>
      <c r="E321" s="9">
        <v>2.0</v>
      </c>
      <c r="F321" s="7" t="s">
        <v>61</v>
      </c>
      <c r="G321" s="7" t="s">
        <v>478</v>
      </c>
      <c r="H321" s="9" t="s">
        <v>2981</v>
      </c>
      <c r="I321" t="s">
        <v>3183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 t="str">
        <f t="shared" si="1"/>
        <v>Land area </v>
      </c>
      <c r="AE321" s="7" t="str">
        <f t="shared" si="2"/>
        <v> sq. ft.</v>
      </c>
      <c r="AF321">
        <f>IFERROR(__xludf.DUMMYFUNCTION("VALUE(REGEXREPLACE(G321,""[^[:digit:]]"", """"))"),3200.0)</f>
        <v>3200</v>
      </c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 t="s">
        <v>27</v>
      </c>
    </row>
    <row r="322">
      <c r="A322" s="7" t="s">
        <v>77</v>
      </c>
      <c r="B322" s="7" t="s">
        <v>78</v>
      </c>
      <c r="C322" s="7">
        <f>3+1</f>
        <v>4</v>
      </c>
      <c r="D322" s="7">
        <v>3.0</v>
      </c>
      <c r="E322" s="7">
        <v>2.0</v>
      </c>
      <c r="F322" s="7" t="s">
        <v>93</v>
      </c>
      <c r="G322" s="7" t="s">
        <v>471</v>
      </c>
      <c r="H322" s="9" t="s">
        <v>2979</v>
      </c>
      <c r="I322" t="s">
        <v>3179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 t="str">
        <f t="shared" si="1"/>
        <v>Built-up :</v>
      </c>
      <c r="AE322" s="7" t="str">
        <f t="shared" si="2"/>
        <v> sq. ft.</v>
      </c>
      <c r="AF322">
        <f>IFERROR(__xludf.DUMMYFUNCTION("VALUE(REGEXREPLACE(G322,""[^[:digit:]]"", """"))"),1400.0)</f>
        <v>1400</v>
      </c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 t="s">
        <v>27</v>
      </c>
    </row>
    <row r="323">
      <c r="A323" s="7" t="s">
        <v>77</v>
      </c>
      <c r="B323" s="7" t="s">
        <v>479</v>
      </c>
      <c r="C323" s="7">
        <f>6+1</f>
        <v>7</v>
      </c>
      <c r="D323" s="7">
        <v>8.0</v>
      </c>
      <c r="E323" s="9">
        <v>2.0</v>
      </c>
      <c r="F323" s="7" t="s">
        <v>300</v>
      </c>
      <c r="G323" s="7" t="s">
        <v>480</v>
      </c>
      <c r="H323" s="9" t="s">
        <v>2981</v>
      </c>
      <c r="I323" t="s">
        <v>3100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 t="str">
        <f t="shared" si="1"/>
        <v>Land area </v>
      </c>
      <c r="AE323" s="7" t="str">
        <f t="shared" si="2"/>
        <v> sq. ft.</v>
      </c>
      <c r="AF323">
        <f>IFERROR(__xludf.DUMMYFUNCTION("VALUE(REGEXREPLACE(G323,""[^[:digit:]]"", """"))"),2805.0)</f>
        <v>2805</v>
      </c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 t="s">
        <v>27</v>
      </c>
    </row>
    <row r="324">
      <c r="A324" s="7" t="s">
        <v>77</v>
      </c>
      <c r="B324" s="7" t="s">
        <v>214</v>
      </c>
      <c r="C324" s="7">
        <f>2+1</f>
        <v>3</v>
      </c>
      <c r="D324" s="7">
        <v>3.0</v>
      </c>
      <c r="E324" s="7">
        <v>2.0</v>
      </c>
      <c r="F324" s="7" t="s">
        <v>83</v>
      </c>
      <c r="G324" s="7" t="s">
        <v>481</v>
      </c>
      <c r="H324" s="9" t="s">
        <v>2979</v>
      </c>
      <c r="I324" t="s">
        <v>3184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 t="str">
        <f t="shared" si="1"/>
        <v>Built-up :</v>
      </c>
      <c r="AE324" s="7" t="str">
        <f t="shared" si="2"/>
        <v> sq. ft.</v>
      </c>
      <c r="AF324">
        <f>IFERROR(__xludf.DUMMYFUNCTION("VALUE(REGEXREPLACE(G324,""[^[:digit:]]"", """"))"),1507.0)</f>
        <v>1507</v>
      </c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 t="s">
        <v>27</v>
      </c>
    </row>
    <row r="325">
      <c r="A325" s="7" t="s">
        <v>77</v>
      </c>
      <c r="B325" s="7" t="s">
        <v>125</v>
      </c>
      <c r="C325" s="7">
        <f>4</f>
        <v>4</v>
      </c>
      <c r="D325" s="7">
        <v>3.0</v>
      </c>
      <c r="E325" s="9">
        <v>2.0</v>
      </c>
      <c r="F325" s="7" t="s">
        <v>54</v>
      </c>
      <c r="G325" s="7" t="s">
        <v>482</v>
      </c>
      <c r="H325" s="9" t="s">
        <v>2981</v>
      </c>
      <c r="I325" t="s">
        <v>3087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 t="str">
        <f t="shared" si="1"/>
        <v>Land area </v>
      </c>
      <c r="AE325" s="7" t="str">
        <f t="shared" si="2"/>
        <v> sq. ft.</v>
      </c>
      <c r="AF325">
        <f>IFERROR(__xludf.DUMMYFUNCTION("VALUE(REGEXREPLACE(G325,""[^[:digit:]]"", """"))"),1826.0)</f>
        <v>1826</v>
      </c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 t="s">
        <v>27</v>
      </c>
    </row>
    <row r="326">
      <c r="A326" s="7" t="s">
        <v>77</v>
      </c>
      <c r="B326" s="7" t="s">
        <v>306</v>
      </c>
      <c r="C326" s="7">
        <f t="shared" ref="C326:C328" si="30">3+1</f>
        <v>4</v>
      </c>
      <c r="D326" s="7">
        <v>3.0</v>
      </c>
      <c r="E326" s="9">
        <v>2.0</v>
      </c>
      <c r="F326" s="7" t="s">
        <v>54</v>
      </c>
      <c r="G326" s="7" t="s">
        <v>283</v>
      </c>
      <c r="H326" s="9" t="s">
        <v>2981</v>
      </c>
      <c r="I326" t="s">
        <v>3091</v>
      </c>
      <c r="J326" s="7"/>
      <c r="K326" s="7"/>
      <c r="L326" s="7"/>
      <c r="M326" s="7"/>
      <c r="N326" s="7"/>
      <c r="O326" s="7"/>
      <c r="P326" s="7"/>
      <c r="Q326" s="7"/>
      <c r="R326" s="7"/>
      <c r="S326" s="7" t="s">
        <v>2990</v>
      </c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 t="str">
        <f t="shared" si="1"/>
        <v>Land area </v>
      </c>
      <c r="AE326" s="7" t="str">
        <f t="shared" si="2"/>
        <v> sq. ft.</v>
      </c>
      <c r="AF326">
        <f>IFERROR(__xludf.DUMMYFUNCTION("VALUE(REGEXREPLACE(G326,""[^[:digit:]]"", """"))"),2275.0)</f>
        <v>2275</v>
      </c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 t="s">
        <v>27</v>
      </c>
    </row>
    <row r="327">
      <c r="A327" s="7" t="s">
        <v>77</v>
      </c>
      <c r="B327" s="7" t="s">
        <v>45</v>
      </c>
      <c r="C327" s="7">
        <f t="shared" si="30"/>
        <v>4</v>
      </c>
      <c r="D327" s="7">
        <v>3.0</v>
      </c>
      <c r="E327" s="9">
        <v>2.0</v>
      </c>
      <c r="F327" s="7" t="s">
        <v>54</v>
      </c>
      <c r="G327" s="7" t="s">
        <v>483</v>
      </c>
      <c r="H327" s="9" t="s">
        <v>2979</v>
      </c>
      <c r="I327" t="s">
        <v>3185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 t="str">
        <f t="shared" si="1"/>
        <v>Built-up :</v>
      </c>
      <c r="AE327" s="7" t="str">
        <f t="shared" si="2"/>
        <v> sq. ft.</v>
      </c>
      <c r="AF327">
        <f>IFERROR(__xludf.DUMMYFUNCTION("VALUE(REGEXREPLACE(G327,""[^[:digit:]]"", """"))"),2300.0)</f>
        <v>2300</v>
      </c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 t="s">
        <v>22</v>
      </c>
    </row>
    <row r="328">
      <c r="A328" s="7" t="s">
        <v>17</v>
      </c>
      <c r="B328" s="7" t="s">
        <v>484</v>
      </c>
      <c r="C328" s="7">
        <f t="shared" si="30"/>
        <v>4</v>
      </c>
      <c r="D328" s="7">
        <v>4.0</v>
      </c>
      <c r="E328" s="7">
        <v>2.0</v>
      </c>
      <c r="F328" s="7" t="s">
        <v>30</v>
      </c>
      <c r="G328" s="7" t="s">
        <v>485</v>
      </c>
      <c r="H328" s="9" t="s">
        <v>2979</v>
      </c>
      <c r="I328" t="s">
        <v>3186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 t="str">
        <f t="shared" si="1"/>
        <v>Built-up :</v>
      </c>
      <c r="AE328" s="7" t="str">
        <f t="shared" si="2"/>
        <v> sq. ft.</v>
      </c>
      <c r="AF328">
        <f>IFERROR(__xludf.DUMMYFUNCTION("VALUE(REGEXREPLACE(G328,""[^[:digit:]]"", """"))"),2674.0)</f>
        <v>2674</v>
      </c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 t="s">
        <v>27</v>
      </c>
    </row>
    <row r="329">
      <c r="A329" s="7" t="s">
        <v>86</v>
      </c>
      <c r="B329" s="7" t="s">
        <v>87</v>
      </c>
      <c r="C329" s="7">
        <f>1</f>
        <v>1</v>
      </c>
      <c r="D329" s="7">
        <v>1.0</v>
      </c>
      <c r="E329" s="7">
        <v>1.0</v>
      </c>
      <c r="F329" s="7" t="s">
        <v>20</v>
      </c>
      <c r="G329" s="7" t="s">
        <v>88</v>
      </c>
      <c r="H329" s="9" t="s">
        <v>2979</v>
      </c>
      <c r="I329" t="s">
        <v>3002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 t="str">
        <f t="shared" si="1"/>
        <v>Built-up :</v>
      </c>
      <c r="AE329" s="7" t="str">
        <f t="shared" si="2"/>
        <v> sq. ft.</v>
      </c>
      <c r="AF329">
        <f>IFERROR(__xludf.DUMMYFUNCTION("VALUE(REGEXREPLACE(G329,""[^[:digit:]]"", """"))"),520.0)</f>
        <v>520</v>
      </c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 t="s">
        <v>22</v>
      </c>
    </row>
    <row r="330">
      <c r="A330" s="7" t="s">
        <v>17</v>
      </c>
      <c r="B330" s="7" t="s">
        <v>486</v>
      </c>
      <c r="C330" s="7">
        <f>2</f>
        <v>2</v>
      </c>
      <c r="D330" s="7">
        <v>2.0</v>
      </c>
      <c r="E330" s="7">
        <v>2.0</v>
      </c>
      <c r="F330" s="7" t="s">
        <v>20</v>
      </c>
      <c r="G330" s="7" t="s">
        <v>318</v>
      </c>
      <c r="H330" s="9" t="s">
        <v>2979</v>
      </c>
      <c r="I330" t="s">
        <v>3105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 t="str">
        <f t="shared" si="1"/>
        <v>Built-up :</v>
      </c>
      <c r="AE330" s="7" t="str">
        <f t="shared" si="2"/>
        <v> sq. ft.</v>
      </c>
      <c r="AF330">
        <f>IFERROR(__xludf.DUMMYFUNCTION("VALUE(REGEXREPLACE(G330,""[^[:digit:]]"", """"))"),1572.0)</f>
        <v>1572</v>
      </c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 t="s">
        <v>27</v>
      </c>
    </row>
    <row r="331">
      <c r="A331" s="7" t="s">
        <v>77</v>
      </c>
      <c r="B331" s="7" t="s">
        <v>120</v>
      </c>
      <c r="C331" s="7">
        <f>5+1</f>
        <v>6</v>
      </c>
      <c r="D331" s="7">
        <v>6.0</v>
      </c>
      <c r="E331" s="9">
        <v>2.0</v>
      </c>
      <c r="F331" s="7" t="s">
        <v>487</v>
      </c>
      <c r="G331" s="7" t="s">
        <v>488</v>
      </c>
      <c r="H331" s="9" t="s">
        <v>2981</v>
      </c>
      <c r="I331" t="s">
        <v>3187</v>
      </c>
      <c r="J331" s="7"/>
      <c r="K331" s="7"/>
      <c r="L331" s="7"/>
      <c r="M331" s="7"/>
      <c r="N331" s="7"/>
      <c r="O331" s="7"/>
      <c r="P331" s="7"/>
      <c r="Q331" s="7"/>
      <c r="R331" s="7"/>
      <c r="S331" s="7" t="s">
        <v>3188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 t="str">
        <f t="shared" si="1"/>
        <v>Land area </v>
      </c>
      <c r="AE331" s="7" t="str">
        <f t="shared" si="2"/>
        <v> sq. ft.</v>
      </c>
      <c r="AF331" s="7">
        <v>5850.0</v>
      </c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 t="s">
        <v>27</v>
      </c>
    </row>
    <row r="332">
      <c r="A332" s="7" t="s">
        <v>17</v>
      </c>
      <c r="B332" s="7" t="s">
        <v>489</v>
      </c>
      <c r="C332" s="7">
        <f>3+1</f>
        <v>4</v>
      </c>
      <c r="D332" s="7">
        <v>4.0</v>
      </c>
      <c r="E332" s="7">
        <v>2.0</v>
      </c>
      <c r="F332" s="7" t="s">
        <v>121</v>
      </c>
      <c r="G332" s="7" t="s">
        <v>490</v>
      </c>
      <c r="H332" s="9" t="s">
        <v>2979</v>
      </c>
      <c r="I332" t="s">
        <v>3189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 t="str">
        <f t="shared" si="1"/>
        <v>Built-up :</v>
      </c>
      <c r="AE332" s="7" t="str">
        <f t="shared" si="2"/>
        <v> sq. ft.</v>
      </c>
      <c r="AF332">
        <f>IFERROR(__xludf.DUMMYFUNCTION("VALUE(REGEXREPLACE(G332,""[^[:digit:]]"", """"))"),1378.0)</f>
        <v>1378</v>
      </c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 t="s">
        <v>22</v>
      </c>
    </row>
    <row r="333">
      <c r="A333" s="7" t="s">
        <v>100</v>
      </c>
      <c r="B333" s="7" t="s">
        <v>353</v>
      </c>
      <c r="C333" s="7">
        <f>3</f>
        <v>3</v>
      </c>
      <c r="D333" s="7">
        <v>2.0</v>
      </c>
      <c r="E333" s="7">
        <v>1.0</v>
      </c>
      <c r="F333" s="7" t="s">
        <v>20</v>
      </c>
      <c r="G333" s="7" t="s">
        <v>491</v>
      </c>
      <c r="H333" s="9" t="s">
        <v>2979</v>
      </c>
      <c r="I333" t="s">
        <v>3190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 t="str">
        <f t="shared" si="1"/>
        <v>Built-up :</v>
      </c>
      <c r="AE333" s="7" t="str">
        <f t="shared" si="2"/>
        <v> sq. ft.</v>
      </c>
      <c r="AF333">
        <f>IFERROR(__xludf.DUMMYFUNCTION("VALUE(REGEXREPLACE(G333,""[^[:digit:]]"", """"))"),950.0)</f>
        <v>950</v>
      </c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 t="s">
        <v>27</v>
      </c>
    </row>
    <row r="334">
      <c r="A334" s="7" t="s">
        <v>17</v>
      </c>
      <c r="B334" s="7" t="s">
        <v>489</v>
      </c>
      <c r="C334" s="7">
        <f>1</f>
        <v>1</v>
      </c>
      <c r="D334" s="7">
        <v>1.0</v>
      </c>
      <c r="E334" s="7">
        <v>1.0</v>
      </c>
      <c r="F334" s="7" t="s">
        <v>82</v>
      </c>
      <c r="G334" s="7" t="s">
        <v>392</v>
      </c>
      <c r="H334" s="9" t="s">
        <v>2979</v>
      </c>
      <c r="I334" t="s">
        <v>3141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 t="str">
        <f t="shared" si="1"/>
        <v>Built-up :</v>
      </c>
      <c r="AE334" s="7" t="str">
        <f t="shared" si="2"/>
        <v> sq. ft.</v>
      </c>
      <c r="AF334">
        <f>IFERROR(__xludf.DUMMYFUNCTION("VALUE(REGEXREPLACE(G334,""[^[:digit:]]"", """"))"),850.0)</f>
        <v>850</v>
      </c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 t="s">
        <v>22</v>
      </c>
    </row>
    <row r="335">
      <c r="A335" s="7" t="s">
        <v>77</v>
      </c>
      <c r="B335" s="7" t="s">
        <v>18</v>
      </c>
      <c r="C335" s="7">
        <f>2+1</f>
        <v>3</v>
      </c>
      <c r="D335" s="7">
        <v>2.0</v>
      </c>
      <c r="E335" s="7">
        <v>2.0</v>
      </c>
      <c r="F335" s="7" t="s">
        <v>93</v>
      </c>
      <c r="G335" s="7" t="s">
        <v>492</v>
      </c>
      <c r="H335" s="9" t="s">
        <v>2979</v>
      </c>
      <c r="I335" t="s">
        <v>3191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 t="str">
        <f t="shared" si="1"/>
        <v>Built-up :</v>
      </c>
      <c r="AE335" s="7" t="str">
        <f t="shared" si="2"/>
        <v> sq. ft.</v>
      </c>
      <c r="AF335">
        <f>IFERROR(__xludf.DUMMYFUNCTION("VALUE(REGEXREPLACE(G335,""[^[:digit:]]"", """"))"),1303.0)</f>
        <v>1303</v>
      </c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 t="s">
        <v>27</v>
      </c>
    </row>
    <row r="336">
      <c r="A336" s="7" t="s">
        <v>77</v>
      </c>
      <c r="B336" s="7" t="s">
        <v>281</v>
      </c>
      <c r="C336" s="7">
        <f>3+1</f>
        <v>4</v>
      </c>
      <c r="D336" s="7">
        <v>5.0</v>
      </c>
      <c r="E336" s="7">
        <v>3.0</v>
      </c>
      <c r="F336" s="7" t="s">
        <v>282</v>
      </c>
      <c r="G336" s="7" t="s">
        <v>493</v>
      </c>
      <c r="H336" s="9" t="s">
        <v>2981</v>
      </c>
      <c r="I336" t="s">
        <v>3192</v>
      </c>
      <c r="J336" s="7"/>
      <c r="K336" s="7"/>
      <c r="L336" s="7"/>
      <c r="M336" s="7"/>
      <c r="N336" s="7"/>
      <c r="O336" s="7"/>
      <c r="P336" s="7"/>
      <c r="Q336" s="7"/>
      <c r="R336" s="7"/>
      <c r="S336" s="7" t="s">
        <v>3193</v>
      </c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 t="str">
        <f t="shared" si="1"/>
        <v>Land area </v>
      </c>
      <c r="AE336" s="7" t="str">
        <f t="shared" si="2"/>
        <v> sq. ft.</v>
      </c>
      <c r="AF336">
        <f>IFERROR(__xludf.DUMMYFUNCTION("VALUE(REGEXREPLACE(G336,""[^[:digit:]]"", """"))"),2262.0)</f>
        <v>2262</v>
      </c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 t="s">
        <v>27</v>
      </c>
    </row>
    <row r="337">
      <c r="A337" s="7" t="s">
        <v>77</v>
      </c>
      <c r="B337" s="7" t="s">
        <v>311</v>
      </c>
      <c r="C337" s="7">
        <f>2+1</f>
        <v>3</v>
      </c>
      <c r="D337" s="7">
        <v>3.0</v>
      </c>
      <c r="E337" s="7">
        <v>2.0</v>
      </c>
      <c r="F337" s="7" t="s">
        <v>93</v>
      </c>
      <c r="G337" s="7" t="s">
        <v>490</v>
      </c>
      <c r="H337" s="9" t="s">
        <v>2979</v>
      </c>
      <c r="I337" t="s">
        <v>3189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 t="str">
        <f t="shared" si="1"/>
        <v>Built-up :</v>
      </c>
      <c r="AE337" s="7" t="str">
        <f t="shared" si="2"/>
        <v> sq. ft.</v>
      </c>
      <c r="AF337">
        <f>IFERROR(__xludf.DUMMYFUNCTION("VALUE(REGEXREPLACE(G337,""[^[:digit:]]"", """"))"),1378.0)</f>
        <v>1378</v>
      </c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 t="s">
        <v>103</v>
      </c>
    </row>
    <row r="338">
      <c r="A338" s="7" t="s">
        <v>77</v>
      </c>
      <c r="B338" s="7" t="s">
        <v>247</v>
      </c>
      <c r="C338" s="7">
        <f>3+1</f>
        <v>4</v>
      </c>
      <c r="D338" s="7">
        <v>4.0</v>
      </c>
      <c r="E338" s="7">
        <v>3.0</v>
      </c>
      <c r="F338" s="7" t="s">
        <v>54</v>
      </c>
      <c r="G338" s="7" t="s">
        <v>283</v>
      </c>
      <c r="H338" s="9" t="s">
        <v>2981</v>
      </c>
      <c r="I338" t="s">
        <v>3091</v>
      </c>
      <c r="J338" s="7"/>
      <c r="K338" s="7"/>
      <c r="L338" s="7"/>
      <c r="M338" s="7"/>
      <c r="N338" s="7"/>
      <c r="O338" s="7"/>
      <c r="P338" s="7"/>
      <c r="Q338" s="7"/>
      <c r="R338" s="7"/>
      <c r="S338" s="7" t="s">
        <v>2990</v>
      </c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 t="str">
        <f t="shared" si="1"/>
        <v>Land area </v>
      </c>
      <c r="AE338" s="7" t="str">
        <f t="shared" si="2"/>
        <v> sq. ft.</v>
      </c>
      <c r="AF338">
        <f>IFERROR(__xludf.DUMMYFUNCTION("VALUE(REGEXREPLACE(G338,""[^[:digit:]]"", """"))"),2275.0)</f>
        <v>2275</v>
      </c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 t="s">
        <v>27</v>
      </c>
    </row>
    <row r="339">
      <c r="A339" s="7" t="s">
        <v>177</v>
      </c>
      <c r="B339" s="7" t="s">
        <v>327</v>
      </c>
      <c r="C339" s="7">
        <f>3</f>
        <v>3</v>
      </c>
      <c r="D339" s="7">
        <v>2.0</v>
      </c>
      <c r="E339" s="7">
        <v>2.0</v>
      </c>
      <c r="F339" s="7" t="s">
        <v>494</v>
      </c>
      <c r="G339" s="7" t="s">
        <v>495</v>
      </c>
      <c r="H339" s="9" t="s">
        <v>2981</v>
      </c>
      <c r="I339" t="s">
        <v>3194</v>
      </c>
      <c r="J339" s="7"/>
      <c r="K339" s="7"/>
      <c r="L339" s="7"/>
      <c r="M339" s="7"/>
      <c r="N339" s="7"/>
      <c r="O339" s="7"/>
      <c r="P339" s="7"/>
      <c r="Q339" s="7"/>
      <c r="R339" s="7"/>
      <c r="S339" s="7" t="s">
        <v>3009</v>
      </c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 t="str">
        <f t="shared" si="1"/>
        <v>Land area </v>
      </c>
      <c r="AE339" s="7" t="str">
        <f t="shared" si="2"/>
        <v> sq. ft.</v>
      </c>
      <c r="AF339">
        <f>IFERROR(__xludf.DUMMYFUNCTION("VALUE(REGEXREPLACE(G339,""[^[:digit:]]"", """"))"),2455.0)</f>
        <v>2455</v>
      </c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 t="s">
        <v>27</v>
      </c>
    </row>
    <row r="340">
      <c r="A340" s="7" t="s">
        <v>148</v>
      </c>
      <c r="B340" s="7" t="s">
        <v>475</v>
      </c>
      <c r="C340" s="7">
        <f>4+1</f>
        <v>5</v>
      </c>
      <c r="D340" s="7">
        <v>6.0</v>
      </c>
      <c r="E340" s="7">
        <v>4.0</v>
      </c>
      <c r="F340" s="7" t="s">
        <v>67</v>
      </c>
      <c r="G340" s="7" t="s">
        <v>496</v>
      </c>
      <c r="H340" s="9" t="s">
        <v>2981</v>
      </c>
      <c r="I340" t="s">
        <v>3195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 t="str">
        <f t="shared" si="1"/>
        <v>Land area </v>
      </c>
      <c r="AE340" s="7" t="str">
        <f t="shared" si="2"/>
        <v> sq. ft.</v>
      </c>
      <c r="AF340">
        <f>IFERROR(__xludf.DUMMYFUNCTION("VALUE(REGEXREPLACE(G340,""[^[:digit:]]"", """"))"),5628.0)</f>
        <v>5628</v>
      </c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 t="s">
        <v>27</v>
      </c>
    </row>
    <row r="341">
      <c r="A341" s="7" t="s">
        <v>37</v>
      </c>
      <c r="B341" s="7" t="s">
        <v>229</v>
      </c>
      <c r="C341" s="7">
        <f>3</f>
        <v>3</v>
      </c>
      <c r="D341" s="7">
        <v>2.0</v>
      </c>
      <c r="E341" s="7">
        <v>2.0</v>
      </c>
      <c r="F341" s="7" t="s">
        <v>343</v>
      </c>
      <c r="G341" s="7" t="s">
        <v>344</v>
      </c>
      <c r="H341" s="9" t="s">
        <v>2981</v>
      </c>
      <c r="I341" t="s">
        <v>3118</v>
      </c>
      <c r="J341" s="7"/>
      <c r="K341" s="7"/>
      <c r="L341" s="7"/>
      <c r="M341" s="7"/>
      <c r="N341" s="7"/>
      <c r="O341" s="7"/>
      <c r="P341" s="7"/>
      <c r="Q341" s="7"/>
      <c r="R341" s="7"/>
      <c r="S341" s="7" t="s">
        <v>2993</v>
      </c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 t="str">
        <f t="shared" si="1"/>
        <v>Land area </v>
      </c>
      <c r="AE341" s="7" t="str">
        <f t="shared" si="2"/>
        <v> sq. ft.</v>
      </c>
      <c r="AF341">
        <f>IFERROR(__xludf.DUMMYFUNCTION("VALUE(REGEXREPLACE(G341,""[^[:digit:]]"", """"))"),2480.0)</f>
        <v>2480</v>
      </c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>
      <c r="A342" s="7" t="s">
        <v>17</v>
      </c>
      <c r="B342" s="7" t="s">
        <v>120</v>
      </c>
      <c r="C342" s="7">
        <f>3+1</f>
        <v>4</v>
      </c>
      <c r="D342" s="7">
        <v>5.0</v>
      </c>
      <c r="E342" s="7">
        <v>2.0</v>
      </c>
      <c r="F342" s="7" t="s">
        <v>121</v>
      </c>
      <c r="G342" s="7" t="s">
        <v>122</v>
      </c>
      <c r="H342" s="9" t="s">
        <v>2979</v>
      </c>
      <c r="I342" t="s">
        <v>3016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 t="str">
        <f t="shared" si="1"/>
        <v>Built-up :</v>
      </c>
      <c r="AE342" s="7" t="str">
        <f t="shared" si="2"/>
        <v> sq. ft.</v>
      </c>
      <c r="AF342">
        <f>IFERROR(__xludf.DUMMYFUNCTION("VALUE(REGEXREPLACE(G342,""[^[:digit:]]"", """"))"),3897.0)</f>
        <v>3897</v>
      </c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 t="s">
        <v>27</v>
      </c>
    </row>
    <row r="343">
      <c r="A343" s="7" t="s">
        <v>52</v>
      </c>
      <c r="B343" s="7" t="s">
        <v>497</v>
      </c>
      <c r="C343" s="7">
        <f>4+1</f>
        <v>5</v>
      </c>
      <c r="D343" s="7">
        <v>5.0</v>
      </c>
      <c r="E343" s="7">
        <v>3.0</v>
      </c>
      <c r="F343" s="7" t="s">
        <v>83</v>
      </c>
      <c r="G343" s="7" t="s">
        <v>498</v>
      </c>
      <c r="H343" s="9" t="s">
        <v>2979</v>
      </c>
      <c r="I343" t="s">
        <v>3196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 t="str">
        <f t="shared" si="1"/>
        <v>Built-up :</v>
      </c>
      <c r="AE343" s="7" t="str">
        <f t="shared" si="2"/>
        <v> sq. ft.</v>
      </c>
      <c r="AF343">
        <f>IFERROR(__xludf.DUMMYFUNCTION("VALUE(REGEXREPLACE(G343,""[^[:digit:]]"", """"))"),4000.0)</f>
        <v>4000</v>
      </c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>
      <c r="A344" s="7" t="s">
        <v>17</v>
      </c>
      <c r="B344" s="7" t="s">
        <v>499</v>
      </c>
      <c r="C344" s="7">
        <f>2</f>
        <v>2</v>
      </c>
      <c r="D344" s="7">
        <v>2.0</v>
      </c>
      <c r="E344" s="7">
        <v>2.0</v>
      </c>
      <c r="F344" s="7" t="s">
        <v>20</v>
      </c>
      <c r="G344" s="7" t="s">
        <v>500</v>
      </c>
      <c r="H344" s="9" t="s">
        <v>2979</v>
      </c>
      <c r="I344" t="s">
        <v>3197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 t="str">
        <f t="shared" si="1"/>
        <v>Built-up :</v>
      </c>
      <c r="AE344" s="7" t="str">
        <f t="shared" si="2"/>
        <v> sq. ft.</v>
      </c>
      <c r="AF344">
        <f>IFERROR(__xludf.DUMMYFUNCTION("VALUE(REGEXREPLACE(G344,""[^[:digit:]]"", """"))"),1636.0)</f>
        <v>1636</v>
      </c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 t="s">
        <v>27</v>
      </c>
    </row>
    <row r="345">
      <c r="A345" s="7" t="s">
        <v>17</v>
      </c>
      <c r="B345" s="7" t="s">
        <v>327</v>
      </c>
      <c r="C345" s="7">
        <f t="shared" ref="C345:C346" si="31">1</f>
        <v>1</v>
      </c>
      <c r="D345" s="7">
        <v>1.0</v>
      </c>
      <c r="E345" s="7">
        <v>1.0</v>
      </c>
      <c r="F345" s="7" t="s">
        <v>385</v>
      </c>
      <c r="G345" s="7" t="s">
        <v>328</v>
      </c>
      <c r="H345" s="9" t="s">
        <v>2979</v>
      </c>
      <c r="I345" t="s">
        <v>3110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 t="str">
        <f t="shared" si="1"/>
        <v>Built-up :</v>
      </c>
      <c r="AE345" s="7" t="str">
        <f t="shared" si="2"/>
        <v> sq. ft.</v>
      </c>
      <c r="AF345">
        <f>IFERROR(__xludf.DUMMYFUNCTION("VALUE(REGEXREPLACE(G345,""[^[:digit:]]"", """"))"),925.0)</f>
        <v>925</v>
      </c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 t="s">
        <v>27</v>
      </c>
    </row>
    <row r="346">
      <c r="A346" s="7" t="s">
        <v>17</v>
      </c>
      <c r="B346" s="7" t="s">
        <v>501</v>
      </c>
      <c r="C346" s="7">
        <f t="shared" si="31"/>
        <v>1</v>
      </c>
      <c r="D346" s="7">
        <v>1.0</v>
      </c>
      <c r="E346" s="9">
        <v>2.0</v>
      </c>
      <c r="F346" s="7" t="s">
        <v>82</v>
      </c>
      <c r="G346" s="7" t="s">
        <v>392</v>
      </c>
      <c r="H346" s="9" t="s">
        <v>2979</v>
      </c>
      <c r="I346" t="s">
        <v>3141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 t="str">
        <f t="shared" si="1"/>
        <v>Built-up :</v>
      </c>
      <c r="AE346" s="7" t="str">
        <f t="shared" si="2"/>
        <v> sq. ft.</v>
      </c>
      <c r="AF346">
        <f>IFERROR(__xludf.DUMMYFUNCTION("VALUE(REGEXREPLACE(G346,""[^[:digit:]]"", """"))"),850.0)</f>
        <v>850</v>
      </c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 t="s">
        <v>22</v>
      </c>
    </row>
    <row r="347">
      <c r="A347" s="7" t="s">
        <v>33</v>
      </c>
      <c r="B347" s="7" t="s">
        <v>502</v>
      </c>
      <c r="C347" s="7">
        <f>3</f>
        <v>3</v>
      </c>
      <c r="D347" s="7">
        <v>2.0</v>
      </c>
      <c r="E347" s="7">
        <v>1.0</v>
      </c>
      <c r="F347" s="7" t="s">
        <v>503</v>
      </c>
      <c r="G347" s="7" t="s">
        <v>504</v>
      </c>
      <c r="H347" s="9" t="s">
        <v>2979</v>
      </c>
      <c r="I347" t="s">
        <v>3198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 t="str">
        <f t="shared" si="1"/>
        <v>Built-up :</v>
      </c>
      <c r="AE347" s="7" t="str">
        <f t="shared" si="2"/>
        <v> sq. ft.</v>
      </c>
      <c r="AF347">
        <f>IFERROR(__xludf.DUMMYFUNCTION("VALUE(REGEXREPLACE(G347,""[^[:digit:]]"", """"))"),1018.0)</f>
        <v>1018</v>
      </c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 t="s">
        <v>27</v>
      </c>
    </row>
    <row r="348">
      <c r="A348" s="7" t="s">
        <v>100</v>
      </c>
      <c r="B348" s="7" t="s">
        <v>361</v>
      </c>
      <c r="C348" s="7">
        <f>3+1</f>
        <v>4</v>
      </c>
      <c r="D348" s="7">
        <v>2.0</v>
      </c>
      <c r="E348" s="7">
        <v>1.0</v>
      </c>
      <c r="F348" s="7" t="s">
        <v>121</v>
      </c>
      <c r="G348" s="7" t="s">
        <v>505</v>
      </c>
      <c r="H348" s="9" t="s">
        <v>2979</v>
      </c>
      <c r="I348" t="s">
        <v>3199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 t="str">
        <f t="shared" si="1"/>
        <v>Built-up :</v>
      </c>
      <c r="AE348" s="7" t="str">
        <f t="shared" si="2"/>
        <v> sq. ft.</v>
      </c>
      <c r="AF348">
        <f>IFERROR(__xludf.DUMMYFUNCTION("VALUE(REGEXREPLACE(G348,""[^[:digit:]]"", """"))"),900.0)</f>
        <v>900</v>
      </c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 t="s">
        <v>27</v>
      </c>
    </row>
    <row r="349">
      <c r="A349" s="7" t="s">
        <v>506</v>
      </c>
      <c r="B349" s="7" t="s">
        <v>507</v>
      </c>
      <c r="C349" s="7">
        <f>3</f>
        <v>3</v>
      </c>
      <c r="D349" s="7">
        <v>2.0</v>
      </c>
      <c r="E349" s="7">
        <v>2.0</v>
      </c>
      <c r="F349" s="7" t="s">
        <v>93</v>
      </c>
      <c r="G349" s="7" t="s">
        <v>508</v>
      </c>
      <c r="H349" s="9" t="s">
        <v>2979</v>
      </c>
      <c r="I349" t="s">
        <v>3200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 t="str">
        <f t="shared" si="1"/>
        <v>Built-up :</v>
      </c>
      <c r="AE349" s="7" t="str">
        <f t="shared" si="2"/>
        <v> sq. ft.</v>
      </c>
      <c r="AF349">
        <f>IFERROR(__xludf.DUMMYFUNCTION("VALUE(REGEXREPLACE(G349,""[^[:digit:]]"", """"))"),1196.0)</f>
        <v>1196</v>
      </c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 t="s">
        <v>27</v>
      </c>
    </row>
    <row r="350">
      <c r="A350" s="7" t="s">
        <v>428</v>
      </c>
      <c r="B350" s="7" t="s">
        <v>105</v>
      </c>
      <c r="C350" s="7">
        <f t="shared" ref="C350:C351" si="32">1</f>
        <v>1</v>
      </c>
      <c r="D350" s="7">
        <v>1.0</v>
      </c>
      <c r="E350" s="7">
        <v>1.0</v>
      </c>
      <c r="F350" s="7" t="s">
        <v>20</v>
      </c>
      <c r="H350" s="9" t="s">
        <v>2984</v>
      </c>
      <c r="I350" t="s">
        <v>2985</v>
      </c>
      <c r="AD350" s="7" t="str">
        <f t="shared" si="1"/>
        <v/>
      </c>
      <c r="AE350" s="7" t="str">
        <f t="shared" si="2"/>
        <v/>
      </c>
      <c r="AF350">
        <f>IFERROR(__xludf.DUMMYFUNCTION("VALUE(REGEXREPLACE(G350,""[^[:digit:]]"", """"))"),0.0)</f>
        <v>0</v>
      </c>
      <c r="AS350" s="7" t="s">
        <v>27</v>
      </c>
    </row>
    <row r="351">
      <c r="A351" s="7" t="s">
        <v>17</v>
      </c>
      <c r="B351" s="7" t="s">
        <v>191</v>
      </c>
      <c r="C351" s="7">
        <f t="shared" si="32"/>
        <v>1</v>
      </c>
      <c r="D351" s="7">
        <v>1.0</v>
      </c>
      <c r="E351" s="7">
        <v>1.0</v>
      </c>
      <c r="F351" s="7" t="s">
        <v>83</v>
      </c>
      <c r="G351" s="7" t="s">
        <v>393</v>
      </c>
      <c r="H351" s="9" t="s">
        <v>2979</v>
      </c>
      <c r="I351" t="s">
        <v>3142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 t="str">
        <f t="shared" si="1"/>
        <v>Built-up :</v>
      </c>
      <c r="AE351" s="7" t="str">
        <f t="shared" si="2"/>
        <v> sq. ft.</v>
      </c>
      <c r="AF351">
        <f>IFERROR(__xludf.DUMMYFUNCTION("VALUE(REGEXREPLACE(G351,""[^[:digit:]]"", """"))"),751.0)</f>
        <v>751</v>
      </c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 t="s">
        <v>27</v>
      </c>
    </row>
    <row r="352">
      <c r="A352" s="7" t="s">
        <v>17</v>
      </c>
      <c r="B352" s="7" t="s">
        <v>322</v>
      </c>
      <c r="C352" s="7">
        <f>2+1</f>
        <v>3</v>
      </c>
      <c r="D352" s="7">
        <v>2.0</v>
      </c>
      <c r="E352" s="7">
        <v>1.0</v>
      </c>
      <c r="F352" s="7" t="s">
        <v>30</v>
      </c>
      <c r="G352" s="7" t="s">
        <v>323</v>
      </c>
      <c r="H352" s="9" t="s">
        <v>2979</v>
      </c>
      <c r="I352" t="s">
        <v>3108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 t="str">
        <f t="shared" si="1"/>
        <v>Built-up :</v>
      </c>
      <c r="AE352" s="7" t="str">
        <f t="shared" si="2"/>
        <v> sq. ft.</v>
      </c>
      <c r="AF352">
        <f>IFERROR(__xludf.DUMMYFUNCTION("VALUE(REGEXREPLACE(G352,""[^[:digit:]]"", """"))"),915.0)</f>
        <v>915</v>
      </c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 t="s">
        <v>27</v>
      </c>
    </row>
    <row r="353">
      <c r="A353" s="7" t="s">
        <v>17</v>
      </c>
      <c r="B353" s="7" t="s">
        <v>509</v>
      </c>
      <c r="C353" s="7">
        <f>3+1</f>
        <v>4</v>
      </c>
      <c r="D353" s="7">
        <v>5.0</v>
      </c>
      <c r="E353" s="7">
        <v>4.0</v>
      </c>
      <c r="F353" s="7" t="s">
        <v>312</v>
      </c>
      <c r="H353" s="9" t="s">
        <v>2984</v>
      </c>
      <c r="I353" t="s">
        <v>2985</v>
      </c>
      <c r="AD353" s="7" t="str">
        <f t="shared" si="1"/>
        <v/>
      </c>
      <c r="AE353" s="7" t="str">
        <f t="shared" si="2"/>
        <v/>
      </c>
      <c r="AF353">
        <f>IFERROR(__xludf.DUMMYFUNCTION("VALUE(REGEXREPLACE(G353,""[^[:digit:]]"", """"))"),0.0)</f>
        <v>0</v>
      </c>
      <c r="AS353" s="7" t="s">
        <v>22</v>
      </c>
    </row>
    <row r="354">
      <c r="A354" s="7" t="s">
        <v>17</v>
      </c>
      <c r="B354" s="7" t="s">
        <v>110</v>
      </c>
      <c r="C354" s="7">
        <f>2</f>
        <v>2</v>
      </c>
      <c r="D354" s="7">
        <v>2.0</v>
      </c>
      <c r="E354" s="7">
        <v>1.0</v>
      </c>
      <c r="F354" s="7" t="s">
        <v>20</v>
      </c>
      <c r="G354" s="7" t="s">
        <v>111</v>
      </c>
      <c r="H354" s="9" t="s">
        <v>2979</v>
      </c>
      <c r="I354" t="s">
        <v>3011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 t="str">
        <f t="shared" si="1"/>
        <v>Built-up :</v>
      </c>
      <c r="AE354" s="7" t="str">
        <f t="shared" si="2"/>
        <v> sq. ft.</v>
      </c>
      <c r="AF354">
        <f>IFERROR(__xludf.DUMMYFUNCTION("VALUE(REGEXREPLACE(G354,""[^[:digit:]]"", """"))"),1006.0)</f>
        <v>1006</v>
      </c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 t="s">
        <v>22</v>
      </c>
    </row>
    <row r="355">
      <c r="A355" s="7" t="s">
        <v>171</v>
      </c>
      <c r="B355" s="7" t="s">
        <v>510</v>
      </c>
      <c r="C355" s="7">
        <f>3+1</f>
        <v>4</v>
      </c>
      <c r="D355" s="7">
        <v>2.0</v>
      </c>
      <c r="E355" s="7">
        <v>2.0</v>
      </c>
      <c r="F355" s="7" t="s">
        <v>83</v>
      </c>
      <c r="G355" s="7" t="s">
        <v>491</v>
      </c>
      <c r="H355" s="9" t="s">
        <v>2979</v>
      </c>
      <c r="I355" t="s">
        <v>3190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 t="str">
        <f t="shared" si="1"/>
        <v>Built-up :</v>
      </c>
      <c r="AE355" s="7" t="str">
        <f t="shared" si="2"/>
        <v> sq. ft.</v>
      </c>
      <c r="AF355">
        <f>IFERROR(__xludf.DUMMYFUNCTION("VALUE(REGEXREPLACE(G355,""[^[:digit:]]"", """"))"),950.0)</f>
        <v>950</v>
      </c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 t="s">
        <v>103</v>
      </c>
    </row>
    <row r="356">
      <c r="A356" s="7" t="s">
        <v>17</v>
      </c>
      <c r="B356" s="7" t="s">
        <v>511</v>
      </c>
      <c r="C356" s="7">
        <f>1+1</f>
        <v>2</v>
      </c>
      <c r="D356" s="7">
        <v>1.0</v>
      </c>
      <c r="E356" s="7">
        <v>1.0</v>
      </c>
      <c r="F356" s="7" t="s">
        <v>121</v>
      </c>
      <c r="G356" s="7" t="s">
        <v>512</v>
      </c>
      <c r="H356" s="9" t="s">
        <v>2979</v>
      </c>
      <c r="I356" t="s">
        <v>3201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 t="str">
        <f t="shared" si="1"/>
        <v>Built-up :</v>
      </c>
      <c r="AE356" s="7" t="str">
        <f t="shared" si="2"/>
        <v> sq. ft.</v>
      </c>
      <c r="AF356">
        <f>IFERROR(__xludf.DUMMYFUNCTION("VALUE(REGEXREPLACE(G356,""[^[:digit:]]"", """"))"),764.0)</f>
        <v>764</v>
      </c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 t="s">
        <v>22</v>
      </c>
    </row>
    <row r="357">
      <c r="A357" s="7" t="s">
        <v>17</v>
      </c>
      <c r="B357" s="7" t="s">
        <v>191</v>
      </c>
      <c r="C357" s="7" t="s">
        <v>325</v>
      </c>
      <c r="D357" s="7">
        <v>1.0</v>
      </c>
      <c r="E357" s="7">
        <v>1.0</v>
      </c>
      <c r="F357" s="7" t="s">
        <v>96</v>
      </c>
      <c r="G357" s="7" t="s">
        <v>252</v>
      </c>
      <c r="H357" s="9" t="s">
        <v>2979</v>
      </c>
      <c r="I357" t="s">
        <v>3077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 t="str">
        <f t="shared" si="1"/>
        <v>Built-up :</v>
      </c>
      <c r="AE357" s="7" t="str">
        <f t="shared" si="2"/>
        <v> sq. ft.</v>
      </c>
      <c r="AF357">
        <f>IFERROR(__xludf.DUMMYFUNCTION("VALUE(REGEXREPLACE(G357,""[^[:digit:]]"", """"))"),657.0)</f>
        <v>657</v>
      </c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 t="s">
        <v>27</v>
      </c>
    </row>
    <row r="358">
      <c r="A358" s="7" t="s">
        <v>177</v>
      </c>
      <c r="B358" s="7" t="s">
        <v>513</v>
      </c>
      <c r="C358" s="7">
        <f>6+1</f>
        <v>7</v>
      </c>
      <c r="D358" s="7">
        <v>6.0</v>
      </c>
      <c r="E358" s="7">
        <v>4.0</v>
      </c>
      <c r="F358" s="7" t="s">
        <v>25</v>
      </c>
      <c r="G358" s="7" t="s">
        <v>514</v>
      </c>
      <c r="H358" s="9" t="s">
        <v>2981</v>
      </c>
      <c r="I358" t="s">
        <v>3202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 t="str">
        <f t="shared" si="1"/>
        <v>Land area </v>
      </c>
      <c r="AE358" s="7" t="str">
        <f t="shared" si="2"/>
        <v> sq. ft.</v>
      </c>
      <c r="AF358">
        <f>IFERROR(__xludf.DUMMYFUNCTION("VALUE(REGEXREPLACE(G358,""[^[:digit:]]"", """"))"),11500.0)</f>
        <v>11500</v>
      </c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 t="s">
        <v>27</v>
      </c>
    </row>
    <row r="359">
      <c r="A359" s="7" t="s">
        <v>37</v>
      </c>
      <c r="B359" s="7" t="s">
        <v>239</v>
      </c>
      <c r="C359" s="7">
        <f>4</f>
        <v>4</v>
      </c>
      <c r="D359" s="7">
        <v>3.0</v>
      </c>
      <c r="E359" s="7">
        <v>2.0</v>
      </c>
      <c r="F359" s="7" t="s">
        <v>54</v>
      </c>
      <c r="G359" s="7" t="s">
        <v>47</v>
      </c>
      <c r="H359" s="9" t="s">
        <v>2981</v>
      </c>
      <c r="I359" t="s">
        <v>2989</v>
      </c>
      <c r="J359" s="7"/>
      <c r="K359" s="7"/>
      <c r="L359" s="7"/>
      <c r="M359" s="7"/>
      <c r="N359" s="7"/>
      <c r="O359" s="7"/>
      <c r="P359" s="7"/>
      <c r="Q359" s="7"/>
      <c r="R359" s="7"/>
      <c r="S359" s="7" t="s">
        <v>2990</v>
      </c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 t="str">
        <f t="shared" si="1"/>
        <v>Land area </v>
      </c>
      <c r="AE359" s="7" t="str">
        <f t="shared" si="2"/>
        <v> sq. ft.</v>
      </c>
      <c r="AF359">
        <f>IFERROR(__xludf.DUMMYFUNCTION("VALUE(REGEXREPLACE(G359,""[^[:digit:]]"", """"))"),2575.0)</f>
        <v>2575</v>
      </c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 t="s">
        <v>27</v>
      </c>
    </row>
    <row r="360">
      <c r="A360" s="7" t="s">
        <v>17</v>
      </c>
      <c r="B360" s="7" t="s">
        <v>73</v>
      </c>
      <c r="C360" s="7">
        <f>1</f>
        <v>1</v>
      </c>
      <c r="D360" s="7">
        <v>1.0</v>
      </c>
      <c r="E360" s="7">
        <v>1.0</v>
      </c>
      <c r="F360" s="7" t="s">
        <v>20</v>
      </c>
      <c r="G360" s="7" t="s">
        <v>226</v>
      </c>
      <c r="H360" s="9" t="s">
        <v>2979</v>
      </c>
      <c r="I360" t="s">
        <v>3063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 t="str">
        <f t="shared" si="1"/>
        <v>Built-up :</v>
      </c>
      <c r="AE360" s="7" t="str">
        <f t="shared" si="2"/>
        <v> sq. ft.</v>
      </c>
      <c r="AF360">
        <f>IFERROR(__xludf.DUMMYFUNCTION("VALUE(REGEXREPLACE(G360,""[^[:digit:]]"", """"))"),728.0)</f>
        <v>728</v>
      </c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 t="s">
        <v>22</v>
      </c>
    </row>
    <row r="361">
      <c r="A361" s="7" t="s">
        <v>515</v>
      </c>
      <c r="B361" s="7" t="s">
        <v>497</v>
      </c>
      <c r="C361" s="7">
        <f>6+1</f>
        <v>7</v>
      </c>
      <c r="D361" s="7">
        <v>8.0</v>
      </c>
      <c r="E361" s="9">
        <v>2.0</v>
      </c>
      <c r="F361" s="7" t="s">
        <v>67</v>
      </c>
      <c r="G361" s="7" t="s">
        <v>516</v>
      </c>
      <c r="H361" s="9" t="s">
        <v>2981</v>
      </c>
      <c r="I361" t="s">
        <v>3203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 t="str">
        <f t="shared" si="1"/>
        <v>Land area </v>
      </c>
      <c r="AE361" s="7" t="str">
        <f t="shared" si="2"/>
        <v> sq. ft.</v>
      </c>
      <c r="AF361">
        <f>IFERROR(__xludf.DUMMYFUNCTION("VALUE(REGEXREPLACE(G361,""[^[:digit:]]"", """"))"),12722.0)</f>
        <v>12722</v>
      </c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 t="s">
        <v>27</v>
      </c>
    </row>
    <row r="362">
      <c r="A362" s="7" t="s">
        <v>17</v>
      </c>
      <c r="B362" s="7" t="s">
        <v>125</v>
      </c>
      <c r="C362" s="7">
        <f>1</f>
        <v>1</v>
      </c>
      <c r="D362" s="7">
        <v>1.0</v>
      </c>
      <c r="E362" s="7">
        <v>1.0</v>
      </c>
      <c r="F362" s="7" t="s">
        <v>20</v>
      </c>
      <c r="G362" s="7" t="s">
        <v>126</v>
      </c>
      <c r="H362" s="9" t="s">
        <v>2979</v>
      </c>
      <c r="I362" t="s">
        <v>3018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 t="str">
        <f t="shared" si="1"/>
        <v>Built-up :</v>
      </c>
      <c r="AE362" s="7" t="str">
        <f t="shared" si="2"/>
        <v> sq. ft.</v>
      </c>
      <c r="AF362">
        <f>IFERROR(__xludf.DUMMYFUNCTION("VALUE(REGEXREPLACE(G362,""[^[:digit:]]"", """"))"),1023.0)</f>
        <v>1023</v>
      </c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 t="s">
        <v>27</v>
      </c>
    </row>
    <row r="363">
      <c r="A363" s="7" t="s">
        <v>89</v>
      </c>
      <c r="B363" s="7" t="s">
        <v>517</v>
      </c>
      <c r="C363" s="7">
        <f t="shared" ref="C363:C364" si="33">4+1</f>
        <v>5</v>
      </c>
      <c r="D363" s="7">
        <v>6.0</v>
      </c>
      <c r="E363" s="7">
        <v>4.0</v>
      </c>
      <c r="F363" s="7" t="s">
        <v>90</v>
      </c>
      <c r="G363" s="7" t="s">
        <v>344</v>
      </c>
      <c r="H363" s="9" t="s">
        <v>2981</v>
      </c>
      <c r="I363" t="s">
        <v>3118</v>
      </c>
      <c r="J363" s="7"/>
      <c r="K363" s="7"/>
      <c r="L363" s="7"/>
      <c r="M363" s="7"/>
      <c r="N363" s="7"/>
      <c r="O363" s="7"/>
      <c r="P363" s="7"/>
      <c r="Q363" s="7"/>
      <c r="R363" s="7"/>
      <c r="S363" s="7" t="s">
        <v>2993</v>
      </c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 t="str">
        <f t="shared" si="1"/>
        <v>Land area </v>
      </c>
      <c r="AE363" s="7" t="str">
        <f t="shared" si="2"/>
        <v> sq. ft.</v>
      </c>
      <c r="AF363">
        <f>IFERROR(__xludf.DUMMYFUNCTION("VALUE(REGEXREPLACE(G363,""[^[:digit:]]"", """"))"),2480.0)</f>
        <v>2480</v>
      </c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 t="s">
        <v>27</v>
      </c>
    </row>
    <row r="364">
      <c r="A364" s="7" t="s">
        <v>89</v>
      </c>
      <c r="B364" s="7" t="s">
        <v>403</v>
      </c>
      <c r="C364" s="7">
        <f t="shared" si="33"/>
        <v>5</v>
      </c>
      <c r="D364" s="7">
        <v>6.0</v>
      </c>
      <c r="E364" s="7">
        <v>4.0</v>
      </c>
      <c r="F364" s="7" t="s">
        <v>282</v>
      </c>
      <c r="G364" s="7" t="s">
        <v>518</v>
      </c>
      <c r="H364" s="9" t="s">
        <v>2981</v>
      </c>
      <c r="I364" t="s">
        <v>3204</v>
      </c>
      <c r="J364" s="7"/>
      <c r="K364" s="7"/>
      <c r="L364" s="7"/>
      <c r="M364" s="7"/>
      <c r="N364" s="7"/>
      <c r="O364" s="7"/>
      <c r="P364" s="7"/>
      <c r="Q364" s="7"/>
      <c r="R364" s="7"/>
      <c r="S364" s="7" t="s">
        <v>2993</v>
      </c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 t="str">
        <f t="shared" si="1"/>
        <v>Land area </v>
      </c>
      <c r="AE364" s="7" t="str">
        <f t="shared" si="2"/>
        <v> sq. ft.</v>
      </c>
      <c r="AF364" s="7">
        <v>1930.0</v>
      </c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 t="s">
        <v>27</v>
      </c>
    </row>
    <row r="365">
      <c r="A365" s="7" t="s">
        <v>17</v>
      </c>
      <c r="B365" s="7" t="s">
        <v>191</v>
      </c>
      <c r="C365" s="7">
        <f>1</f>
        <v>1</v>
      </c>
      <c r="D365" s="7">
        <v>1.0</v>
      </c>
      <c r="E365" s="7">
        <v>1.0</v>
      </c>
      <c r="F365" s="7" t="s">
        <v>83</v>
      </c>
      <c r="G365" s="7" t="s">
        <v>393</v>
      </c>
      <c r="H365" s="9" t="s">
        <v>2979</v>
      </c>
      <c r="I365" t="s">
        <v>3142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 t="str">
        <f t="shared" si="1"/>
        <v>Built-up :</v>
      </c>
      <c r="AE365" s="7" t="str">
        <f t="shared" si="2"/>
        <v> sq. ft.</v>
      </c>
      <c r="AF365">
        <f>IFERROR(__xludf.DUMMYFUNCTION("VALUE(REGEXREPLACE(G365,""[^[:digit:]]"", """"))"),751.0)</f>
        <v>751</v>
      </c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 t="s">
        <v>27</v>
      </c>
    </row>
    <row r="366">
      <c r="A366" s="7" t="s">
        <v>17</v>
      </c>
      <c r="B366" s="7" t="s">
        <v>245</v>
      </c>
      <c r="C366" s="7">
        <f>2+1</f>
        <v>3</v>
      </c>
      <c r="D366" s="7">
        <v>3.0</v>
      </c>
      <c r="E366" s="7">
        <v>1.0</v>
      </c>
      <c r="F366" s="7" t="s">
        <v>121</v>
      </c>
      <c r="G366" s="7" t="s">
        <v>519</v>
      </c>
      <c r="H366" s="9" t="s">
        <v>2979</v>
      </c>
      <c r="I366" t="s">
        <v>3205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 t="str">
        <f t="shared" si="1"/>
        <v>Built-up :</v>
      </c>
      <c r="AE366" s="7" t="str">
        <f t="shared" si="2"/>
        <v> sq. ft.</v>
      </c>
      <c r="AF366">
        <f>IFERROR(__xludf.DUMMYFUNCTION("VALUE(REGEXREPLACE(G366,""[^[:digit:]]"", """"))"),1055.0)</f>
        <v>1055</v>
      </c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 t="s">
        <v>22</v>
      </c>
    </row>
    <row r="367">
      <c r="A367" s="7" t="s">
        <v>155</v>
      </c>
      <c r="B367" s="7" t="s">
        <v>520</v>
      </c>
      <c r="C367" s="7">
        <f>4</f>
        <v>4</v>
      </c>
      <c r="D367" s="7">
        <v>2.0</v>
      </c>
      <c r="E367" s="7">
        <v>2.0</v>
      </c>
      <c r="F367" s="7" t="s">
        <v>121</v>
      </c>
      <c r="G367" s="7" t="s">
        <v>521</v>
      </c>
      <c r="H367" s="9" t="s">
        <v>2981</v>
      </c>
      <c r="I367" t="s">
        <v>3206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 t="str">
        <f t="shared" si="1"/>
        <v>Land area </v>
      </c>
      <c r="AE367" s="7" t="str">
        <f t="shared" si="2"/>
        <v> sq. ft.</v>
      </c>
      <c r="AF367">
        <f>IFERROR(__xludf.DUMMYFUNCTION("VALUE(REGEXREPLACE(G367,""[^[:digit:]]"", """"))"),6461001.0)</f>
        <v>6461001</v>
      </c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 t="s">
        <v>103</v>
      </c>
    </row>
    <row r="368">
      <c r="A368" s="7" t="s">
        <v>89</v>
      </c>
      <c r="B368" s="7" t="s">
        <v>517</v>
      </c>
      <c r="C368" s="7">
        <f>4+1</f>
        <v>5</v>
      </c>
      <c r="D368" s="7">
        <v>6.0</v>
      </c>
      <c r="E368" s="9">
        <v>2.0</v>
      </c>
      <c r="F368" s="7" t="s">
        <v>90</v>
      </c>
      <c r="G368" s="7" t="s">
        <v>522</v>
      </c>
      <c r="H368" s="9" t="s">
        <v>2979</v>
      </c>
      <c r="I368" t="s">
        <v>3207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 t="str">
        <f t="shared" si="1"/>
        <v>Built-up :</v>
      </c>
      <c r="AE368" s="7" t="str">
        <f t="shared" si="2"/>
        <v> sq. ft.</v>
      </c>
      <c r="AF368">
        <f>IFERROR(__xludf.DUMMYFUNCTION("VALUE(REGEXREPLACE(G368,""[^[:digit:]]"", """"))"),3216.0)</f>
        <v>3216</v>
      </c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 t="s">
        <v>103</v>
      </c>
    </row>
    <row r="369">
      <c r="A369" s="7" t="s">
        <v>17</v>
      </c>
      <c r="B369" s="7" t="s">
        <v>120</v>
      </c>
      <c r="C369" s="7">
        <f>3+1</f>
        <v>4</v>
      </c>
      <c r="D369" s="7">
        <v>5.0</v>
      </c>
      <c r="E369" s="7">
        <v>2.0</v>
      </c>
      <c r="F369" s="7" t="s">
        <v>121</v>
      </c>
      <c r="G369" s="7" t="s">
        <v>122</v>
      </c>
      <c r="H369" s="9" t="s">
        <v>2979</v>
      </c>
      <c r="I369" t="s">
        <v>3016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 t="str">
        <f t="shared" si="1"/>
        <v>Built-up :</v>
      </c>
      <c r="AE369" s="7" t="str">
        <f t="shared" si="2"/>
        <v> sq. ft.</v>
      </c>
      <c r="AF369">
        <f>IFERROR(__xludf.DUMMYFUNCTION("VALUE(REGEXREPLACE(G369,""[^[:digit:]]"", """"))"),3897.0)</f>
        <v>3897</v>
      </c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 t="s">
        <v>27</v>
      </c>
    </row>
    <row r="370">
      <c r="A370" s="7" t="s">
        <v>188</v>
      </c>
      <c r="B370" s="7" t="s">
        <v>523</v>
      </c>
      <c r="C370" s="7">
        <f>4+1</f>
        <v>5</v>
      </c>
      <c r="D370" s="7">
        <v>5.0</v>
      </c>
      <c r="E370" s="7">
        <v>2.0</v>
      </c>
      <c r="F370" s="7" t="s">
        <v>121</v>
      </c>
      <c r="G370" s="7" t="s">
        <v>524</v>
      </c>
      <c r="H370" s="9" t="s">
        <v>2979</v>
      </c>
      <c r="I370" t="s">
        <v>3208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 t="str">
        <f t="shared" si="1"/>
        <v>Built-up :</v>
      </c>
      <c r="AE370" s="7" t="str">
        <f t="shared" si="2"/>
        <v> sq. ft.</v>
      </c>
      <c r="AF370">
        <f>IFERROR(__xludf.DUMMYFUNCTION("VALUE(REGEXREPLACE(G370,""[^[:digit:]]"", """"))"),4157.0)</f>
        <v>4157</v>
      </c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 t="s">
        <v>27</v>
      </c>
    </row>
    <row r="371">
      <c r="A371" s="7" t="s">
        <v>37</v>
      </c>
      <c r="B371" s="7" t="s">
        <v>525</v>
      </c>
      <c r="C371" s="7">
        <f>3</f>
        <v>3</v>
      </c>
      <c r="D371" s="7">
        <v>2.0</v>
      </c>
      <c r="E371" s="7">
        <v>2.0</v>
      </c>
      <c r="F371" s="7" t="s">
        <v>343</v>
      </c>
      <c r="G371" s="7" t="s">
        <v>344</v>
      </c>
      <c r="H371" s="9" t="s">
        <v>2981</v>
      </c>
      <c r="I371" t="s">
        <v>3118</v>
      </c>
      <c r="J371" s="7"/>
      <c r="K371" s="7"/>
      <c r="L371" s="7"/>
      <c r="M371" s="7"/>
      <c r="N371" s="7"/>
      <c r="O371" s="7"/>
      <c r="P371" s="7"/>
      <c r="Q371" s="7"/>
      <c r="R371" s="7"/>
      <c r="S371" s="7" t="s">
        <v>2993</v>
      </c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 t="str">
        <f t="shared" si="1"/>
        <v>Land area </v>
      </c>
      <c r="AE371" s="7" t="str">
        <f t="shared" si="2"/>
        <v> sq. ft.</v>
      </c>
      <c r="AF371">
        <f>IFERROR(__xludf.DUMMYFUNCTION("VALUE(REGEXREPLACE(G371,""[^[:digit:]]"", """"))"),2480.0)</f>
        <v>2480</v>
      </c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 t="s">
        <v>27</v>
      </c>
    </row>
    <row r="372">
      <c r="A372" s="7" t="s">
        <v>17</v>
      </c>
      <c r="B372" s="7" t="s">
        <v>18</v>
      </c>
      <c r="C372" s="7">
        <f>3+1</f>
        <v>4</v>
      </c>
      <c r="D372" s="7">
        <v>4.0</v>
      </c>
      <c r="E372" s="7">
        <v>2.0</v>
      </c>
      <c r="F372" s="7" t="s">
        <v>385</v>
      </c>
      <c r="G372" s="7" t="s">
        <v>490</v>
      </c>
      <c r="H372" s="9" t="s">
        <v>2979</v>
      </c>
      <c r="I372" t="s">
        <v>3189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 t="str">
        <f t="shared" si="1"/>
        <v>Built-up :</v>
      </c>
      <c r="AE372" s="7" t="str">
        <f t="shared" si="2"/>
        <v> sq. ft.</v>
      </c>
      <c r="AF372">
        <f>IFERROR(__xludf.DUMMYFUNCTION("VALUE(REGEXREPLACE(G372,""[^[:digit:]]"", """"))"),1378.0)</f>
        <v>1378</v>
      </c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 t="s">
        <v>22</v>
      </c>
    </row>
    <row r="373">
      <c r="A373" s="7" t="s">
        <v>17</v>
      </c>
      <c r="B373" s="7" t="s">
        <v>125</v>
      </c>
      <c r="C373" s="7">
        <f>1</f>
        <v>1</v>
      </c>
      <c r="D373" s="7">
        <v>2.0</v>
      </c>
      <c r="E373" s="7">
        <v>1.0</v>
      </c>
      <c r="F373" s="7" t="s">
        <v>20</v>
      </c>
      <c r="G373" s="7" t="s">
        <v>126</v>
      </c>
      <c r="H373" s="9" t="s">
        <v>2979</v>
      </c>
      <c r="I373" t="s">
        <v>3018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 t="str">
        <f t="shared" si="1"/>
        <v>Built-up :</v>
      </c>
      <c r="AE373" s="7" t="str">
        <f t="shared" si="2"/>
        <v> sq. ft.</v>
      </c>
      <c r="AF373">
        <f>IFERROR(__xludf.DUMMYFUNCTION("VALUE(REGEXREPLACE(G373,""[^[:digit:]]"", """"))"),1023.0)</f>
        <v>1023</v>
      </c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 t="s">
        <v>27</v>
      </c>
    </row>
    <row r="374">
      <c r="A374" s="7" t="s">
        <v>37</v>
      </c>
      <c r="B374" s="7" t="s">
        <v>526</v>
      </c>
      <c r="C374" s="7">
        <f>3+1</f>
        <v>4</v>
      </c>
      <c r="D374" s="7">
        <v>3.0</v>
      </c>
      <c r="E374" s="7">
        <v>2.0</v>
      </c>
      <c r="F374" s="7" t="s">
        <v>54</v>
      </c>
      <c r="G374" s="7" t="s">
        <v>280</v>
      </c>
      <c r="H374" s="9" t="s">
        <v>2981</v>
      </c>
      <c r="I374" t="s">
        <v>3037</v>
      </c>
      <c r="J374" s="7"/>
      <c r="K374" s="7"/>
      <c r="L374" s="7"/>
      <c r="M374" s="7"/>
      <c r="N374" s="7"/>
      <c r="O374" s="7"/>
      <c r="P374" s="7"/>
      <c r="Q374" s="7"/>
      <c r="R374" s="7"/>
      <c r="S374" s="7" t="s">
        <v>2990</v>
      </c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 t="str">
        <f t="shared" si="1"/>
        <v>Land area </v>
      </c>
      <c r="AE374" s="7" t="str">
        <f t="shared" si="2"/>
        <v> sq. ft.</v>
      </c>
      <c r="AF374">
        <f>IFERROR(__xludf.DUMMYFUNCTION("VALUE(REGEXREPLACE(G374,""[^[:digit:]]"", """"))"),2475.0)</f>
        <v>2475</v>
      </c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 t="s">
        <v>27</v>
      </c>
    </row>
    <row r="375">
      <c r="A375" s="7" t="s">
        <v>33</v>
      </c>
      <c r="B375" s="7" t="s">
        <v>34</v>
      </c>
      <c r="C375" s="7">
        <f t="shared" ref="C375:C376" si="34">4+1</f>
        <v>5</v>
      </c>
      <c r="D375" s="7">
        <v>3.0</v>
      </c>
      <c r="E375" s="7">
        <v>3.0</v>
      </c>
      <c r="F375" s="7" t="s">
        <v>30</v>
      </c>
      <c r="G375" s="7" t="s">
        <v>36</v>
      </c>
      <c r="H375" s="9" t="s">
        <v>2979</v>
      </c>
      <c r="I375" t="s">
        <v>2986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 t="str">
        <f t="shared" si="1"/>
        <v>Built-up :</v>
      </c>
      <c r="AE375" s="7" t="str">
        <f t="shared" si="2"/>
        <v> sq. ft.</v>
      </c>
      <c r="AF375">
        <f>IFERROR(__xludf.DUMMYFUNCTION("VALUE(REGEXREPLACE(G375,""[^[:digit:]]"", """"))"),1513.0)</f>
        <v>1513</v>
      </c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 t="s">
        <v>27</v>
      </c>
    </row>
    <row r="376">
      <c r="A376" s="7" t="s">
        <v>72</v>
      </c>
      <c r="B376" s="7" t="s">
        <v>158</v>
      </c>
      <c r="C376" s="7">
        <f t="shared" si="34"/>
        <v>5</v>
      </c>
      <c r="D376" s="7">
        <v>4.0</v>
      </c>
      <c r="E376" s="7">
        <v>2.0</v>
      </c>
      <c r="F376" s="7" t="s">
        <v>93</v>
      </c>
      <c r="G376" s="7" t="s">
        <v>74</v>
      </c>
      <c r="H376" s="9" t="s">
        <v>2979</v>
      </c>
      <c r="I376" t="s">
        <v>2998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 t="str">
        <f t="shared" si="1"/>
        <v>Built-up :</v>
      </c>
      <c r="AE376" s="7" t="str">
        <f t="shared" si="2"/>
        <v> sq. ft.</v>
      </c>
      <c r="AF376">
        <f>IFERROR(__xludf.DUMMYFUNCTION("VALUE(REGEXREPLACE(G376,""[^[:digit:]]"", """"))"),1830.0)</f>
        <v>1830</v>
      </c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 t="s">
        <v>27</v>
      </c>
    </row>
    <row r="377">
      <c r="A377" s="7" t="s">
        <v>17</v>
      </c>
      <c r="B377" s="7" t="s">
        <v>110</v>
      </c>
      <c r="C377" s="7">
        <f>2</f>
        <v>2</v>
      </c>
      <c r="D377" s="7">
        <v>2.0</v>
      </c>
      <c r="E377" s="7">
        <v>1.0</v>
      </c>
      <c r="F377" s="7" t="s">
        <v>20</v>
      </c>
      <c r="G377" s="7" t="s">
        <v>111</v>
      </c>
      <c r="H377" s="9" t="s">
        <v>2979</v>
      </c>
      <c r="I377" t="s">
        <v>3011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 t="str">
        <f t="shared" si="1"/>
        <v>Built-up :</v>
      </c>
      <c r="AE377" s="7" t="str">
        <f t="shared" si="2"/>
        <v> sq. ft.</v>
      </c>
      <c r="AF377">
        <f>IFERROR(__xludf.DUMMYFUNCTION("VALUE(REGEXREPLACE(G377,""[^[:digit:]]"", """"))"),1006.0)</f>
        <v>1006</v>
      </c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 t="s">
        <v>27</v>
      </c>
    </row>
    <row r="378">
      <c r="A378" s="7" t="s">
        <v>371</v>
      </c>
      <c r="B378" s="7" t="s">
        <v>527</v>
      </c>
      <c r="C378" s="7">
        <f>3+1</f>
        <v>4</v>
      </c>
      <c r="D378" s="7">
        <v>5.0</v>
      </c>
      <c r="E378" s="7">
        <v>3.0</v>
      </c>
      <c r="F378" s="7" t="s">
        <v>83</v>
      </c>
      <c r="G378" s="7" t="s">
        <v>528</v>
      </c>
      <c r="H378" s="9" t="s">
        <v>2979</v>
      </c>
      <c r="I378" t="s">
        <v>3209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 t="str">
        <f t="shared" si="1"/>
        <v>Built-up :</v>
      </c>
      <c r="AE378" s="7" t="str">
        <f t="shared" si="2"/>
        <v> sq. ft.</v>
      </c>
      <c r="AF378">
        <f>IFERROR(__xludf.DUMMYFUNCTION("VALUE(REGEXREPLACE(G378,""[^[:digit:]]"", """"))"),2336.0)</f>
        <v>2336</v>
      </c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 t="s">
        <v>27</v>
      </c>
    </row>
    <row r="379">
      <c r="A379" s="7" t="s">
        <v>17</v>
      </c>
      <c r="B379" s="7" t="s">
        <v>529</v>
      </c>
      <c r="C379" s="7">
        <f>1</f>
        <v>1</v>
      </c>
      <c r="D379" s="7">
        <v>2.0</v>
      </c>
      <c r="E379" s="7">
        <v>1.0</v>
      </c>
      <c r="F379" s="7" t="s">
        <v>121</v>
      </c>
      <c r="G379" s="7" t="s">
        <v>126</v>
      </c>
      <c r="H379" s="9" t="s">
        <v>2979</v>
      </c>
      <c r="I379" t="s">
        <v>3018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 t="str">
        <f t="shared" si="1"/>
        <v>Built-up :</v>
      </c>
      <c r="AE379" s="7" t="str">
        <f t="shared" si="2"/>
        <v> sq. ft.</v>
      </c>
      <c r="AF379">
        <f>IFERROR(__xludf.DUMMYFUNCTION("VALUE(REGEXREPLACE(G379,""[^[:digit:]]"", """"))"),1023.0)</f>
        <v>1023</v>
      </c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 t="s">
        <v>22</v>
      </c>
    </row>
    <row r="380">
      <c r="A380" s="7" t="s">
        <v>23</v>
      </c>
      <c r="B380" s="7" t="s">
        <v>530</v>
      </c>
      <c r="C380" s="7">
        <f>3+1</f>
        <v>4</v>
      </c>
      <c r="D380" s="7">
        <v>3.0</v>
      </c>
      <c r="E380" s="7">
        <v>4.0</v>
      </c>
      <c r="F380" s="7" t="s">
        <v>67</v>
      </c>
      <c r="G380" s="7" t="s">
        <v>531</v>
      </c>
      <c r="H380" s="9" t="s">
        <v>2981</v>
      </c>
      <c r="I380" t="s">
        <v>3210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 t="str">
        <f t="shared" si="1"/>
        <v>Land area </v>
      </c>
      <c r="AE380" s="7" t="str">
        <f t="shared" si="2"/>
        <v> sq. ft.</v>
      </c>
      <c r="AF380">
        <f>IFERROR(__xludf.DUMMYFUNCTION("VALUE(REGEXREPLACE(G380,""[^[:digit:]]"", """"))"),7700.0)</f>
        <v>7700</v>
      </c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 t="s">
        <v>27</v>
      </c>
    </row>
    <row r="381">
      <c r="A381" s="7" t="s">
        <v>432</v>
      </c>
      <c r="B381" s="7" t="s">
        <v>532</v>
      </c>
      <c r="C381" s="7">
        <f>6</f>
        <v>6</v>
      </c>
      <c r="D381" s="7">
        <v>6.0</v>
      </c>
      <c r="E381" s="7">
        <v>6.0</v>
      </c>
      <c r="F381" s="7" t="s">
        <v>67</v>
      </c>
      <c r="G381" s="7" t="s">
        <v>533</v>
      </c>
      <c r="H381" s="9" t="s">
        <v>2981</v>
      </c>
      <c r="I381" t="s">
        <v>3211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 t="str">
        <f t="shared" si="1"/>
        <v>Land area </v>
      </c>
      <c r="AE381" s="7" t="str">
        <f t="shared" si="2"/>
        <v> sq. ft.</v>
      </c>
      <c r="AF381">
        <f>IFERROR(__xludf.DUMMYFUNCTION("VALUE(REGEXREPLACE(G381,""[^[:digit:]]"", """"))"),7300.0)</f>
        <v>7300</v>
      </c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 t="s">
        <v>27</v>
      </c>
    </row>
    <row r="382">
      <c r="A382" s="7" t="s">
        <v>33</v>
      </c>
      <c r="B382" s="7" t="s">
        <v>361</v>
      </c>
      <c r="C382" s="7">
        <f>3</f>
        <v>3</v>
      </c>
      <c r="D382" s="7">
        <v>3.0</v>
      </c>
      <c r="E382" s="7">
        <v>2.0</v>
      </c>
      <c r="F382" s="7" t="s">
        <v>93</v>
      </c>
      <c r="H382" s="9" t="s">
        <v>2984</v>
      </c>
      <c r="I382" t="s">
        <v>2985</v>
      </c>
      <c r="AD382" s="7" t="str">
        <f t="shared" si="1"/>
        <v/>
      </c>
      <c r="AE382" s="7" t="str">
        <f t="shared" si="2"/>
        <v/>
      </c>
      <c r="AF382">
        <f>IFERROR(__xludf.DUMMYFUNCTION("VALUE(REGEXREPLACE(G382,""[^[:digit:]]"", """"))"),0.0)</f>
        <v>0</v>
      </c>
      <c r="AS382" s="7" t="s">
        <v>27</v>
      </c>
    </row>
    <row r="383">
      <c r="A383" s="7" t="s">
        <v>17</v>
      </c>
      <c r="B383" s="7" t="s">
        <v>534</v>
      </c>
      <c r="C383" s="7">
        <f>2</f>
        <v>2</v>
      </c>
      <c r="D383" s="7">
        <v>2.0</v>
      </c>
      <c r="E383" s="7">
        <v>1.0</v>
      </c>
      <c r="F383" s="7" t="s">
        <v>20</v>
      </c>
      <c r="G383" s="7" t="s">
        <v>318</v>
      </c>
      <c r="H383" s="9" t="s">
        <v>2979</v>
      </c>
      <c r="I383" t="s">
        <v>3105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 t="str">
        <f t="shared" si="1"/>
        <v>Built-up :</v>
      </c>
      <c r="AE383" s="7" t="str">
        <f t="shared" si="2"/>
        <v> sq. ft.</v>
      </c>
      <c r="AF383">
        <f>IFERROR(__xludf.DUMMYFUNCTION("VALUE(REGEXREPLACE(G383,""[^[:digit:]]"", """"))"),1572.0)</f>
        <v>1572</v>
      </c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>
      <c r="A384" s="7" t="s">
        <v>72</v>
      </c>
      <c r="B384" s="7" t="s">
        <v>158</v>
      </c>
      <c r="C384" s="7">
        <f>4+1</f>
        <v>5</v>
      </c>
      <c r="D384" s="7">
        <v>4.0</v>
      </c>
      <c r="E384" s="7">
        <v>2.0</v>
      </c>
      <c r="F384" s="7" t="s">
        <v>93</v>
      </c>
      <c r="G384" s="7" t="s">
        <v>74</v>
      </c>
      <c r="H384" s="9" t="s">
        <v>2979</v>
      </c>
      <c r="I384" t="s">
        <v>2998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 t="str">
        <f t="shared" si="1"/>
        <v>Built-up :</v>
      </c>
      <c r="AE384" s="7" t="str">
        <f t="shared" si="2"/>
        <v> sq. ft.</v>
      </c>
      <c r="AF384">
        <f>IFERROR(__xludf.DUMMYFUNCTION("VALUE(REGEXREPLACE(G384,""[^[:digit:]]"", """"))"),1830.0)</f>
        <v>1830</v>
      </c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 t="s">
        <v>27</v>
      </c>
    </row>
    <row r="385">
      <c r="A385" s="7" t="s">
        <v>164</v>
      </c>
      <c r="B385" s="7" t="s">
        <v>535</v>
      </c>
      <c r="C385" s="7">
        <f t="shared" ref="C385:C386" si="35">1</f>
        <v>1</v>
      </c>
      <c r="D385" s="7">
        <v>1.0</v>
      </c>
      <c r="E385" s="7">
        <v>1.0</v>
      </c>
      <c r="F385" s="7" t="s">
        <v>20</v>
      </c>
      <c r="G385" s="7" t="s">
        <v>242</v>
      </c>
      <c r="H385" s="9" t="s">
        <v>2979</v>
      </c>
      <c r="I385" t="s">
        <v>3072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 t="str">
        <f t="shared" si="1"/>
        <v>Built-up :</v>
      </c>
      <c r="AE385" s="7" t="str">
        <f t="shared" si="2"/>
        <v> sq. ft.</v>
      </c>
      <c r="AF385">
        <f>IFERROR(__xludf.DUMMYFUNCTION("VALUE(REGEXREPLACE(G385,""[^[:digit:]]"", """"))"),650.0)</f>
        <v>650</v>
      </c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 t="s">
        <v>27</v>
      </c>
    </row>
    <row r="386">
      <c r="A386" s="7" t="s">
        <v>223</v>
      </c>
      <c r="B386" s="7" t="s">
        <v>536</v>
      </c>
      <c r="C386" s="7">
        <f t="shared" si="35"/>
        <v>1</v>
      </c>
      <c r="D386" s="7">
        <v>1.0</v>
      </c>
      <c r="E386" s="9">
        <v>2.0</v>
      </c>
      <c r="F386" s="7" t="s">
        <v>82</v>
      </c>
      <c r="G386" s="7" t="s">
        <v>537</v>
      </c>
      <c r="H386" s="9" t="s">
        <v>2979</v>
      </c>
      <c r="I386" t="s">
        <v>3212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 t="str">
        <f t="shared" si="1"/>
        <v>Built-up :</v>
      </c>
      <c r="AE386" s="7" t="str">
        <f t="shared" si="2"/>
        <v> sq. ft.</v>
      </c>
      <c r="AF386">
        <f>IFERROR(__xludf.DUMMYFUNCTION("VALUE(REGEXREPLACE(G386,""[^[:digit:]]"", """"))"),560.0)</f>
        <v>560</v>
      </c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 t="s">
        <v>22</v>
      </c>
    </row>
    <row r="387">
      <c r="A387" s="7" t="s">
        <v>538</v>
      </c>
      <c r="B387" s="7" t="s">
        <v>539</v>
      </c>
      <c r="C387" s="7">
        <f>1+1</f>
        <v>2</v>
      </c>
      <c r="D387" s="7">
        <v>2.0</v>
      </c>
      <c r="E387" s="7">
        <v>2.0</v>
      </c>
      <c r="F387" s="7" t="s">
        <v>20</v>
      </c>
      <c r="G387" s="7" t="s">
        <v>540</v>
      </c>
      <c r="H387" s="9" t="s">
        <v>2979</v>
      </c>
      <c r="I387" t="s">
        <v>3213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 t="str">
        <f t="shared" si="1"/>
        <v>Built-up :</v>
      </c>
      <c r="AE387" s="7" t="str">
        <f t="shared" si="2"/>
        <v> sq. ft.</v>
      </c>
      <c r="AF387">
        <f>IFERROR(__xludf.DUMMYFUNCTION("VALUE(REGEXREPLACE(G387,""[^[:digit:]]"", """"))"),888.0)</f>
        <v>888</v>
      </c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 t="s">
        <v>103</v>
      </c>
    </row>
    <row r="388">
      <c r="A388" s="7" t="s">
        <v>32</v>
      </c>
      <c r="B388" s="7" t="s">
        <v>541</v>
      </c>
      <c r="C388" s="7">
        <f t="shared" ref="C388:C389" si="36">3</f>
        <v>3</v>
      </c>
      <c r="D388" s="7">
        <v>2.0</v>
      </c>
      <c r="E388" s="7">
        <v>2.0</v>
      </c>
      <c r="F388" s="7" t="s">
        <v>93</v>
      </c>
      <c r="G388" s="7" t="s">
        <v>542</v>
      </c>
      <c r="H388" s="9" t="s">
        <v>2981</v>
      </c>
      <c r="I388" t="s">
        <v>3214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 t="str">
        <f t="shared" si="1"/>
        <v>Land area </v>
      </c>
      <c r="AE388" s="7" t="str">
        <f t="shared" si="2"/>
        <v> sq. ft.</v>
      </c>
      <c r="AF388">
        <f>IFERROR(__xludf.DUMMYFUNCTION("VALUE(REGEXREPLACE(G388,""[^[:digit:]]"", """"))"),8501000.0)</f>
        <v>8501000</v>
      </c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 t="s">
        <v>27</v>
      </c>
    </row>
    <row r="389">
      <c r="A389" s="7" t="s">
        <v>37</v>
      </c>
      <c r="B389" s="7" t="s">
        <v>134</v>
      </c>
      <c r="C389" s="7">
        <f t="shared" si="36"/>
        <v>3</v>
      </c>
      <c r="D389" s="7">
        <v>2.0</v>
      </c>
      <c r="E389" s="7">
        <v>1.0</v>
      </c>
      <c r="F389" s="7" t="s">
        <v>30</v>
      </c>
      <c r="G389" s="7" t="s">
        <v>276</v>
      </c>
      <c r="H389" s="9" t="s">
        <v>2979</v>
      </c>
      <c r="I389" t="s">
        <v>3089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 t="str">
        <f t="shared" si="1"/>
        <v>Built-up :</v>
      </c>
      <c r="AE389" s="7" t="str">
        <f t="shared" si="2"/>
        <v> sq. ft.</v>
      </c>
      <c r="AF389">
        <f>IFERROR(__xludf.DUMMYFUNCTION("VALUE(REGEXREPLACE(G389,""[^[:digit:]]"", """"))"),1560.0)</f>
        <v>1560</v>
      </c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 t="s">
        <v>27</v>
      </c>
    </row>
    <row r="390">
      <c r="A390" s="7" t="s">
        <v>33</v>
      </c>
      <c r="B390" s="7" t="s">
        <v>543</v>
      </c>
      <c r="C390" s="7">
        <f>4</f>
        <v>4</v>
      </c>
      <c r="D390" s="7">
        <v>2.0</v>
      </c>
      <c r="E390" s="7">
        <v>1.0</v>
      </c>
      <c r="F390" s="7" t="s">
        <v>93</v>
      </c>
      <c r="G390" s="7" t="s">
        <v>544</v>
      </c>
      <c r="H390" s="9" t="s">
        <v>2981</v>
      </c>
      <c r="I390" t="s">
        <v>3215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 t="str">
        <f t="shared" si="1"/>
        <v>Land area </v>
      </c>
      <c r="AE390" s="7" t="str">
        <f t="shared" si="2"/>
        <v> sq. ft.</v>
      </c>
      <c r="AF390">
        <f>IFERROR(__xludf.DUMMYFUNCTION("VALUE(REGEXREPLACE(G390,""[^[:digit:]]"", """"))"),1087.0)</f>
        <v>1087</v>
      </c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 t="s">
        <v>27</v>
      </c>
    </row>
    <row r="391">
      <c r="A391" s="7" t="s">
        <v>177</v>
      </c>
      <c r="B391" s="7" t="s">
        <v>545</v>
      </c>
      <c r="C391" s="7">
        <f>5+1</f>
        <v>6</v>
      </c>
      <c r="D391" s="7">
        <v>7.0</v>
      </c>
      <c r="E391" s="7">
        <v>5.0</v>
      </c>
      <c r="F391" s="7" t="s">
        <v>30</v>
      </c>
      <c r="G391" s="7" t="s">
        <v>546</v>
      </c>
      <c r="H391" s="9" t="s">
        <v>2979</v>
      </c>
      <c r="I391" t="s">
        <v>3216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 t="str">
        <f t="shared" si="1"/>
        <v>Built-up :</v>
      </c>
      <c r="AE391" s="7" t="str">
        <f t="shared" si="2"/>
        <v> sq. ft.</v>
      </c>
      <c r="AF391">
        <f>IFERROR(__xludf.DUMMYFUNCTION("VALUE(REGEXREPLACE(G391,""[^[:digit:]]"", """"))"),6913.0)</f>
        <v>6913</v>
      </c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 t="s">
        <v>27</v>
      </c>
    </row>
    <row r="392">
      <c r="A392" s="7" t="s">
        <v>72</v>
      </c>
      <c r="B392" s="7" t="s">
        <v>144</v>
      </c>
      <c r="C392" s="7">
        <f t="shared" ref="C392:C393" si="37">3+1</f>
        <v>4</v>
      </c>
      <c r="D392" s="7">
        <v>4.0</v>
      </c>
      <c r="E392" s="7">
        <v>2.0</v>
      </c>
      <c r="F392" s="7" t="s">
        <v>30</v>
      </c>
      <c r="G392" s="7" t="s">
        <v>278</v>
      </c>
      <c r="H392" s="9" t="s">
        <v>2979</v>
      </c>
      <c r="I392" t="s">
        <v>3090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 t="str">
        <f t="shared" si="1"/>
        <v>Built-up :</v>
      </c>
      <c r="AE392" s="7" t="str">
        <f t="shared" si="2"/>
        <v> sq. ft.</v>
      </c>
      <c r="AF392">
        <f>IFERROR(__xludf.DUMMYFUNCTION("VALUE(REGEXREPLACE(G392,""[^[:digit:]]"", """"))"),2243.0)</f>
        <v>2243</v>
      </c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 t="s">
        <v>27</v>
      </c>
    </row>
    <row r="393">
      <c r="A393" s="7" t="s">
        <v>267</v>
      </c>
      <c r="B393" s="7" t="s">
        <v>260</v>
      </c>
      <c r="C393" s="7">
        <f t="shared" si="37"/>
        <v>4</v>
      </c>
      <c r="D393" s="7">
        <v>3.0</v>
      </c>
      <c r="E393" s="9">
        <v>2.0</v>
      </c>
      <c r="F393" s="7" t="s">
        <v>54</v>
      </c>
      <c r="G393" s="7" t="s">
        <v>547</v>
      </c>
      <c r="H393" s="9" t="s">
        <v>2981</v>
      </c>
      <c r="I393" t="s">
        <v>3217</v>
      </c>
      <c r="J393" s="7"/>
      <c r="K393" s="7"/>
      <c r="L393" s="7"/>
      <c r="M393" s="7"/>
      <c r="N393" s="7"/>
      <c r="O393" s="7"/>
      <c r="P393" s="7"/>
      <c r="Q393" s="7"/>
      <c r="R393" s="7"/>
      <c r="S393" s="7" t="s">
        <v>3218</v>
      </c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 t="str">
        <f t="shared" si="1"/>
        <v>Land area </v>
      </c>
      <c r="AE393" s="7" t="str">
        <f t="shared" si="2"/>
        <v> sq. ft.</v>
      </c>
      <c r="AF393">
        <f>IFERROR(__xludf.DUMMYFUNCTION("VALUE(REGEXREPLACE(G393,""[^[:digit:]]"", """"))"),2.282171008217E12)</f>
        <v>2282171008217</v>
      </c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>
      <c r="A394" s="7" t="s">
        <v>32</v>
      </c>
      <c r="B394" s="7" t="s">
        <v>541</v>
      </c>
      <c r="C394" s="7">
        <f>3</f>
        <v>3</v>
      </c>
      <c r="D394" s="7">
        <v>2.0</v>
      </c>
      <c r="E394" s="7">
        <v>2.0</v>
      </c>
      <c r="F394" s="7" t="s">
        <v>83</v>
      </c>
      <c r="G394" s="7" t="s">
        <v>548</v>
      </c>
      <c r="H394" s="9" t="s">
        <v>2981</v>
      </c>
      <c r="I394" t="s">
        <v>3219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 t="str">
        <f t="shared" si="1"/>
        <v>Land area </v>
      </c>
      <c r="AE394" s="7" t="str">
        <f t="shared" si="2"/>
        <v> sq. ft.</v>
      </c>
      <c r="AF394">
        <f>IFERROR(__xludf.DUMMYFUNCTION("VALUE(REGEXREPLACE(G394,""[^[:digit:]]"", """"))"),8501000.0)</f>
        <v>8501000</v>
      </c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 t="s">
        <v>27</v>
      </c>
    </row>
    <row r="395">
      <c r="A395" s="7" t="s">
        <v>177</v>
      </c>
      <c r="B395" s="7" t="s">
        <v>549</v>
      </c>
      <c r="C395" s="7">
        <f>4+1</f>
        <v>5</v>
      </c>
      <c r="D395" s="7">
        <v>6.0</v>
      </c>
      <c r="E395" s="9">
        <v>2.0</v>
      </c>
      <c r="F395" s="7" t="s">
        <v>83</v>
      </c>
      <c r="G395" s="7" t="s">
        <v>550</v>
      </c>
      <c r="H395" s="9" t="s">
        <v>2979</v>
      </c>
      <c r="I395" t="s">
        <v>3220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 t="str">
        <f t="shared" si="1"/>
        <v>Built-up :</v>
      </c>
      <c r="AE395" s="7" t="str">
        <f t="shared" si="2"/>
        <v> sq. ft.</v>
      </c>
      <c r="AF395">
        <f>IFERROR(__xludf.DUMMYFUNCTION("VALUE(REGEXREPLACE(G395,""[^[:digit:]]"", """"))"),4771.0)</f>
        <v>4771</v>
      </c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 t="s">
        <v>27</v>
      </c>
    </row>
    <row r="396">
      <c r="A396" s="7" t="s">
        <v>109</v>
      </c>
      <c r="B396" s="7" t="s">
        <v>172</v>
      </c>
      <c r="C396" s="7">
        <f>3</f>
        <v>3</v>
      </c>
      <c r="D396" s="7">
        <v>2.0</v>
      </c>
      <c r="E396" s="7">
        <v>1.0</v>
      </c>
      <c r="F396" s="7" t="s">
        <v>30</v>
      </c>
      <c r="G396" s="7" t="s">
        <v>551</v>
      </c>
      <c r="H396" s="9" t="s">
        <v>2979</v>
      </c>
      <c r="I396" t="s">
        <v>3221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 t="str">
        <f t="shared" si="1"/>
        <v>Built-up :</v>
      </c>
      <c r="AE396" s="7" t="str">
        <f t="shared" si="2"/>
        <v> sq. ft.</v>
      </c>
      <c r="AF396">
        <f>IFERROR(__xludf.DUMMYFUNCTION("VALUE(REGEXREPLACE(G396,""[^[:digit:]]"", """"))"),1590.0)</f>
        <v>1590</v>
      </c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 t="s">
        <v>27</v>
      </c>
    </row>
    <row r="397">
      <c r="A397" s="7" t="s">
        <v>72</v>
      </c>
      <c r="B397" s="7" t="s">
        <v>552</v>
      </c>
      <c r="C397" s="7">
        <f>1</f>
        <v>1</v>
      </c>
      <c r="D397" s="7">
        <v>1.0</v>
      </c>
      <c r="E397" s="7">
        <v>1.0</v>
      </c>
      <c r="F397" s="7" t="s">
        <v>82</v>
      </c>
      <c r="G397" s="7" t="s">
        <v>553</v>
      </c>
      <c r="H397" s="9" t="s">
        <v>2981</v>
      </c>
      <c r="I397" t="s">
        <v>3072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 t="str">
        <f t="shared" si="1"/>
        <v>Land area </v>
      </c>
      <c r="AE397" s="7" t="str">
        <f t="shared" si="2"/>
        <v> sq. ft.</v>
      </c>
      <c r="AF397">
        <f>IFERROR(__xludf.DUMMYFUNCTION("VALUE(REGEXREPLACE(G397,""[^[:digit:]]"", """"))"),650.0)</f>
        <v>650</v>
      </c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 t="s">
        <v>22</v>
      </c>
    </row>
    <row r="398">
      <c r="A398" s="7" t="s">
        <v>72</v>
      </c>
      <c r="B398" s="7" t="s">
        <v>554</v>
      </c>
      <c r="C398" s="7">
        <f>3+1</f>
        <v>4</v>
      </c>
      <c r="D398" s="7">
        <v>3.0</v>
      </c>
      <c r="E398" s="7">
        <v>3.0</v>
      </c>
      <c r="F398" s="7" t="s">
        <v>30</v>
      </c>
      <c r="G398" s="7" t="s">
        <v>555</v>
      </c>
      <c r="H398" s="9" t="s">
        <v>2979</v>
      </c>
      <c r="I398" t="s">
        <v>3222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 t="str">
        <f t="shared" si="1"/>
        <v>Built-up :</v>
      </c>
      <c r="AE398" s="7" t="str">
        <f t="shared" si="2"/>
        <v> sq. ft.</v>
      </c>
      <c r="AF398">
        <f>IFERROR(__xludf.DUMMYFUNCTION("VALUE(REGEXREPLACE(G398,""[^[:digit:]]"", """"))"),2648.0)</f>
        <v>2648</v>
      </c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 t="s">
        <v>27</v>
      </c>
    </row>
    <row r="399">
      <c r="A399" s="7" t="s">
        <v>72</v>
      </c>
      <c r="B399" s="7" t="s">
        <v>556</v>
      </c>
      <c r="C399" s="7">
        <f>4+1</f>
        <v>5</v>
      </c>
      <c r="D399" s="7">
        <v>4.0</v>
      </c>
      <c r="E399" s="7">
        <v>3.0</v>
      </c>
      <c r="F399" s="7" t="s">
        <v>83</v>
      </c>
      <c r="G399" s="7" t="s">
        <v>456</v>
      </c>
      <c r="H399" s="9" t="s">
        <v>2979</v>
      </c>
      <c r="I399" t="s">
        <v>3170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 t="str">
        <f t="shared" si="1"/>
        <v>Built-up :</v>
      </c>
      <c r="AE399" s="7" t="str">
        <f t="shared" si="2"/>
        <v> sq. ft.</v>
      </c>
      <c r="AF399">
        <f>IFERROR(__xludf.DUMMYFUNCTION("VALUE(REGEXREPLACE(G399,""[^[:digit:]]"", """"))"),2973.0)</f>
        <v>2973</v>
      </c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 t="s">
        <v>27</v>
      </c>
    </row>
    <row r="400">
      <c r="A400" s="7" t="s">
        <v>17</v>
      </c>
      <c r="B400" s="7" t="s">
        <v>120</v>
      </c>
      <c r="C400" s="7">
        <f>4</f>
        <v>4</v>
      </c>
      <c r="D400" s="7">
        <v>4.0</v>
      </c>
      <c r="E400" s="7">
        <v>2.0</v>
      </c>
      <c r="F400" s="7" t="s">
        <v>121</v>
      </c>
      <c r="G400" s="7" t="s">
        <v>122</v>
      </c>
      <c r="H400" s="9" t="s">
        <v>2979</v>
      </c>
      <c r="I400" t="s">
        <v>3016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 t="str">
        <f t="shared" si="1"/>
        <v>Built-up :</v>
      </c>
      <c r="AE400" s="7" t="str">
        <f t="shared" si="2"/>
        <v> sq. ft.</v>
      </c>
      <c r="AF400">
        <f>IFERROR(__xludf.DUMMYFUNCTION("VALUE(REGEXREPLACE(G400,""[^[:digit:]]"", """"))"),3897.0)</f>
        <v>3897</v>
      </c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 t="s">
        <v>22</v>
      </c>
    </row>
    <row r="401">
      <c r="A401" s="7" t="s">
        <v>37</v>
      </c>
      <c r="B401" s="7" t="s">
        <v>134</v>
      </c>
      <c r="C401" s="7">
        <f>3</f>
        <v>3</v>
      </c>
      <c r="D401" s="7">
        <v>2.0</v>
      </c>
      <c r="E401" s="7">
        <v>2.0</v>
      </c>
      <c r="F401" s="7" t="s">
        <v>343</v>
      </c>
      <c r="G401" s="7" t="s">
        <v>211</v>
      </c>
      <c r="H401" s="9" t="s">
        <v>2981</v>
      </c>
      <c r="I401" t="s">
        <v>2992</v>
      </c>
      <c r="J401" s="7"/>
      <c r="K401" s="7"/>
      <c r="L401" s="7"/>
      <c r="M401" s="7"/>
      <c r="N401" s="7"/>
      <c r="O401" s="7"/>
      <c r="P401" s="7"/>
      <c r="Q401" s="7"/>
      <c r="R401" s="7"/>
      <c r="S401" s="7" t="s">
        <v>2993</v>
      </c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 t="str">
        <f t="shared" si="1"/>
        <v>Land area </v>
      </c>
      <c r="AE401" s="7" t="str">
        <f t="shared" si="2"/>
        <v> sq. ft.</v>
      </c>
      <c r="AF401">
        <f>IFERROR(__xludf.DUMMYFUNCTION("VALUE(REGEXREPLACE(G401,""[^[:digit:]]"", """"))"),2280.0)</f>
        <v>2280</v>
      </c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 t="s">
        <v>27</v>
      </c>
    </row>
    <row r="402">
      <c r="A402" s="7" t="s">
        <v>77</v>
      </c>
      <c r="B402" s="7" t="s">
        <v>475</v>
      </c>
      <c r="C402" s="7">
        <f t="shared" ref="C402:C403" si="38">4+1</f>
        <v>5</v>
      </c>
      <c r="D402" s="7">
        <v>4.0</v>
      </c>
      <c r="E402" s="7">
        <v>3.0</v>
      </c>
      <c r="F402" s="7" t="s">
        <v>46</v>
      </c>
      <c r="G402" s="7" t="s">
        <v>557</v>
      </c>
      <c r="H402" s="9" t="s">
        <v>2981</v>
      </c>
      <c r="I402" t="s">
        <v>3086</v>
      </c>
      <c r="J402" s="7"/>
      <c r="K402" s="7"/>
      <c r="L402" s="7"/>
      <c r="M402" s="7"/>
      <c r="N402" s="7"/>
      <c r="O402" s="7"/>
      <c r="P402" s="7"/>
      <c r="Q402" s="7"/>
      <c r="R402" s="7"/>
      <c r="S402" s="7" t="s">
        <v>2990</v>
      </c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 t="str">
        <f t="shared" si="1"/>
        <v>Land area </v>
      </c>
      <c r="AE402" s="7" t="str">
        <f t="shared" si="2"/>
        <v> sq. ft.</v>
      </c>
      <c r="AF402">
        <f>IFERROR(__xludf.DUMMYFUNCTION("VALUE(REGEXREPLACE(G402,""[^[:digit:]]"", """"))"),2.8503875E7)</f>
        <v>28503875</v>
      </c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 t="s">
        <v>27</v>
      </c>
    </row>
    <row r="403">
      <c r="A403" s="7" t="s">
        <v>37</v>
      </c>
      <c r="B403" s="7" t="s">
        <v>63</v>
      </c>
      <c r="C403" s="7">
        <f t="shared" si="38"/>
        <v>5</v>
      </c>
      <c r="D403" s="7">
        <v>4.0</v>
      </c>
      <c r="E403" s="7">
        <v>3.0</v>
      </c>
      <c r="F403" s="7" t="s">
        <v>43</v>
      </c>
      <c r="G403" s="7" t="s">
        <v>44</v>
      </c>
      <c r="H403" s="9" t="s">
        <v>2981</v>
      </c>
      <c r="I403" t="s">
        <v>2988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 t="str">
        <f t="shared" si="1"/>
        <v>Land area </v>
      </c>
      <c r="AE403" s="7" t="str">
        <f t="shared" si="2"/>
        <v> sq. ft.</v>
      </c>
      <c r="AF403">
        <f>IFERROR(__xludf.DUMMYFUNCTION("VALUE(REGEXREPLACE(G403,""[^[:digit:]]"", """"))"),3600.0)</f>
        <v>3600</v>
      </c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 t="s">
        <v>27</v>
      </c>
    </row>
    <row r="404">
      <c r="A404" s="7" t="s">
        <v>37</v>
      </c>
      <c r="B404" s="7" t="s">
        <v>279</v>
      </c>
      <c r="C404" s="7">
        <f>4</f>
        <v>4</v>
      </c>
      <c r="D404" s="7">
        <v>3.0</v>
      </c>
      <c r="E404" s="7">
        <v>2.0</v>
      </c>
      <c r="F404" s="7" t="s">
        <v>169</v>
      </c>
      <c r="G404" s="7" t="s">
        <v>558</v>
      </c>
      <c r="H404" s="9" t="s">
        <v>2981</v>
      </c>
      <c r="I404" t="s">
        <v>3223</v>
      </c>
      <c r="J404" s="7"/>
      <c r="K404" s="7"/>
      <c r="L404" s="7"/>
      <c r="M404" s="7"/>
      <c r="N404" s="7"/>
      <c r="O404" s="7"/>
      <c r="P404" s="7"/>
      <c r="Q404" s="7"/>
      <c r="R404" s="7"/>
      <c r="S404" s="7" t="s">
        <v>2990</v>
      </c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 t="str">
        <f t="shared" si="1"/>
        <v>Land area </v>
      </c>
      <c r="AE404" s="7" t="str">
        <f t="shared" si="2"/>
        <v> sq. ft.</v>
      </c>
      <c r="AF404">
        <f>IFERROR(__xludf.DUMMYFUNCTION("VALUE(REGEXREPLACE(G404,""[^[:digit:]]"", """"))"),2375.0)</f>
        <v>2375</v>
      </c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 t="s">
        <v>27</v>
      </c>
    </row>
    <row r="405">
      <c r="A405" s="7" t="s">
        <v>37</v>
      </c>
      <c r="B405" s="7" t="s">
        <v>85</v>
      </c>
      <c r="C405" s="7">
        <f>3</f>
        <v>3</v>
      </c>
      <c r="D405" s="7">
        <v>2.0</v>
      </c>
      <c r="E405" s="7">
        <v>2.0</v>
      </c>
      <c r="F405" s="7" t="s">
        <v>343</v>
      </c>
      <c r="G405" s="7" t="s">
        <v>559</v>
      </c>
      <c r="H405" s="9" t="s">
        <v>2981</v>
      </c>
      <c r="I405" t="s">
        <v>3118</v>
      </c>
      <c r="J405" s="7"/>
      <c r="K405" s="7"/>
      <c r="L405" s="7"/>
      <c r="M405" s="7"/>
      <c r="N405" s="7"/>
      <c r="O405" s="7"/>
      <c r="P405" s="7"/>
      <c r="Q405" s="7"/>
      <c r="R405" s="7"/>
      <c r="S405" s="7" t="s">
        <v>3224</v>
      </c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 t="str">
        <f t="shared" si="1"/>
        <v>Land area </v>
      </c>
      <c r="AE405" s="7" t="str">
        <f t="shared" si="2"/>
        <v> sq. ft.</v>
      </c>
      <c r="AF405">
        <f>IFERROR(__xludf.DUMMYFUNCTION("VALUE(REGEXREPLACE(G405,""[^[:digit:]]"", """"))"),2.480192E7)</f>
        <v>24801920</v>
      </c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 t="s">
        <v>22</v>
      </c>
    </row>
    <row r="406">
      <c r="A406" s="7" t="s">
        <v>177</v>
      </c>
      <c r="B406" s="7" t="s">
        <v>255</v>
      </c>
      <c r="C406" s="7">
        <f>7</f>
        <v>7</v>
      </c>
      <c r="D406" s="7">
        <v>4.0</v>
      </c>
      <c r="E406" s="7">
        <v>4.0</v>
      </c>
      <c r="F406" s="7" t="s">
        <v>61</v>
      </c>
      <c r="G406" s="7" t="s">
        <v>560</v>
      </c>
      <c r="H406" s="9" t="s">
        <v>2981</v>
      </c>
      <c r="I406" t="s">
        <v>3225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 t="str">
        <f t="shared" si="1"/>
        <v>Land area </v>
      </c>
      <c r="AE406" s="7" t="str">
        <f t="shared" si="2"/>
        <v> sq. ft.</v>
      </c>
      <c r="AF406">
        <f>IFERROR(__xludf.DUMMYFUNCTION("VALUE(REGEXREPLACE(G406,""[^[:digit:]]"", """"))"),11676.0)</f>
        <v>11676</v>
      </c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 t="s">
        <v>27</v>
      </c>
    </row>
    <row r="407">
      <c r="A407" s="7" t="s">
        <v>37</v>
      </c>
      <c r="B407" s="7" t="s">
        <v>53</v>
      </c>
      <c r="C407" s="7">
        <f t="shared" ref="C407:C408" si="39">4</f>
        <v>4</v>
      </c>
      <c r="D407" s="7">
        <v>3.0</v>
      </c>
      <c r="E407" s="7">
        <v>4.0</v>
      </c>
      <c r="F407" s="7" t="s">
        <v>169</v>
      </c>
      <c r="G407" s="7" t="s">
        <v>280</v>
      </c>
      <c r="H407" s="9" t="s">
        <v>2981</v>
      </c>
      <c r="I407" t="s">
        <v>3037</v>
      </c>
      <c r="J407" s="7"/>
      <c r="K407" s="7"/>
      <c r="L407" s="7"/>
      <c r="M407" s="7"/>
      <c r="N407" s="7"/>
      <c r="O407" s="7"/>
      <c r="P407" s="7"/>
      <c r="Q407" s="7"/>
      <c r="R407" s="7"/>
      <c r="S407" s="7" t="s">
        <v>2990</v>
      </c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 t="str">
        <f t="shared" si="1"/>
        <v>Land area </v>
      </c>
      <c r="AE407" s="7" t="str">
        <f t="shared" si="2"/>
        <v> sq. ft.</v>
      </c>
      <c r="AF407">
        <f>IFERROR(__xludf.DUMMYFUNCTION("VALUE(REGEXREPLACE(G407,""[^[:digit:]]"", """"))"),2475.0)</f>
        <v>2475</v>
      </c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 t="s">
        <v>27</v>
      </c>
    </row>
    <row r="408">
      <c r="A408" s="7" t="s">
        <v>23</v>
      </c>
      <c r="B408" s="7" t="s">
        <v>81</v>
      </c>
      <c r="C408" s="7">
        <f t="shared" si="39"/>
        <v>4</v>
      </c>
      <c r="D408" s="7">
        <v>3.0</v>
      </c>
      <c r="E408" s="7">
        <v>2.0</v>
      </c>
      <c r="F408" s="7" t="s">
        <v>54</v>
      </c>
      <c r="G408" s="7" t="s">
        <v>344</v>
      </c>
      <c r="H408" s="9" t="s">
        <v>2981</v>
      </c>
      <c r="I408" t="s">
        <v>3118</v>
      </c>
      <c r="J408" s="7"/>
      <c r="K408" s="7"/>
      <c r="L408" s="7"/>
      <c r="M408" s="7"/>
      <c r="N408" s="7"/>
      <c r="O408" s="7"/>
      <c r="P408" s="7"/>
      <c r="Q408" s="7"/>
      <c r="R408" s="7"/>
      <c r="S408" s="7" t="s">
        <v>2993</v>
      </c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 t="str">
        <f t="shared" si="1"/>
        <v>Land area </v>
      </c>
      <c r="AE408" s="7" t="str">
        <f t="shared" si="2"/>
        <v> sq. ft.</v>
      </c>
      <c r="AF408">
        <f>IFERROR(__xludf.DUMMYFUNCTION("VALUE(REGEXREPLACE(G408,""[^[:digit:]]"", """"))"),2480.0)</f>
        <v>2480</v>
      </c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 t="s">
        <v>103</v>
      </c>
    </row>
    <row r="409">
      <c r="A409" s="7" t="s">
        <v>72</v>
      </c>
      <c r="B409" s="7" t="s">
        <v>45</v>
      </c>
      <c r="C409" s="7">
        <f>3+1</f>
        <v>4</v>
      </c>
      <c r="D409" s="7">
        <v>4.0</v>
      </c>
      <c r="E409" s="7">
        <v>3.0</v>
      </c>
      <c r="F409" s="7" t="s">
        <v>83</v>
      </c>
      <c r="G409" s="7" t="s">
        <v>561</v>
      </c>
      <c r="H409" s="9" t="s">
        <v>2979</v>
      </c>
      <c r="I409" t="s">
        <v>3226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 t="str">
        <f t="shared" si="1"/>
        <v>Built-up :</v>
      </c>
      <c r="AE409" s="7" t="str">
        <f t="shared" si="2"/>
        <v> sq. ft.</v>
      </c>
      <c r="AF409">
        <f>IFERROR(__xludf.DUMMYFUNCTION("VALUE(REGEXREPLACE(G409,""[^[:digit:]]"", """"))"),2535.0)</f>
        <v>2535</v>
      </c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 t="s">
        <v>22</v>
      </c>
    </row>
    <row r="410">
      <c r="A410" s="7" t="s">
        <v>77</v>
      </c>
      <c r="B410" s="7" t="s">
        <v>534</v>
      </c>
      <c r="C410" s="7">
        <f>4+1</f>
        <v>5</v>
      </c>
      <c r="D410" s="7">
        <v>4.0</v>
      </c>
      <c r="E410" s="9">
        <v>2.0</v>
      </c>
      <c r="F410" s="7" t="s">
        <v>562</v>
      </c>
      <c r="G410" s="7" t="s">
        <v>152</v>
      </c>
      <c r="H410" s="9" t="s">
        <v>2979</v>
      </c>
      <c r="I410" t="s">
        <v>3029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 t="str">
        <f t="shared" si="1"/>
        <v>Built-up :</v>
      </c>
      <c r="AE410" s="7" t="str">
        <f t="shared" si="2"/>
        <v> sq. ft.</v>
      </c>
      <c r="AF410">
        <f>IFERROR(__xludf.DUMMYFUNCTION("VALUE(REGEXREPLACE(G410,""[^[:digit:]]"", """"))"),4300.0)</f>
        <v>4300</v>
      </c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 t="s">
        <v>27</v>
      </c>
    </row>
    <row r="411">
      <c r="A411" s="7" t="s">
        <v>17</v>
      </c>
      <c r="B411" s="7" t="s">
        <v>120</v>
      </c>
      <c r="C411" s="7">
        <f>3+1</f>
        <v>4</v>
      </c>
      <c r="D411" s="7">
        <v>4.0</v>
      </c>
      <c r="E411" s="7">
        <v>2.0</v>
      </c>
      <c r="F411" s="7" t="s">
        <v>121</v>
      </c>
      <c r="G411" s="7" t="s">
        <v>122</v>
      </c>
      <c r="H411" s="9" t="s">
        <v>2979</v>
      </c>
      <c r="I411" t="s">
        <v>3016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 t="str">
        <f t="shared" si="1"/>
        <v>Built-up :</v>
      </c>
      <c r="AE411" s="7" t="str">
        <f t="shared" si="2"/>
        <v> sq. ft.</v>
      </c>
      <c r="AF411">
        <f>IFERROR(__xludf.DUMMYFUNCTION("VALUE(REGEXREPLACE(G411,""[^[:digit:]]"", """"))"),3897.0)</f>
        <v>3897</v>
      </c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 t="s">
        <v>27</v>
      </c>
    </row>
    <row r="412">
      <c r="A412" s="7" t="s">
        <v>89</v>
      </c>
      <c r="B412" s="7" t="s">
        <v>563</v>
      </c>
      <c r="C412" s="7">
        <f>2+1</f>
        <v>3</v>
      </c>
      <c r="D412" s="7">
        <v>2.0</v>
      </c>
      <c r="E412" s="7">
        <v>2.0</v>
      </c>
      <c r="F412" s="7" t="s">
        <v>82</v>
      </c>
      <c r="G412" s="7" t="s">
        <v>564</v>
      </c>
      <c r="H412" s="9" t="s">
        <v>2981</v>
      </c>
      <c r="I412" t="s">
        <v>3227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 t="str">
        <f t="shared" si="1"/>
        <v>Land area </v>
      </c>
      <c r="AE412" s="7" t="str">
        <f t="shared" si="2"/>
        <v> sq. ft.</v>
      </c>
      <c r="AF412">
        <f>IFERROR(__xludf.DUMMYFUNCTION("VALUE(REGEXREPLACE(G412,""[^[:digit:]]"", """"))"),1025.0)</f>
        <v>1025</v>
      </c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 t="s">
        <v>27</v>
      </c>
    </row>
    <row r="413">
      <c r="A413" s="7" t="s">
        <v>180</v>
      </c>
      <c r="B413" s="7" t="s">
        <v>565</v>
      </c>
      <c r="C413" s="7">
        <f>4+1</f>
        <v>5</v>
      </c>
      <c r="D413" s="7">
        <v>5.0</v>
      </c>
      <c r="E413" s="7">
        <v>2.0</v>
      </c>
      <c r="F413" s="7" t="s">
        <v>30</v>
      </c>
      <c r="G413" s="7" t="s">
        <v>182</v>
      </c>
      <c r="H413" s="9" t="s">
        <v>2979</v>
      </c>
      <c r="I413" t="s">
        <v>3041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 t="str">
        <f t="shared" si="1"/>
        <v>Built-up :</v>
      </c>
      <c r="AE413" s="7" t="str">
        <f t="shared" si="2"/>
        <v> sq. ft.</v>
      </c>
      <c r="AF413">
        <f>IFERROR(__xludf.DUMMYFUNCTION("VALUE(REGEXREPLACE(G413,""[^[:digit:]]"", """"))"),3713.0)</f>
        <v>3713</v>
      </c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 t="s">
        <v>27</v>
      </c>
    </row>
    <row r="414">
      <c r="A414" s="7" t="s">
        <v>164</v>
      </c>
      <c r="B414" s="7" t="s">
        <v>125</v>
      </c>
      <c r="C414" s="7">
        <f>3+1</f>
        <v>4</v>
      </c>
      <c r="D414" s="7">
        <v>4.0</v>
      </c>
      <c r="E414" s="7">
        <v>2.0</v>
      </c>
      <c r="F414" s="7" t="s">
        <v>20</v>
      </c>
      <c r="G414" s="7" t="s">
        <v>566</v>
      </c>
      <c r="H414" s="9" t="s">
        <v>2979</v>
      </c>
      <c r="I414" t="s">
        <v>3228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 t="str">
        <f t="shared" si="1"/>
        <v>Built-up :</v>
      </c>
      <c r="AE414" s="7" t="str">
        <f t="shared" si="2"/>
        <v> sq. ft.</v>
      </c>
      <c r="AF414">
        <f>IFERROR(__xludf.DUMMYFUNCTION("VALUE(REGEXREPLACE(G414,""[^[:digit:]]"", """"))"),1873.0)</f>
        <v>1873</v>
      </c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>
      <c r="A415" s="7" t="s">
        <v>164</v>
      </c>
      <c r="B415" s="7" t="s">
        <v>567</v>
      </c>
      <c r="C415" s="7">
        <f t="shared" ref="C415:C416" si="40">4+1</f>
        <v>5</v>
      </c>
      <c r="D415" s="7">
        <v>5.0</v>
      </c>
      <c r="E415" s="9">
        <v>2.0</v>
      </c>
      <c r="F415" s="7" t="s">
        <v>20</v>
      </c>
      <c r="G415" s="7" t="s">
        <v>568</v>
      </c>
      <c r="H415" s="9" t="s">
        <v>2979</v>
      </c>
      <c r="I415" t="s">
        <v>3229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 t="str">
        <f t="shared" si="1"/>
        <v>Built-up :</v>
      </c>
      <c r="AE415" s="7" t="str">
        <f t="shared" si="2"/>
        <v> sq. ft.</v>
      </c>
      <c r="AF415">
        <f>IFERROR(__xludf.DUMMYFUNCTION("VALUE(REGEXREPLACE(G415,""[^[:digit:]]"", """"))"),2982.0)</f>
        <v>2982</v>
      </c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>
      <c r="A416" s="7" t="s">
        <v>164</v>
      </c>
      <c r="B416" s="7" t="s">
        <v>569</v>
      </c>
      <c r="C416" s="7">
        <f t="shared" si="40"/>
        <v>5</v>
      </c>
      <c r="D416" s="7">
        <v>4.0</v>
      </c>
      <c r="E416" s="9">
        <v>2.0</v>
      </c>
      <c r="F416" s="7" t="s">
        <v>20</v>
      </c>
      <c r="G416" s="7" t="s">
        <v>570</v>
      </c>
      <c r="H416" s="9" t="s">
        <v>2979</v>
      </c>
      <c r="I416" t="s">
        <v>3230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 t="str">
        <f t="shared" si="1"/>
        <v>Built-up :</v>
      </c>
      <c r="AE416" s="7" t="str">
        <f t="shared" si="2"/>
        <v> sq. ft.</v>
      </c>
      <c r="AF416">
        <f>IFERROR(__xludf.DUMMYFUNCTION("VALUE(REGEXREPLACE(G416,""[^[:digit:]]"", """"))"),3143.0)</f>
        <v>3143</v>
      </c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>
      <c r="A417" s="7" t="s">
        <v>17</v>
      </c>
      <c r="B417" s="7" t="s">
        <v>73</v>
      </c>
      <c r="C417" s="7">
        <f>3</f>
        <v>3</v>
      </c>
      <c r="D417" s="7">
        <v>3.0</v>
      </c>
      <c r="E417" s="7">
        <v>2.0</v>
      </c>
      <c r="F417" s="7" t="s">
        <v>83</v>
      </c>
      <c r="G417" s="7" t="s">
        <v>202</v>
      </c>
      <c r="H417" s="9" t="s">
        <v>2979</v>
      </c>
      <c r="I417" t="s">
        <v>3050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 t="str">
        <f t="shared" si="1"/>
        <v>Built-up :</v>
      </c>
      <c r="AE417" s="7" t="str">
        <f t="shared" si="2"/>
        <v> sq. ft.</v>
      </c>
      <c r="AF417">
        <f>IFERROR(__xludf.DUMMYFUNCTION("VALUE(REGEXREPLACE(G417,""[^[:digit:]]"", """"))"),1232.0)</f>
        <v>1232</v>
      </c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 t="s">
        <v>22</v>
      </c>
    </row>
    <row r="418">
      <c r="A418" s="7" t="s">
        <v>33</v>
      </c>
      <c r="B418" s="7" t="s">
        <v>34</v>
      </c>
      <c r="C418" s="7">
        <f>4+1</f>
        <v>5</v>
      </c>
      <c r="D418" s="7">
        <v>3.0</v>
      </c>
      <c r="E418" s="7">
        <v>3.0</v>
      </c>
      <c r="F418" s="7" t="s">
        <v>30</v>
      </c>
      <c r="G418" s="7" t="s">
        <v>36</v>
      </c>
      <c r="H418" s="9" t="s">
        <v>2979</v>
      </c>
      <c r="I418" t="s">
        <v>2986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tr">
        <f t="shared" si="1"/>
        <v>Built-up :</v>
      </c>
      <c r="AE418" s="7" t="str">
        <f t="shared" si="2"/>
        <v> sq. ft.</v>
      </c>
      <c r="AF418">
        <f>IFERROR(__xludf.DUMMYFUNCTION("VALUE(REGEXREPLACE(G418,""[^[:digit:]]"", """"))"),1513.0)</f>
        <v>1513</v>
      </c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 t="s">
        <v>27</v>
      </c>
    </row>
    <row r="419">
      <c r="A419" s="7" t="s">
        <v>33</v>
      </c>
      <c r="B419" s="7" t="s">
        <v>571</v>
      </c>
      <c r="C419" s="7">
        <f>4</f>
        <v>4</v>
      </c>
      <c r="D419" s="7">
        <v>2.0</v>
      </c>
      <c r="E419" s="7">
        <v>2.0</v>
      </c>
      <c r="F419" s="7" t="s">
        <v>83</v>
      </c>
      <c r="G419" s="7" t="s">
        <v>173</v>
      </c>
      <c r="H419" s="9" t="s">
        <v>2979</v>
      </c>
      <c r="I419" t="s">
        <v>3038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 t="str">
        <f t="shared" si="1"/>
        <v>Built-up :</v>
      </c>
      <c r="AE419" s="7" t="str">
        <f t="shared" si="2"/>
        <v> sq. ft.</v>
      </c>
      <c r="AF419">
        <f>IFERROR(__xludf.DUMMYFUNCTION("VALUE(REGEXREPLACE(G419,""[^[:digit:]]"", """"))"),1550.0)</f>
        <v>1550</v>
      </c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>
      <c r="A420" s="7" t="s">
        <v>177</v>
      </c>
      <c r="B420" s="7" t="s">
        <v>395</v>
      </c>
      <c r="C420" s="7">
        <f>3+1</f>
        <v>4</v>
      </c>
      <c r="D420" s="7">
        <v>5.0</v>
      </c>
      <c r="E420" s="7">
        <v>3.0</v>
      </c>
      <c r="F420" s="7" t="s">
        <v>30</v>
      </c>
      <c r="G420" s="7" t="s">
        <v>572</v>
      </c>
      <c r="H420" s="9" t="s">
        <v>2979</v>
      </c>
      <c r="I420" t="s">
        <v>3231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 t="str">
        <f t="shared" si="1"/>
        <v>Built-up :</v>
      </c>
      <c r="AE420" s="7" t="str">
        <f t="shared" si="2"/>
        <v> sq. ft.</v>
      </c>
      <c r="AF420">
        <f>IFERROR(__xludf.DUMMYFUNCTION("VALUE(REGEXREPLACE(G420,""[^[:digit:]]"", """"))"),4025.0)</f>
        <v>4025</v>
      </c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 t="s">
        <v>27</v>
      </c>
    </row>
    <row r="421">
      <c r="A421" s="7" t="s">
        <v>177</v>
      </c>
      <c r="B421" s="7" t="s">
        <v>573</v>
      </c>
      <c r="C421" s="7">
        <f>4+1</f>
        <v>5</v>
      </c>
      <c r="D421" s="7">
        <v>6.0</v>
      </c>
      <c r="E421" s="7">
        <v>3.0</v>
      </c>
      <c r="F421" s="7" t="s">
        <v>30</v>
      </c>
      <c r="G421" s="7" t="s">
        <v>574</v>
      </c>
      <c r="H421" s="9" t="s">
        <v>2979</v>
      </c>
      <c r="I421" t="s">
        <v>3232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 t="str">
        <f t="shared" si="1"/>
        <v>Built-up :</v>
      </c>
      <c r="AE421" s="7" t="str">
        <f t="shared" si="2"/>
        <v> sq. ft.</v>
      </c>
      <c r="AF421">
        <f>IFERROR(__xludf.DUMMYFUNCTION("VALUE(REGEXREPLACE(G421,""[^[:digit:]]"", """"))"),4945.0)</f>
        <v>4945</v>
      </c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 t="s">
        <v>27</v>
      </c>
    </row>
    <row r="422">
      <c r="A422" s="7" t="s">
        <v>100</v>
      </c>
      <c r="B422" s="7" t="s">
        <v>575</v>
      </c>
      <c r="C422" s="7">
        <f>3</f>
        <v>3</v>
      </c>
      <c r="D422" s="7">
        <v>2.0</v>
      </c>
      <c r="E422" s="7">
        <v>2.0</v>
      </c>
      <c r="F422" s="7" t="s">
        <v>30</v>
      </c>
      <c r="G422" s="7" t="s">
        <v>576</v>
      </c>
      <c r="H422" s="9" t="s">
        <v>2981</v>
      </c>
      <c r="I422" t="s">
        <v>3233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 t="str">
        <f t="shared" si="1"/>
        <v>Land area </v>
      </c>
      <c r="AE422" s="7" t="str">
        <f t="shared" si="2"/>
        <v> sq. ft.</v>
      </c>
      <c r="AF422">
        <f>IFERROR(__xludf.DUMMYFUNCTION("VALUE(REGEXREPLACE(G422,""[^[:digit:]]"", """"))"),992.0)</f>
        <v>992</v>
      </c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 t="s">
        <v>27</v>
      </c>
    </row>
    <row r="423">
      <c r="A423" s="7" t="s">
        <v>17</v>
      </c>
      <c r="B423" s="7" t="s">
        <v>577</v>
      </c>
      <c r="C423" s="7">
        <f>1+1</f>
        <v>2</v>
      </c>
      <c r="D423" s="7">
        <v>2.0</v>
      </c>
      <c r="E423" s="7">
        <v>2.0</v>
      </c>
      <c r="F423" s="7" t="s">
        <v>82</v>
      </c>
      <c r="G423" s="7" t="s">
        <v>578</v>
      </c>
      <c r="H423" s="9" t="s">
        <v>2979</v>
      </c>
      <c r="I423" t="s">
        <v>3234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 t="str">
        <f t="shared" si="1"/>
        <v>Built-up :</v>
      </c>
      <c r="AE423" s="7" t="str">
        <f t="shared" si="2"/>
        <v> sq. ft.</v>
      </c>
      <c r="AF423">
        <f>IFERROR(__xludf.DUMMYFUNCTION("VALUE(REGEXREPLACE(G423,""[^[:digit:]]"", """"))"),1421.0)</f>
        <v>1421</v>
      </c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 t="s">
        <v>27</v>
      </c>
    </row>
    <row r="424">
      <c r="A424" s="7" t="s">
        <v>17</v>
      </c>
      <c r="B424" s="7" t="s">
        <v>257</v>
      </c>
      <c r="C424" s="7">
        <f>1</f>
        <v>1</v>
      </c>
      <c r="D424" s="7">
        <v>1.0</v>
      </c>
      <c r="E424" s="7">
        <v>1.0</v>
      </c>
      <c r="F424" s="7" t="s">
        <v>82</v>
      </c>
      <c r="G424" s="7" t="s">
        <v>126</v>
      </c>
      <c r="H424" s="9" t="s">
        <v>2979</v>
      </c>
      <c r="I424" t="s">
        <v>3018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 t="str">
        <f t="shared" si="1"/>
        <v>Built-up :</v>
      </c>
      <c r="AE424" s="7" t="str">
        <f t="shared" si="2"/>
        <v> sq. ft.</v>
      </c>
      <c r="AF424">
        <f>IFERROR(__xludf.DUMMYFUNCTION("VALUE(REGEXREPLACE(G424,""[^[:digit:]]"", """"))"),1023.0)</f>
        <v>1023</v>
      </c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 t="s">
        <v>27</v>
      </c>
    </row>
    <row r="425">
      <c r="A425" s="7" t="s">
        <v>23</v>
      </c>
      <c r="B425" s="7" t="s">
        <v>149</v>
      </c>
      <c r="C425" s="7">
        <f>4+1</f>
        <v>5</v>
      </c>
      <c r="D425" s="7">
        <v>5.0</v>
      </c>
      <c r="E425" s="7">
        <v>2.0</v>
      </c>
      <c r="F425" s="7" t="s">
        <v>64</v>
      </c>
      <c r="G425" s="7" t="s">
        <v>256</v>
      </c>
      <c r="H425" s="9" t="s">
        <v>2981</v>
      </c>
      <c r="I425" t="s">
        <v>3079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 t="str">
        <f t="shared" si="1"/>
        <v>Land area </v>
      </c>
      <c r="AE425" s="7" t="str">
        <f t="shared" si="2"/>
        <v> sq. ft.</v>
      </c>
      <c r="AF425">
        <f>IFERROR(__xludf.DUMMYFUNCTION("VALUE(REGEXREPLACE(G425,""[^[:digit:]]"", """"))"),3700.0)</f>
        <v>3700</v>
      </c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 t="s">
        <v>27</v>
      </c>
    </row>
    <row r="426">
      <c r="A426" s="7" t="s">
        <v>17</v>
      </c>
      <c r="B426" s="7" t="s">
        <v>229</v>
      </c>
      <c r="C426" s="7">
        <f>3+1</f>
        <v>4</v>
      </c>
      <c r="D426" s="7">
        <v>4.0</v>
      </c>
      <c r="E426" s="7">
        <v>2.0</v>
      </c>
      <c r="F426" s="7" t="s">
        <v>121</v>
      </c>
      <c r="G426" s="7" t="s">
        <v>192</v>
      </c>
      <c r="H426" s="9" t="s">
        <v>2979</v>
      </c>
      <c r="I426" t="s">
        <v>3045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 t="str">
        <f t="shared" si="1"/>
        <v>Built-up :</v>
      </c>
      <c r="AE426" s="7" t="str">
        <f t="shared" si="2"/>
        <v> sq. ft.</v>
      </c>
      <c r="AF426">
        <f>IFERROR(__xludf.DUMMYFUNCTION("VALUE(REGEXREPLACE(G426,""[^[:digit:]]"", """"))"),1313.0)</f>
        <v>1313</v>
      </c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 t="s">
        <v>27</v>
      </c>
    </row>
    <row r="427">
      <c r="A427" s="7" t="s">
        <v>17</v>
      </c>
      <c r="B427" s="7" t="s">
        <v>579</v>
      </c>
      <c r="C427" s="7">
        <f>1</f>
        <v>1</v>
      </c>
      <c r="D427" s="7">
        <v>1.0</v>
      </c>
      <c r="E427" s="7">
        <v>1.0</v>
      </c>
      <c r="F427" s="7" t="s">
        <v>20</v>
      </c>
      <c r="G427" s="7" t="s">
        <v>328</v>
      </c>
      <c r="H427" s="9" t="s">
        <v>2979</v>
      </c>
      <c r="I427" t="s">
        <v>3110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 t="str">
        <f t="shared" si="1"/>
        <v>Built-up :</v>
      </c>
      <c r="AE427" s="7" t="str">
        <f t="shared" si="2"/>
        <v> sq. ft.</v>
      </c>
      <c r="AF427">
        <f>IFERROR(__xludf.DUMMYFUNCTION("VALUE(REGEXREPLACE(G427,""[^[:digit:]]"", """"))"),925.0)</f>
        <v>925</v>
      </c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 t="s">
        <v>22</v>
      </c>
    </row>
    <row r="428">
      <c r="A428" s="7" t="s">
        <v>580</v>
      </c>
      <c r="B428" s="7" t="s">
        <v>581</v>
      </c>
      <c r="C428" s="7">
        <f>4+1</f>
        <v>5</v>
      </c>
      <c r="D428" s="7">
        <v>3.0</v>
      </c>
      <c r="E428" s="9">
        <v>2.0</v>
      </c>
      <c r="F428" s="7" t="s">
        <v>169</v>
      </c>
      <c r="G428" s="7" t="s">
        <v>211</v>
      </c>
      <c r="H428" s="9" t="s">
        <v>2981</v>
      </c>
      <c r="I428" t="s">
        <v>2992</v>
      </c>
      <c r="J428" s="7"/>
      <c r="K428" s="7"/>
      <c r="L428" s="7"/>
      <c r="M428" s="7"/>
      <c r="N428" s="7"/>
      <c r="O428" s="7"/>
      <c r="P428" s="7"/>
      <c r="Q428" s="7"/>
      <c r="R428" s="7"/>
      <c r="S428" s="7" t="s">
        <v>2993</v>
      </c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 t="str">
        <f t="shared" si="1"/>
        <v>Land area </v>
      </c>
      <c r="AE428" s="7" t="str">
        <f t="shared" si="2"/>
        <v> sq. ft.</v>
      </c>
      <c r="AF428">
        <f>IFERROR(__xludf.DUMMYFUNCTION("VALUE(REGEXREPLACE(G428,""[^[:digit:]]"", """"))"),2280.0)</f>
        <v>2280</v>
      </c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 t="s">
        <v>103</v>
      </c>
    </row>
    <row r="429">
      <c r="A429" s="7" t="s">
        <v>17</v>
      </c>
      <c r="B429" s="7" t="s">
        <v>582</v>
      </c>
      <c r="C429" s="7">
        <f>3+1</f>
        <v>4</v>
      </c>
      <c r="D429" s="7">
        <v>3.0</v>
      </c>
      <c r="E429" s="7">
        <v>3.0</v>
      </c>
      <c r="F429" s="7" t="s">
        <v>385</v>
      </c>
      <c r="G429" s="7" t="s">
        <v>142</v>
      </c>
      <c r="H429" s="9" t="s">
        <v>2979</v>
      </c>
      <c r="I429" t="s">
        <v>3025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 t="str">
        <f t="shared" si="1"/>
        <v>Built-up :</v>
      </c>
      <c r="AE429" s="7" t="str">
        <f t="shared" si="2"/>
        <v> sq. ft.</v>
      </c>
      <c r="AF429">
        <f>IFERROR(__xludf.DUMMYFUNCTION("VALUE(REGEXREPLACE(G429,""[^[:digit:]]"", """"))"),2066.0)</f>
        <v>2066</v>
      </c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 t="s">
        <v>22</v>
      </c>
    </row>
    <row r="430">
      <c r="A430" s="7" t="s">
        <v>33</v>
      </c>
      <c r="B430" s="7" t="s">
        <v>346</v>
      </c>
      <c r="C430" s="7">
        <f>1+1</f>
        <v>2</v>
      </c>
      <c r="D430" s="7">
        <v>1.0</v>
      </c>
      <c r="E430" s="7">
        <v>1.0</v>
      </c>
      <c r="F430" s="7" t="s">
        <v>82</v>
      </c>
      <c r="G430" s="7" t="s">
        <v>583</v>
      </c>
      <c r="H430" s="9" t="s">
        <v>2979</v>
      </c>
      <c r="I430" t="s">
        <v>3235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 t="str">
        <f t="shared" si="1"/>
        <v>Built-up :</v>
      </c>
      <c r="AE430" s="7" t="str">
        <f t="shared" si="2"/>
        <v> sq. ft.</v>
      </c>
      <c r="AF430">
        <f>IFERROR(__xludf.DUMMYFUNCTION("VALUE(REGEXREPLACE(G430,""[^[:digit:]]"", """"))"),721.0)</f>
        <v>721</v>
      </c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 t="s">
        <v>27</v>
      </c>
    </row>
    <row r="431">
      <c r="A431" s="7" t="s">
        <v>177</v>
      </c>
      <c r="B431" s="7" t="s">
        <v>584</v>
      </c>
      <c r="C431" s="7">
        <f>3+1</f>
        <v>4</v>
      </c>
      <c r="D431" s="7">
        <v>5.0</v>
      </c>
      <c r="E431" s="7">
        <v>4.0</v>
      </c>
      <c r="F431" s="7" t="s">
        <v>83</v>
      </c>
      <c r="G431" s="7" t="s">
        <v>572</v>
      </c>
      <c r="H431" s="9" t="s">
        <v>2979</v>
      </c>
      <c r="I431" t="s">
        <v>3231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 t="str">
        <f t="shared" si="1"/>
        <v>Built-up :</v>
      </c>
      <c r="AE431" s="7" t="str">
        <f t="shared" si="2"/>
        <v> sq. ft.</v>
      </c>
      <c r="AF431">
        <f>IFERROR(__xludf.DUMMYFUNCTION("VALUE(REGEXREPLACE(G431,""[^[:digit:]]"", """"))"),4025.0)</f>
        <v>4025</v>
      </c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 t="s">
        <v>27</v>
      </c>
    </row>
    <row r="432">
      <c r="A432" s="7" t="s">
        <v>177</v>
      </c>
      <c r="B432" s="7" t="s">
        <v>585</v>
      </c>
      <c r="C432" s="7">
        <f>4+1</f>
        <v>5</v>
      </c>
      <c r="D432" s="7">
        <v>5.0</v>
      </c>
      <c r="E432" s="7">
        <v>4.0</v>
      </c>
      <c r="F432" s="7" t="s">
        <v>83</v>
      </c>
      <c r="G432" s="7" t="s">
        <v>586</v>
      </c>
      <c r="H432" s="9" t="s">
        <v>2979</v>
      </c>
      <c r="I432" t="s">
        <v>3236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 t="str">
        <f t="shared" si="1"/>
        <v>Built-up :</v>
      </c>
      <c r="AE432" s="7" t="str">
        <f t="shared" si="2"/>
        <v> sq. ft.</v>
      </c>
      <c r="AF432">
        <f>IFERROR(__xludf.DUMMYFUNCTION("VALUE(REGEXREPLACE(G432,""[^[:digit:]]"", """"))"),5137.0)</f>
        <v>5137</v>
      </c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 t="s">
        <v>27</v>
      </c>
    </row>
    <row r="433">
      <c r="A433" s="7" t="s">
        <v>23</v>
      </c>
      <c r="B433" s="7" t="s">
        <v>587</v>
      </c>
      <c r="C433" s="7">
        <f>6+1</f>
        <v>7</v>
      </c>
      <c r="D433" s="7">
        <v>6.0</v>
      </c>
      <c r="E433" s="9">
        <v>2.0</v>
      </c>
      <c r="F433" s="7" t="s">
        <v>25</v>
      </c>
      <c r="G433" s="7" t="s">
        <v>588</v>
      </c>
      <c r="H433" s="9" t="s">
        <v>2981</v>
      </c>
      <c r="I433" t="s">
        <v>3237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 t="str">
        <f t="shared" si="1"/>
        <v>Land area </v>
      </c>
      <c r="AE433" s="7" t="str">
        <f t="shared" si="2"/>
        <v> sq. ft.</v>
      </c>
      <c r="AF433">
        <f>IFERROR(__xludf.DUMMYFUNCTION("VALUE(REGEXREPLACE(G433,""[^[:digit:]]"", """"))"),9124.0)</f>
        <v>9124</v>
      </c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 t="s">
        <v>27</v>
      </c>
    </row>
    <row r="434">
      <c r="A434" s="7" t="s">
        <v>72</v>
      </c>
      <c r="B434" s="7" t="s">
        <v>589</v>
      </c>
      <c r="C434" s="7">
        <f>3+1</f>
        <v>4</v>
      </c>
      <c r="D434" s="7">
        <v>4.0</v>
      </c>
      <c r="E434" s="7">
        <v>2.0</v>
      </c>
      <c r="F434" s="7" t="s">
        <v>83</v>
      </c>
      <c r="G434" s="7" t="s">
        <v>334</v>
      </c>
      <c r="H434" s="9" t="s">
        <v>2979</v>
      </c>
      <c r="I434" t="s">
        <v>3112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 t="str">
        <f t="shared" si="1"/>
        <v>Built-up :</v>
      </c>
      <c r="AE434" s="7" t="str">
        <f t="shared" si="2"/>
        <v> sq. ft.</v>
      </c>
      <c r="AF434">
        <f>IFERROR(__xludf.DUMMYFUNCTION("VALUE(REGEXREPLACE(G434,""[^[:digit:]]"", """"))"),1496.0)</f>
        <v>1496</v>
      </c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 t="s">
        <v>27</v>
      </c>
    </row>
    <row r="435">
      <c r="A435" s="7" t="s">
        <v>23</v>
      </c>
      <c r="B435" s="7" t="s">
        <v>590</v>
      </c>
      <c r="C435" s="7">
        <v>6.0</v>
      </c>
      <c r="D435" s="7">
        <v>5.0</v>
      </c>
      <c r="E435" s="9">
        <v>2.0</v>
      </c>
      <c r="F435" s="7" t="s">
        <v>25</v>
      </c>
      <c r="G435" s="7" t="s">
        <v>592</v>
      </c>
      <c r="H435" s="9" t="s">
        <v>2981</v>
      </c>
      <c r="I435" t="s">
        <v>3238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 t="str">
        <f t="shared" si="1"/>
        <v>Land area </v>
      </c>
      <c r="AE435" s="7" t="str">
        <f t="shared" si="2"/>
        <v> sq. ft.</v>
      </c>
      <c r="AF435">
        <f>IFERROR(__xludf.DUMMYFUNCTION("VALUE(REGEXREPLACE(G435,""[^[:digit:]]"", """"))"),14380.0)</f>
        <v>14380</v>
      </c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 t="s">
        <v>27</v>
      </c>
    </row>
    <row r="436">
      <c r="A436" s="7" t="s">
        <v>65</v>
      </c>
      <c r="B436" s="7" t="s">
        <v>573</v>
      </c>
      <c r="C436" s="7">
        <f>4+2</f>
        <v>6</v>
      </c>
      <c r="D436" s="7">
        <v>5.0</v>
      </c>
      <c r="E436" s="9">
        <v>2.0</v>
      </c>
      <c r="F436" s="7" t="s">
        <v>25</v>
      </c>
      <c r="G436" s="7" t="s">
        <v>593</v>
      </c>
      <c r="H436" s="9" t="s">
        <v>2981</v>
      </c>
      <c r="I436" t="s">
        <v>3239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 t="str">
        <f t="shared" si="1"/>
        <v>Land area </v>
      </c>
      <c r="AE436" s="7" t="str">
        <f t="shared" si="2"/>
        <v> sq. ft.</v>
      </c>
      <c r="AF436">
        <f>IFERROR(__xludf.DUMMYFUNCTION("VALUE(REGEXREPLACE(G436,""[^[:digit:]]"", """"))"),12000.0)</f>
        <v>12000</v>
      </c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 t="s">
        <v>27</v>
      </c>
    </row>
    <row r="437">
      <c r="A437" s="7" t="s">
        <v>17</v>
      </c>
      <c r="B437" s="7" t="s">
        <v>279</v>
      </c>
      <c r="C437" s="7">
        <f>3+1</f>
        <v>4</v>
      </c>
      <c r="D437" s="7">
        <v>4.0</v>
      </c>
      <c r="E437" s="7">
        <v>2.0</v>
      </c>
      <c r="F437" s="7" t="s">
        <v>121</v>
      </c>
      <c r="G437" s="7" t="s">
        <v>594</v>
      </c>
      <c r="H437" s="9" t="s">
        <v>2979</v>
      </c>
      <c r="I437" t="s">
        <v>3240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 t="str">
        <f t="shared" si="1"/>
        <v>Built-up :</v>
      </c>
      <c r="AE437" s="7" t="str">
        <f t="shared" si="2"/>
        <v> sq. ft.</v>
      </c>
      <c r="AF437">
        <f>IFERROR(__xludf.DUMMYFUNCTION("VALUE(REGEXREPLACE(G437,""[^[:digit:]]"", """"))"),1701.0)</f>
        <v>1701</v>
      </c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 t="s">
        <v>22</v>
      </c>
    </row>
    <row r="438">
      <c r="A438" s="7" t="s">
        <v>17</v>
      </c>
      <c r="B438" s="7" t="s">
        <v>475</v>
      </c>
      <c r="C438" s="7">
        <f>2</f>
        <v>2</v>
      </c>
      <c r="D438" s="7">
        <v>2.0</v>
      </c>
      <c r="E438" s="9">
        <v>2.0</v>
      </c>
      <c r="F438" s="7" t="s">
        <v>20</v>
      </c>
      <c r="G438" s="7" t="s">
        <v>595</v>
      </c>
      <c r="H438" s="9" t="s">
        <v>2979</v>
      </c>
      <c r="I438" t="s">
        <v>3241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 t="str">
        <f t="shared" si="1"/>
        <v>Built-up :</v>
      </c>
      <c r="AE438" s="7" t="str">
        <f t="shared" si="2"/>
        <v> sq. ft.</v>
      </c>
      <c r="AF438">
        <f>IFERROR(__xludf.DUMMYFUNCTION("VALUE(REGEXREPLACE(G438,""[^[:digit:]]"", """"))"),1103.0)</f>
        <v>1103</v>
      </c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 t="s">
        <v>22</v>
      </c>
    </row>
    <row r="439">
      <c r="A439" s="7" t="s">
        <v>177</v>
      </c>
      <c r="B439" s="7" t="s">
        <v>596</v>
      </c>
      <c r="C439" s="7">
        <f t="shared" ref="C439:C441" si="41">4+1</f>
        <v>5</v>
      </c>
      <c r="D439" s="7">
        <v>6.0</v>
      </c>
      <c r="E439" s="7">
        <v>4.0</v>
      </c>
      <c r="F439" s="7" t="s">
        <v>30</v>
      </c>
      <c r="G439" s="7" t="s">
        <v>586</v>
      </c>
      <c r="H439" s="9" t="s">
        <v>2979</v>
      </c>
      <c r="I439" t="s">
        <v>3236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 t="str">
        <f t="shared" si="1"/>
        <v>Built-up :</v>
      </c>
      <c r="AE439" s="7" t="str">
        <f t="shared" si="2"/>
        <v> sq. ft.</v>
      </c>
      <c r="AF439">
        <f>IFERROR(__xludf.DUMMYFUNCTION("VALUE(REGEXREPLACE(G439,""[^[:digit:]]"", """"))"),5137.0)</f>
        <v>5137</v>
      </c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 t="s">
        <v>27</v>
      </c>
    </row>
    <row r="440">
      <c r="A440" s="7" t="s">
        <v>267</v>
      </c>
      <c r="B440" s="7" t="s">
        <v>597</v>
      </c>
      <c r="C440" s="7">
        <f t="shared" si="41"/>
        <v>5</v>
      </c>
      <c r="D440" s="7">
        <v>5.0</v>
      </c>
      <c r="E440" s="7">
        <v>6.0</v>
      </c>
      <c r="F440" s="7" t="s">
        <v>43</v>
      </c>
      <c r="G440" s="7" t="s">
        <v>598</v>
      </c>
      <c r="H440" s="9" t="s">
        <v>2981</v>
      </c>
      <c r="I440" t="s">
        <v>3242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 t="str">
        <f t="shared" si="1"/>
        <v>Land area </v>
      </c>
      <c r="AE440" s="7" t="str">
        <f t="shared" si="2"/>
        <v> sq. ft.</v>
      </c>
      <c r="AF440">
        <f>IFERROR(__xludf.DUMMYFUNCTION("VALUE(REGEXREPLACE(G440,""[^[:digit:]]"", """"))"),3658.0)</f>
        <v>3658</v>
      </c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 t="s">
        <v>103</v>
      </c>
    </row>
    <row r="441">
      <c r="A441" s="7" t="s">
        <v>48</v>
      </c>
      <c r="B441" s="7" t="s">
        <v>599</v>
      </c>
      <c r="C441" s="7">
        <f t="shared" si="41"/>
        <v>5</v>
      </c>
      <c r="D441" s="7">
        <v>3.0</v>
      </c>
      <c r="E441" s="7">
        <v>2.0</v>
      </c>
      <c r="F441" s="7" t="s">
        <v>54</v>
      </c>
      <c r="G441" s="7" t="s">
        <v>333</v>
      </c>
      <c r="H441" s="9" t="s">
        <v>2981</v>
      </c>
      <c r="I441" t="s">
        <v>3091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 t="str">
        <f t="shared" si="1"/>
        <v>Land area </v>
      </c>
      <c r="AE441" s="7" t="str">
        <f t="shared" si="2"/>
        <v> sq. ft.</v>
      </c>
      <c r="AF441">
        <f>IFERROR(__xludf.DUMMYFUNCTION("VALUE(REGEXREPLACE(G441,""[^[:digit:]]"", """"))"),1650.0)</f>
        <v>1650</v>
      </c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 t="s">
        <v>27</v>
      </c>
    </row>
    <row r="442">
      <c r="A442" s="7" t="s">
        <v>33</v>
      </c>
      <c r="B442" s="7" t="s">
        <v>149</v>
      </c>
      <c r="C442" s="7">
        <f>6+1</f>
        <v>7</v>
      </c>
      <c r="D442" s="7">
        <v>7.0</v>
      </c>
      <c r="E442" s="7">
        <v>4.0</v>
      </c>
      <c r="F442" s="7" t="s">
        <v>61</v>
      </c>
      <c r="G442" s="7" t="s">
        <v>600</v>
      </c>
      <c r="H442" s="9" t="s">
        <v>2981</v>
      </c>
      <c r="I442" t="s">
        <v>3243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 t="str">
        <f t="shared" si="1"/>
        <v>Land area </v>
      </c>
      <c r="AE442" s="7" t="str">
        <f t="shared" si="2"/>
        <v> sq. ft.</v>
      </c>
      <c r="AF442">
        <f>IFERROR(__xludf.DUMMYFUNCTION("VALUE(REGEXREPLACE(G442,""[^[:digit:]]"", """"))"),5337.0)</f>
        <v>5337</v>
      </c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 t="s">
        <v>27</v>
      </c>
    </row>
    <row r="443">
      <c r="A443" s="7" t="s">
        <v>177</v>
      </c>
      <c r="B443" s="7" t="s">
        <v>601</v>
      </c>
      <c r="C443" s="7">
        <f>6</f>
        <v>6</v>
      </c>
      <c r="D443" s="7">
        <v>7.0</v>
      </c>
      <c r="E443" s="7">
        <v>6.0</v>
      </c>
      <c r="F443" s="7" t="s">
        <v>83</v>
      </c>
      <c r="G443" s="7" t="s">
        <v>546</v>
      </c>
      <c r="H443" s="9" t="s">
        <v>2979</v>
      </c>
      <c r="I443" t="s">
        <v>3216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 t="str">
        <f t="shared" si="1"/>
        <v>Built-up :</v>
      </c>
      <c r="AE443" s="7" t="str">
        <f t="shared" si="2"/>
        <v> sq. ft.</v>
      </c>
      <c r="AF443">
        <f>IFERROR(__xludf.DUMMYFUNCTION("VALUE(REGEXREPLACE(G443,""[^[:digit:]]"", """"))"),6913.0)</f>
        <v>6913</v>
      </c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 t="s">
        <v>27</v>
      </c>
    </row>
    <row r="444">
      <c r="A444" s="7" t="s">
        <v>177</v>
      </c>
      <c r="B444" s="7" t="s">
        <v>602</v>
      </c>
      <c r="C444" s="7">
        <f>4</f>
        <v>4</v>
      </c>
      <c r="D444" s="7">
        <v>5.0</v>
      </c>
      <c r="E444" s="7">
        <v>3.0</v>
      </c>
      <c r="F444" s="7" t="s">
        <v>30</v>
      </c>
      <c r="G444" s="7" t="s">
        <v>550</v>
      </c>
      <c r="H444" s="9" t="s">
        <v>2979</v>
      </c>
      <c r="I444" t="s">
        <v>3220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 t="str">
        <f t="shared" si="1"/>
        <v>Built-up :</v>
      </c>
      <c r="AE444" s="7" t="str">
        <f t="shared" si="2"/>
        <v> sq. ft.</v>
      </c>
      <c r="AF444">
        <f>IFERROR(__xludf.DUMMYFUNCTION("VALUE(REGEXREPLACE(G444,""[^[:digit:]]"", """"))"),4771.0)</f>
        <v>4771</v>
      </c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 t="s">
        <v>27</v>
      </c>
    </row>
    <row r="445">
      <c r="A445" s="7" t="s">
        <v>177</v>
      </c>
      <c r="B445" s="7" t="s">
        <v>390</v>
      </c>
      <c r="C445" s="7">
        <f>3+1</f>
        <v>4</v>
      </c>
      <c r="D445" s="7">
        <v>5.0</v>
      </c>
      <c r="E445" s="7">
        <v>3.0</v>
      </c>
      <c r="F445" s="7" t="s">
        <v>83</v>
      </c>
      <c r="G445" s="7" t="s">
        <v>572</v>
      </c>
      <c r="H445" s="9" t="s">
        <v>2979</v>
      </c>
      <c r="I445" t="s">
        <v>3231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 t="str">
        <f t="shared" si="1"/>
        <v>Built-up :</v>
      </c>
      <c r="AE445" s="7" t="str">
        <f t="shared" si="2"/>
        <v> sq. ft.</v>
      </c>
      <c r="AF445">
        <f>IFERROR(__xludf.DUMMYFUNCTION("VALUE(REGEXREPLACE(G445,""[^[:digit:]]"", """"))"),4025.0)</f>
        <v>4025</v>
      </c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 t="s">
        <v>27</v>
      </c>
    </row>
    <row r="446">
      <c r="A446" s="7" t="s">
        <v>267</v>
      </c>
      <c r="B446" s="7" t="s">
        <v>603</v>
      </c>
      <c r="C446" s="7">
        <f t="shared" ref="C446:C447" si="42">3</f>
        <v>3</v>
      </c>
      <c r="D446" s="7">
        <v>2.0</v>
      </c>
      <c r="E446" s="7">
        <v>1.0</v>
      </c>
      <c r="F446" s="7" t="s">
        <v>93</v>
      </c>
      <c r="G446" s="7" t="s">
        <v>604</v>
      </c>
      <c r="H446" s="9" t="s">
        <v>2979</v>
      </c>
      <c r="I446" t="s">
        <v>3244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 t="str">
        <f t="shared" si="1"/>
        <v>Built-up :</v>
      </c>
      <c r="AE446" s="7" t="str">
        <f t="shared" si="2"/>
        <v> sq. ft.</v>
      </c>
      <c r="AF446">
        <f>IFERROR(__xludf.DUMMYFUNCTION("VALUE(REGEXREPLACE(G446,""[^[:digit:]]"", """"))"),1150.0)</f>
        <v>1150</v>
      </c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 t="s">
        <v>27</v>
      </c>
    </row>
    <row r="447">
      <c r="A447" s="7" t="s">
        <v>267</v>
      </c>
      <c r="B447" s="7" t="s">
        <v>603</v>
      </c>
      <c r="C447" s="7">
        <f t="shared" si="42"/>
        <v>3</v>
      </c>
      <c r="D447" s="7">
        <v>2.0</v>
      </c>
      <c r="E447" s="7">
        <v>1.0</v>
      </c>
      <c r="F447" s="7" t="s">
        <v>93</v>
      </c>
      <c r="G447" s="7" t="s">
        <v>604</v>
      </c>
      <c r="H447" s="9" t="s">
        <v>2979</v>
      </c>
      <c r="I447" t="s">
        <v>3244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 t="str">
        <f t="shared" si="1"/>
        <v>Built-up :</v>
      </c>
      <c r="AE447" s="7" t="str">
        <f t="shared" si="2"/>
        <v> sq. ft.</v>
      </c>
      <c r="AF447">
        <f>IFERROR(__xludf.DUMMYFUNCTION("VALUE(REGEXREPLACE(G447,""[^[:digit:]]"", """"))"),1150.0)</f>
        <v>1150</v>
      </c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 t="s">
        <v>27</v>
      </c>
    </row>
    <row r="448">
      <c r="A448" s="7" t="s">
        <v>72</v>
      </c>
      <c r="B448" s="7" t="s">
        <v>605</v>
      </c>
      <c r="C448" s="7">
        <f>3+1</f>
        <v>4</v>
      </c>
      <c r="D448" s="7">
        <v>4.0</v>
      </c>
      <c r="E448" s="7">
        <v>2.0</v>
      </c>
      <c r="F448" s="7" t="s">
        <v>83</v>
      </c>
      <c r="G448" s="7" t="s">
        <v>404</v>
      </c>
      <c r="H448" s="9" t="s">
        <v>2979</v>
      </c>
      <c r="I448" t="s">
        <v>3147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 t="str">
        <f t="shared" si="1"/>
        <v>Built-up :</v>
      </c>
      <c r="AE448" s="7" t="str">
        <f t="shared" si="2"/>
        <v> sq. ft.</v>
      </c>
      <c r="AF448">
        <f>IFERROR(__xludf.DUMMYFUNCTION("VALUE(REGEXREPLACE(G448,""[^[:digit:]]"", """"))"),1878.0)</f>
        <v>1878</v>
      </c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 t="s">
        <v>27</v>
      </c>
    </row>
    <row r="449">
      <c r="A449" s="7" t="s">
        <v>17</v>
      </c>
      <c r="B449" s="7" t="s">
        <v>339</v>
      </c>
      <c r="C449" s="7">
        <f>2+1</f>
        <v>3</v>
      </c>
      <c r="D449" s="7">
        <v>3.0</v>
      </c>
      <c r="E449" s="7">
        <v>1.0</v>
      </c>
      <c r="F449" s="7" t="s">
        <v>121</v>
      </c>
      <c r="G449" s="7" t="s">
        <v>340</v>
      </c>
      <c r="H449" s="9" t="s">
        <v>2979</v>
      </c>
      <c r="I449" t="s">
        <v>3115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 t="str">
        <f t="shared" si="1"/>
        <v>Built-up :</v>
      </c>
      <c r="AE449" s="7" t="str">
        <f t="shared" si="2"/>
        <v> sq. ft.</v>
      </c>
      <c r="AF449">
        <f>IFERROR(__xludf.DUMMYFUNCTION("VALUE(REGEXREPLACE(G449,""[^[:digit:]]"", """"))"),2789.0)</f>
        <v>2789</v>
      </c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 t="s">
        <v>22</v>
      </c>
    </row>
    <row r="450">
      <c r="A450" s="7" t="s">
        <v>171</v>
      </c>
      <c r="B450" s="7" t="s">
        <v>606</v>
      </c>
      <c r="C450" s="7">
        <f>3+1</f>
        <v>4</v>
      </c>
      <c r="D450" s="7">
        <v>2.0</v>
      </c>
      <c r="E450" s="7">
        <v>2.0</v>
      </c>
      <c r="F450" s="7" t="s">
        <v>20</v>
      </c>
      <c r="G450" s="7" t="s">
        <v>607</v>
      </c>
      <c r="H450" s="9" t="s">
        <v>2979</v>
      </c>
      <c r="I450" t="s">
        <v>3245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 t="str">
        <f t="shared" si="1"/>
        <v>Built-up :</v>
      </c>
      <c r="AE450" s="7" t="str">
        <f t="shared" si="2"/>
        <v> sq. ft.</v>
      </c>
      <c r="AF450">
        <f>IFERROR(__xludf.DUMMYFUNCTION("VALUE(REGEXREPLACE(G450,""[^[:digit:]]"", """"))"),918.0)</f>
        <v>918</v>
      </c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 t="s">
        <v>27</v>
      </c>
    </row>
    <row r="451">
      <c r="A451" s="7" t="s">
        <v>608</v>
      </c>
      <c r="B451" s="7" t="s">
        <v>329</v>
      </c>
      <c r="E451" s="9">
        <v>2.0</v>
      </c>
      <c r="F451" s="7" t="s">
        <v>83</v>
      </c>
      <c r="G451" s="7" t="s">
        <v>609</v>
      </c>
      <c r="H451" s="9" t="s">
        <v>2979</v>
      </c>
      <c r="I451" t="s">
        <v>3246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 t="str">
        <f t="shared" si="1"/>
        <v>Built-up :</v>
      </c>
      <c r="AE451" s="7" t="str">
        <f t="shared" si="2"/>
        <v> sq. ft.</v>
      </c>
      <c r="AF451">
        <f>IFERROR(__xludf.DUMMYFUNCTION("VALUE(REGEXREPLACE(G451,""[^[:digit:]]"", """"))"),969.0)</f>
        <v>969</v>
      </c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>
      <c r="A452" s="7" t="s">
        <v>89</v>
      </c>
      <c r="B452" s="7" t="s">
        <v>610</v>
      </c>
      <c r="C452" s="7">
        <f>6</f>
        <v>6</v>
      </c>
      <c r="D452" s="7">
        <v>5.0</v>
      </c>
      <c r="E452" s="7">
        <v>7.0</v>
      </c>
      <c r="F452" s="7" t="s">
        <v>273</v>
      </c>
      <c r="G452" s="7" t="s">
        <v>611</v>
      </c>
      <c r="H452" s="9" t="s">
        <v>2981</v>
      </c>
      <c r="I452" t="s">
        <v>3247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 t="str">
        <f t="shared" si="1"/>
        <v>Land area </v>
      </c>
      <c r="AE452" s="7" t="str">
        <f t="shared" si="2"/>
        <v> sq. ft.</v>
      </c>
      <c r="AF452" s="7">
        <v>2440.0</v>
      </c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 t="s">
        <v>27</v>
      </c>
    </row>
    <row r="453">
      <c r="A453" s="7" t="s">
        <v>37</v>
      </c>
      <c r="B453" s="7" t="s">
        <v>151</v>
      </c>
      <c r="C453" s="7">
        <f>5+1</f>
        <v>6</v>
      </c>
      <c r="D453" s="7">
        <v>4.0</v>
      </c>
      <c r="E453" s="9">
        <v>2.0</v>
      </c>
      <c r="F453" s="7" t="s">
        <v>61</v>
      </c>
      <c r="G453" s="7" t="s">
        <v>612</v>
      </c>
      <c r="H453" s="9" t="s">
        <v>2981</v>
      </c>
      <c r="I453" t="s">
        <v>3248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 t="str">
        <f t="shared" si="1"/>
        <v>Land area </v>
      </c>
      <c r="AE453" s="7" t="str">
        <f t="shared" si="2"/>
        <v> sq. ft.</v>
      </c>
      <c r="AF453">
        <f>IFERROR(__xludf.DUMMYFUNCTION("VALUE(REGEXREPLACE(G453,""[^[:digit:]]"", """"))"),8300.0)</f>
        <v>8300</v>
      </c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 t="s">
        <v>27</v>
      </c>
    </row>
    <row r="454">
      <c r="A454" s="7" t="s">
        <v>37</v>
      </c>
      <c r="B454" s="7" t="s">
        <v>613</v>
      </c>
      <c r="C454" s="7">
        <f>3+2</f>
        <v>5</v>
      </c>
      <c r="D454" s="7">
        <v>2.0</v>
      </c>
      <c r="E454" s="9">
        <v>2.0</v>
      </c>
      <c r="F454" s="7" t="s">
        <v>54</v>
      </c>
      <c r="G454" s="7" t="s">
        <v>614</v>
      </c>
      <c r="H454" s="9" t="s">
        <v>2981</v>
      </c>
      <c r="I454" t="s">
        <v>2994</v>
      </c>
      <c r="J454" s="7"/>
      <c r="K454" s="7"/>
      <c r="L454" s="7"/>
      <c r="M454" s="7"/>
      <c r="N454" s="7"/>
      <c r="O454" s="7"/>
      <c r="P454" s="7"/>
      <c r="Q454" s="7"/>
      <c r="R454" s="7"/>
      <c r="S454" s="7" t="s">
        <v>3125</v>
      </c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 t="str">
        <f t="shared" si="1"/>
        <v>Land area </v>
      </c>
      <c r="AE454" s="7" t="str">
        <f t="shared" si="2"/>
        <v> sq. ft.</v>
      </c>
      <c r="AF454">
        <f>IFERROR(__xludf.DUMMYFUNCTION("VALUE(REGEXREPLACE(G454,""[^[:digit:]]"", """"))"),2095.0)</f>
        <v>2095</v>
      </c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 t="s">
        <v>27</v>
      </c>
    </row>
    <row r="455">
      <c r="A455" s="7" t="s">
        <v>77</v>
      </c>
      <c r="B455" s="7" t="s">
        <v>615</v>
      </c>
      <c r="C455" s="7">
        <f>2</f>
        <v>2</v>
      </c>
      <c r="D455" s="7">
        <v>2.0</v>
      </c>
      <c r="E455" s="9">
        <v>2.0</v>
      </c>
      <c r="F455" s="7" t="s">
        <v>83</v>
      </c>
      <c r="G455" s="7" t="s">
        <v>315</v>
      </c>
      <c r="H455" s="9" t="s">
        <v>2979</v>
      </c>
      <c r="I455" t="s">
        <v>3104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 t="str">
        <f t="shared" si="1"/>
        <v>Built-up :</v>
      </c>
      <c r="AE455" s="7" t="str">
        <f t="shared" si="2"/>
        <v> sq. ft.</v>
      </c>
      <c r="AF455">
        <f>IFERROR(__xludf.DUMMYFUNCTION("VALUE(REGEXREPLACE(G455,""[^[:digit:]]"", """"))"),1085.0)</f>
        <v>1085</v>
      </c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 t="s">
        <v>22</v>
      </c>
    </row>
    <row r="456">
      <c r="A456" s="7" t="s">
        <v>177</v>
      </c>
      <c r="B456" s="7" t="s">
        <v>616</v>
      </c>
      <c r="C456" s="7">
        <f>3+1</f>
        <v>4</v>
      </c>
      <c r="D456" s="7">
        <v>5.0</v>
      </c>
      <c r="E456" s="7">
        <v>4.0</v>
      </c>
      <c r="F456" s="7" t="s">
        <v>83</v>
      </c>
      <c r="G456" s="7" t="s">
        <v>572</v>
      </c>
      <c r="H456" s="9" t="s">
        <v>2979</v>
      </c>
      <c r="I456" t="s">
        <v>3231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 t="str">
        <f t="shared" si="1"/>
        <v>Built-up :</v>
      </c>
      <c r="AE456" s="7" t="str">
        <f t="shared" si="2"/>
        <v> sq. ft.</v>
      </c>
      <c r="AF456">
        <f>IFERROR(__xludf.DUMMYFUNCTION("VALUE(REGEXREPLACE(G456,""[^[:digit:]]"", """"))"),4025.0)</f>
        <v>4025</v>
      </c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 t="s">
        <v>27</v>
      </c>
    </row>
    <row r="457">
      <c r="A457" s="7" t="s">
        <v>17</v>
      </c>
      <c r="B457" s="7" t="s">
        <v>85</v>
      </c>
      <c r="C457" s="7">
        <f>2</f>
        <v>2</v>
      </c>
      <c r="D457" s="7">
        <v>2.0</v>
      </c>
      <c r="E457" s="7">
        <v>1.0</v>
      </c>
      <c r="F457" s="7" t="s">
        <v>83</v>
      </c>
      <c r="G457" s="7" t="s">
        <v>617</v>
      </c>
      <c r="H457" s="9" t="s">
        <v>2979</v>
      </c>
      <c r="I457" t="s">
        <v>3249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 t="str">
        <f t="shared" si="1"/>
        <v>Built-up :</v>
      </c>
      <c r="AE457" s="7" t="str">
        <f t="shared" si="2"/>
        <v> sq. ft.</v>
      </c>
      <c r="AF457">
        <f>IFERROR(__xludf.DUMMYFUNCTION("VALUE(REGEXREPLACE(G457,""[^[:digit:]]"", """"))"),867.0)</f>
        <v>867</v>
      </c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 t="s">
        <v>22</v>
      </c>
    </row>
    <row r="458">
      <c r="A458" s="7" t="s">
        <v>77</v>
      </c>
      <c r="B458" s="7" t="s">
        <v>484</v>
      </c>
      <c r="C458" s="7">
        <f>3+1</f>
        <v>4</v>
      </c>
      <c r="D458" s="7">
        <v>5.0</v>
      </c>
      <c r="E458" s="9">
        <v>2.0</v>
      </c>
      <c r="F458" s="7" t="s">
        <v>54</v>
      </c>
      <c r="G458" s="7" t="s">
        <v>618</v>
      </c>
      <c r="H458" s="9" t="s">
        <v>2979</v>
      </c>
      <c r="I458" t="s">
        <v>3250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 t="str">
        <f t="shared" si="1"/>
        <v>Built-up :</v>
      </c>
      <c r="AE458" s="7" t="str">
        <f t="shared" si="2"/>
        <v> sq. ft.</v>
      </c>
      <c r="AF458">
        <f>IFERROR(__xludf.DUMMYFUNCTION("VALUE(REGEXREPLACE(G458,""[^[:digit:]]"", """"))"),3082.0)</f>
        <v>3082</v>
      </c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 t="s">
        <v>103</v>
      </c>
    </row>
    <row r="459">
      <c r="A459" s="7" t="s">
        <v>17</v>
      </c>
      <c r="B459" s="7" t="s">
        <v>191</v>
      </c>
      <c r="C459" s="7">
        <f>1</f>
        <v>1</v>
      </c>
      <c r="D459" s="7">
        <v>1.0</v>
      </c>
      <c r="E459" s="7">
        <v>1.0</v>
      </c>
      <c r="F459" s="7" t="s">
        <v>83</v>
      </c>
      <c r="G459" s="7" t="s">
        <v>393</v>
      </c>
      <c r="H459" s="9" t="s">
        <v>2979</v>
      </c>
      <c r="I459" t="s">
        <v>3142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 t="str">
        <f t="shared" si="1"/>
        <v>Built-up :</v>
      </c>
      <c r="AE459" s="7" t="str">
        <f t="shared" si="2"/>
        <v> sq. ft.</v>
      </c>
      <c r="AF459">
        <f>IFERROR(__xludf.DUMMYFUNCTION("VALUE(REGEXREPLACE(G459,""[^[:digit:]]"", """"))"),751.0)</f>
        <v>751</v>
      </c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 t="s">
        <v>27</v>
      </c>
    </row>
    <row r="460">
      <c r="A460" s="7" t="s">
        <v>86</v>
      </c>
      <c r="B460" s="7" t="s">
        <v>619</v>
      </c>
      <c r="C460" s="7">
        <f>2</f>
        <v>2</v>
      </c>
      <c r="D460" s="7">
        <v>2.0</v>
      </c>
      <c r="E460" s="7">
        <v>1.0</v>
      </c>
      <c r="F460" s="7" t="s">
        <v>20</v>
      </c>
      <c r="G460" s="7" t="s">
        <v>416</v>
      </c>
      <c r="H460" s="9" t="s">
        <v>2979</v>
      </c>
      <c r="I460" t="s">
        <v>3153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 t="str">
        <f t="shared" si="1"/>
        <v>Built-up :</v>
      </c>
      <c r="AE460" s="7" t="str">
        <f t="shared" si="2"/>
        <v> sq. ft.</v>
      </c>
      <c r="AF460">
        <f>IFERROR(__xludf.DUMMYFUNCTION("VALUE(REGEXREPLACE(G460,""[^[:digit:]]"", """"))"),823.0)</f>
        <v>823</v>
      </c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>
      <c r="A461" s="7" t="s">
        <v>86</v>
      </c>
      <c r="B461" s="7" t="s">
        <v>620</v>
      </c>
      <c r="C461" s="7">
        <f>3</f>
        <v>3</v>
      </c>
      <c r="D461" s="7">
        <v>2.0</v>
      </c>
      <c r="E461" s="7">
        <v>1.0</v>
      </c>
      <c r="F461" s="7" t="s">
        <v>20</v>
      </c>
      <c r="G461" s="7" t="s">
        <v>621</v>
      </c>
      <c r="H461" s="9" t="s">
        <v>2979</v>
      </c>
      <c r="I461" t="s">
        <v>3251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 t="str">
        <f t="shared" si="1"/>
        <v>Built-up :</v>
      </c>
      <c r="AE461" s="7" t="str">
        <f t="shared" si="2"/>
        <v> sq. ft.</v>
      </c>
      <c r="AF461">
        <f>IFERROR(__xludf.DUMMYFUNCTION("VALUE(REGEXREPLACE(G461,""[^[:digit:]]"", """"))"),1119.0)</f>
        <v>1119</v>
      </c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>
      <c r="A462" s="7" t="s">
        <v>72</v>
      </c>
      <c r="B462" s="7" t="s">
        <v>42</v>
      </c>
      <c r="C462" s="7">
        <f>4+1</f>
        <v>5</v>
      </c>
      <c r="D462" s="7">
        <v>5.0</v>
      </c>
      <c r="E462" s="7">
        <v>3.0</v>
      </c>
      <c r="F462" s="7" t="s">
        <v>30</v>
      </c>
      <c r="G462" s="7" t="s">
        <v>622</v>
      </c>
      <c r="H462" s="9" t="s">
        <v>2979</v>
      </c>
      <c r="I462" t="s">
        <v>3252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 t="str">
        <f t="shared" si="1"/>
        <v>Built-up :</v>
      </c>
      <c r="AE462" s="7" t="str">
        <f t="shared" si="2"/>
        <v> sq. ft.</v>
      </c>
      <c r="AF462">
        <f>IFERROR(__xludf.DUMMYFUNCTION("VALUE(REGEXREPLACE(G462,""[^[:digit:]]"", """"))"),3478.0)</f>
        <v>3478</v>
      </c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 t="s">
        <v>27</v>
      </c>
    </row>
    <row r="463">
      <c r="A463" s="7" t="s">
        <v>37</v>
      </c>
      <c r="B463" s="7" t="s">
        <v>81</v>
      </c>
      <c r="C463" s="7">
        <f>2+1</f>
        <v>3</v>
      </c>
      <c r="D463" s="7">
        <v>3.0</v>
      </c>
      <c r="E463" s="7">
        <v>2.0</v>
      </c>
      <c r="F463" s="7" t="s">
        <v>20</v>
      </c>
      <c r="G463" s="7" t="s">
        <v>623</v>
      </c>
      <c r="H463" s="9" t="s">
        <v>2979</v>
      </c>
      <c r="I463" t="s">
        <v>3253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 t="str">
        <f t="shared" si="1"/>
        <v>Built-up :</v>
      </c>
      <c r="AE463" s="7" t="str">
        <f t="shared" si="2"/>
        <v> sq. ft.</v>
      </c>
      <c r="AF463">
        <f>IFERROR(__xludf.DUMMYFUNCTION("VALUE(REGEXREPLACE(G463,""[^[:digit:]]"", """"))"),1444.0)</f>
        <v>1444</v>
      </c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>
      <c r="A464" s="7" t="s">
        <v>37</v>
      </c>
      <c r="B464" s="7" t="s">
        <v>468</v>
      </c>
      <c r="C464" s="7">
        <f>3+1</f>
        <v>4</v>
      </c>
      <c r="D464" s="7">
        <v>4.0</v>
      </c>
      <c r="E464" s="7">
        <v>2.0</v>
      </c>
      <c r="F464" s="7" t="s">
        <v>20</v>
      </c>
      <c r="G464" s="7" t="s">
        <v>624</v>
      </c>
      <c r="H464" s="9" t="s">
        <v>2979</v>
      </c>
      <c r="I464" t="s">
        <v>3254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 t="str">
        <f t="shared" si="1"/>
        <v>Built-up :</v>
      </c>
      <c r="AE464" s="7" t="str">
        <f t="shared" si="2"/>
        <v> sq. ft.</v>
      </c>
      <c r="AF464">
        <f>IFERROR(__xludf.DUMMYFUNCTION("VALUE(REGEXREPLACE(G464,""[^[:digit:]]"", """"))"),2426.0)</f>
        <v>2426</v>
      </c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 t="s">
        <v>27</v>
      </c>
    </row>
    <row r="465">
      <c r="A465" s="7" t="s">
        <v>41</v>
      </c>
      <c r="B465" s="7" t="s">
        <v>479</v>
      </c>
      <c r="C465" s="7">
        <f>5+1</f>
        <v>6</v>
      </c>
      <c r="D465" s="7">
        <v>6.0</v>
      </c>
      <c r="E465" s="7">
        <v>4.0</v>
      </c>
      <c r="F465" s="7" t="s">
        <v>61</v>
      </c>
      <c r="G465" s="7" t="s">
        <v>625</v>
      </c>
      <c r="H465" s="9" t="s">
        <v>2981</v>
      </c>
      <c r="I465" t="s">
        <v>3255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 t="str">
        <f t="shared" si="1"/>
        <v>Land area </v>
      </c>
      <c r="AE465" s="7" t="str">
        <f t="shared" si="2"/>
        <v> sq. ft.</v>
      </c>
      <c r="AF465">
        <f>IFERROR(__xludf.DUMMYFUNCTION("VALUE(REGEXREPLACE(G465,""[^[:digit:]]"", """"))"),5446.0)</f>
        <v>5446</v>
      </c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 t="s">
        <v>22</v>
      </c>
    </row>
    <row r="466">
      <c r="A466" s="7" t="s">
        <v>171</v>
      </c>
      <c r="B466" s="7" t="s">
        <v>606</v>
      </c>
      <c r="C466" s="7">
        <f>3+1</f>
        <v>4</v>
      </c>
      <c r="D466" s="7">
        <v>2.0</v>
      </c>
      <c r="E466" s="7">
        <v>2.0</v>
      </c>
      <c r="F466" s="7" t="s">
        <v>20</v>
      </c>
      <c r="G466" s="7" t="s">
        <v>607</v>
      </c>
      <c r="H466" s="9" t="s">
        <v>2979</v>
      </c>
      <c r="I466" t="s">
        <v>3245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 t="str">
        <f t="shared" si="1"/>
        <v>Built-up :</v>
      </c>
      <c r="AE466" s="7" t="str">
        <f t="shared" si="2"/>
        <v> sq. ft.</v>
      </c>
      <c r="AF466">
        <f>IFERROR(__xludf.DUMMYFUNCTION("VALUE(REGEXREPLACE(G466,""[^[:digit:]]"", """"))"),918.0)</f>
        <v>918</v>
      </c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 t="s">
        <v>103</v>
      </c>
    </row>
    <row r="467">
      <c r="A467" s="7" t="s">
        <v>65</v>
      </c>
      <c r="B467" s="7" t="s">
        <v>433</v>
      </c>
      <c r="C467" s="7">
        <f>7+1</f>
        <v>8</v>
      </c>
      <c r="D467" s="7">
        <v>9.0</v>
      </c>
      <c r="E467" s="7">
        <v>6.0</v>
      </c>
      <c r="F467" s="7" t="s">
        <v>67</v>
      </c>
      <c r="G467" s="7" t="s">
        <v>593</v>
      </c>
      <c r="H467" s="9" t="s">
        <v>2981</v>
      </c>
      <c r="I467" t="s">
        <v>3239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 t="str">
        <f t="shared" si="1"/>
        <v>Land area </v>
      </c>
      <c r="AE467" s="7" t="str">
        <f t="shared" si="2"/>
        <v> sq. ft.</v>
      </c>
      <c r="AF467">
        <f>IFERROR(__xludf.DUMMYFUNCTION("VALUE(REGEXREPLACE(G467,""[^[:digit:]]"", """"))"),12000.0)</f>
        <v>12000</v>
      </c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 t="s">
        <v>27</v>
      </c>
    </row>
    <row r="468">
      <c r="A468" s="7" t="s">
        <v>17</v>
      </c>
      <c r="B468" s="7" t="s">
        <v>626</v>
      </c>
      <c r="C468" s="7">
        <f>14</f>
        <v>14</v>
      </c>
      <c r="D468" s="7">
        <v>16.0</v>
      </c>
      <c r="E468" s="7">
        <v>10.0</v>
      </c>
      <c r="F468" s="7" t="s">
        <v>25</v>
      </c>
      <c r="G468" s="7" t="s">
        <v>627</v>
      </c>
      <c r="H468" s="9" t="s">
        <v>2981</v>
      </c>
      <c r="I468" t="s">
        <v>3256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 t="str">
        <f t="shared" si="1"/>
        <v>Land area </v>
      </c>
      <c r="AE468" s="7" t="str">
        <f t="shared" si="2"/>
        <v> sq. ft.</v>
      </c>
      <c r="AF468">
        <f>IFERROR(__xludf.DUMMYFUNCTION("VALUE(REGEXREPLACE(G468,""[^[:digit:]]"", """"))"),26000.0)</f>
        <v>26000</v>
      </c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 t="s">
        <v>27</v>
      </c>
    </row>
    <row r="469">
      <c r="A469" s="7" t="s">
        <v>37</v>
      </c>
      <c r="B469" s="7" t="s">
        <v>144</v>
      </c>
      <c r="C469" s="7">
        <f>3+1</f>
        <v>4</v>
      </c>
      <c r="D469" s="7">
        <v>3.0</v>
      </c>
      <c r="E469" s="7">
        <v>3.0</v>
      </c>
      <c r="F469" s="7" t="s">
        <v>169</v>
      </c>
      <c r="G469" s="7" t="s">
        <v>628</v>
      </c>
      <c r="H469" s="9" t="s">
        <v>2981</v>
      </c>
      <c r="I469" t="s">
        <v>3124</v>
      </c>
      <c r="J469" s="7"/>
      <c r="K469" s="7"/>
      <c r="L469" s="7"/>
      <c r="M469" s="7"/>
      <c r="N469" s="7"/>
      <c r="O469" s="7"/>
      <c r="P469" s="7"/>
      <c r="Q469" s="7"/>
      <c r="R469" s="7"/>
      <c r="S469" s="7" t="s">
        <v>3125</v>
      </c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 t="str">
        <f t="shared" si="1"/>
        <v>Land area </v>
      </c>
      <c r="AE469" s="7" t="str">
        <f t="shared" si="2"/>
        <v> sq. ft.</v>
      </c>
      <c r="AF469">
        <f>IFERROR(__xludf.DUMMYFUNCTION("VALUE(REGEXREPLACE(G469,""[^[:digit:]]"", """"))"),2295.0)</f>
        <v>2295</v>
      </c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 t="s">
        <v>27</v>
      </c>
    </row>
    <row r="470">
      <c r="A470" s="7" t="s">
        <v>155</v>
      </c>
      <c r="B470" s="7" t="s">
        <v>629</v>
      </c>
      <c r="C470" s="7">
        <f>3</f>
        <v>3</v>
      </c>
      <c r="D470" s="7">
        <v>3.0</v>
      </c>
      <c r="E470" s="7">
        <v>2.0</v>
      </c>
      <c r="F470" s="7" t="s">
        <v>83</v>
      </c>
      <c r="G470" s="7" t="s">
        <v>630</v>
      </c>
      <c r="H470" s="9" t="s">
        <v>2979</v>
      </c>
      <c r="I470" t="s">
        <v>3257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 t="str">
        <f t="shared" si="1"/>
        <v>Built-up :</v>
      </c>
      <c r="AE470" s="7" t="str">
        <f t="shared" si="2"/>
        <v> sq. ft.</v>
      </c>
      <c r="AF470">
        <f>IFERROR(__xludf.DUMMYFUNCTION("VALUE(REGEXREPLACE(G470,""[^[:digit:]]"", """"))"),1186.0)</f>
        <v>1186</v>
      </c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 t="s">
        <v>27</v>
      </c>
    </row>
    <row r="471">
      <c r="A471" s="7" t="s">
        <v>37</v>
      </c>
      <c r="B471" s="7" t="s">
        <v>193</v>
      </c>
      <c r="C471" s="7">
        <f>4</f>
        <v>4</v>
      </c>
      <c r="D471" s="7">
        <v>3.0</v>
      </c>
      <c r="E471" s="7">
        <v>2.0</v>
      </c>
      <c r="F471" s="7" t="s">
        <v>169</v>
      </c>
      <c r="G471" s="7" t="s">
        <v>614</v>
      </c>
      <c r="H471" s="9" t="s">
        <v>2981</v>
      </c>
      <c r="I471" t="s">
        <v>2994</v>
      </c>
      <c r="J471" s="7"/>
      <c r="K471" s="7"/>
      <c r="L471" s="7"/>
      <c r="M471" s="7"/>
      <c r="N471" s="7"/>
      <c r="O471" s="7"/>
      <c r="P471" s="7"/>
      <c r="Q471" s="7"/>
      <c r="R471" s="7"/>
      <c r="S471" s="7" t="s">
        <v>3125</v>
      </c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 t="str">
        <f t="shared" si="1"/>
        <v>Land area </v>
      </c>
      <c r="AE471" s="7" t="str">
        <f t="shared" si="2"/>
        <v> sq. ft.</v>
      </c>
      <c r="AF471">
        <f>IFERROR(__xludf.DUMMYFUNCTION("VALUE(REGEXREPLACE(G471,""[^[:digit:]]"", """"))"),2095.0)</f>
        <v>2095</v>
      </c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>
      <c r="A472" s="7" t="s">
        <v>23</v>
      </c>
      <c r="B472" s="7" t="s">
        <v>120</v>
      </c>
      <c r="C472" s="7">
        <f>7</f>
        <v>7</v>
      </c>
      <c r="D472" s="7">
        <v>7.0</v>
      </c>
      <c r="E472" s="7">
        <v>5.0</v>
      </c>
      <c r="F472" s="7" t="s">
        <v>25</v>
      </c>
      <c r="G472" s="7" t="s">
        <v>631</v>
      </c>
      <c r="H472" s="9" t="s">
        <v>2981</v>
      </c>
      <c r="I472" t="s">
        <v>3258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 t="str">
        <f t="shared" si="1"/>
        <v>Land area </v>
      </c>
      <c r="AE472" s="7" t="str">
        <f t="shared" si="2"/>
        <v> sq. ft.</v>
      </c>
      <c r="AF472">
        <f>IFERROR(__xludf.DUMMYFUNCTION("VALUE(REGEXREPLACE(G472,""[^[:digit:]]"", """"))"),5000.0)</f>
        <v>5000</v>
      </c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 t="s">
        <v>103</v>
      </c>
    </row>
    <row r="473">
      <c r="A473" s="7" t="s">
        <v>23</v>
      </c>
      <c r="B473" s="7" t="s">
        <v>350</v>
      </c>
      <c r="C473" s="7">
        <f>6</f>
        <v>6</v>
      </c>
      <c r="D473" s="7">
        <v>6.0</v>
      </c>
      <c r="E473" s="7">
        <v>4.0</v>
      </c>
      <c r="F473" s="7" t="s">
        <v>25</v>
      </c>
      <c r="G473" s="7" t="s">
        <v>68</v>
      </c>
      <c r="H473" s="9" t="s">
        <v>2981</v>
      </c>
      <c r="I473" t="s">
        <v>2996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 t="str">
        <f t="shared" si="1"/>
        <v>Land area </v>
      </c>
      <c r="AE473" s="7" t="str">
        <f t="shared" si="2"/>
        <v> sq. ft.</v>
      </c>
      <c r="AF473">
        <f>IFERROR(__xludf.DUMMYFUNCTION("VALUE(REGEXREPLACE(G473,""[^[:digit:]]"", """"))"),8500.0)</f>
        <v>8500</v>
      </c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>
      <c r="A474" s="7" t="s">
        <v>17</v>
      </c>
      <c r="B474" s="7" t="s">
        <v>632</v>
      </c>
      <c r="C474" s="7">
        <f>2+1</f>
        <v>3</v>
      </c>
      <c r="D474" s="7">
        <v>3.0</v>
      </c>
      <c r="E474" s="9">
        <v>2.0</v>
      </c>
      <c r="F474" s="7" t="s">
        <v>20</v>
      </c>
      <c r="G474" s="7" t="s">
        <v>519</v>
      </c>
      <c r="H474" s="9" t="s">
        <v>2979</v>
      </c>
      <c r="I474" t="s">
        <v>3205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 t="str">
        <f t="shared" si="1"/>
        <v>Built-up :</v>
      </c>
      <c r="AE474" s="7" t="str">
        <f t="shared" si="2"/>
        <v> sq. ft.</v>
      </c>
      <c r="AF474">
        <f>IFERROR(__xludf.DUMMYFUNCTION("VALUE(REGEXREPLACE(G474,""[^[:digit:]]"", """"))"),1055.0)</f>
        <v>1055</v>
      </c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 t="s">
        <v>22</v>
      </c>
    </row>
    <row r="475">
      <c r="A475" s="7" t="s">
        <v>17</v>
      </c>
      <c r="B475" s="7" t="s">
        <v>329</v>
      </c>
      <c r="C475" s="7">
        <f>2</f>
        <v>2</v>
      </c>
      <c r="D475" s="7">
        <v>2.0</v>
      </c>
      <c r="E475" s="7">
        <v>1.0</v>
      </c>
      <c r="F475" s="7" t="s">
        <v>93</v>
      </c>
      <c r="G475" s="7" t="s">
        <v>213</v>
      </c>
      <c r="H475" s="9" t="s">
        <v>2979</v>
      </c>
      <c r="I475" t="s">
        <v>3055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 t="str">
        <f t="shared" si="1"/>
        <v>Built-up :</v>
      </c>
      <c r="AE475" s="7" t="str">
        <f t="shared" si="2"/>
        <v> sq. ft.</v>
      </c>
      <c r="AF475">
        <f>IFERROR(__xludf.DUMMYFUNCTION("VALUE(REGEXREPLACE(G475,""[^[:digit:]]"", """"))"),976.0)</f>
        <v>976</v>
      </c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 t="s">
        <v>27</v>
      </c>
    </row>
    <row r="476">
      <c r="A476" s="7" t="s">
        <v>177</v>
      </c>
      <c r="B476" s="7" t="s">
        <v>633</v>
      </c>
      <c r="C476" s="7">
        <f>5+1</f>
        <v>6</v>
      </c>
      <c r="D476" s="7">
        <v>6.0</v>
      </c>
      <c r="E476" s="9">
        <v>2.0</v>
      </c>
      <c r="F476" s="7" t="s">
        <v>25</v>
      </c>
      <c r="G476" s="7" t="s">
        <v>634</v>
      </c>
      <c r="H476" s="9" t="s">
        <v>2981</v>
      </c>
      <c r="I476" t="s">
        <v>3259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 t="str">
        <f t="shared" si="1"/>
        <v>Land area </v>
      </c>
      <c r="AE476" s="7" t="str">
        <f t="shared" si="2"/>
        <v> sq. ft.</v>
      </c>
      <c r="AF476">
        <f>IFERROR(__xludf.DUMMYFUNCTION("VALUE(REGEXREPLACE(G476,""[^[:digit:]]"", """"))"),7750.0)</f>
        <v>7750</v>
      </c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 t="s">
        <v>22</v>
      </c>
    </row>
    <row r="477">
      <c r="A477" s="7" t="s">
        <v>358</v>
      </c>
      <c r="B477" s="7" t="s">
        <v>635</v>
      </c>
      <c r="C477" s="7">
        <f>3+1</f>
        <v>4</v>
      </c>
      <c r="D477" s="7">
        <v>3.0</v>
      </c>
      <c r="E477" s="7">
        <v>2.0</v>
      </c>
      <c r="F477" s="7" t="s">
        <v>30</v>
      </c>
      <c r="G477" s="7" t="s">
        <v>636</v>
      </c>
      <c r="H477" s="9" t="s">
        <v>2979</v>
      </c>
      <c r="I477" t="s">
        <v>3260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 t="str">
        <f t="shared" si="1"/>
        <v>Built-up :</v>
      </c>
      <c r="AE477" s="7" t="str">
        <f t="shared" si="2"/>
        <v> sq. ft.</v>
      </c>
      <c r="AF477">
        <f>IFERROR(__xludf.DUMMYFUNCTION("VALUE(REGEXREPLACE(G477,""[^[:digit:]]"", """"))"),1577.0)</f>
        <v>1577</v>
      </c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 t="s">
        <v>22</v>
      </c>
    </row>
    <row r="478">
      <c r="A478" s="7" t="s">
        <v>33</v>
      </c>
      <c r="B478" s="7" t="s">
        <v>134</v>
      </c>
      <c r="C478" s="7">
        <f>5+1</f>
        <v>6</v>
      </c>
      <c r="D478" s="7">
        <v>3.0</v>
      </c>
      <c r="E478" s="7">
        <v>4.0</v>
      </c>
      <c r="F478" s="7" t="s">
        <v>30</v>
      </c>
      <c r="G478" s="7" t="s">
        <v>137</v>
      </c>
      <c r="H478" s="9" t="s">
        <v>2979</v>
      </c>
      <c r="I478" t="s">
        <v>3024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 t="str">
        <f t="shared" si="1"/>
        <v>Built-up :</v>
      </c>
      <c r="AE478" s="7" t="str">
        <f t="shared" si="2"/>
        <v> sq. ft.</v>
      </c>
      <c r="AF478">
        <f>IFERROR(__xludf.DUMMYFUNCTION("VALUE(REGEXREPLACE(G478,""[^[:digit:]]"", """"))"),1772.0)</f>
        <v>1772</v>
      </c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 t="s">
        <v>27</v>
      </c>
    </row>
    <row r="479">
      <c r="A479" s="7" t="s">
        <v>33</v>
      </c>
      <c r="B479" s="7" t="s">
        <v>637</v>
      </c>
      <c r="C479" s="7">
        <f>4</f>
        <v>4</v>
      </c>
      <c r="D479" s="7">
        <v>3.0</v>
      </c>
      <c r="E479" s="7">
        <v>2.0</v>
      </c>
      <c r="F479" s="7" t="s">
        <v>30</v>
      </c>
      <c r="G479" s="7" t="s">
        <v>36</v>
      </c>
      <c r="H479" s="9" t="s">
        <v>2979</v>
      </c>
      <c r="I479" t="s">
        <v>2986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 t="str">
        <f t="shared" si="1"/>
        <v>Built-up :</v>
      </c>
      <c r="AE479" s="7" t="str">
        <f t="shared" si="2"/>
        <v> sq. ft.</v>
      </c>
      <c r="AF479">
        <f>IFERROR(__xludf.DUMMYFUNCTION("VALUE(REGEXREPLACE(G479,""[^[:digit:]]"", """"))"),1513.0)</f>
        <v>1513</v>
      </c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 t="s">
        <v>27</v>
      </c>
    </row>
    <row r="480">
      <c r="A480" s="7" t="s">
        <v>104</v>
      </c>
      <c r="B480" s="7" t="s">
        <v>53</v>
      </c>
      <c r="C480" s="7">
        <f>6</f>
        <v>6</v>
      </c>
      <c r="D480" s="7">
        <v>4.0</v>
      </c>
      <c r="E480" s="7">
        <v>6.0</v>
      </c>
      <c r="F480" s="7" t="s">
        <v>184</v>
      </c>
      <c r="G480" s="7" t="s">
        <v>638</v>
      </c>
      <c r="H480" s="9" t="s">
        <v>2981</v>
      </c>
      <c r="I480" t="s">
        <v>3261</v>
      </c>
      <c r="J480" s="7"/>
      <c r="K480" s="7"/>
      <c r="L480" s="7"/>
      <c r="M480" s="7"/>
      <c r="N480" s="7"/>
      <c r="O480" s="7"/>
      <c r="P480" s="7"/>
      <c r="Q480" s="7"/>
      <c r="R480" s="7"/>
      <c r="S480" s="7" t="s">
        <v>3101</v>
      </c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 t="str">
        <f t="shared" si="1"/>
        <v>Land area </v>
      </c>
      <c r="AE480" s="7" t="str">
        <f t="shared" si="2"/>
        <v> sq. ft.</v>
      </c>
      <c r="AF480">
        <f>IFERROR(__xludf.DUMMYFUNCTION("VALUE(REGEXREPLACE(G480,""[^[:digit:]]"", """"))"),4885.0)</f>
        <v>4885</v>
      </c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 t="s">
        <v>22</v>
      </c>
    </row>
    <row r="481">
      <c r="A481" s="7" t="s">
        <v>17</v>
      </c>
      <c r="B481" s="7" t="s">
        <v>243</v>
      </c>
      <c r="C481" s="7">
        <f>1+1</f>
        <v>2</v>
      </c>
      <c r="D481" s="7">
        <v>2.0</v>
      </c>
      <c r="E481" s="7">
        <v>1.0</v>
      </c>
      <c r="F481" s="7" t="s">
        <v>20</v>
      </c>
      <c r="G481" s="7" t="s">
        <v>505</v>
      </c>
      <c r="H481" s="9" t="s">
        <v>2979</v>
      </c>
      <c r="I481" t="s">
        <v>3199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 t="str">
        <f t="shared" si="1"/>
        <v>Built-up :</v>
      </c>
      <c r="AE481" s="7" t="str">
        <f t="shared" si="2"/>
        <v> sq. ft.</v>
      </c>
      <c r="AF481">
        <f>IFERROR(__xludf.DUMMYFUNCTION("VALUE(REGEXREPLACE(G481,""[^[:digit:]]"", """"))"),900.0)</f>
        <v>900</v>
      </c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 t="s">
        <v>22</v>
      </c>
    </row>
    <row r="482">
      <c r="A482" s="7" t="s">
        <v>100</v>
      </c>
      <c r="B482" s="7" t="s">
        <v>639</v>
      </c>
      <c r="C482" s="7">
        <f>3</f>
        <v>3</v>
      </c>
      <c r="D482" s="7">
        <v>2.0</v>
      </c>
      <c r="E482" s="7">
        <v>1.0</v>
      </c>
      <c r="F482" s="7" t="s">
        <v>93</v>
      </c>
      <c r="G482" s="7" t="s">
        <v>640</v>
      </c>
      <c r="H482" s="9" t="s">
        <v>2979</v>
      </c>
      <c r="I482" t="s">
        <v>3262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 t="str">
        <f t="shared" si="1"/>
        <v>Built-up :</v>
      </c>
      <c r="AE482" s="7" t="str">
        <f t="shared" si="2"/>
        <v> sq. ft.</v>
      </c>
      <c r="AF482">
        <f>IFERROR(__xludf.DUMMYFUNCTION("VALUE(REGEXREPLACE(G482,""[^[:digit:]]"", """"))"),1088.0)</f>
        <v>1088</v>
      </c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 t="s">
        <v>27</v>
      </c>
    </row>
    <row r="483">
      <c r="A483" s="7" t="s">
        <v>17</v>
      </c>
      <c r="B483" s="7" t="s">
        <v>191</v>
      </c>
      <c r="C483" s="7">
        <f>1</f>
        <v>1</v>
      </c>
      <c r="D483" s="7">
        <v>1.0</v>
      </c>
      <c r="E483" s="7">
        <v>1.0</v>
      </c>
      <c r="F483" s="7" t="s">
        <v>96</v>
      </c>
      <c r="G483" s="7" t="s">
        <v>393</v>
      </c>
      <c r="H483" s="9" t="s">
        <v>2979</v>
      </c>
      <c r="I483" t="s">
        <v>3142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 t="str">
        <f t="shared" si="1"/>
        <v>Built-up :</v>
      </c>
      <c r="AE483" s="7" t="str">
        <f t="shared" si="2"/>
        <v> sq. ft.</v>
      </c>
      <c r="AF483">
        <f>IFERROR(__xludf.DUMMYFUNCTION("VALUE(REGEXREPLACE(G483,""[^[:digit:]]"", """"))"),751.0)</f>
        <v>751</v>
      </c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 t="s">
        <v>27</v>
      </c>
    </row>
    <row r="484">
      <c r="A484" s="7" t="s">
        <v>17</v>
      </c>
      <c r="B484" s="7" t="s">
        <v>641</v>
      </c>
      <c r="C484" s="7" t="s">
        <v>325</v>
      </c>
      <c r="D484" s="7">
        <v>1.0</v>
      </c>
      <c r="E484" s="9">
        <v>2.0</v>
      </c>
      <c r="F484" s="7" t="s">
        <v>82</v>
      </c>
      <c r="G484" s="7" t="s">
        <v>642</v>
      </c>
      <c r="H484" s="9" t="s">
        <v>2979</v>
      </c>
      <c r="I484" t="s">
        <v>3263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 t="str">
        <f t="shared" si="1"/>
        <v>Built-up :</v>
      </c>
      <c r="AE484" s="7" t="str">
        <f t="shared" si="2"/>
        <v> sq. ft.</v>
      </c>
      <c r="AF484">
        <f>IFERROR(__xludf.DUMMYFUNCTION("VALUE(REGEXREPLACE(G484,""[^[:digit:]]"", """"))"),473.0)</f>
        <v>473</v>
      </c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 t="s">
        <v>22</v>
      </c>
    </row>
    <row r="485">
      <c r="A485" s="7" t="s">
        <v>32</v>
      </c>
      <c r="B485" s="7" t="s">
        <v>643</v>
      </c>
      <c r="C485" s="7">
        <f>5</f>
        <v>5</v>
      </c>
      <c r="D485" s="7">
        <v>4.0</v>
      </c>
      <c r="E485" s="7">
        <v>2.0</v>
      </c>
      <c r="F485" s="7" t="s">
        <v>54</v>
      </c>
      <c r="G485" s="7" t="s">
        <v>558</v>
      </c>
      <c r="H485" s="9" t="s">
        <v>2981</v>
      </c>
      <c r="I485" t="s">
        <v>3223</v>
      </c>
      <c r="J485" s="7"/>
      <c r="K485" s="7"/>
      <c r="L485" s="7"/>
      <c r="M485" s="7"/>
      <c r="N485" s="7"/>
      <c r="O485" s="7"/>
      <c r="P485" s="7"/>
      <c r="Q485" s="7"/>
      <c r="R485" s="7"/>
      <c r="S485" s="7" t="s">
        <v>2990</v>
      </c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 t="str">
        <f t="shared" si="1"/>
        <v>Land area </v>
      </c>
      <c r="AE485" s="7" t="str">
        <f t="shared" si="2"/>
        <v> sq. ft.</v>
      </c>
      <c r="AF485">
        <f>IFERROR(__xludf.DUMMYFUNCTION("VALUE(REGEXREPLACE(G485,""[^[:digit:]]"", """"))"),2375.0)</f>
        <v>2375</v>
      </c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 t="s">
        <v>27</v>
      </c>
    </row>
    <row r="486">
      <c r="A486" s="7" t="s">
        <v>72</v>
      </c>
      <c r="B486" s="7" t="s">
        <v>644</v>
      </c>
      <c r="C486" s="7">
        <f>3+1</f>
        <v>4</v>
      </c>
      <c r="D486" s="7">
        <v>5.0</v>
      </c>
      <c r="E486" s="7">
        <v>3.0</v>
      </c>
      <c r="F486" s="7" t="s">
        <v>30</v>
      </c>
      <c r="G486" s="7" t="s">
        <v>561</v>
      </c>
      <c r="H486" s="9" t="s">
        <v>2979</v>
      </c>
      <c r="I486" t="s">
        <v>3226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 t="str">
        <f t="shared" si="1"/>
        <v>Built-up :</v>
      </c>
      <c r="AE486" s="7" t="str">
        <f t="shared" si="2"/>
        <v> sq. ft.</v>
      </c>
      <c r="AF486">
        <f>IFERROR(__xludf.DUMMYFUNCTION("VALUE(REGEXREPLACE(G486,""[^[:digit:]]"", """"))"),2535.0)</f>
        <v>2535</v>
      </c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 t="s">
        <v>27</v>
      </c>
    </row>
    <row r="487">
      <c r="A487" s="7" t="s">
        <v>17</v>
      </c>
      <c r="B487" s="7" t="s">
        <v>645</v>
      </c>
      <c r="C487" s="7">
        <f>1+1</f>
        <v>2</v>
      </c>
      <c r="D487" s="7">
        <v>1.0</v>
      </c>
      <c r="E487" s="7">
        <v>1.0</v>
      </c>
      <c r="F487" s="7" t="s">
        <v>30</v>
      </c>
      <c r="G487" s="7" t="s">
        <v>646</v>
      </c>
      <c r="H487" s="9" t="s">
        <v>2979</v>
      </c>
      <c r="I487" t="s">
        <v>3264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 t="str">
        <f t="shared" si="1"/>
        <v>Built-up :</v>
      </c>
      <c r="AE487" s="7" t="str">
        <f t="shared" si="2"/>
        <v> sq. ft.</v>
      </c>
      <c r="AF487">
        <f>IFERROR(__xludf.DUMMYFUNCTION("VALUE(REGEXREPLACE(G487,""[^[:digit:]]"", """"))"),753.0)</f>
        <v>753</v>
      </c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 t="s">
        <v>22</v>
      </c>
    </row>
    <row r="488">
      <c r="A488" s="7" t="s">
        <v>17</v>
      </c>
      <c r="B488" s="7" t="s">
        <v>647</v>
      </c>
      <c r="C488" s="7">
        <f>2+1</f>
        <v>3</v>
      </c>
      <c r="D488" s="7">
        <v>2.0</v>
      </c>
      <c r="E488" s="7">
        <v>2.0</v>
      </c>
      <c r="F488" s="7" t="s">
        <v>30</v>
      </c>
      <c r="G488" s="7" t="s">
        <v>190</v>
      </c>
      <c r="H488" s="9" t="s">
        <v>2979</v>
      </c>
      <c r="I488" t="s">
        <v>3044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 t="str">
        <f t="shared" si="1"/>
        <v>Built-up :</v>
      </c>
      <c r="AE488" s="7" t="str">
        <f t="shared" si="2"/>
        <v> sq. ft.</v>
      </c>
      <c r="AF488">
        <f>IFERROR(__xludf.DUMMYFUNCTION("VALUE(REGEXREPLACE(G488,""[^[:digit:]]"", """"))"),1159.0)</f>
        <v>1159</v>
      </c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 t="s">
        <v>22</v>
      </c>
    </row>
    <row r="489">
      <c r="A489" s="7" t="s">
        <v>89</v>
      </c>
      <c r="B489" s="7" t="s">
        <v>648</v>
      </c>
      <c r="C489" s="7">
        <f>2</f>
        <v>2</v>
      </c>
      <c r="D489" s="7">
        <v>2.0</v>
      </c>
      <c r="E489" s="7">
        <v>2.0</v>
      </c>
      <c r="F489" s="7" t="s">
        <v>30</v>
      </c>
      <c r="G489" s="7" t="s">
        <v>51</v>
      </c>
      <c r="H489" s="9" t="s">
        <v>2979</v>
      </c>
      <c r="I489" t="s">
        <v>2991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 t="str">
        <f t="shared" si="1"/>
        <v>Built-up :</v>
      </c>
      <c r="AE489" s="7" t="str">
        <f t="shared" si="2"/>
        <v> sq. ft.</v>
      </c>
      <c r="AF489">
        <f>IFERROR(__xludf.DUMMYFUNCTION("VALUE(REGEXREPLACE(G489,""[^[:digit:]]"", """"))"),904.0)</f>
        <v>904</v>
      </c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 t="s">
        <v>27</v>
      </c>
    </row>
    <row r="490">
      <c r="A490" s="7" t="s">
        <v>17</v>
      </c>
      <c r="B490" s="7" t="s">
        <v>649</v>
      </c>
      <c r="C490" s="7">
        <f>3</f>
        <v>3</v>
      </c>
      <c r="D490" s="7">
        <v>2.0</v>
      </c>
      <c r="E490" s="7">
        <v>1.0</v>
      </c>
      <c r="F490" s="7" t="s">
        <v>121</v>
      </c>
      <c r="G490" s="7" t="s">
        <v>650</v>
      </c>
      <c r="H490" s="9" t="s">
        <v>2979</v>
      </c>
      <c r="I490" t="s">
        <v>3265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 t="str">
        <f t="shared" si="1"/>
        <v>Built-up :</v>
      </c>
      <c r="AE490" s="7" t="str">
        <f t="shared" si="2"/>
        <v> sq. ft.</v>
      </c>
      <c r="AF490">
        <f>IFERROR(__xludf.DUMMYFUNCTION("VALUE(REGEXREPLACE(G490,""[^[:digit:]]"", """"))"),813.0)</f>
        <v>813</v>
      </c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 t="s">
        <v>22</v>
      </c>
    </row>
    <row r="491">
      <c r="A491" s="7" t="s">
        <v>17</v>
      </c>
      <c r="B491" s="7" t="s">
        <v>110</v>
      </c>
      <c r="C491" s="7">
        <f>2</f>
        <v>2</v>
      </c>
      <c r="D491" s="7">
        <v>2.0</v>
      </c>
      <c r="E491" s="7">
        <v>1.0</v>
      </c>
      <c r="F491" s="7" t="s">
        <v>121</v>
      </c>
      <c r="G491" s="7" t="s">
        <v>595</v>
      </c>
      <c r="H491" s="9" t="s">
        <v>2979</v>
      </c>
      <c r="I491" t="s">
        <v>3241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 t="str">
        <f t="shared" si="1"/>
        <v>Built-up :</v>
      </c>
      <c r="AE491" s="7" t="str">
        <f t="shared" si="2"/>
        <v> sq. ft.</v>
      </c>
      <c r="AF491">
        <f>IFERROR(__xludf.DUMMYFUNCTION("VALUE(REGEXREPLACE(G491,""[^[:digit:]]"", """"))"),1103.0)</f>
        <v>1103</v>
      </c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 t="s">
        <v>22</v>
      </c>
    </row>
    <row r="492">
      <c r="A492" s="7" t="s">
        <v>17</v>
      </c>
      <c r="B492" s="7" t="s">
        <v>651</v>
      </c>
      <c r="C492" s="7">
        <f>2+1</f>
        <v>3</v>
      </c>
      <c r="D492" s="7">
        <v>2.0</v>
      </c>
      <c r="E492" s="7">
        <v>1.0</v>
      </c>
      <c r="F492" s="7" t="s">
        <v>20</v>
      </c>
      <c r="G492" s="7" t="s">
        <v>652</v>
      </c>
      <c r="H492" s="9" t="s">
        <v>2979</v>
      </c>
      <c r="I492" t="s">
        <v>3266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 t="str">
        <f t="shared" si="1"/>
        <v>Built-up :</v>
      </c>
      <c r="AE492" s="7" t="str">
        <f t="shared" si="2"/>
        <v> sq. ft.</v>
      </c>
      <c r="AF492">
        <f>IFERROR(__xludf.DUMMYFUNCTION("VALUE(REGEXREPLACE(G492,""[^[:digit:]]"", """"))"),833.0)</f>
        <v>833</v>
      </c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 t="s">
        <v>22</v>
      </c>
    </row>
    <row r="493">
      <c r="A493" s="7" t="s">
        <v>77</v>
      </c>
      <c r="B493" s="7" t="s">
        <v>158</v>
      </c>
      <c r="C493" s="7">
        <f>3+1</f>
        <v>4</v>
      </c>
      <c r="D493" s="7">
        <v>3.0</v>
      </c>
      <c r="E493" s="7">
        <v>3.0</v>
      </c>
      <c r="F493" s="7" t="s">
        <v>54</v>
      </c>
      <c r="G493" s="7" t="s">
        <v>283</v>
      </c>
      <c r="H493" s="9" t="s">
        <v>2981</v>
      </c>
      <c r="I493" t="s">
        <v>3091</v>
      </c>
      <c r="J493" s="7"/>
      <c r="K493" s="7"/>
      <c r="L493" s="7"/>
      <c r="M493" s="7"/>
      <c r="N493" s="7"/>
      <c r="O493" s="7"/>
      <c r="P493" s="7"/>
      <c r="Q493" s="7"/>
      <c r="R493" s="7"/>
      <c r="S493" s="7" t="s">
        <v>2990</v>
      </c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 t="str">
        <f t="shared" si="1"/>
        <v>Land area </v>
      </c>
      <c r="AE493" s="7" t="str">
        <f t="shared" si="2"/>
        <v> sq. ft.</v>
      </c>
      <c r="AF493">
        <f>IFERROR(__xludf.DUMMYFUNCTION("VALUE(REGEXREPLACE(G493,""[^[:digit:]]"", """"))"),2275.0)</f>
        <v>2275</v>
      </c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 t="s">
        <v>27</v>
      </c>
    </row>
    <row r="494">
      <c r="A494" s="7" t="s">
        <v>17</v>
      </c>
      <c r="B494" s="7" t="s">
        <v>81</v>
      </c>
      <c r="C494" s="7">
        <f>2</f>
        <v>2</v>
      </c>
      <c r="D494" s="7">
        <v>2.0</v>
      </c>
      <c r="E494" s="7">
        <v>2.0</v>
      </c>
      <c r="F494" s="7" t="s">
        <v>121</v>
      </c>
      <c r="G494" s="7" t="s">
        <v>653</v>
      </c>
      <c r="H494" s="9" t="s">
        <v>2981</v>
      </c>
      <c r="I494" t="s">
        <v>3267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 t="str">
        <f t="shared" si="1"/>
        <v>Land area </v>
      </c>
      <c r="AE494" s="7" t="str">
        <f t="shared" si="2"/>
        <v> sq. ft.</v>
      </c>
      <c r="AF494">
        <f>IFERROR(__xludf.DUMMYFUNCTION("VALUE(REGEXREPLACE(G494,""[^[:digit:]]"", """"))"),910.0)</f>
        <v>910</v>
      </c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 t="s">
        <v>22</v>
      </c>
    </row>
    <row r="495">
      <c r="A495" s="7" t="s">
        <v>72</v>
      </c>
      <c r="B495" s="7" t="s">
        <v>448</v>
      </c>
      <c r="C495" s="7">
        <f>4</f>
        <v>4</v>
      </c>
      <c r="D495" s="7">
        <v>4.0</v>
      </c>
      <c r="E495" s="7">
        <v>2.0</v>
      </c>
      <c r="F495" s="7" t="s">
        <v>83</v>
      </c>
      <c r="G495" s="7" t="s">
        <v>334</v>
      </c>
      <c r="H495" s="9" t="s">
        <v>2979</v>
      </c>
      <c r="I495" t="s">
        <v>3112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 t="str">
        <f t="shared" si="1"/>
        <v>Built-up :</v>
      </c>
      <c r="AE495" s="7" t="str">
        <f t="shared" si="2"/>
        <v> sq. ft.</v>
      </c>
      <c r="AF495">
        <f>IFERROR(__xludf.DUMMYFUNCTION("VALUE(REGEXREPLACE(G495,""[^[:digit:]]"", """"))"),1496.0)</f>
        <v>1496</v>
      </c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 t="s">
        <v>22</v>
      </c>
    </row>
    <row r="496">
      <c r="A496" s="7" t="s">
        <v>37</v>
      </c>
      <c r="B496" s="7" t="s">
        <v>239</v>
      </c>
      <c r="C496" s="7">
        <f t="shared" ref="C496:C497" si="43">3+1</f>
        <v>4</v>
      </c>
      <c r="D496" s="7">
        <v>3.0</v>
      </c>
      <c r="E496" s="7">
        <v>2.0</v>
      </c>
      <c r="F496" s="7" t="s">
        <v>54</v>
      </c>
      <c r="G496" s="7" t="s">
        <v>280</v>
      </c>
      <c r="H496" s="9" t="s">
        <v>2981</v>
      </c>
      <c r="I496" t="s">
        <v>3037</v>
      </c>
      <c r="J496" s="7"/>
      <c r="K496" s="7"/>
      <c r="L496" s="7"/>
      <c r="M496" s="7"/>
      <c r="N496" s="7"/>
      <c r="O496" s="7"/>
      <c r="P496" s="7"/>
      <c r="Q496" s="7"/>
      <c r="R496" s="7"/>
      <c r="S496" s="7" t="s">
        <v>2990</v>
      </c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 t="str">
        <f t="shared" si="1"/>
        <v>Land area </v>
      </c>
      <c r="AE496" s="7" t="str">
        <f t="shared" si="2"/>
        <v> sq. ft.</v>
      </c>
      <c r="AF496">
        <f>IFERROR(__xludf.DUMMYFUNCTION("VALUE(REGEXREPLACE(G496,""[^[:digit:]]"", """"))"),2475.0)</f>
        <v>2475</v>
      </c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 t="s">
        <v>27</v>
      </c>
    </row>
    <row r="497">
      <c r="A497" s="7" t="s">
        <v>72</v>
      </c>
      <c r="B497" s="7" t="s">
        <v>411</v>
      </c>
      <c r="C497" s="7">
        <f t="shared" si="43"/>
        <v>4</v>
      </c>
      <c r="D497" s="7">
        <v>4.0</v>
      </c>
      <c r="E497" s="9">
        <v>2.0</v>
      </c>
      <c r="F497" s="7" t="s">
        <v>30</v>
      </c>
      <c r="G497" s="7" t="s">
        <v>654</v>
      </c>
      <c r="H497" s="9" t="s">
        <v>2979</v>
      </c>
      <c r="I497" t="s">
        <v>3268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 t="str">
        <f t="shared" si="1"/>
        <v>Built-up :</v>
      </c>
      <c r="AE497" s="7" t="str">
        <f t="shared" si="2"/>
        <v> sq. ft.</v>
      </c>
      <c r="AF497">
        <f>IFERROR(__xludf.DUMMYFUNCTION("VALUE(REGEXREPLACE(G497,""[^[:digit:]]"", """"))"),2707.0)</f>
        <v>2707</v>
      </c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 t="s">
        <v>27</v>
      </c>
    </row>
    <row r="498">
      <c r="A498" s="7" t="s">
        <v>37</v>
      </c>
      <c r="B498" s="7" t="s">
        <v>284</v>
      </c>
      <c r="C498" s="7">
        <f>3</f>
        <v>3</v>
      </c>
      <c r="D498" s="7">
        <v>2.0</v>
      </c>
      <c r="E498" s="7">
        <v>2.0</v>
      </c>
      <c r="F498" s="7" t="s">
        <v>343</v>
      </c>
      <c r="G498" s="7" t="s">
        <v>344</v>
      </c>
      <c r="H498" s="9" t="s">
        <v>2981</v>
      </c>
      <c r="I498" t="s">
        <v>3118</v>
      </c>
      <c r="J498" s="7"/>
      <c r="K498" s="7"/>
      <c r="L498" s="7"/>
      <c r="M498" s="7"/>
      <c r="N498" s="7"/>
      <c r="O498" s="7"/>
      <c r="P498" s="7"/>
      <c r="Q498" s="7"/>
      <c r="R498" s="7"/>
      <c r="S498" s="7" t="s">
        <v>2993</v>
      </c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 t="str">
        <f t="shared" si="1"/>
        <v>Land area </v>
      </c>
      <c r="AE498" s="7" t="str">
        <f t="shared" si="2"/>
        <v> sq. ft.</v>
      </c>
      <c r="AF498">
        <f>IFERROR(__xludf.DUMMYFUNCTION("VALUE(REGEXREPLACE(G498,""[^[:digit:]]"", """"))"),2480.0)</f>
        <v>2480</v>
      </c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 t="s">
        <v>103</v>
      </c>
    </row>
    <row r="499">
      <c r="A499" s="7" t="s">
        <v>72</v>
      </c>
      <c r="B499" s="7" t="s">
        <v>655</v>
      </c>
      <c r="C499" s="7">
        <f>4+1</f>
        <v>5</v>
      </c>
      <c r="D499" s="7">
        <v>5.0</v>
      </c>
      <c r="E499" s="7">
        <v>2.0</v>
      </c>
      <c r="F499" s="7" t="s">
        <v>83</v>
      </c>
      <c r="G499" s="7" t="s">
        <v>456</v>
      </c>
      <c r="H499" s="9" t="s">
        <v>2979</v>
      </c>
      <c r="I499" t="s">
        <v>3170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 t="str">
        <f t="shared" si="1"/>
        <v>Built-up :</v>
      </c>
      <c r="AE499" s="7" t="str">
        <f t="shared" si="2"/>
        <v> sq. ft.</v>
      </c>
      <c r="AF499">
        <f>IFERROR(__xludf.DUMMYFUNCTION("VALUE(REGEXREPLACE(G499,""[^[:digit:]]"", """"))"),2973.0)</f>
        <v>2973</v>
      </c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 t="s">
        <v>27</v>
      </c>
    </row>
    <row r="500">
      <c r="A500" s="7" t="s">
        <v>72</v>
      </c>
      <c r="B500" s="7" t="s">
        <v>158</v>
      </c>
      <c r="C500" s="7">
        <f>3</f>
        <v>3</v>
      </c>
      <c r="D500" s="7">
        <v>3.0</v>
      </c>
      <c r="E500" s="7">
        <v>2.0</v>
      </c>
      <c r="F500" s="7" t="s">
        <v>20</v>
      </c>
      <c r="G500" s="7" t="s">
        <v>656</v>
      </c>
      <c r="H500" s="9" t="s">
        <v>2979</v>
      </c>
      <c r="I500" t="s">
        <v>3269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 t="str">
        <f t="shared" si="1"/>
        <v>Built-up :</v>
      </c>
      <c r="AE500" s="7" t="str">
        <f t="shared" si="2"/>
        <v> sq. ft.</v>
      </c>
      <c r="AF500">
        <f>IFERROR(__xludf.DUMMYFUNCTION("VALUE(REGEXREPLACE(G500,""[^[:digit:]]"", """"))"),1573.0)</f>
        <v>1573</v>
      </c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>
      <c r="A501" s="7" t="s">
        <v>33</v>
      </c>
      <c r="B501" s="7" t="s">
        <v>657</v>
      </c>
      <c r="C501" s="7">
        <f>4+1</f>
        <v>5</v>
      </c>
      <c r="D501" s="7">
        <v>3.0</v>
      </c>
      <c r="E501" s="7">
        <v>2.0</v>
      </c>
      <c r="F501" s="7" t="s">
        <v>30</v>
      </c>
      <c r="G501" s="7" t="s">
        <v>36</v>
      </c>
      <c r="H501" s="9" t="s">
        <v>2979</v>
      </c>
      <c r="I501" t="s">
        <v>2986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 t="str">
        <f t="shared" si="1"/>
        <v>Built-up :</v>
      </c>
      <c r="AE501" s="7" t="str">
        <f t="shared" si="2"/>
        <v> sq. ft.</v>
      </c>
      <c r="AF501">
        <f>IFERROR(__xludf.DUMMYFUNCTION("VALUE(REGEXREPLACE(G501,""[^[:digit:]]"", """"))"),1513.0)</f>
        <v>1513</v>
      </c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 t="s">
        <v>22</v>
      </c>
    </row>
    <row r="502">
      <c r="A502" s="7" t="s">
        <v>23</v>
      </c>
      <c r="B502" s="7" t="s">
        <v>658</v>
      </c>
      <c r="C502" s="7">
        <f>3+1</f>
        <v>4</v>
      </c>
      <c r="D502" s="7">
        <v>5.0</v>
      </c>
      <c r="E502" s="7">
        <v>3.0</v>
      </c>
      <c r="F502" s="7" t="s">
        <v>20</v>
      </c>
      <c r="G502" s="7" t="s">
        <v>659</v>
      </c>
      <c r="H502" s="9" t="s">
        <v>2979</v>
      </c>
      <c r="I502" t="s">
        <v>3270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 t="str">
        <f t="shared" si="1"/>
        <v>Built-up :</v>
      </c>
      <c r="AE502" s="7" t="str">
        <f t="shared" si="2"/>
        <v> sq. ft.</v>
      </c>
      <c r="AF502">
        <f>IFERROR(__xludf.DUMMYFUNCTION("VALUE(REGEXREPLACE(G502,""[^[:digit:]]"", """"))"),2077.0)</f>
        <v>2077</v>
      </c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 t="s">
        <v>27</v>
      </c>
    </row>
    <row r="503">
      <c r="A503" s="7" t="s">
        <v>23</v>
      </c>
      <c r="B503" s="7" t="s">
        <v>149</v>
      </c>
      <c r="C503" s="7">
        <f>5</f>
        <v>5</v>
      </c>
      <c r="D503" s="7">
        <v>4.0</v>
      </c>
      <c r="E503" s="9">
        <v>2.0</v>
      </c>
      <c r="F503" s="7" t="s">
        <v>43</v>
      </c>
      <c r="H503" s="9" t="s">
        <v>2984</v>
      </c>
      <c r="I503" t="s">
        <v>2985</v>
      </c>
      <c r="AD503" s="7" t="str">
        <f t="shared" si="1"/>
        <v/>
      </c>
      <c r="AE503" s="7" t="str">
        <f t="shared" si="2"/>
        <v/>
      </c>
      <c r="AF503">
        <f>IFERROR(__xludf.DUMMYFUNCTION("VALUE(REGEXREPLACE(G503,""[^[:digit:]]"", """"))"),0.0)</f>
        <v>0</v>
      </c>
    </row>
    <row r="504">
      <c r="A504" s="7" t="s">
        <v>17</v>
      </c>
      <c r="B504" s="7" t="s">
        <v>233</v>
      </c>
      <c r="C504" s="7">
        <f t="shared" ref="C504:C505" si="44">2+1</f>
        <v>3</v>
      </c>
      <c r="D504" s="7">
        <v>2.0</v>
      </c>
      <c r="E504" s="7">
        <v>2.0</v>
      </c>
      <c r="F504" s="7" t="s">
        <v>82</v>
      </c>
      <c r="G504" s="7" t="s">
        <v>234</v>
      </c>
      <c r="H504" s="9" t="s">
        <v>2979</v>
      </c>
      <c r="I504" t="s">
        <v>3068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 t="str">
        <f t="shared" si="1"/>
        <v>Built-up :</v>
      </c>
      <c r="AE504" s="7" t="str">
        <f t="shared" si="2"/>
        <v> sq. ft.</v>
      </c>
      <c r="AF504">
        <f>IFERROR(__xludf.DUMMYFUNCTION("VALUE(REGEXREPLACE(G504,""[^[:digit:]]"", """"))"),1399.0)</f>
        <v>1399</v>
      </c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 t="s">
        <v>22</v>
      </c>
    </row>
    <row r="505">
      <c r="A505" s="7" t="s">
        <v>17</v>
      </c>
      <c r="B505" s="7" t="s">
        <v>448</v>
      </c>
      <c r="C505" s="7">
        <f t="shared" si="44"/>
        <v>3</v>
      </c>
      <c r="D505" s="7">
        <v>2.0</v>
      </c>
      <c r="E505" s="7">
        <v>1.0</v>
      </c>
      <c r="F505" s="7" t="s">
        <v>30</v>
      </c>
      <c r="G505" s="7" t="s">
        <v>213</v>
      </c>
      <c r="H505" s="9" t="s">
        <v>2979</v>
      </c>
      <c r="I505" t="s">
        <v>3055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 t="str">
        <f t="shared" si="1"/>
        <v>Built-up :</v>
      </c>
      <c r="AE505" s="7" t="str">
        <f t="shared" si="2"/>
        <v> sq. ft.</v>
      </c>
      <c r="AF505">
        <f>IFERROR(__xludf.DUMMYFUNCTION("VALUE(REGEXREPLACE(G505,""[^[:digit:]]"", """"))"),976.0)</f>
        <v>976</v>
      </c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 t="s">
        <v>27</v>
      </c>
    </row>
    <row r="506">
      <c r="A506" s="7" t="s">
        <v>17</v>
      </c>
      <c r="B506" s="7" t="s">
        <v>660</v>
      </c>
      <c r="C506" s="7">
        <f t="shared" ref="C506:C507" si="45">1</f>
        <v>1</v>
      </c>
      <c r="D506" s="7">
        <v>2.0</v>
      </c>
      <c r="E506" s="7">
        <v>1.0</v>
      </c>
      <c r="F506" s="7" t="s">
        <v>82</v>
      </c>
      <c r="G506" s="7" t="s">
        <v>661</v>
      </c>
      <c r="H506" s="9" t="s">
        <v>2979</v>
      </c>
      <c r="I506" t="s">
        <v>3271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 t="str">
        <f t="shared" si="1"/>
        <v>Built-up :</v>
      </c>
      <c r="AE506" s="7" t="str">
        <f t="shared" si="2"/>
        <v> sq. ft.</v>
      </c>
      <c r="AF506">
        <f>IFERROR(__xludf.DUMMYFUNCTION("VALUE(REGEXREPLACE(G506,""[^[:digit:]]"", """"))"),1163.0)</f>
        <v>1163</v>
      </c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 t="s">
        <v>22</v>
      </c>
    </row>
    <row r="507">
      <c r="A507" s="7" t="s">
        <v>17</v>
      </c>
      <c r="B507" s="7" t="s">
        <v>85</v>
      </c>
      <c r="C507" s="7">
        <f t="shared" si="45"/>
        <v>1</v>
      </c>
      <c r="D507" s="7">
        <v>1.0</v>
      </c>
      <c r="E507" s="9">
        <v>2.0</v>
      </c>
      <c r="F507" s="7" t="s">
        <v>385</v>
      </c>
      <c r="G507" s="7" t="s">
        <v>157</v>
      </c>
      <c r="H507" s="9" t="s">
        <v>2979</v>
      </c>
      <c r="I507" t="s">
        <v>3031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 t="str">
        <f t="shared" si="1"/>
        <v>Built-up :</v>
      </c>
      <c r="AE507" s="7" t="str">
        <f t="shared" si="2"/>
        <v> sq. ft.</v>
      </c>
      <c r="AF507">
        <f>IFERROR(__xludf.DUMMYFUNCTION("VALUE(REGEXREPLACE(G507,""[^[:digit:]]"", """"))"),1050.0)</f>
        <v>1050</v>
      </c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 t="s">
        <v>22</v>
      </c>
    </row>
    <row r="508">
      <c r="A508" s="7" t="s">
        <v>52</v>
      </c>
      <c r="B508" s="7" t="s">
        <v>662</v>
      </c>
      <c r="C508" s="7">
        <f>4+1</f>
        <v>5</v>
      </c>
      <c r="D508" s="7">
        <v>6.0</v>
      </c>
      <c r="E508" s="9">
        <v>2.0</v>
      </c>
      <c r="F508" s="7" t="s">
        <v>83</v>
      </c>
      <c r="G508" s="7" t="s">
        <v>663</v>
      </c>
      <c r="H508" s="9" t="s">
        <v>2979</v>
      </c>
      <c r="I508" t="s">
        <v>3272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 t="str">
        <f t="shared" si="1"/>
        <v>Built-up :</v>
      </c>
      <c r="AE508" s="7" t="str">
        <f t="shared" si="2"/>
        <v> sq. ft.</v>
      </c>
      <c r="AF508">
        <f>IFERROR(__xludf.DUMMYFUNCTION("VALUE(REGEXREPLACE(G508,""[^[:digit:]]"", """"))"),4327.0)</f>
        <v>4327</v>
      </c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 t="s">
        <v>22</v>
      </c>
    </row>
    <row r="509">
      <c r="A509" s="7" t="s">
        <v>180</v>
      </c>
      <c r="B509" s="7" t="s">
        <v>132</v>
      </c>
      <c r="C509" s="7">
        <f>2</f>
        <v>2</v>
      </c>
      <c r="D509" s="7">
        <v>2.0</v>
      </c>
      <c r="E509" s="7">
        <v>1.0</v>
      </c>
      <c r="F509" s="7" t="s">
        <v>93</v>
      </c>
      <c r="G509" s="7" t="s">
        <v>664</v>
      </c>
      <c r="H509" s="9" t="s">
        <v>2979</v>
      </c>
      <c r="I509" t="s">
        <v>3273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 t="str">
        <f t="shared" si="1"/>
        <v>Built-up :</v>
      </c>
      <c r="AE509" s="7" t="str">
        <f t="shared" si="2"/>
        <v> sq. ft.</v>
      </c>
      <c r="AF509">
        <f>IFERROR(__xludf.DUMMYFUNCTION("VALUE(REGEXREPLACE(G509,""[^[:digit:]]"", """"))"),1411.0)</f>
        <v>1411</v>
      </c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 t="s">
        <v>27</v>
      </c>
    </row>
    <row r="510">
      <c r="A510" s="7" t="s">
        <v>180</v>
      </c>
      <c r="B510" s="7" t="s">
        <v>665</v>
      </c>
      <c r="C510" s="7">
        <f>1</f>
        <v>1</v>
      </c>
      <c r="D510" s="7">
        <v>1.0</v>
      </c>
      <c r="E510" s="7">
        <v>1.0</v>
      </c>
      <c r="F510" s="7" t="s">
        <v>83</v>
      </c>
      <c r="G510" s="7" t="s">
        <v>621</v>
      </c>
      <c r="H510" s="9" t="s">
        <v>2979</v>
      </c>
      <c r="I510" t="s">
        <v>3251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 t="str">
        <f t="shared" si="1"/>
        <v>Built-up :</v>
      </c>
      <c r="AE510" s="7" t="str">
        <f t="shared" si="2"/>
        <v> sq. ft.</v>
      </c>
      <c r="AF510">
        <f>IFERROR(__xludf.DUMMYFUNCTION("VALUE(REGEXREPLACE(G510,""[^[:digit:]]"", """"))"),1119.0)</f>
        <v>1119</v>
      </c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 t="s">
        <v>22</v>
      </c>
    </row>
    <row r="511">
      <c r="A511" s="7" t="s">
        <v>17</v>
      </c>
      <c r="B511" s="7" t="s">
        <v>501</v>
      </c>
      <c r="C511" s="7">
        <f>1+1</f>
        <v>2</v>
      </c>
      <c r="E511" s="9">
        <v>2.0</v>
      </c>
      <c r="F511" s="7" t="s">
        <v>20</v>
      </c>
      <c r="G511" s="7" t="s">
        <v>392</v>
      </c>
      <c r="H511" s="9" t="s">
        <v>2979</v>
      </c>
      <c r="I511" t="s">
        <v>3141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 t="str">
        <f t="shared" si="1"/>
        <v>Built-up :</v>
      </c>
      <c r="AE511" s="7" t="str">
        <f t="shared" si="2"/>
        <v> sq. ft.</v>
      </c>
      <c r="AF511">
        <f>IFERROR(__xludf.DUMMYFUNCTION("VALUE(REGEXREPLACE(G511,""[^[:digit:]]"", """"))"),850.0)</f>
        <v>850</v>
      </c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>
      <c r="A512" s="7" t="s">
        <v>72</v>
      </c>
      <c r="B512" s="7" t="s">
        <v>281</v>
      </c>
      <c r="C512" s="7">
        <f>5+1</f>
        <v>6</v>
      </c>
      <c r="D512" s="7">
        <v>4.0</v>
      </c>
      <c r="E512" s="7">
        <v>4.0</v>
      </c>
      <c r="F512" s="7" t="s">
        <v>43</v>
      </c>
      <c r="G512" s="7" t="s">
        <v>666</v>
      </c>
      <c r="H512" s="9" t="s">
        <v>2979</v>
      </c>
      <c r="I512" t="s">
        <v>3274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 t="str">
        <f t="shared" si="1"/>
        <v>Built-up :</v>
      </c>
      <c r="AE512" s="7" t="str">
        <f t="shared" si="2"/>
        <v> sq. ft.</v>
      </c>
      <c r="AF512">
        <f>IFERROR(__xludf.DUMMYFUNCTION("VALUE(REGEXREPLACE(G512,""[^[:digit:]]"", """"))"),3833.0)</f>
        <v>3833</v>
      </c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 t="s">
        <v>27</v>
      </c>
    </row>
    <row r="513">
      <c r="A513" s="7" t="s">
        <v>428</v>
      </c>
      <c r="B513" s="7" t="s">
        <v>239</v>
      </c>
      <c r="E513" s="9">
        <v>2.0</v>
      </c>
      <c r="F513" s="7" t="s">
        <v>667</v>
      </c>
      <c r="G513" s="7" t="s">
        <v>668</v>
      </c>
      <c r="H513" s="9" t="s">
        <v>2981</v>
      </c>
      <c r="I513" t="s">
        <v>3275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 t="str">
        <f t="shared" si="1"/>
        <v>Land area </v>
      </c>
      <c r="AE513" s="7" t="str">
        <f t="shared" si="2"/>
        <v> sq. ft.</v>
      </c>
      <c r="AF513">
        <f>IFERROR(__xludf.DUMMYFUNCTION("VALUE(REGEXREPLACE(G513,""[^[:digit:]]"", """"))"),100000.0)</f>
        <v>100000</v>
      </c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>
      <c r="A514" s="7" t="s">
        <v>89</v>
      </c>
      <c r="B514" s="7" t="s">
        <v>277</v>
      </c>
      <c r="C514" s="7">
        <f t="shared" ref="C514:C515" si="46">4+1</f>
        <v>5</v>
      </c>
      <c r="D514" s="7">
        <v>5.0</v>
      </c>
      <c r="E514" s="7">
        <v>5.0</v>
      </c>
      <c r="F514" s="7" t="s">
        <v>64</v>
      </c>
      <c r="G514" s="7" t="s">
        <v>669</v>
      </c>
      <c r="H514" s="9" t="s">
        <v>2981</v>
      </c>
      <c r="I514" t="s">
        <v>3276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 t="str">
        <f t="shared" si="1"/>
        <v>Land area </v>
      </c>
      <c r="AE514" s="7" t="str">
        <f t="shared" si="2"/>
        <v> sq. ft.</v>
      </c>
      <c r="AF514">
        <f>IFERROR(__xludf.DUMMYFUNCTION("VALUE(REGEXREPLACE(G514,""[^[:digit:]]"", """"))"),3282.0)</f>
        <v>3282</v>
      </c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 t="s">
        <v>27</v>
      </c>
    </row>
    <row r="515">
      <c r="A515" s="7" t="s">
        <v>428</v>
      </c>
      <c r="B515" s="7" t="s">
        <v>120</v>
      </c>
      <c r="C515" s="7">
        <f t="shared" si="46"/>
        <v>5</v>
      </c>
      <c r="D515" s="7">
        <v>4.0</v>
      </c>
      <c r="E515" s="7">
        <v>6.0</v>
      </c>
      <c r="F515" s="7" t="s">
        <v>61</v>
      </c>
      <c r="G515" s="7" t="s">
        <v>670</v>
      </c>
      <c r="H515" s="9" t="s">
        <v>2981</v>
      </c>
      <c r="I515" t="s">
        <v>3277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 t="str">
        <f t="shared" si="1"/>
        <v>Land area </v>
      </c>
      <c r="AE515" s="7" t="str">
        <f t="shared" si="2"/>
        <v> sq. ft.</v>
      </c>
      <c r="AF515">
        <f>IFERROR(__xludf.DUMMYFUNCTION("VALUE(REGEXREPLACE(G515,""[^[:digit:]]"", """"))"),9670.0)</f>
        <v>9670</v>
      </c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 t="s">
        <v>103</v>
      </c>
    </row>
    <row r="516">
      <c r="A516" s="7" t="s">
        <v>37</v>
      </c>
      <c r="B516" s="7" t="s">
        <v>530</v>
      </c>
      <c r="C516" s="7">
        <f>7+1</f>
        <v>8</v>
      </c>
      <c r="D516" s="7">
        <v>5.0</v>
      </c>
      <c r="E516" s="7">
        <v>3.0</v>
      </c>
      <c r="F516" s="7" t="s">
        <v>25</v>
      </c>
      <c r="G516" s="7" t="s">
        <v>62</v>
      </c>
      <c r="H516" s="9" t="s">
        <v>2981</v>
      </c>
      <c r="I516" t="s">
        <v>2995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 t="str">
        <f t="shared" si="1"/>
        <v>Land area </v>
      </c>
      <c r="AE516" s="7" t="str">
        <f t="shared" si="2"/>
        <v> sq. ft.</v>
      </c>
      <c r="AF516">
        <f>IFERROR(__xludf.DUMMYFUNCTION("VALUE(REGEXREPLACE(G516,""[^[:digit:]]"", """"))"),6000.0)</f>
        <v>6000</v>
      </c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 t="s">
        <v>22</v>
      </c>
    </row>
    <row r="517">
      <c r="A517" s="7" t="s">
        <v>37</v>
      </c>
      <c r="B517" s="7" t="s">
        <v>671</v>
      </c>
      <c r="C517" s="7">
        <f>4</f>
        <v>4</v>
      </c>
      <c r="D517" s="7">
        <v>3.0</v>
      </c>
      <c r="E517" s="7">
        <v>2.0</v>
      </c>
      <c r="F517" s="7" t="s">
        <v>43</v>
      </c>
      <c r="G517" s="7" t="s">
        <v>672</v>
      </c>
      <c r="H517" s="9" t="s">
        <v>2981</v>
      </c>
      <c r="I517" t="s">
        <v>2988</v>
      </c>
      <c r="J517" s="7"/>
      <c r="K517" s="7"/>
      <c r="L517" s="7"/>
      <c r="M517" s="7"/>
      <c r="N517" s="7"/>
      <c r="O517" s="7"/>
      <c r="P517" s="7"/>
      <c r="Q517" s="7"/>
      <c r="R517" s="7"/>
      <c r="S517" s="7" t="s">
        <v>2993</v>
      </c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 t="str">
        <f t="shared" si="1"/>
        <v>Land area </v>
      </c>
      <c r="AE517" s="7" t="str">
        <f t="shared" si="2"/>
        <v> sq. ft.</v>
      </c>
      <c r="AF517">
        <f>IFERROR(__xludf.DUMMYFUNCTION("VALUE(REGEXREPLACE(G517,""[^[:digit:]]"", """"))"),4580.0)</f>
        <v>4580</v>
      </c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 t="s">
        <v>27</v>
      </c>
    </row>
    <row r="518">
      <c r="A518" s="7" t="s">
        <v>86</v>
      </c>
      <c r="B518" s="7" t="s">
        <v>361</v>
      </c>
      <c r="C518" s="7">
        <f>1</f>
        <v>1</v>
      </c>
      <c r="D518" s="7">
        <v>1.0</v>
      </c>
      <c r="E518" s="9">
        <v>2.0</v>
      </c>
      <c r="F518" s="7" t="s">
        <v>82</v>
      </c>
      <c r="G518" s="7" t="s">
        <v>673</v>
      </c>
      <c r="H518" s="9" t="s">
        <v>2979</v>
      </c>
      <c r="I518" t="s">
        <v>3278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 t="str">
        <f t="shared" si="1"/>
        <v>Built-up :</v>
      </c>
      <c r="AE518" s="7" t="str">
        <f t="shared" si="2"/>
        <v> sq. ft.</v>
      </c>
      <c r="AF518">
        <f>IFERROR(__xludf.DUMMYFUNCTION("VALUE(REGEXREPLACE(G518,""[^[:digit:]]"", """"))"),638.0)</f>
        <v>638</v>
      </c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 t="s">
        <v>22</v>
      </c>
    </row>
    <row r="519">
      <c r="A519" s="7" t="s">
        <v>32</v>
      </c>
      <c r="B519" s="7" t="s">
        <v>563</v>
      </c>
      <c r="C519" s="7">
        <f>4</f>
        <v>4</v>
      </c>
      <c r="D519" s="7">
        <v>3.0</v>
      </c>
      <c r="E519" s="7">
        <v>2.0</v>
      </c>
      <c r="F519" s="7" t="s">
        <v>54</v>
      </c>
      <c r="G519" s="7" t="s">
        <v>283</v>
      </c>
      <c r="H519" s="9" t="s">
        <v>2981</v>
      </c>
      <c r="I519" t="s">
        <v>3091</v>
      </c>
      <c r="J519" s="7"/>
      <c r="K519" s="7"/>
      <c r="L519" s="7"/>
      <c r="M519" s="7"/>
      <c r="N519" s="7"/>
      <c r="O519" s="7"/>
      <c r="P519" s="7"/>
      <c r="Q519" s="7"/>
      <c r="R519" s="7"/>
      <c r="S519" s="7" t="s">
        <v>2990</v>
      </c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 t="str">
        <f t="shared" si="1"/>
        <v>Land area </v>
      </c>
      <c r="AE519" s="7" t="str">
        <f t="shared" si="2"/>
        <v> sq. ft.</v>
      </c>
      <c r="AF519">
        <f>IFERROR(__xludf.DUMMYFUNCTION("VALUE(REGEXREPLACE(G519,""[^[:digit:]]"", """"))"),2275.0)</f>
        <v>2275</v>
      </c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 t="s">
        <v>103</v>
      </c>
    </row>
    <row r="520">
      <c r="A520" s="7" t="s">
        <v>89</v>
      </c>
      <c r="B520" s="7" t="s">
        <v>191</v>
      </c>
      <c r="C520" s="7">
        <f>5</f>
        <v>5</v>
      </c>
      <c r="D520" s="7">
        <v>4.0</v>
      </c>
      <c r="E520" s="7">
        <v>2.0</v>
      </c>
      <c r="F520" s="7" t="s">
        <v>90</v>
      </c>
      <c r="G520" s="7" t="s">
        <v>674</v>
      </c>
      <c r="H520" s="9" t="s">
        <v>2981</v>
      </c>
      <c r="I520" t="s">
        <v>3020</v>
      </c>
      <c r="J520" s="7"/>
      <c r="K520" s="7"/>
      <c r="L520" s="7"/>
      <c r="M520" s="7"/>
      <c r="N520" s="7"/>
      <c r="O520" s="7"/>
      <c r="P520" s="7"/>
      <c r="Q520" s="7"/>
      <c r="R520" s="7"/>
      <c r="S520" s="7" t="s">
        <v>2993</v>
      </c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 t="str">
        <f t="shared" si="1"/>
        <v>Land area </v>
      </c>
      <c r="AE520" s="7" t="str">
        <f t="shared" si="2"/>
        <v> sq. ft.</v>
      </c>
      <c r="AF520">
        <f>IFERROR(__xludf.DUMMYFUNCTION("VALUE(REGEXREPLACE(G520,""[^[:digit:]]"", """"))"),2080.0)</f>
        <v>2080</v>
      </c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 t="s">
        <v>27</v>
      </c>
    </row>
    <row r="521">
      <c r="A521" s="7" t="s">
        <v>164</v>
      </c>
      <c r="B521" s="7" t="s">
        <v>675</v>
      </c>
      <c r="C521" s="7">
        <f>3+1</f>
        <v>4</v>
      </c>
      <c r="D521" s="7">
        <v>4.0</v>
      </c>
      <c r="E521" s="7">
        <v>1.0</v>
      </c>
      <c r="F521" s="7" t="s">
        <v>20</v>
      </c>
      <c r="G521" s="7" t="s">
        <v>676</v>
      </c>
      <c r="H521" s="9" t="s">
        <v>2981</v>
      </c>
      <c r="I521" t="s">
        <v>3279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 t="str">
        <f t="shared" si="1"/>
        <v>Land area </v>
      </c>
      <c r="AE521" s="7" t="str">
        <f t="shared" si="2"/>
        <v> sq. ft.</v>
      </c>
      <c r="AF521">
        <f>IFERROR(__xludf.DUMMYFUNCTION("VALUE(REGEXREPLACE(G521,""[^[:digit:]]"", """"))"),1873.0)</f>
        <v>1873</v>
      </c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 t="s">
        <v>103</v>
      </c>
    </row>
    <row r="522">
      <c r="A522" s="7" t="s">
        <v>23</v>
      </c>
      <c r="B522" s="7" t="s">
        <v>403</v>
      </c>
      <c r="C522" s="7">
        <f>1+1</f>
        <v>2</v>
      </c>
      <c r="D522" s="7">
        <v>2.0</v>
      </c>
      <c r="E522" s="7">
        <v>1.0</v>
      </c>
      <c r="F522" s="7" t="s">
        <v>20</v>
      </c>
      <c r="G522" s="7" t="s">
        <v>373</v>
      </c>
      <c r="H522" s="9" t="s">
        <v>2979</v>
      </c>
      <c r="I522" t="s">
        <v>3131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 t="str">
        <f t="shared" si="1"/>
        <v>Built-up :</v>
      </c>
      <c r="AE522" s="7" t="str">
        <f t="shared" si="2"/>
        <v> sq. ft.</v>
      </c>
      <c r="AF522">
        <f>IFERROR(__xludf.DUMMYFUNCTION("VALUE(REGEXREPLACE(G522,""[^[:digit:]]"", """"))"),1152.0)</f>
        <v>1152</v>
      </c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 t="s">
        <v>27</v>
      </c>
    </row>
    <row r="523">
      <c r="A523" s="7" t="s">
        <v>148</v>
      </c>
      <c r="B523" s="7" t="s">
        <v>236</v>
      </c>
      <c r="C523" s="7">
        <f>6</f>
        <v>6</v>
      </c>
      <c r="D523" s="7">
        <v>6.0</v>
      </c>
      <c r="E523" s="7">
        <v>3.0</v>
      </c>
      <c r="F523" s="7" t="s">
        <v>64</v>
      </c>
      <c r="G523" s="7" t="s">
        <v>478</v>
      </c>
      <c r="H523" s="9" t="s">
        <v>2981</v>
      </c>
      <c r="I523" t="s">
        <v>3183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 t="str">
        <f t="shared" si="1"/>
        <v>Land area </v>
      </c>
      <c r="AE523" s="7" t="str">
        <f t="shared" si="2"/>
        <v> sq. ft.</v>
      </c>
      <c r="AF523">
        <f>IFERROR(__xludf.DUMMYFUNCTION("VALUE(REGEXREPLACE(G523,""[^[:digit:]]"", """"))"),3200.0)</f>
        <v>3200</v>
      </c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 t="s">
        <v>27</v>
      </c>
    </row>
    <row r="524">
      <c r="A524" s="7" t="s">
        <v>32</v>
      </c>
      <c r="B524" s="7" t="s">
        <v>677</v>
      </c>
      <c r="C524" s="7">
        <f>1</f>
        <v>1</v>
      </c>
      <c r="D524" s="7">
        <v>1.0</v>
      </c>
      <c r="E524" s="7">
        <v>1.0</v>
      </c>
      <c r="F524" s="7" t="s">
        <v>82</v>
      </c>
      <c r="G524" s="7" t="s">
        <v>678</v>
      </c>
      <c r="H524" s="9" t="s">
        <v>2979</v>
      </c>
      <c r="I524" t="s">
        <v>3280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 t="str">
        <f t="shared" si="1"/>
        <v>Built-up :</v>
      </c>
      <c r="AE524" s="7" t="str">
        <f t="shared" si="2"/>
        <v> sq. ft.</v>
      </c>
      <c r="AF524">
        <f>IFERROR(__xludf.DUMMYFUNCTION("VALUE(REGEXREPLACE(G524,""[^[:digit:]]"", """"))"),762.0)</f>
        <v>762</v>
      </c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 t="s">
        <v>27</v>
      </c>
    </row>
    <row r="525">
      <c r="A525" s="7" t="s">
        <v>17</v>
      </c>
      <c r="B525" s="7" t="s">
        <v>679</v>
      </c>
      <c r="C525" s="7">
        <f>3+1</f>
        <v>4</v>
      </c>
      <c r="D525" s="7">
        <v>4.0</v>
      </c>
      <c r="E525" s="9">
        <v>2.0</v>
      </c>
      <c r="F525" s="7" t="s">
        <v>83</v>
      </c>
      <c r="G525" s="7" t="s">
        <v>680</v>
      </c>
      <c r="H525" s="9" t="s">
        <v>2979</v>
      </c>
      <c r="I525" t="s">
        <v>3281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 t="str">
        <f t="shared" si="1"/>
        <v>Built-up :</v>
      </c>
      <c r="AE525" s="7" t="str">
        <f t="shared" si="2"/>
        <v> sq. ft.</v>
      </c>
      <c r="AF525">
        <f>IFERROR(__xludf.DUMMYFUNCTION("VALUE(REGEXREPLACE(G525,""[^[:digit:]]"", """"))"),2013.0)</f>
        <v>2013</v>
      </c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>
      <c r="A526" s="7" t="s">
        <v>89</v>
      </c>
      <c r="C526" s="7">
        <f t="shared" ref="C526:C528" si="47">4+1</f>
        <v>5</v>
      </c>
      <c r="D526" s="7">
        <v>6.0</v>
      </c>
      <c r="E526" s="7">
        <v>4.0</v>
      </c>
      <c r="F526" s="7" t="s">
        <v>90</v>
      </c>
      <c r="G526" s="7" t="s">
        <v>344</v>
      </c>
      <c r="H526" s="9" t="s">
        <v>2981</v>
      </c>
      <c r="I526" t="s">
        <v>3118</v>
      </c>
      <c r="J526" s="7"/>
      <c r="K526" s="7"/>
      <c r="L526" s="7"/>
      <c r="M526" s="7"/>
      <c r="N526" s="7"/>
      <c r="O526" s="7"/>
      <c r="P526" s="7"/>
      <c r="Q526" s="7"/>
      <c r="R526" s="7"/>
      <c r="S526" s="7" t="s">
        <v>2993</v>
      </c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 t="str">
        <f t="shared" si="1"/>
        <v>Land area </v>
      </c>
      <c r="AE526" s="7" t="str">
        <f t="shared" si="2"/>
        <v> sq. ft.</v>
      </c>
      <c r="AF526">
        <f>IFERROR(__xludf.DUMMYFUNCTION("VALUE(REGEXREPLACE(G526,""[^[:digit:]]"", """"))"),2480.0)</f>
        <v>2480</v>
      </c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 t="s">
        <v>27</v>
      </c>
    </row>
    <row r="527">
      <c r="A527" s="7" t="s">
        <v>89</v>
      </c>
      <c r="B527" s="7" t="s">
        <v>327</v>
      </c>
      <c r="C527" s="7">
        <f t="shared" si="47"/>
        <v>5</v>
      </c>
      <c r="D527" s="7">
        <v>6.0</v>
      </c>
      <c r="E527" s="7">
        <v>4.0</v>
      </c>
      <c r="F527" s="7" t="s">
        <v>90</v>
      </c>
      <c r="G527" s="7" t="s">
        <v>344</v>
      </c>
      <c r="H527" s="9" t="s">
        <v>2981</v>
      </c>
      <c r="I527" t="s">
        <v>3118</v>
      </c>
      <c r="J527" s="7"/>
      <c r="K527" s="7"/>
      <c r="L527" s="7"/>
      <c r="M527" s="7"/>
      <c r="N527" s="7"/>
      <c r="O527" s="7"/>
      <c r="P527" s="7"/>
      <c r="Q527" s="7"/>
      <c r="R527" s="7"/>
      <c r="S527" s="7" t="s">
        <v>2993</v>
      </c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 t="str">
        <f t="shared" si="1"/>
        <v>Land area </v>
      </c>
      <c r="AE527" s="7" t="str">
        <f t="shared" si="2"/>
        <v> sq. ft.</v>
      </c>
      <c r="AF527">
        <f>IFERROR(__xludf.DUMMYFUNCTION("VALUE(REGEXREPLACE(G527,""[^[:digit:]]"", """"))"),2480.0)</f>
        <v>2480</v>
      </c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 t="s">
        <v>27</v>
      </c>
    </row>
    <row r="528">
      <c r="A528" s="7" t="s">
        <v>89</v>
      </c>
      <c r="B528" s="7" t="s">
        <v>29</v>
      </c>
      <c r="C528" s="7">
        <f t="shared" si="47"/>
        <v>5</v>
      </c>
      <c r="D528" s="7">
        <v>4.0</v>
      </c>
      <c r="E528" s="9">
        <v>2.0</v>
      </c>
      <c r="F528" s="7" t="s">
        <v>681</v>
      </c>
      <c r="G528" s="7" t="s">
        <v>91</v>
      </c>
      <c r="H528" s="9" t="s">
        <v>2981</v>
      </c>
      <c r="I528" t="s">
        <v>3003</v>
      </c>
      <c r="J528" s="7"/>
      <c r="K528" s="7"/>
      <c r="L528" s="7"/>
      <c r="M528" s="7"/>
      <c r="N528" s="7"/>
      <c r="O528" s="7"/>
      <c r="P528" s="7"/>
      <c r="Q528" s="7"/>
      <c r="R528" s="7"/>
      <c r="S528" s="7" t="s">
        <v>2990</v>
      </c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 t="str">
        <f t="shared" si="1"/>
        <v>Land area </v>
      </c>
      <c r="AE528" s="7" t="str">
        <f t="shared" si="2"/>
        <v> sq. ft.</v>
      </c>
      <c r="AF528">
        <f>IFERROR(__xludf.DUMMYFUNCTION("VALUE(REGEXREPLACE(G528,""[^[:digit:]]"", """"))"),2075.0)</f>
        <v>2075</v>
      </c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 t="s">
        <v>27</v>
      </c>
    </row>
    <row r="529">
      <c r="A529" s="7" t="s">
        <v>17</v>
      </c>
      <c r="B529" s="7" t="s">
        <v>329</v>
      </c>
      <c r="C529" s="7">
        <f>3</f>
        <v>3</v>
      </c>
      <c r="D529" s="7">
        <v>3.0</v>
      </c>
      <c r="E529" s="7">
        <v>2.0</v>
      </c>
      <c r="F529" s="7" t="s">
        <v>20</v>
      </c>
      <c r="G529" s="7" t="s">
        <v>21</v>
      </c>
      <c r="H529" s="9" t="s">
        <v>2979</v>
      </c>
      <c r="I529" t="s">
        <v>2980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 t="str">
        <f t="shared" si="1"/>
        <v>Built-up :</v>
      </c>
      <c r="AE529" s="7" t="str">
        <f t="shared" si="2"/>
        <v> sq. ft.</v>
      </c>
      <c r="AF529">
        <f>IFERROR(__xludf.DUMMYFUNCTION("VALUE(REGEXREPLACE(G529,""[^[:digit:]]"", """"))"),1335.0)</f>
        <v>1335</v>
      </c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 t="s">
        <v>22</v>
      </c>
    </row>
    <row r="530">
      <c r="A530" s="7" t="s">
        <v>164</v>
      </c>
      <c r="B530" s="7" t="s">
        <v>655</v>
      </c>
      <c r="C530" s="7">
        <f>3+1</f>
        <v>4</v>
      </c>
      <c r="D530" s="7">
        <v>5.0</v>
      </c>
      <c r="E530" s="7">
        <v>2.0</v>
      </c>
      <c r="F530" s="7" t="s">
        <v>121</v>
      </c>
      <c r="G530" s="7" t="s">
        <v>74</v>
      </c>
      <c r="H530" s="9" t="s">
        <v>2979</v>
      </c>
      <c r="I530" t="s">
        <v>2998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 t="str">
        <f t="shared" si="1"/>
        <v>Built-up :</v>
      </c>
      <c r="AE530" s="7" t="str">
        <f t="shared" si="2"/>
        <v> sq. ft.</v>
      </c>
      <c r="AF530">
        <f>IFERROR(__xludf.DUMMYFUNCTION("VALUE(REGEXREPLACE(G530,""[^[:digit:]]"", """"))"),1830.0)</f>
        <v>1830</v>
      </c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 t="s">
        <v>27</v>
      </c>
    </row>
    <row r="531">
      <c r="A531" s="7" t="s">
        <v>428</v>
      </c>
      <c r="B531" s="7" t="s">
        <v>682</v>
      </c>
      <c r="C531" s="7">
        <f>5+1</f>
        <v>6</v>
      </c>
      <c r="D531" s="7">
        <v>6.0</v>
      </c>
      <c r="E531" s="7">
        <v>2.0</v>
      </c>
      <c r="F531" s="7" t="s">
        <v>61</v>
      </c>
      <c r="G531" s="7" t="s">
        <v>683</v>
      </c>
      <c r="H531" s="9" t="s">
        <v>2981</v>
      </c>
      <c r="I531" t="s">
        <v>3282</v>
      </c>
      <c r="J531" s="7"/>
      <c r="K531" s="7"/>
      <c r="L531" s="7"/>
      <c r="M531" s="7"/>
      <c r="N531" s="7"/>
      <c r="O531" s="7"/>
      <c r="P531" s="7"/>
      <c r="Q531" s="7"/>
      <c r="R531" s="7"/>
      <c r="S531" s="7" t="s">
        <v>2993</v>
      </c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 t="str">
        <f t="shared" si="1"/>
        <v>Land area </v>
      </c>
      <c r="AE531" s="7" t="str">
        <f t="shared" si="2"/>
        <v> sq. ft.</v>
      </c>
      <c r="AF531">
        <f>IFERROR(__xludf.DUMMYFUNCTION("VALUE(REGEXREPLACE(G531,""[^[:digit:]]"", """"))"),5880.0)</f>
        <v>5880</v>
      </c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 t="s">
        <v>27</v>
      </c>
    </row>
    <row r="532">
      <c r="A532" s="7" t="s">
        <v>428</v>
      </c>
      <c r="B532" s="7" t="s">
        <v>260</v>
      </c>
      <c r="C532" s="7">
        <f>3+1</f>
        <v>4</v>
      </c>
      <c r="D532" s="7">
        <v>4.0</v>
      </c>
      <c r="E532" s="7">
        <v>2.0</v>
      </c>
      <c r="F532" s="7" t="s">
        <v>93</v>
      </c>
      <c r="G532" s="7" t="s">
        <v>97</v>
      </c>
      <c r="H532" s="9" t="s">
        <v>2979</v>
      </c>
      <c r="I532" t="s">
        <v>3005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 t="str">
        <f t="shared" si="1"/>
        <v>Built-up :</v>
      </c>
      <c r="AE532" s="7" t="str">
        <f t="shared" si="2"/>
        <v> sq. ft.</v>
      </c>
      <c r="AF532">
        <f>IFERROR(__xludf.DUMMYFUNCTION("VALUE(REGEXREPLACE(G532,""[^[:digit:]]"", """"))"),1876.0)</f>
        <v>1876</v>
      </c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 t="s">
        <v>22</v>
      </c>
    </row>
    <row r="533">
      <c r="A533" s="7" t="s">
        <v>89</v>
      </c>
      <c r="B533" s="7" t="s">
        <v>684</v>
      </c>
      <c r="C533" s="7">
        <f>5</f>
        <v>5</v>
      </c>
      <c r="D533" s="7">
        <v>6.0</v>
      </c>
      <c r="E533" s="7">
        <v>4.0</v>
      </c>
      <c r="F533" s="7" t="s">
        <v>90</v>
      </c>
      <c r="G533" s="7" t="s">
        <v>522</v>
      </c>
      <c r="H533" s="9" t="s">
        <v>2979</v>
      </c>
      <c r="I533" t="s">
        <v>3207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 t="str">
        <f t="shared" si="1"/>
        <v>Built-up :</v>
      </c>
      <c r="AE533" s="7" t="str">
        <f t="shared" si="2"/>
        <v> sq. ft.</v>
      </c>
      <c r="AF533">
        <f>IFERROR(__xludf.DUMMYFUNCTION("VALUE(REGEXREPLACE(G533,""[^[:digit:]]"", """"))"),3216.0)</f>
        <v>3216</v>
      </c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 t="s">
        <v>103</v>
      </c>
    </row>
    <row r="534">
      <c r="A534" s="7" t="s">
        <v>171</v>
      </c>
      <c r="B534" s="7" t="s">
        <v>606</v>
      </c>
      <c r="C534" s="7">
        <f>3+1</f>
        <v>4</v>
      </c>
      <c r="D534" s="7">
        <v>2.0</v>
      </c>
      <c r="E534" s="7">
        <v>2.0</v>
      </c>
      <c r="F534" s="7" t="s">
        <v>20</v>
      </c>
      <c r="G534" s="7" t="s">
        <v>607</v>
      </c>
      <c r="H534" s="9" t="s">
        <v>2979</v>
      </c>
      <c r="I534" t="s">
        <v>3245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 t="str">
        <f t="shared" si="1"/>
        <v>Built-up :</v>
      </c>
      <c r="AE534" s="7" t="str">
        <f t="shared" si="2"/>
        <v> sq. ft.</v>
      </c>
      <c r="AF534">
        <f>IFERROR(__xludf.DUMMYFUNCTION("VALUE(REGEXREPLACE(G534,""[^[:digit:]]"", """"))"),918.0)</f>
        <v>918</v>
      </c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 t="s">
        <v>27</v>
      </c>
    </row>
    <row r="535">
      <c r="A535" s="7" t="s">
        <v>72</v>
      </c>
      <c r="B535" s="7" t="s">
        <v>552</v>
      </c>
      <c r="C535" s="7">
        <f>1</f>
        <v>1</v>
      </c>
      <c r="D535" s="7">
        <v>1.0</v>
      </c>
      <c r="E535" s="7">
        <v>1.0</v>
      </c>
      <c r="F535" s="7" t="s">
        <v>82</v>
      </c>
      <c r="G535" s="7" t="s">
        <v>685</v>
      </c>
      <c r="H535" s="9" t="s">
        <v>2979</v>
      </c>
      <c r="I535" t="s">
        <v>3283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 t="str">
        <f t="shared" si="1"/>
        <v>Built-up :</v>
      </c>
      <c r="AE535" s="7" t="str">
        <f t="shared" si="2"/>
        <v> sq. ft.</v>
      </c>
      <c r="AF535">
        <f>IFERROR(__xludf.DUMMYFUNCTION("VALUE(REGEXREPLACE(G535,""[^[:digit:]]"", """"))"),462.0)</f>
        <v>462</v>
      </c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 t="s">
        <v>22</v>
      </c>
    </row>
    <row r="536">
      <c r="A536" s="7" t="s">
        <v>72</v>
      </c>
      <c r="B536" s="7" t="s">
        <v>605</v>
      </c>
      <c r="C536" s="7">
        <f>3+1</f>
        <v>4</v>
      </c>
      <c r="D536" s="7">
        <v>3.0</v>
      </c>
      <c r="E536" s="7">
        <v>2.0</v>
      </c>
      <c r="F536" s="7" t="s">
        <v>83</v>
      </c>
      <c r="G536" s="7" t="s">
        <v>686</v>
      </c>
      <c r="H536" s="9" t="s">
        <v>2979</v>
      </c>
      <c r="I536" t="s">
        <v>3284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 t="str">
        <f t="shared" si="1"/>
        <v>Built-up :</v>
      </c>
      <c r="AE536" s="7" t="str">
        <f t="shared" si="2"/>
        <v> sq. ft.</v>
      </c>
      <c r="AF536">
        <f>IFERROR(__xludf.DUMMYFUNCTION("VALUE(REGEXREPLACE(G536,""[^[:digit:]]"", """"))"),2201.0)</f>
        <v>2201</v>
      </c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 t="s">
        <v>27</v>
      </c>
    </row>
    <row r="537">
      <c r="A537" s="7" t="s">
        <v>17</v>
      </c>
      <c r="B537" s="7" t="s">
        <v>34</v>
      </c>
      <c r="C537" s="7">
        <f>2+1</f>
        <v>3</v>
      </c>
      <c r="D537" s="7">
        <v>2.0</v>
      </c>
      <c r="E537" s="9">
        <v>2.0</v>
      </c>
      <c r="F537" s="7" t="s">
        <v>20</v>
      </c>
      <c r="G537" s="7" t="s">
        <v>687</v>
      </c>
      <c r="H537" s="9" t="s">
        <v>2979</v>
      </c>
      <c r="I537" t="s">
        <v>3285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 t="str">
        <f t="shared" si="1"/>
        <v>Built-up :</v>
      </c>
      <c r="AE537" s="7" t="str">
        <f t="shared" si="2"/>
        <v> sq. ft.</v>
      </c>
      <c r="AF537">
        <f>IFERROR(__xludf.DUMMYFUNCTION("VALUE(REGEXREPLACE(G537,""[^[:digit:]]"", """"))"),811.0)</f>
        <v>811</v>
      </c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 t="s">
        <v>22</v>
      </c>
    </row>
    <row r="538">
      <c r="A538" s="7" t="s">
        <v>72</v>
      </c>
      <c r="B538" s="7" t="s">
        <v>45</v>
      </c>
      <c r="C538" s="7">
        <f>4+1</f>
        <v>5</v>
      </c>
      <c r="E538" s="7">
        <v>3.0</v>
      </c>
      <c r="F538" s="7" t="s">
        <v>83</v>
      </c>
      <c r="G538" s="7" t="s">
        <v>450</v>
      </c>
      <c r="H538" s="9" t="s">
        <v>2979</v>
      </c>
      <c r="I538" t="s">
        <v>3167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 t="str">
        <f t="shared" si="1"/>
        <v>Built-up :</v>
      </c>
      <c r="AE538" s="7" t="str">
        <f t="shared" si="2"/>
        <v> sq. ft.</v>
      </c>
      <c r="AF538">
        <f>IFERROR(__xludf.DUMMYFUNCTION("VALUE(REGEXREPLACE(G538,""[^[:digit:]]"", """"))"),1832.0)</f>
        <v>1832</v>
      </c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 t="s">
        <v>27</v>
      </c>
    </row>
    <row r="539">
      <c r="A539" s="7" t="s">
        <v>72</v>
      </c>
      <c r="B539" s="7" t="s">
        <v>56</v>
      </c>
      <c r="C539" s="7">
        <f>3+1</f>
        <v>4</v>
      </c>
      <c r="D539" s="7">
        <v>4.0</v>
      </c>
      <c r="E539" s="7">
        <v>2.0</v>
      </c>
      <c r="F539" s="7" t="s">
        <v>83</v>
      </c>
      <c r="G539" s="7" t="s">
        <v>334</v>
      </c>
      <c r="H539" s="9" t="s">
        <v>2979</v>
      </c>
      <c r="I539" t="s">
        <v>3112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 t="str">
        <f t="shared" si="1"/>
        <v>Built-up :</v>
      </c>
      <c r="AE539" s="7" t="str">
        <f t="shared" si="2"/>
        <v> sq. ft.</v>
      </c>
      <c r="AF539">
        <f>IFERROR(__xludf.DUMMYFUNCTION("VALUE(REGEXREPLACE(G539,""[^[:digit:]]"", """"))"),1496.0)</f>
        <v>1496</v>
      </c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 t="s">
        <v>22</v>
      </c>
    </row>
    <row r="540">
      <c r="A540" s="7" t="s">
        <v>17</v>
      </c>
      <c r="B540" s="7" t="s">
        <v>191</v>
      </c>
      <c r="C540" s="7">
        <f t="shared" ref="C540:C541" si="48">1</f>
        <v>1</v>
      </c>
      <c r="D540" s="7">
        <v>1.0</v>
      </c>
      <c r="E540" s="7">
        <v>1.0</v>
      </c>
      <c r="F540" s="7" t="s">
        <v>83</v>
      </c>
      <c r="H540" s="9" t="s">
        <v>2984</v>
      </c>
      <c r="I540" t="s">
        <v>2985</v>
      </c>
      <c r="AD540" s="7" t="str">
        <f t="shared" si="1"/>
        <v/>
      </c>
      <c r="AE540" s="7" t="str">
        <f t="shared" si="2"/>
        <v/>
      </c>
      <c r="AF540">
        <f>IFERROR(__xludf.DUMMYFUNCTION("VALUE(REGEXREPLACE(G540,""[^[:digit:]]"", """"))"),0.0)</f>
        <v>0</v>
      </c>
      <c r="AS540" s="7" t="s">
        <v>22</v>
      </c>
    </row>
    <row r="541">
      <c r="A541" s="7" t="s">
        <v>171</v>
      </c>
      <c r="B541" s="7" t="s">
        <v>639</v>
      </c>
      <c r="C541" s="7">
        <f t="shared" si="48"/>
        <v>1</v>
      </c>
      <c r="D541" s="7">
        <v>1.0</v>
      </c>
      <c r="E541" s="9">
        <v>2.0</v>
      </c>
      <c r="F541" s="7" t="s">
        <v>385</v>
      </c>
      <c r="G541" s="7" t="s">
        <v>688</v>
      </c>
      <c r="H541" s="9" t="s">
        <v>2979</v>
      </c>
      <c r="I541" t="s">
        <v>3286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 t="str">
        <f t="shared" si="1"/>
        <v>Built-up :</v>
      </c>
      <c r="AE541" s="7" t="str">
        <f t="shared" si="2"/>
        <v> sq. ft.</v>
      </c>
      <c r="AF541">
        <f>IFERROR(__xludf.DUMMYFUNCTION("VALUE(REGEXREPLACE(G541,""[^[:digit:]]"", """"))"),618.0)</f>
        <v>618</v>
      </c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 t="s">
        <v>27</v>
      </c>
    </row>
    <row r="542">
      <c r="A542" s="7" t="s">
        <v>72</v>
      </c>
      <c r="B542" s="7" t="s">
        <v>45</v>
      </c>
      <c r="C542" s="7">
        <f>4+1</f>
        <v>5</v>
      </c>
      <c r="D542" s="7">
        <v>4.0</v>
      </c>
      <c r="E542" s="7">
        <v>2.0</v>
      </c>
      <c r="F542" s="7" t="s">
        <v>83</v>
      </c>
      <c r="G542" s="7" t="s">
        <v>74</v>
      </c>
      <c r="H542" s="9" t="s">
        <v>2979</v>
      </c>
      <c r="I542" t="s">
        <v>2998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 t="str">
        <f t="shared" si="1"/>
        <v>Built-up :</v>
      </c>
      <c r="AE542" s="7" t="str">
        <f t="shared" si="2"/>
        <v> sq. ft.</v>
      </c>
      <c r="AF542">
        <f>IFERROR(__xludf.DUMMYFUNCTION("VALUE(REGEXREPLACE(G542,""[^[:digit:]]"", """"))"),1830.0)</f>
        <v>1830</v>
      </c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 t="s">
        <v>27</v>
      </c>
    </row>
    <row r="543">
      <c r="A543" s="7" t="s">
        <v>17</v>
      </c>
      <c r="B543" s="7" t="s">
        <v>125</v>
      </c>
      <c r="C543" s="7">
        <f>1</f>
        <v>1</v>
      </c>
      <c r="D543" s="7">
        <v>1.0</v>
      </c>
      <c r="E543" s="7">
        <v>2.0</v>
      </c>
      <c r="F543" s="7" t="s">
        <v>121</v>
      </c>
      <c r="G543" s="7" t="s">
        <v>126</v>
      </c>
      <c r="H543" s="9" t="s">
        <v>2979</v>
      </c>
      <c r="I543" t="s">
        <v>3018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 t="str">
        <f t="shared" si="1"/>
        <v>Built-up :</v>
      </c>
      <c r="AE543" s="7" t="str">
        <f t="shared" si="2"/>
        <v> sq. ft.</v>
      </c>
      <c r="AF543">
        <f>IFERROR(__xludf.DUMMYFUNCTION("VALUE(REGEXREPLACE(G543,""[^[:digit:]]"", """"))"),1023.0)</f>
        <v>1023</v>
      </c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 t="s">
        <v>27</v>
      </c>
    </row>
    <row r="544">
      <c r="A544" s="7" t="s">
        <v>17</v>
      </c>
      <c r="B544" s="7" t="s">
        <v>18</v>
      </c>
      <c r="C544" s="7">
        <f>2+1</f>
        <v>3</v>
      </c>
      <c r="D544" s="7">
        <v>3.0</v>
      </c>
      <c r="E544" s="7">
        <v>2.0</v>
      </c>
      <c r="F544" s="7" t="s">
        <v>121</v>
      </c>
      <c r="G544" s="7" t="s">
        <v>21</v>
      </c>
      <c r="H544" s="9" t="s">
        <v>2979</v>
      </c>
      <c r="I544" t="s">
        <v>2980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 t="str">
        <f t="shared" si="1"/>
        <v>Built-up :</v>
      </c>
      <c r="AE544" s="7" t="str">
        <f t="shared" si="2"/>
        <v> sq. ft.</v>
      </c>
      <c r="AF544">
        <f>IFERROR(__xludf.DUMMYFUNCTION("VALUE(REGEXREPLACE(G544,""[^[:digit:]]"", """"))"),1335.0)</f>
        <v>1335</v>
      </c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 t="s">
        <v>22</v>
      </c>
    </row>
    <row r="545">
      <c r="A545" s="7" t="s">
        <v>17</v>
      </c>
      <c r="B545" s="7" t="s">
        <v>689</v>
      </c>
      <c r="C545" s="7">
        <f>2</f>
        <v>2</v>
      </c>
      <c r="D545" s="7">
        <v>2.0</v>
      </c>
      <c r="E545" s="7">
        <v>1.0</v>
      </c>
      <c r="F545" s="7" t="s">
        <v>82</v>
      </c>
      <c r="G545" s="7" t="s">
        <v>690</v>
      </c>
      <c r="H545" s="9" t="s">
        <v>2979</v>
      </c>
      <c r="I545" t="s">
        <v>3287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 t="str">
        <f t="shared" si="1"/>
        <v>Built-up :</v>
      </c>
      <c r="AE545" s="7" t="str">
        <f t="shared" si="2"/>
        <v> sq. ft.</v>
      </c>
      <c r="AF545">
        <f>IFERROR(__xludf.DUMMYFUNCTION("VALUE(REGEXREPLACE(G545,""[^[:digit:]]"", """"))"),1423.0)</f>
        <v>1423</v>
      </c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 t="s">
        <v>22</v>
      </c>
    </row>
    <row r="546">
      <c r="A546" s="7" t="s">
        <v>100</v>
      </c>
      <c r="B546" s="7" t="s">
        <v>691</v>
      </c>
      <c r="C546" s="7">
        <f>3</f>
        <v>3</v>
      </c>
      <c r="D546" s="7">
        <v>2.0</v>
      </c>
      <c r="E546" s="7">
        <v>2.0</v>
      </c>
      <c r="F546" s="7" t="s">
        <v>82</v>
      </c>
      <c r="G546" s="7" t="s">
        <v>491</v>
      </c>
      <c r="H546" s="9" t="s">
        <v>2979</v>
      </c>
      <c r="I546" t="s">
        <v>3190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 t="str">
        <f t="shared" si="1"/>
        <v>Built-up :</v>
      </c>
      <c r="AE546" s="7" t="str">
        <f t="shared" si="2"/>
        <v> sq. ft.</v>
      </c>
      <c r="AF546">
        <f>IFERROR(__xludf.DUMMYFUNCTION("VALUE(REGEXREPLACE(G546,""[^[:digit:]]"", """"))"),950.0)</f>
        <v>950</v>
      </c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 t="s">
        <v>27</v>
      </c>
    </row>
    <row r="547">
      <c r="A547" s="7" t="s">
        <v>692</v>
      </c>
      <c r="B547" s="7" t="s">
        <v>403</v>
      </c>
      <c r="C547" s="7">
        <f>5+1</f>
        <v>6</v>
      </c>
      <c r="D547" s="7">
        <v>5.0</v>
      </c>
      <c r="E547" s="9">
        <v>2.0</v>
      </c>
      <c r="F547" s="7" t="s">
        <v>203</v>
      </c>
      <c r="G547" s="7" t="s">
        <v>283</v>
      </c>
      <c r="H547" s="9" t="s">
        <v>2981</v>
      </c>
      <c r="I547" t="s">
        <v>3091</v>
      </c>
      <c r="J547" s="7"/>
      <c r="K547" s="7"/>
      <c r="L547" s="7"/>
      <c r="M547" s="7"/>
      <c r="N547" s="7"/>
      <c r="O547" s="7"/>
      <c r="P547" s="7"/>
      <c r="Q547" s="7"/>
      <c r="R547" s="7"/>
      <c r="S547" s="7" t="s">
        <v>2990</v>
      </c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 t="str">
        <f t="shared" si="1"/>
        <v>Land area </v>
      </c>
      <c r="AE547" s="7" t="str">
        <f t="shared" si="2"/>
        <v> sq. ft.</v>
      </c>
      <c r="AF547">
        <f>IFERROR(__xludf.DUMMYFUNCTION("VALUE(REGEXREPLACE(G547,""[^[:digit:]]"", """"))"),2275.0)</f>
        <v>2275</v>
      </c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 t="s">
        <v>27</v>
      </c>
    </row>
    <row r="548">
      <c r="A548" s="7" t="s">
        <v>17</v>
      </c>
      <c r="B548" s="7" t="s">
        <v>191</v>
      </c>
      <c r="C548" s="7">
        <f>1</f>
        <v>1</v>
      </c>
      <c r="D548" s="7">
        <v>1.0</v>
      </c>
      <c r="E548" s="7">
        <v>1.0</v>
      </c>
      <c r="F548" s="7" t="s">
        <v>96</v>
      </c>
      <c r="G548" s="7" t="s">
        <v>393</v>
      </c>
      <c r="H548" s="9" t="s">
        <v>2979</v>
      </c>
      <c r="I548" t="s">
        <v>3142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 t="str">
        <f t="shared" si="1"/>
        <v>Built-up :</v>
      </c>
      <c r="AE548" s="7" t="str">
        <f t="shared" si="2"/>
        <v> sq. ft.</v>
      </c>
      <c r="AF548">
        <f>IFERROR(__xludf.DUMMYFUNCTION("VALUE(REGEXREPLACE(G548,""[^[:digit:]]"", """"))"),751.0)</f>
        <v>751</v>
      </c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 t="s">
        <v>22</v>
      </c>
    </row>
    <row r="549">
      <c r="A549" s="7" t="s">
        <v>177</v>
      </c>
      <c r="B549" s="7" t="s">
        <v>693</v>
      </c>
      <c r="C549" s="7">
        <f>4+1</f>
        <v>5</v>
      </c>
      <c r="D549" s="7">
        <v>6.0</v>
      </c>
      <c r="E549" s="7">
        <v>3.0</v>
      </c>
      <c r="F549" s="7" t="s">
        <v>30</v>
      </c>
      <c r="G549" s="7" t="s">
        <v>550</v>
      </c>
      <c r="H549" s="9" t="s">
        <v>2979</v>
      </c>
      <c r="I549" t="s">
        <v>3220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 t="str">
        <f t="shared" si="1"/>
        <v>Built-up :</v>
      </c>
      <c r="AE549" s="7" t="str">
        <f t="shared" si="2"/>
        <v> sq. ft.</v>
      </c>
      <c r="AF549">
        <f>IFERROR(__xludf.DUMMYFUNCTION("VALUE(REGEXREPLACE(G549,""[^[:digit:]]"", """"))"),4771.0)</f>
        <v>4771</v>
      </c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>
      <c r="A550" s="7" t="s">
        <v>177</v>
      </c>
      <c r="B550" s="7" t="s">
        <v>694</v>
      </c>
      <c r="C550" s="7">
        <f>3+1</f>
        <v>4</v>
      </c>
      <c r="D550" s="7">
        <v>5.0</v>
      </c>
      <c r="E550" s="7">
        <v>3.0</v>
      </c>
      <c r="F550" s="7" t="s">
        <v>30</v>
      </c>
      <c r="G550" s="7" t="s">
        <v>572</v>
      </c>
      <c r="H550" s="9" t="s">
        <v>2979</v>
      </c>
      <c r="I550" t="s">
        <v>3231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 t="str">
        <f t="shared" si="1"/>
        <v>Built-up :</v>
      </c>
      <c r="AE550" s="7" t="str">
        <f t="shared" si="2"/>
        <v> sq. ft.</v>
      </c>
      <c r="AF550">
        <f>IFERROR(__xludf.DUMMYFUNCTION("VALUE(REGEXREPLACE(G550,""[^[:digit:]]"", """"))"),4025.0)</f>
        <v>4025</v>
      </c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 t="s">
        <v>251</v>
      </c>
    </row>
    <row r="551">
      <c r="A551" s="7" t="s">
        <v>177</v>
      </c>
      <c r="B551" s="7" t="s">
        <v>695</v>
      </c>
      <c r="C551" s="7">
        <f t="shared" ref="C551:C552" si="49">4+1</f>
        <v>5</v>
      </c>
      <c r="D551" s="7">
        <v>5.0</v>
      </c>
      <c r="E551" s="7">
        <v>5.0</v>
      </c>
      <c r="F551" s="7" t="s">
        <v>83</v>
      </c>
      <c r="G551" s="7" t="s">
        <v>586</v>
      </c>
      <c r="H551" s="9" t="s">
        <v>2979</v>
      </c>
      <c r="I551" t="s">
        <v>3236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 t="str">
        <f t="shared" si="1"/>
        <v>Built-up :</v>
      </c>
      <c r="AE551" s="7" t="str">
        <f t="shared" si="2"/>
        <v> sq. ft.</v>
      </c>
      <c r="AF551">
        <f>IFERROR(__xludf.DUMMYFUNCTION("VALUE(REGEXREPLACE(G551,""[^[:digit:]]"", """"))"),5137.0)</f>
        <v>5137</v>
      </c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 t="s">
        <v>27</v>
      </c>
    </row>
    <row r="552">
      <c r="A552" s="7" t="s">
        <v>177</v>
      </c>
      <c r="B552" s="7" t="s">
        <v>694</v>
      </c>
      <c r="C552" s="7">
        <f t="shared" si="49"/>
        <v>5</v>
      </c>
      <c r="D552" s="7">
        <v>6.0</v>
      </c>
      <c r="E552" s="9">
        <v>2.0</v>
      </c>
      <c r="F552" s="7" t="s">
        <v>83</v>
      </c>
      <c r="G552" s="7" t="s">
        <v>574</v>
      </c>
      <c r="H552" s="9" t="s">
        <v>2979</v>
      </c>
      <c r="I552" t="s">
        <v>3232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 t="str">
        <f t="shared" si="1"/>
        <v>Built-up :</v>
      </c>
      <c r="AE552" s="7" t="str">
        <f t="shared" si="2"/>
        <v> sq. ft.</v>
      </c>
      <c r="AF552">
        <f>IFERROR(__xludf.DUMMYFUNCTION("VALUE(REGEXREPLACE(G552,""[^[:digit:]]"", """"))"),4945.0)</f>
        <v>4945</v>
      </c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 t="s">
        <v>27</v>
      </c>
    </row>
    <row r="553">
      <c r="A553" s="7" t="s">
        <v>23</v>
      </c>
      <c r="B553" s="7" t="s">
        <v>590</v>
      </c>
      <c r="C553" s="7">
        <f>6+1</f>
        <v>7</v>
      </c>
      <c r="D553" s="7">
        <v>9.0</v>
      </c>
      <c r="E553" s="7">
        <v>10.0</v>
      </c>
      <c r="F553" s="7" t="s">
        <v>61</v>
      </c>
      <c r="G553" s="7" t="s">
        <v>696</v>
      </c>
      <c r="H553" s="9" t="s">
        <v>2981</v>
      </c>
      <c r="I553" t="s">
        <v>3288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 t="str">
        <f t="shared" si="1"/>
        <v>Land area </v>
      </c>
      <c r="AE553" s="7" t="str">
        <f t="shared" si="2"/>
        <v> sq. ft.</v>
      </c>
      <c r="AF553">
        <f>IFERROR(__xludf.DUMMYFUNCTION("VALUE(REGEXREPLACE(G553,""[^[:digit:]]"", """"))"),8000.0)</f>
        <v>8000</v>
      </c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 t="s">
        <v>22</v>
      </c>
    </row>
    <row r="554">
      <c r="A554" s="7" t="s">
        <v>23</v>
      </c>
      <c r="B554" s="7" t="s">
        <v>69</v>
      </c>
      <c r="C554" s="7">
        <f>5+1</f>
        <v>6</v>
      </c>
      <c r="D554" s="7">
        <v>7.0</v>
      </c>
      <c r="E554" s="7">
        <v>3.0</v>
      </c>
      <c r="F554" s="7" t="s">
        <v>25</v>
      </c>
      <c r="G554" s="7" t="s">
        <v>697</v>
      </c>
      <c r="H554" s="9" t="s">
        <v>2981</v>
      </c>
      <c r="I554" t="s">
        <v>3289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 t="str">
        <f t="shared" si="1"/>
        <v>Land area </v>
      </c>
      <c r="AE554" s="7" t="str">
        <f t="shared" si="2"/>
        <v> sq. ft.</v>
      </c>
      <c r="AF554">
        <f>IFERROR(__xludf.DUMMYFUNCTION("VALUE(REGEXREPLACE(G554,""[^[:digit:]]"", """"))"),2970.0)</f>
        <v>2970</v>
      </c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 t="s">
        <v>27</v>
      </c>
    </row>
    <row r="555">
      <c r="A555" s="7" t="s">
        <v>177</v>
      </c>
      <c r="B555" s="7" t="s">
        <v>24</v>
      </c>
      <c r="C555" s="7">
        <f>5+2</f>
        <v>7</v>
      </c>
      <c r="D555" s="7">
        <v>6.0</v>
      </c>
      <c r="E555" s="7">
        <v>6.0</v>
      </c>
      <c r="F555" s="7" t="s">
        <v>25</v>
      </c>
      <c r="G555" s="7" t="s">
        <v>698</v>
      </c>
      <c r="H555" s="9" t="s">
        <v>2981</v>
      </c>
      <c r="I555" t="s">
        <v>3290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 t="str">
        <f t="shared" si="1"/>
        <v>Land area </v>
      </c>
      <c r="AE555" s="7" t="str">
        <f t="shared" si="2"/>
        <v> sq. ft.</v>
      </c>
      <c r="AF555">
        <f>IFERROR(__xludf.DUMMYFUNCTION("VALUE(REGEXREPLACE(G555,""[^[:digit:]]"", """"))"),7416.0)</f>
        <v>7416</v>
      </c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 t="s">
        <v>27</v>
      </c>
    </row>
    <row r="556">
      <c r="A556" s="7" t="s">
        <v>608</v>
      </c>
      <c r="B556" s="7" t="s">
        <v>699</v>
      </c>
      <c r="C556" s="7">
        <f>2</f>
        <v>2</v>
      </c>
      <c r="D556" s="7">
        <v>2.0</v>
      </c>
      <c r="E556" s="7">
        <v>1.0</v>
      </c>
      <c r="F556" s="7" t="s">
        <v>83</v>
      </c>
      <c r="G556" s="7" t="s">
        <v>342</v>
      </c>
      <c r="H556" s="9" t="s">
        <v>2979</v>
      </c>
      <c r="I556" t="s">
        <v>3117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 t="str">
        <f t="shared" si="1"/>
        <v>Built-up :</v>
      </c>
      <c r="AE556" s="7" t="str">
        <f t="shared" si="2"/>
        <v> sq. ft.</v>
      </c>
      <c r="AF556">
        <f>IFERROR(__xludf.DUMMYFUNCTION("VALUE(REGEXREPLACE(G556,""[^[:digit:]]"", """"))"),1076.0)</f>
        <v>1076</v>
      </c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 t="s">
        <v>22</v>
      </c>
    </row>
    <row r="557">
      <c r="A557" s="7" t="s">
        <v>164</v>
      </c>
      <c r="B557" s="7" t="s">
        <v>447</v>
      </c>
      <c r="C557" s="7">
        <f t="shared" ref="C557:C558" si="50">3</f>
        <v>3</v>
      </c>
      <c r="D557" s="7">
        <v>3.0</v>
      </c>
      <c r="E557" s="7">
        <v>1.0</v>
      </c>
      <c r="F557" s="7" t="s">
        <v>20</v>
      </c>
      <c r="G557" s="7" t="s">
        <v>700</v>
      </c>
      <c r="H557" s="9" t="s">
        <v>2979</v>
      </c>
      <c r="I557" t="s">
        <v>3291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 t="str">
        <f t="shared" si="1"/>
        <v>Built-up :</v>
      </c>
      <c r="AE557" s="7" t="str">
        <f t="shared" si="2"/>
        <v> sq. ft.</v>
      </c>
      <c r="AF557">
        <f>IFERROR(__xludf.DUMMYFUNCTION("VALUE(REGEXREPLACE(G557,""[^[:digit:]]"", """"))"),1738.0)</f>
        <v>1738</v>
      </c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 t="s">
        <v>27</v>
      </c>
    </row>
    <row r="558">
      <c r="A558" s="7" t="s">
        <v>17</v>
      </c>
      <c r="B558" s="7" t="s">
        <v>701</v>
      </c>
      <c r="C558" s="7">
        <f t="shared" si="50"/>
        <v>3</v>
      </c>
      <c r="D558" s="7">
        <v>3.0</v>
      </c>
      <c r="E558" s="7">
        <v>2.0</v>
      </c>
      <c r="F558" s="7" t="s">
        <v>93</v>
      </c>
      <c r="G558" s="7" t="s">
        <v>266</v>
      </c>
      <c r="H558" s="9" t="s">
        <v>2979</v>
      </c>
      <c r="I558" t="s">
        <v>3083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 t="str">
        <f t="shared" si="1"/>
        <v>Built-up :</v>
      </c>
      <c r="AE558" s="7" t="str">
        <f t="shared" si="2"/>
        <v> sq. ft.</v>
      </c>
      <c r="AF558">
        <f>IFERROR(__xludf.DUMMYFUNCTION("VALUE(REGEXREPLACE(G558,""[^[:digit:]]"", """"))"),2454.0)</f>
        <v>2454</v>
      </c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>
      <c r="A559" s="7" t="s">
        <v>32</v>
      </c>
      <c r="B559" s="7" t="s">
        <v>702</v>
      </c>
      <c r="C559" s="7">
        <f>2</f>
        <v>2</v>
      </c>
      <c r="D559" s="7">
        <v>2.0</v>
      </c>
      <c r="E559" s="7">
        <v>2.0</v>
      </c>
      <c r="F559" s="7" t="s">
        <v>30</v>
      </c>
      <c r="G559" s="7" t="s">
        <v>703</v>
      </c>
      <c r="H559" s="9" t="s">
        <v>2979</v>
      </c>
      <c r="I559" t="s">
        <v>3292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 t="str">
        <f t="shared" si="1"/>
        <v>Built-up :</v>
      </c>
      <c r="AE559" s="7" t="str">
        <f t="shared" si="2"/>
        <v> sq. ft.</v>
      </c>
      <c r="AF559">
        <f>IFERROR(__xludf.DUMMYFUNCTION("VALUE(REGEXREPLACE(G559,""[^[:digit:]]"", """"))"),885.0)</f>
        <v>885</v>
      </c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 t="s">
        <v>27</v>
      </c>
    </row>
    <row r="560">
      <c r="A560" s="7" t="s">
        <v>37</v>
      </c>
      <c r="B560" s="7" t="s">
        <v>403</v>
      </c>
      <c r="C560" s="7">
        <f>4</f>
        <v>4</v>
      </c>
      <c r="D560" s="7">
        <v>3.0</v>
      </c>
      <c r="E560" s="7">
        <v>2.0</v>
      </c>
      <c r="F560" s="7" t="s">
        <v>169</v>
      </c>
      <c r="G560" s="7" t="s">
        <v>558</v>
      </c>
      <c r="H560" s="9" t="s">
        <v>2981</v>
      </c>
      <c r="I560" t="s">
        <v>3223</v>
      </c>
      <c r="J560" s="7"/>
      <c r="K560" s="7"/>
      <c r="L560" s="7"/>
      <c r="M560" s="7"/>
      <c r="N560" s="7"/>
      <c r="O560" s="7"/>
      <c r="P560" s="7"/>
      <c r="Q560" s="7"/>
      <c r="R560" s="7"/>
      <c r="S560" s="7" t="s">
        <v>2990</v>
      </c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 t="str">
        <f t="shared" si="1"/>
        <v>Land area </v>
      </c>
      <c r="AE560" s="7" t="str">
        <f t="shared" si="2"/>
        <v> sq. ft.</v>
      </c>
      <c r="AF560">
        <f>IFERROR(__xludf.DUMMYFUNCTION("VALUE(REGEXREPLACE(G560,""[^[:digit:]]"", """"))"),2375.0)</f>
        <v>2375</v>
      </c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 t="s">
        <v>27</v>
      </c>
    </row>
    <row r="561">
      <c r="A561" s="7" t="s">
        <v>17</v>
      </c>
      <c r="B561" s="7" t="s">
        <v>704</v>
      </c>
      <c r="C561" s="7">
        <f t="shared" ref="C561:C562" si="51">1+1</f>
        <v>2</v>
      </c>
      <c r="D561" s="7">
        <v>2.0</v>
      </c>
      <c r="E561" s="7">
        <v>2.0</v>
      </c>
      <c r="F561" s="7" t="s">
        <v>20</v>
      </c>
      <c r="G561" s="7" t="s">
        <v>578</v>
      </c>
      <c r="H561" s="9" t="s">
        <v>2979</v>
      </c>
      <c r="I561" t="s">
        <v>3234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 t="str">
        <f t="shared" si="1"/>
        <v>Built-up :</v>
      </c>
      <c r="AE561" s="7" t="str">
        <f t="shared" si="2"/>
        <v> sq. ft.</v>
      </c>
      <c r="AF561">
        <f>IFERROR(__xludf.DUMMYFUNCTION("VALUE(REGEXREPLACE(G561,""[^[:digit:]]"", """"))"),1421.0)</f>
        <v>1421</v>
      </c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 t="s">
        <v>27</v>
      </c>
    </row>
    <row r="562">
      <c r="A562" s="7" t="s">
        <v>23</v>
      </c>
      <c r="B562" s="7" t="s">
        <v>705</v>
      </c>
      <c r="C562" s="7">
        <f t="shared" si="51"/>
        <v>2</v>
      </c>
      <c r="D562" s="7">
        <v>2.0</v>
      </c>
      <c r="E562" s="7">
        <v>1.0</v>
      </c>
      <c r="F562" s="7" t="s">
        <v>20</v>
      </c>
      <c r="G562" s="7" t="s">
        <v>373</v>
      </c>
      <c r="H562" s="9" t="s">
        <v>2979</v>
      </c>
      <c r="I562" t="s">
        <v>3131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 t="str">
        <f t="shared" si="1"/>
        <v>Built-up :</v>
      </c>
      <c r="AE562" s="7" t="str">
        <f t="shared" si="2"/>
        <v> sq. ft.</v>
      </c>
      <c r="AF562">
        <f>IFERROR(__xludf.DUMMYFUNCTION("VALUE(REGEXREPLACE(G562,""[^[:digit:]]"", """"))"),1152.0)</f>
        <v>1152</v>
      </c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 t="s">
        <v>22</v>
      </c>
    </row>
    <row r="563">
      <c r="A563" s="7" t="s">
        <v>77</v>
      </c>
      <c r="B563" s="7" t="s">
        <v>706</v>
      </c>
      <c r="C563" s="7">
        <f>4</f>
        <v>4</v>
      </c>
      <c r="D563" s="7">
        <v>4.0</v>
      </c>
      <c r="E563" s="9">
        <v>2.0</v>
      </c>
      <c r="F563" s="7" t="s">
        <v>169</v>
      </c>
      <c r="G563" s="7" t="s">
        <v>91</v>
      </c>
      <c r="H563" s="9" t="s">
        <v>2981</v>
      </c>
      <c r="I563" t="s">
        <v>3003</v>
      </c>
      <c r="J563" s="7"/>
      <c r="K563" s="7"/>
      <c r="L563" s="7"/>
      <c r="M563" s="7"/>
      <c r="N563" s="7"/>
      <c r="O563" s="7"/>
      <c r="P563" s="7"/>
      <c r="Q563" s="7"/>
      <c r="R563" s="7"/>
      <c r="S563" s="7" t="s">
        <v>2990</v>
      </c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 t="str">
        <f t="shared" si="1"/>
        <v>Land area </v>
      </c>
      <c r="AE563" s="7" t="str">
        <f t="shared" si="2"/>
        <v> sq. ft.</v>
      </c>
      <c r="AF563">
        <f>IFERROR(__xludf.DUMMYFUNCTION("VALUE(REGEXREPLACE(G563,""[^[:digit:]]"", """"))"),2075.0)</f>
        <v>2075</v>
      </c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 t="s">
        <v>27</v>
      </c>
    </row>
    <row r="564">
      <c r="A564" s="7" t="s">
        <v>72</v>
      </c>
      <c r="B564" s="7" t="s">
        <v>707</v>
      </c>
      <c r="C564" s="7">
        <f>3+1</f>
        <v>4</v>
      </c>
      <c r="D564" s="7">
        <v>4.0</v>
      </c>
      <c r="E564" s="7">
        <v>2.0</v>
      </c>
      <c r="F564" s="7" t="s">
        <v>30</v>
      </c>
      <c r="G564" s="7" t="s">
        <v>708</v>
      </c>
      <c r="H564" s="9" t="s">
        <v>2979</v>
      </c>
      <c r="I564" t="s">
        <v>3293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 t="str">
        <f t="shared" si="1"/>
        <v>Built-up :</v>
      </c>
      <c r="AE564" s="7" t="str">
        <f t="shared" si="2"/>
        <v> sq. ft.</v>
      </c>
      <c r="AF564">
        <f>IFERROR(__xludf.DUMMYFUNCTION("VALUE(REGEXREPLACE(G564,""[^[:digit:]]"", """"))"),2070.0)</f>
        <v>2070</v>
      </c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 t="s">
        <v>27</v>
      </c>
    </row>
    <row r="565">
      <c r="A565" s="7" t="s">
        <v>17</v>
      </c>
      <c r="B565" s="7" t="s">
        <v>85</v>
      </c>
      <c r="C565" s="7">
        <f>2</f>
        <v>2</v>
      </c>
      <c r="D565" s="7">
        <v>2.0</v>
      </c>
      <c r="E565" s="7">
        <v>1.0</v>
      </c>
      <c r="F565" s="7" t="s">
        <v>121</v>
      </c>
      <c r="G565" s="7" t="s">
        <v>157</v>
      </c>
      <c r="H565" s="9" t="s">
        <v>2979</v>
      </c>
      <c r="I565" t="s">
        <v>3031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 t="str">
        <f t="shared" si="1"/>
        <v>Built-up :</v>
      </c>
      <c r="AE565" s="7" t="str">
        <f t="shared" si="2"/>
        <v> sq. ft.</v>
      </c>
      <c r="AF565">
        <f>IFERROR(__xludf.DUMMYFUNCTION("VALUE(REGEXREPLACE(G565,""[^[:digit:]]"", """"))"),1050.0)</f>
        <v>1050</v>
      </c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 t="s">
        <v>22</v>
      </c>
    </row>
    <row r="566">
      <c r="A566" s="7" t="s">
        <v>33</v>
      </c>
      <c r="B566" s="7" t="s">
        <v>284</v>
      </c>
      <c r="C566" s="7">
        <f t="shared" ref="C566:C567" si="52">4+1</f>
        <v>5</v>
      </c>
      <c r="D566" s="7">
        <v>4.0</v>
      </c>
      <c r="E566" s="7">
        <v>4.0</v>
      </c>
      <c r="F566" s="7" t="s">
        <v>30</v>
      </c>
      <c r="G566" s="7" t="s">
        <v>137</v>
      </c>
      <c r="H566" s="9" t="s">
        <v>2979</v>
      </c>
      <c r="I566" t="s">
        <v>3024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 t="str">
        <f t="shared" si="1"/>
        <v>Built-up :</v>
      </c>
      <c r="AE566" s="7" t="str">
        <f t="shared" si="2"/>
        <v> sq. ft.</v>
      </c>
      <c r="AF566">
        <f>IFERROR(__xludf.DUMMYFUNCTION("VALUE(REGEXREPLACE(G566,""[^[:digit:]]"", """"))"),1772.0)</f>
        <v>1772</v>
      </c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 t="s">
        <v>27</v>
      </c>
    </row>
    <row r="567">
      <c r="A567" s="7" t="s">
        <v>33</v>
      </c>
      <c r="B567" s="7" t="s">
        <v>34</v>
      </c>
      <c r="C567" s="7">
        <f t="shared" si="52"/>
        <v>5</v>
      </c>
      <c r="D567" s="7">
        <v>3.0</v>
      </c>
      <c r="E567" s="7">
        <v>2.0</v>
      </c>
      <c r="F567" s="7" t="s">
        <v>30</v>
      </c>
      <c r="G567" s="7" t="s">
        <v>36</v>
      </c>
      <c r="H567" s="9" t="s">
        <v>2979</v>
      </c>
      <c r="I567" t="s">
        <v>2986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 t="str">
        <f t="shared" si="1"/>
        <v>Built-up :</v>
      </c>
      <c r="AE567" s="7" t="str">
        <f t="shared" si="2"/>
        <v> sq. ft.</v>
      </c>
      <c r="AF567">
        <f>IFERROR(__xludf.DUMMYFUNCTION("VALUE(REGEXREPLACE(G567,""[^[:digit:]]"", """"))"),1513.0)</f>
        <v>1513</v>
      </c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 t="s">
        <v>27</v>
      </c>
    </row>
    <row r="568">
      <c r="A568" s="7" t="s">
        <v>100</v>
      </c>
      <c r="B568" s="7" t="s">
        <v>132</v>
      </c>
      <c r="C568" s="7">
        <f>3+1</f>
        <v>4</v>
      </c>
      <c r="D568" s="7">
        <v>4.0</v>
      </c>
      <c r="E568" s="7">
        <v>2.0</v>
      </c>
      <c r="F568" s="7" t="s">
        <v>93</v>
      </c>
      <c r="G568" s="7" t="s">
        <v>31</v>
      </c>
      <c r="H568" s="9" t="s">
        <v>2979</v>
      </c>
      <c r="I568" t="s">
        <v>2983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 t="str">
        <f t="shared" si="1"/>
        <v>Built-up :</v>
      </c>
      <c r="AE568" s="7" t="str">
        <f t="shared" si="2"/>
        <v> sq. ft.</v>
      </c>
      <c r="AF568">
        <f>IFERROR(__xludf.DUMMYFUNCTION("VALUE(REGEXREPLACE(G568,""[^[:digit:]]"", """"))"),1875.0)</f>
        <v>1875</v>
      </c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 t="s">
        <v>27</v>
      </c>
    </row>
    <row r="569">
      <c r="A569" s="7" t="s">
        <v>709</v>
      </c>
      <c r="B569" s="7" t="s">
        <v>710</v>
      </c>
      <c r="C569" s="7">
        <f t="shared" ref="C569:C570" si="53">3</f>
        <v>3</v>
      </c>
      <c r="D569" s="7">
        <v>2.0</v>
      </c>
      <c r="E569" s="7">
        <v>1.0</v>
      </c>
      <c r="F569" s="7" t="s">
        <v>30</v>
      </c>
      <c r="G569" s="7" t="s">
        <v>711</v>
      </c>
      <c r="H569" s="9" t="s">
        <v>2981</v>
      </c>
      <c r="I569" t="s">
        <v>3294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 t="str">
        <f t="shared" si="1"/>
        <v>Land area </v>
      </c>
      <c r="AE569" s="7" t="str">
        <f t="shared" si="2"/>
        <v> sq. ft.</v>
      </c>
      <c r="AF569">
        <f>IFERROR(__xludf.DUMMYFUNCTION("VALUE(REGEXREPLACE(G569,""[^[:digit:]]"", """"))"),1200.0)</f>
        <v>1200</v>
      </c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 t="s">
        <v>27</v>
      </c>
    </row>
    <row r="570">
      <c r="A570" s="7" t="s">
        <v>33</v>
      </c>
      <c r="B570" s="7" t="s">
        <v>34</v>
      </c>
      <c r="C570" s="7">
        <f t="shared" si="53"/>
        <v>3</v>
      </c>
      <c r="D570" s="7">
        <v>2.0</v>
      </c>
      <c r="E570" s="9">
        <v>2.0</v>
      </c>
      <c r="F570" s="7" t="s">
        <v>20</v>
      </c>
      <c r="H570" s="9" t="s">
        <v>2984</v>
      </c>
      <c r="I570" t="s">
        <v>2985</v>
      </c>
      <c r="AD570" s="7" t="str">
        <f t="shared" si="1"/>
        <v/>
      </c>
      <c r="AE570" s="7" t="str">
        <f t="shared" si="2"/>
        <v/>
      </c>
      <c r="AF570">
        <f>IFERROR(__xludf.DUMMYFUNCTION("VALUE(REGEXREPLACE(G570,""[^[:digit:]]"", """"))"),0.0)</f>
        <v>0</v>
      </c>
      <c r="AS570" s="7" t="s">
        <v>103</v>
      </c>
    </row>
    <row r="571">
      <c r="A571" s="7" t="s">
        <v>72</v>
      </c>
      <c r="B571" s="7" t="s">
        <v>712</v>
      </c>
      <c r="C571" s="7">
        <f t="shared" ref="C571:C572" si="54">3+1</f>
        <v>4</v>
      </c>
      <c r="D571" s="7">
        <v>3.0</v>
      </c>
      <c r="E571" s="7">
        <v>2.0</v>
      </c>
      <c r="F571" s="7" t="s">
        <v>83</v>
      </c>
      <c r="G571" s="7" t="s">
        <v>278</v>
      </c>
      <c r="H571" s="9" t="s">
        <v>2979</v>
      </c>
      <c r="I571" t="s">
        <v>3090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 t="str">
        <f t="shared" si="1"/>
        <v>Built-up :</v>
      </c>
      <c r="AE571" s="7" t="str">
        <f t="shared" si="2"/>
        <v> sq. ft.</v>
      </c>
      <c r="AF571">
        <f>IFERROR(__xludf.DUMMYFUNCTION("VALUE(REGEXREPLACE(G571,""[^[:digit:]]"", """"))"),2243.0)</f>
        <v>2243</v>
      </c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 t="s">
        <v>27</v>
      </c>
    </row>
    <row r="572">
      <c r="A572" s="7" t="s">
        <v>72</v>
      </c>
      <c r="B572" s="7" t="s">
        <v>713</v>
      </c>
      <c r="C572" s="7">
        <f t="shared" si="54"/>
        <v>4</v>
      </c>
      <c r="D572" s="7">
        <v>3.0</v>
      </c>
      <c r="E572" s="7">
        <v>2.0</v>
      </c>
      <c r="F572" s="7" t="s">
        <v>83</v>
      </c>
      <c r="G572" s="7" t="s">
        <v>714</v>
      </c>
      <c r="H572" s="9" t="s">
        <v>2979</v>
      </c>
      <c r="I572" t="s">
        <v>3295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 t="str">
        <f t="shared" si="1"/>
        <v>Built-up :</v>
      </c>
      <c r="AE572" s="7" t="str">
        <f t="shared" si="2"/>
        <v> sq. ft.</v>
      </c>
      <c r="AF572">
        <f>IFERROR(__xludf.DUMMYFUNCTION("VALUE(REGEXREPLACE(G572,""[^[:digit:]]"", """"))"),2038.0)</f>
        <v>2038</v>
      </c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 t="s">
        <v>27</v>
      </c>
    </row>
    <row r="573">
      <c r="A573" s="7" t="s">
        <v>33</v>
      </c>
      <c r="B573" s="7" t="s">
        <v>715</v>
      </c>
      <c r="C573" s="7">
        <f>3</f>
        <v>3</v>
      </c>
      <c r="D573" s="7">
        <v>2.0</v>
      </c>
      <c r="E573" s="7">
        <v>2.0</v>
      </c>
      <c r="F573" s="7" t="s">
        <v>93</v>
      </c>
      <c r="G573" s="7" t="s">
        <v>716</v>
      </c>
      <c r="H573" s="9" t="s">
        <v>2979</v>
      </c>
      <c r="I573" t="s">
        <v>3296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 t="str">
        <f t="shared" si="1"/>
        <v>Built-up :</v>
      </c>
      <c r="AE573" s="7" t="str">
        <f t="shared" si="2"/>
        <v> sq. ft.</v>
      </c>
      <c r="AF573">
        <f>IFERROR(__xludf.DUMMYFUNCTION("VALUE(REGEXREPLACE(G573,""[^[:digit:]]"", """"))"),1073.0)</f>
        <v>1073</v>
      </c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 t="s">
        <v>27</v>
      </c>
    </row>
    <row r="574">
      <c r="A574" s="7" t="s">
        <v>17</v>
      </c>
      <c r="B574" s="7" t="s">
        <v>191</v>
      </c>
      <c r="C574" s="7">
        <f>1</f>
        <v>1</v>
      </c>
      <c r="D574" s="7">
        <v>1.0</v>
      </c>
      <c r="E574" s="7">
        <v>1.0</v>
      </c>
      <c r="F574" s="7" t="s">
        <v>83</v>
      </c>
      <c r="G574" s="7" t="s">
        <v>393</v>
      </c>
      <c r="H574" s="9" t="s">
        <v>2979</v>
      </c>
      <c r="I574" t="s">
        <v>3142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 t="str">
        <f t="shared" si="1"/>
        <v>Built-up :</v>
      </c>
      <c r="AE574" s="7" t="str">
        <f t="shared" si="2"/>
        <v> sq. ft.</v>
      </c>
      <c r="AF574">
        <f>IFERROR(__xludf.DUMMYFUNCTION("VALUE(REGEXREPLACE(G574,""[^[:digit:]]"", """"))"),751.0)</f>
        <v>751</v>
      </c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 t="s">
        <v>27</v>
      </c>
    </row>
    <row r="575">
      <c r="A575" s="7" t="s">
        <v>104</v>
      </c>
      <c r="B575" s="7" t="s">
        <v>87</v>
      </c>
      <c r="C575" s="7">
        <f t="shared" ref="C575:C576" si="55">5</f>
        <v>5</v>
      </c>
      <c r="D575" s="7">
        <v>3.0</v>
      </c>
      <c r="E575" s="7">
        <v>2.0</v>
      </c>
      <c r="F575" s="7" t="s">
        <v>717</v>
      </c>
      <c r="G575" s="7" t="s">
        <v>718</v>
      </c>
      <c r="H575" s="9" t="s">
        <v>2981</v>
      </c>
      <c r="I575" t="s">
        <v>3297</v>
      </c>
      <c r="J575" s="7"/>
      <c r="K575" s="7"/>
      <c r="L575" s="7"/>
      <c r="M575" s="7"/>
      <c r="N575" s="7"/>
      <c r="O575" s="7"/>
      <c r="P575" s="7"/>
      <c r="Q575" s="7"/>
      <c r="R575" s="7"/>
      <c r="S575" s="7" t="s">
        <v>3298</v>
      </c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 t="str">
        <f t="shared" si="1"/>
        <v>Land area </v>
      </c>
      <c r="AE575" s="7" t="str">
        <f t="shared" si="2"/>
        <v> sq. ft.</v>
      </c>
      <c r="AF575">
        <f>IFERROR(__xludf.DUMMYFUNCTION("VALUE(REGEXREPLACE(G575,""[^[:digit:]]"", """"))"),2065.0)</f>
        <v>2065</v>
      </c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 t="s">
        <v>27</v>
      </c>
    </row>
    <row r="576">
      <c r="A576" s="7" t="s">
        <v>104</v>
      </c>
      <c r="B576" s="7" t="s">
        <v>18</v>
      </c>
      <c r="C576" s="7">
        <f t="shared" si="55"/>
        <v>5</v>
      </c>
      <c r="D576" s="7">
        <v>5.0</v>
      </c>
      <c r="E576" s="7">
        <v>4.0</v>
      </c>
      <c r="F576" s="7" t="s">
        <v>90</v>
      </c>
      <c r="G576" s="7" t="s">
        <v>719</v>
      </c>
      <c r="H576" s="9" t="s">
        <v>2981</v>
      </c>
      <c r="I576" t="s">
        <v>3299</v>
      </c>
      <c r="J576" s="7"/>
      <c r="K576" s="7"/>
      <c r="L576" s="7"/>
      <c r="M576" s="7"/>
      <c r="N576" s="7"/>
      <c r="O576" s="7"/>
      <c r="P576" s="7"/>
      <c r="Q576" s="7"/>
      <c r="R576" s="7"/>
      <c r="S576" s="7" t="s">
        <v>3101</v>
      </c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 t="str">
        <f t="shared" si="1"/>
        <v>Land area </v>
      </c>
      <c r="AE576" s="7" t="str">
        <f t="shared" si="2"/>
        <v> sq. ft.</v>
      </c>
      <c r="AF576">
        <f>IFERROR(__xludf.DUMMYFUNCTION("VALUE(REGEXREPLACE(G576,""[^[:digit:]]"", """"))"),2285.0)</f>
        <v>2285</v>
      </c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 t="s">
        <v>27</v>
      </c>
    </row>
    <row r="577">
      <c r="A577" s="7" t="s">
        <v>77</v>
      </c>
      <c r="B577" s="7" t="s">
        <v>720</v>
      </c>
      <c r="C577" s="7">
        <f>3+1</f>
        <v>4</v>
      </c>
      <c r="D577" s="7">
        <v>4.0</v>
      </c>
      <c r="E577" s="9">
        <v>2.0</v>
      </c>
      <c r="F577" s="7" t="s">
        <v>169</v>
      </c>
      <c r="G577" s="7" t="s">
        <v>176</v>
      </c>
      <c r="H577" s="9" t="s">
        <v>2979</v>
      </c>
      <c r="I577" t="s">
        <v>3039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 t="str">
        <f t="shared" si="1"/>
        <v>Built-up :</v>
      </c>
      <c r="AE577" s="7" t="str">
        <f t="shared" si="2"/>
        <v> sq. ft.</v>
      </c>
      <c r="AF577">
        <f>IFERROR(__xludf.DUMMYFUNCTION("VALUE(REGEXREPLACE(G577,""[^[:digit:]]"", """"))"),3000.0)</f>
        <v>3000</v>
      </c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 t="s">
        <v>27</v>
      </c>
    </row>
    <row r="578">
      <c r="A578" s="7" t="s">
        <v>17</v>
      </c>
      <c r="B578" s="7" t="s">
        <v>281</v>
      </c>
      <c r="C578" s="7">
        <f>1</f>
        <v>1</v>
      </c>
      <c r="D578" s="7">
        <v>2.0</v>
      </c>
      <c r="E578" s="7">
        <v>1.0</v>
      </c>
      <c r="F578" s="7" t="s">
        <v>20</v>
      </c>
      <c r="G578" s="7" t="s">
        <v>126</v>
      </c>
      <c r="H578" s="9" t="s">
        <v>2979</v>
      </c>
      <c r="I578" t="s">
        <v>3018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 t="str">
        <f t="shared" si="1"/>
        <v>Built-up :</v>
      </c>
      <c r="AE578" s="7" t="str">
        <f t="shared" si="2"/>
        <v> sq. ft.</v>
      </c>
      <c r="AF578">
        <f>IFERROR(__xludf.DUMMYFUNCTION("VALUE(REGEXREPLACE(G578,""[^[:digit:]]"", """"))"),1023.0)</f>
        <v>1023</v>
      </c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 t="s">
        <v>27</v>
      </c>
    </row>
    <row r="579">
      <c r="A579" s="7" t="s">
        <v>77</v>
      </c>
      <c r="B579" s="7" t="s">
        <v>277</v>
      </c>
      <c r="C579" s="7">
        <f>5+1</f>
        <v>6</v>
      </c>
      <c r="D579" s="7">
        <v>5.0</v>
      </c>
      <c r="E579" s="9">
        <v>2.0</v>
      </c>
      <c r="F579" s="7" t="s">
        <v>169</v>
      </c>
      <c r="G579" s="7" t="s">
        <v>721</v>
      </c>
      <c r="H579" s="9" t="s">
        <v>2981</v>
      </c>
      <c r="I579" t="s">
        <v>3300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 t="str">
        <f t="shared" si="1"/>
        <v>Land area </v>
      </c>
      <c r="AE579" s="7" t="str">
        <f t="shared" si="2"/>
        <v> sq. ft.</v>
      </c>
      <c r="AF579">
        <f>IFERROR(__xludf.DUMMYFUNCTION("VALUE(REGEXREPLACE(G579,""[^[:digit:]]"", """"))"),2200.0)</f>
        <v>2200</v>
      </c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 t="s">
        <v>251</v>
      </c>
    </row>
    <row r="580">
      <c r="A580" s="7" t="s">
        <v>17</v>
      </c>
      <c r="B580" s="7" t="s">
        <v>139</v>
      </c>
      <c r="C580" s="7" t="s">
        <v>325</v>
      </c>
      <c r="D580" s="7">
        <v>1.0</v>
      </c>
      <c r="E580" s="9">
        <v>2.0</v>
      </c>
      <c r="F580" s="7" t="s">
        <v>82</v>
      </c>
      <c r="G580" s="7" t="s">
        <v>722</v>
      </c>
      <c r="H580" s="9" t="s">
        <v>2979</v>
      </c>
      <c r="I580" t="s">
        <v>3301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 t="str">
        <f t="shared" si="1"/>
        <v>Built-up :</v>
      </c>
      <c r="AE580" s="7" t="str">
        <f t="shared" si="2"/>
        <v> sq. ft.</v>
      </c>
      <c r="AF580">
        <f>IFERROR(__xludf.DUMMYFUNCTION("VALUE(REGEXREPLACE(G580,""[^[:digit:]]"", """"))"),497.0)</f>
        <v>497</v>
      </c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 t="s">
        <v>22</v>
      </c>
    </row>
    <row r="581">
      <c r="A581" s="7" t="s">
        <v>32</v>
      </c>
      <c r="B581" s="7" t="s">
        <v>332</v>
      </c>
      <c r="C581" s="7">
        <f>6</f>
        <v>6</v>
      </c>
      <c r="D581" s="7">
        <v>5.0</v>
      </c>
      <c r="E581" s="9">
        <v>2.0</v>
      </c>
      <c r="F581" s="7" t="s">
        <v>562</v>
      </c>
      <c r="G581" s="7" t="s">
        <v>723</v>
      </c>
      <c r="H581" s="9" t="s">
        <v>2979</v>
      </c>
      <c r="I581" t="s">
        <v>3302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 t="str">
        <f t="shared" si="1"/>
        <v>Built-up :</v>
      </c>
      <c r="AE581" s="7" t="str">
        <f t="shared" si="2"/>
        <v> sq. ft.</v>
      </c>
      <c r="AF581">
        <f>IFERROR(__xludf.DUMMYFUNCTION("VALUE(REGEXREPLACE(G581,""[^[:digit:]]"", """"))"),4186.0)</f>
        <v>4186</v>
      </c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 t="s">
        <v>27</v>
      </c>
    </row>
    <row r="582">
      <c r="A582" s="7" t="s">
        <v>188</v>
      </c>
      <c r="B582" s="7" t="s">
        <v>724</v>
      </c>
      <c r="C582" s="7">
        <f>2</f>
        <v>2</v>
      </c>
      <c r="D582" s="7">
        <v>2.0</v>
      </c>
      <c r="E582" s="7">
        <v>1.0</v>
      </c>
      <c r="F582" s="7" t="s">
        <v>20</v>
      </c>
      <c r="G582" s="7" t="s">
        <v>725</v>
      </c>
      <c r="H582" s="9" t="s">
        <v>2979</v>
      </c>
      <c r="I582" t="s">
        <v>3303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 t="str">
        <f t="shared" si="1"/>
        <v>Built-up :</v>
      </c>
      <c r="AE582" s="7" t="str">
        <f t="shared" si="2"/>
        <v> sq. ft.</v>
      </c>
      <c r="AF582">
        <f>IFERROR(__xludf.DUMMYFUNCTION("VALUE(REGEXREPLACE(G582,""[^[:digit:]]"", """"))"),912.0)</f>
        <v>912</v>
      </c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 t="s">
        <v>22</v>
      </c>
    </row>
    <row r="583">
      <c r="A583" s="7" t="s">
        <v>33</v>
      </c>
      <c r="B583" s="7" t="s">
        <v>18</v>
      </c>
      <c r="C583" s="7">
        <f>3+1</f>
        <v>4</v>
      </c>
      <c r="D583" s="7">
        <v>4.0</v>
      </c>
      <c r="E583" s="7">
        <v>2.0</v>
      </c>
      <c r="F583" s="7" t="s">
        <v>83</v>
      </c>
      <c r="G583" s="7" t="s">
        <v>726</v>
      </c>
      <c r="H583" s="9" t="s">
        <v>2979</v>
      </c>
      <c r="I583" t="s">
        <v>3304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 t="str">
        <f t="shared" si="1"/>
        <v>Built-up :</v>
      </c>
      <c r="AE583" s="7" t="str">
        <f t="shared" si="2"/>
        <v> sq. ft.</v>
      </c>
      <c r="AF583">
        <f>IFERROR(__xludf.DUMMYFUNCTION("VALUE(REGEXREPLACE(G583,""[^[:digit:]]"", """"))"),1700.0)</f>
        <v>1700</v>
      </c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 t="s">
        <v>22</v>
      </c>
    </row>
    <row r="584">
      <c r="A584" s="7" t="s">
        <v>17</v>
      </c>
      <c r="B584" s="7" t="s">
        <v>304</v>
      </c>
      <c r="C584" s="7">
        <f>4</f>
        <v>4</v>
      </c>
      <c r="D584" s="7">
        <v>4.0</v>
      </c>
      <c r="E584" s="7">
        <v>2.0</v>
      </c>
      <c r="F584" s="7" t="s">
        <v>312</v>
      </c>
      <c r="G584" s="7" t="s">
        <v>727</v>
      </c>
      <c r="H584" s="9" t="s">
        <v>2979</v>
      </c>
      <c r="I584" t="s">
        <v>3305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 t="str">
        <f t="shared" si="1"/>
        <v>Built-up :</v>
      </c>
      <c r="AE584" s="7" t="str">
        <f t="shared" si="2"/>
        <v> sq. ft.</v>
      </c>
      <c r="AF584">
        <f>IFERROR(__xludf.DUMMYFUNCTION("VALUE(REGEXREPLACE(G584,""[^[:digit:]]"", """"))"),3300.0)</f>
        <v>3300</v>
      </c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 t="s">
        <v>22</v>
      </c>
    </row>
    <row r="585">
      <c r="A585" s="7" t="s">
        <v>72</v>
      </c>
      <c r="B585" s="7" t="s">
        <v>728</v>
      </c>
      <c r="C585" s="7">
        <f>4+1</f>
        <v>5</v>
      </c>
      <c r="D585" s="7">
        <v>5.0</v>
      </c>
      <c r="E585" s="7">
        <v>3.0</v>
      </c>
      <c r="F585" s="7" t="s">
        <v>83</v>
      </c>
      <c r="G585" s="7" t="s">
        <v>729</v>
      </c>
      <c r="H585" s="9" t="s">
        <v>2981</v>
      </c>
      <c r="I585" t="s">
        <v>3306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 t="str">
        <f t="shared" si="1"/>
        <v>Land area </v>
      </c>
      <c r="AE585" s="7" t="str">
        <f t="shared" si="2"/>
        <v> sq. ft.</v>
      </c>
      <c r="AF585">
        <f>IFERROR(__xludf.DUMMYFUNCTION("VALUE(REGEXREPLACE(G585,""[^[:digit:]]"", """"))"),0.0)</f>
        <v>0</v>
      </c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 t="s">
        <v>27</v>
      </c>
    </row>
    <row r="586">
      <c r="A586" s="7" t="s">
        <v>72</v>
      </c>
      <c r="B586" s="7" t="s">
        <v>730</v>
      </c>
      <c r="C586" s="7">
        <f t="shared" ref="C586:C587" si="56">3+1</f>
        <v>4</v>
      </c>
      <c r="D586" s="7">
        <v>4.0</v>
      </c>
      <c r="E586" s="7">
        <v>2.0</v>
      </c>
      <c r="F586" s="7" t="s">
        <v>83</v>
      </c>
      <c r="G586" s="7" t="s">
        <v>729</v>
      </c>
      <c r="H586" s="9" t="s">
        <v>2981</v>
      </c>
      <c r="I586" t="s">
        <v>3306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 t="str">
        <f t="shared" si="1"/>
        <v>Land area </v>
      </c>
      <c r="AE586" s="7" t="str">
        <f t="shared" si="2"/>
        <v> sq. ft.</v>
      </c>
      <c r="AF586">
        <f>IFERROR(__xludf.DUMMYFUNCTION("VALUE(REGEXREPLACE(G586,""[^[:digit:]]"", """"))"),0.0)</f>
        <v>0</v>
      </c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 t="s">
        <v>27</v>
      </c>
    </row>
    <row r="587">
      <c r="A587" s="7" t="s">
        <v>72</v>
      </c>
      <c r="B587" s="7" t="s">
        <v>448</v>
      </c>
      <c r="C587" s="7">
        <f t="shared" si="56"/>
        <v>4</v>
      </c>
      <c r="D587" s="7">
        <v>4.0</v>
      </c>
      <c r="E587" s="7">
        <v>2.0</v>
      </c>
      <c r="F587" s="7" t="s">
        <v>83</v>
      </c>
      <c r="G587" s="7" t="s">
        <v>334</v>
      </c>
      <c r="H587" s="9" t="s">
        <v>2979</v>
      </c>
      <c r="I587" t="s">
        <v>3112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 t="str">
        <f t="shared" si="1"/>
        <v>Built-up :</v>
      </c>
      <c r="AE587" s="7" t="str">
        <f t="shared" si="2"/>
        <v> sq. ft.</v>
      </c>
      <c r="AF587">
        <f>IFERROR(__xludf.DUMMYFUNCTION("VALUE(REGEXREPLACE(G587,""[^[:digit:]]"", """"))"),1496.0)</f>
        <v>1496</v>
      </c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 t="s">
        <v>27</v>
      </c>
    </row>
    <row r="588">
      <c r="A588" s="7" t="s">
        <v>731</v>
      </c>
      <c r="B588" s="7" t="s">
        <v>110</v>
      </c>
      <c r="C588" s="7">
        <f>4+1</f>
        <v>5</v>
      </c>
      <c r="D588" s="7">
        <v>5.0</v>
      </c>
      <c r="E588" s="9">
        <v>2.0</v>
      </c>
      <c r="F588" s="7" t="s">
        <v>90</v>
      </c>
      <c r="G588" s="7" t="s">
        <v>283</v>
      </c>
      <c r="H588" s="9" t="s">
        <v>2981</v>
      </c>
      <c r="I588" t="s">
        <v>3091</v>
      </c>
      <c r="J588" s="7"/>
      <c r="K588" s="7"/>
      <c r="L588" s="7"/>
      <c r="M588" s="7"/>
      <c r="N588" s="7"/>
      <c r="O588" s="7"/>
      <c r="P588" s="7"/>
      <c r="Q588" s="7"/>
      <c r="R588" s="7"/>
      <c r="S588" s="7" t="s">
        <v>2990</v>
      </c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 t="str">
        <f t="shared" si="1"/>
        <v>Land area </v>
      </c>
      <c r="AE588" s="7" t="str">
        <f t="shared" si="2"/>
        <v> sq. ft.</v>
      </c>
      <c r="AF588">
        <f>IFERROR(__xludf.DUMMYFUNCTION("VALUE(REGEXREPLACE(G588,""[^[:digit:]]"", """"))"),2275.0)</f>
        <v>2275</v>
      </c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 t="s">
        <v>27</v>
      </c>
    </row>
    <row r="589">
      <c r="A589" s="7" t="s">
        <v>100</v>
      </c>
      <c r="B589" s="7" t="s">
        <v>637</v>
      </c>
      <c r="C589" s="7">
        <f>2+2</f>
        <v>4</v>
      </c>
      <c r="D589" s="7">
        <v>2.0</v>
      </c>
      <c r="E589" s="7">
        <v>2.0</v>
      </c>
      <c r="F589" s="7" t="s">
        <v>96</v>
      </c>
      <c r="G589" s="7" t="s">
        <v>732</v>
      </c>
      <c r="H589" s="9" t="s">
        <v>2979</v>
      </c>
      <c r="I589" t="s">
        <v>3307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 t="str">
        <f t="shared" si="1"/>
        <v>Built-up :</v>
      </c>
      <c r="AE589" s="7" t="str">
        <f t="shared" si="2"/>
        <v> sq. ft.</v>
      </c>
      <c r="AF589">
        <f>IFERROR(__xludf.DUMMYFUNCTION("VALUE(REGEXREPLACE(G589,""[^[:digit:]]"", """"))"),1523.0)</f>
        <v>1523</v>
      </c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 t="s">
        <v>103</v>
      </c>
    </row>
    <row r="590">
      <c r="A590" s="7" t="s">
        <v>33</v>
      </c>
      <c r="B590" s="7" t="s">
        <v>733</v>
      </c>
      <c r="C590" s="7">
        <f>3</f>
        <v>3</v>
      </c>
      <c r="D590" s="7">
        <v>2.0</v>
      </c>
      <c r="E590" s="7">
        <v>2.0</v>
      </c>
      <c r="F590" s="7" t="s">
        <v>83</v>
      </c>
      <c r="G590" s="7" t="s">
        <v>734</v>
      </c>
      <c r="H590" s="9" t="s">
        <v>2979</v>
      </c>
      <c r="I590" t="s">
        <v>3308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 t="str">
        <f t="shared" si="1"/>
        <v>Built-up :</v>
      </c>
      <c r="AE590" s="7" t="str">
        <f t="shared" si="2"/>
        <v> sq. ft.</v>
      </c>
      <c r="AF590">
        <f>IFERROR(__xludf.DUMMYFUNCTION("VALUE(REGEXREPLACE(G590,""[^[:digit:]]"", """"))"),1100.0)</f>
        <v>1100</v>
      </c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 t="s">
        <v>27</v>
      </c>
    </row>
    <row r="591">
      <c r="A591" s="7" t="s">
        <v>100</v>
      </c>
      <c r="B591" s="7" t="s">
        <v>81</v>
      </c>
      <c r="C591" s="7">
        <f>3+1</f>
        <v>4</v>
      </c>
      <c r="D591" s="7">
        <v>4.0</v>
      </c>
      <c r="E591" s="7">
        <v>4.0</v>
      </c>
      <c r="F591" s="7" t="s">
        <v>30</v>
      </c>
      <c r="G591" s="7" t="s">
        <v>735</v>
      </c>
      <c r="H591" s="9" t="s">
        <v>2979</v>
      </c>
      <c r="I591" t="s">
        <v>3309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 t="str">
        <f t="shared" si="1"/>
        <v>Built-up :</v>
      </c>
      <c r="AE591" s="7" t="str">
        <f t="shared" si="2"/>
        <v> sq. ft.</v>
      </c>
      <c r="AF591">
        <f>IFERROR(__xludf.DUMMYFUNCTION("VALUE(REGEXREPLACE(G591,""[^[:digit:]]"", """"))"),2638.0)</f>
        <v>2638</v>
      </c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 t="s">
        <v>27</v>
      </c>
    </row>
    <row r="592">
      <c r="A592" s="7" t="s">
        <v>37</v>
      </c>
      <c r="B592" s="7" t="s">
        <v>144</v>
      </c>
      <c r="C592" s="7">
        <f>4</f>
        <v>4</v>
      </c>
      <c r="D592" s="7">
        <v>3.0</v>
      </c>
      <c r="E592" s="7">
        <v>3.0</v>
      </c>
      <c r="F592" s="7" t="s">
        <v>54</v>
      </c>
      <c r="G592" s="7" t="s">
        <v>47</v>
      </c>
      <c r="H592" s="9" t="s">
        <v>2981</v>
      </c>
      <c r="I592" t="s">
        <v>2989</v>
      </c>
      <c r="J592" s="7"/>
      <c r="K592" s="7"/>
      <c r="L592" s="7"/>
      <c r="M592" s="7"/>
      <c r="N592" s="7"/>
      <c r="O592" s="7"/>
      <c r="P592" s="7"/>
      <c r="Q592" s="7"/>
      <c r="R592" s="7"/>
      <c r="S592" s="7" t="s">
        <v>2990</v>
      </c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 t="str">
        <f t="shared" si="1"/>
        <v>Land area </v>
      </c>
      <c r="AE592" s="7" t="str">
        <f t="shared" si="2"/>
        <v> sq. ft.</v>
      </c>
      <c r="AF592">
        <f>IFERROR(__xludf.DUMMYFUNCTION("VALUE(REGEXREPLACE(G592,""[^[:digit:]]"", """"))"),2575.0)</f>
        <v>2575</v>
      </c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 t="s">
        <v>27</v>
      </c>
    </row>
    <row r="593">
      <c r="A593" s="7" t="s">
        <v>23</v>
      </c>
      <c r="B593" s="7" t="s">
        <v>534</v>
      </c>
      <c r="C593" s="7">
        <f>4+1</f>
        <v>5</v>
      </c>
      <c r="D593" s="7">
        <v>5.0</v>
      </c>
      <c r="E593" s="7">
        <v>4.0</v>
      </c>
      <c r="F593" s="7" t="s">
        <v>736</v>
      </c>
      <c r="G593" s="7" t="s">
        <v>737</v>
      </c>
      <c r="H593" s="9" t="s">
        <v>2981</v>
      </c>
      <c r="I593" t="s">
        <v>3310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 t="str">
        <f t="shared" si="1"/>
        <v>Land area </v>
      </c>
      <c r="AE593" s="7" t="str">
        <f t="shared" si="2"/>
        <v> sq. ft.</v>
      </c>
      <c r="AF593">
        <f>IFERROR(__xludf.DUMMYFUNCTION("VALUE(REGEXREPLACE(G593,""[^[:digit:]]"", """"))"),3670.0)</f>
        <v>3670</v>
      </c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 t="s">
        <v>27</v>
      </c>
    </row>
    <row r="594">
      <c r="A594" s="7" t="s">
        <v>100</v>
      </c>
      <c r="B594" s="7" t="s">
        <v>314</v>
      </c>
      <c r="C594" s="7">
        <f>3</f>
        <v>3</v>
      </c>
      <c r="D594" s="7">
        <v>2.0</v>
      </c>
      <c r="E594" s="7">
        <v>2.0</v>
      </c>
      <c r="F594" s="7" t="s">
        <v>20</v>
      </c>
      <c r="G594" s="7" t="s">
        <v>738</v>
      </c>
      <c r="H594" s="9" t="s">
        <v>2979</v>
      </c>
      <c r="I594" t="s">
        <v>3311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 t="str">
        <f t="shared" si="1"/>
        <v>Built-up :</v>
      </c>
      <c r="AE594" s="7" t="str">
        <f t="shared" si="2"/>
        <v> sq. ft.</v>
      </c>
      <c r="AF594">
        <f>IFERROR(__xludf.DUMMYFUNCTION("VALUE(REGEXREPLACE(G594,""[^[:digit:]]"", """"))"),907.0)</f>
        <v>907</v>
      </c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 t="s">
        <v>22</v>
      </c>
    </row>
    <row r="595">
      <c r="A595" s="7" t="s">
        <v>17</v>
      </c>
      <c r="B595" s="7" t="s">
        <v>191</v>
      </c>
      <c r="C595" s="7">
        <f>1</f>
        <v>1</v>
      </c>
      <c r="D595" s="7">
        <v>1.0</v>
      </c>
      <c r="E595" s="7">
        <v>1.0</v>
      </c>
      <c r="F595" s="7" t="s">
        <v>83</v>
      </c>
      <c r="G595" s="7" t="s">
        <v>252</v>
      </c>
      <c r="H595" s="9" t="s">
        <v>2979</v>
      </c>
      <c r="I595" t="s">
        <v>3077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 t="str">
        <f t="shared" si="1"/>
        <v>Built-up :</v>
      </c>
      <c r="AE595" s="7" t="str">
        <f t="shared" si="2"/>
        <v> sq. ft.</v>
      </c>
      <c r="AF595">
        <f>IFERROR(__xludf.DUMMYFUNCTION("VALUE(REGEXREPLACE(G595,""[^[:digit:]]"", """"))"),657.0)</f>
        <v>657</v>
      </c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 t="s">
        <v>27</v>
      </c>
    </row>
    <row r="596">
      <c r="A596" s="7" t="s">
        <v>180</v>
      </c>
      <c r="B596" s="7" t="s">
        <v>739</v>
      </c>
      <c r="C596" s="7">
        <f>3+1</f>
        <v>4</v>
      </c>
      <c r="D596" s="7">
        <v>4.0</v>
      </c>
      <c r="E596" s="7">
        <v>3.0</v>
      </c>
      <c r="F596" s="7" t="s">
        <v>378</v>
      </c>
      <c r="G596" s="7" t="s">
        <v>740</v>
      </c>
      <c r="H596" s="9" t="s">
        <v>2979</v>
      </c>
      <c r="I596" t="s">
        <v>3312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 t="str">
        <f t="shared" si="1"/>
        <v>Built-up :</v>
      </c>
      <c r="AE596" s="7" t="str">
        <f t="shared" si="2"/>
        <v> sq. ft.</v>
      </c>
      <c r="AF596">
        <f>IFERROR(__xludf.DUMMYFUNCTION("VALUE(REGEXREPLACE(G596,""[^[:digit:]]"", """"))"),3289.0)</f>
        <v>3289</v>
      </c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 t="s">
        <v>22</v>
      </c>
    </row>
    <row r="597">
      <c r="A597" s="7" t="s">
        <v>100</v>
      </c>
      <c r="B597" s="7" t="s">
        <v>243</v>
      </c>
      <c r="C597" s="7">
        <f>3+2</f>
        <v>5</v>
      </c>
      <c r="D597" s="7">
        <v>4.0</v>
      </c>
      <c r="E597" s="7">
        <v>3.0</v>
      </c>
      <c r="F597" s="7" t="s">
        <v>30</v>
      </c>
      <c r="G597" s="7" t="s">
        <v>741</v>
      </c>
      <c r="H597" s="9" t="s">
        <v>2979</v>
      </c>
      <c r="I597" t="s">
        <v>3313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 t="str">
        <f t="shared" si="1"/>
        <v>Built-up :</v>
      </c>
      <c r="AE597" s="7" t="str">
        <f t="shared" si="2"/>
        <v> sq. ft.</v>
      </c>
      <c r="AF597">
        <f>IFERROR(__xludf.DUMMYFUNCTION("VALUE(REGEXREPLACE(G597,""[^[:digit:]]"", """"))"),2128.0)</f>
        <v>2128</v>
      </c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>
      <c r="A598" s="7" t="s">
        <v>72</v>
      </c>
      <c r="B598" s="7" t="s">
        <v>455</v>
      </c>
      <c r="C598" s="7">
        <f>4+1</f>
        <v>5</v>
      </c>
      <c r="D598" s="7">
        <v>5.0</v>
      </c>
      <c r="E598" s="7">
        <v>3.0</v>
      </c>
      <c r="F598" s="7" t="s">
        <v>83</v>
      </c>
      <c r="G598" s="7" t="s">
        <v>456</v>
      </c>
      <c r="H598" s="9" t="s">
        <v>2979</v>
      </c>
      <c r="I598" t="s">
        <v>3170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 t="str">
        <f t="shared" si="1"/>
        <v>Built-up :</v>
      </c>
      <c r="AE598" s="7" t="str">
        <f t="shared" si="2"/>
        <v> sq. ft.</v>
      </c>
      <c r="AF598">
        <f>IFERROR(__xludf.DUMMYFUNCTION("VALUE(REGEXREPLACE(G598,""[^[:digit:]]"", """"))"),2973.0)</f>
        <v>2973</v>
      </c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 t="s">
        <v>27</v>
      </c>
    </row>
    <row r="599">
      <c r="A599" s="7" t="s">
        <v>180</v>
      </c>
      <c r="B599" s="7" t="s">
        <v>641</v>
      </c>
      <c r="C599" s="7">
        <f>2</f>
        <v>2</v>
      </c>
      <c r="D599" s="7">
        <v>2.0</v>
      </c>
      <c r="E599" s="7">
        <v>1.0</v>
      </c>
      <c r="F599" s="7" t="s">
        <v>93</v>
      </c>
      <c r="G599" s="7" t="s">
        <v>742</v>
      </c>
      <c r="H599" s="9" t="s">
        <v>2979</v>
      </c>
      <c r="I599" t="s">
        <v>3314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 t="str">
        <f t="shared" si="1"/>
        <v>Built-up :</v>
      </c>
      <c r="AE599" s="7" t="str">
        <f t="shared" si="2"/>
        <v> sq. ft.</v>
      </c>
      <c r="AF599">
        <f>IFERROR(__xludf.DUMMYFUNCTION("VALUE(REGEXREPLACE(G599,""[^[:digit:]]"", """"))"),1072.0)</f>
        <v>1072</v>
      </c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 t="s">
        <v>22</v>
      </c>
    </row>
    <row r="600">
      <c r="A600" s="7" t="s">
        <v>180</v>
      </c>
      <c r="B600" s="7" t="s">
        <v>311</v>
      </c>
      <c r="C600" s="7">
        <f>3+1</f>
        <v>4</v>
      </c>
      <c r="D600" s="7">
        <v>4.0</v>
      </c>
      <c r="E600" s="7">
        <v>2.0</v>
      </c>
      <c r="F600" s="7" t="s">
        <v>93</v>
      </c>
      <c r="G600" s="7" t="s">
        <v>743</v>
      </c>
      <c r="H600" s="9" t="s">
        <v>2979</v>
      </c>
      <c r="I600" t="s">
        <v>3315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 t="str">
        <f t="shared" si="1"/>
        <v>Built-up :</v>
      </c>
      <c r="AE600" s="7" t="str">
        <f t="shared" si="2"/>
        <v> sq. ft.</v>
      </c>
      <c r="AF600">
        <f>IFERROR(__xludf.DUMMYFUNCTION("VALUE(REGEXREPLACE(G600,""[^[:digit:]]"", """"))"),2111.0)</f>
        <v>2111</v>
      </c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 t="s">
        <v>27</v>
      </c>
    </row>
    <row r="601">
      <c r="A601" s="7" t="s">
        <v>23</v>
      </c>
      <c r="B601" s="7" t="s">
        <v>744</v>
      </c>
      <c r="C601" s="7">
        <f>5+1</f>
        <v>6</v>
      </c>
      <c r="D601" s="7">
        <v>6.0</v>
      </c>
      <c r="E601" s="7">
        <v>4.0</v>
      </c>
      <c r="F601" s="7" t="s">
        <v>61</v>
      </c>
      <c r="G601" s="7" t="s">
        <v>745</v>
      </c>
      <c r="H601" s="9" t="s">
        <v>2981</v>
      </c>
      <c r="I601" t="s">
        <v>3316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 t="str">
        <f t="shared" si="1"/>
        <v>Land area </v>
      </c>
      <c r="AE601" s="7" t="str">
        <f t="shared" si="2"/>
        <v> sq. ft.</v>
      </c>
      <c r="AF601">
        <f>IFERROR(__xludf.DUMMYFUNCTION("VALUE(REGEXREPLACE(G601,""[^[:digit:]]"", """"))"),6103.0)</f>
        <v>6103</v>
      </c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 t="s">
        <v>27</v>
      </c>
    </row>
    <row r="602">
      <c r="A602" s="7" t="s">
        <v>432</v>
      </c>
      <c r="B602" s="7" t="s">
        <v>75</v>
      </c>
      <c r="C602" s="7">
        <f>4+1</f>
        <v>5</v>
      </c>
      <c r="D602" s="7">
        <v>5.0</v>
      </c>
      <c r="E602" s="7">
        <v>3.0</v>
      </c>
      <c r="F602" s="7" t="s">
        <v>61</v>
      </c>
      <c r="G602" s="7" t="s">
        <v>746</v>
      </c>
      <c r="H602" s="9" t="s">
        <v>2981</v>
      </c>
      <c r="I602" t="s">
        <v>3317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 t="str">
        <f t="shared" si="1"/>
        <v>Land area </v>
      </c>
      <c r="AE602" s="7" t="str">
        <f t="shared" si="2"/>
        <v> sq. ft.</v>
      </c>
      <c r="AF602">
        <f>IFERROR(__xludf.DUMMYFUNCTION("VALUE(REGEXREPLACE(G602,""[^[:digit:]]"", """"))"),5200.0)</f>
        <v>5200</v>
      </c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 t="s">
        <v>27</v>
      </c>
    </row>
    <row r="603">
      <c r="A603" s="7" t="s">
        <v>72</v>
      </c>
      <c r="B603" s="7" t="s">
        <v>191</v>
      </c>
      <c r="C603" s="7">
        <f>2</f>
        <v>2</v>
      </c>
      <c r="D603" s="7">
        <v>2.0</v>
      </c>
      <c r="E603" s="9">
        <v>2.0</v>
      </c>
      <c r="F603" s="7" t="s">
        <v>20</v>
      </c>
      <c r="G603" s="7" t="s">
        <v>747</v>
      </c>
      <c r="H603" s="9" t="s">
        <v>2979</v>
      </c>
      <c r="I603" t="s">
        <v>3318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 t="str">
        <f t="shared" si="1"/>
        <v>Built-up :</v>
      </c>
      <c r="AE603" s="7" t="str">
        <f t="shared" si="2"/>
        <v> sq. ft.</v>
      </c>
      <c r="AF603">
        <f>IFERROR(__xludf.DUMMYFUNCTION("VALUE(REGEXREPLACE(G603,""[^[:digit:]]"", """"))"),1000.0)</f>
        <v>1000</v>
      </c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 t="s">
        <v>27</v>
      </c>
    </row>
    <row r="604">
      <c r="A604" s="7" t="s">
        <v>17</v>
      </c>
      <c r="B604" s="7" t="s">
        <v>125</v>
      </c>
      <c r="C604" s="7">
        <f>1</f>
        <v>1</v>
      </c>
      <c r="D604" s="7">
        <v>2.0</v>
      </c>
      <c r="E604" s="7">
        <v>1.0</v>
      </c>
      <c r="F604" s="7" t="s">
        <v>20</v>
      </c>
      <c r="G604" s="7" t="s">
        <v>126</v>
      </c>
      <c r="H604" s="9" t="s">
        <v>2979</v>
      </c>
      <c r="I604" t="s">
        <v>3018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 t="str">
        <f t="shared" si="1"/>
        <v>Built-up :</v>
      </c>
      <c r="AE604" s="7" t="str">
        <f t="shared" si="2"/>
        <v> sq. ft.</v>
      </c>
      <c r="AF604">
        <f>IFERROR(__xludf.DUMMYFUNCTION("VALUE(REGEXREPLACE(G604,""[^[:digit:]]"", """"))"),1023.0)</f>
        <v>1023</v>
      </c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 t="s">
        <v>27</v>
      </c>
    </row>
    <row r="605">
      <c r="A605" s="7" t="s">
        <v>17</v>
      </c>
      <c r="B605" s="7" t="s">
        <v>120</v>
      </c>
      <c r="C605" s="7">
        <f>3+1</f>
        <v>4</v>
      </c>
      <c r="D605" s="7">
        <v>5.0</v>
      </c>
      <c r="E605" s="7">
        <v>2.0</v>
      </c>
      <c r="F605" s="7" t="s">
        <v>121</v>
      </c>
      <c r="G605" s="7" t="s">
        <v>122</v>
      </c>
      <c r="H605" s="9" t="s">
        <v>2979</v>
      </c>
      <c r="I605" t="s">
        <v>3016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 t="str">
        <f t="shared" si="1"/>
        <v>Built-up :</v>
      </c>
      <c r="AE605" s="7" t="str">
        <f t="shared" si="2"/>
        <v> sq. ft.</v>
      </c>
      <c r="AF605">
        <f>IFERROR(__xludf.DUMMYFUNCTION("VALUE(REGEXREPLACE(G605,""[^[:digit:]]"", """"))"),3897.0)</f>
        <v>3897</v>
      </c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 t="s">
        <v>27</v>
      </c>
    </row>
    <row r="606">
      <c r="A606" s="7" t="s">
        <v>72</v>
      </c>
      <c r="B606" s="7" t="s">
        <v>125</v>
      </c>
      <c r="C606" s="7">
        <f>4+1</f>
        <v>5</v>
      </c>
      <c r="D606" s="7">
        <v>4.0</v>
      </c>
      <c r="E606" s="7">
        <v>2.0</v>
      </c>
      <c r="F606" s="7" t="s">
        <v>83</v>
      </c>
      <c r="G606" s="7" t="s">
        <v>115</v>
      </c>
      <c r="H606" s="9" t="s">
        <v>2979</v>
      </c>
      <c r="I606" t="s">
        <v>3013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 t="str">
        <f t="shared" si="1"/>
        <v>Built-up :</v>
      </c>
      <c r="AE606" s="7" t="str">
        <f t="shared" si="2"/>
        <v> sq. ft.</v>
      </c>
      <c r="AF606">
        <f>IFERROR(__xludf.DUMMYFUNCTION("VALUE(REGEXREPLACE(G606,""[^[:digit:]]"", """"))"),2702.0)</f>
        <v>2702</v>
      </c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 t="s">
        <v>251</v>
      </c>
    </row>
    <row r="607">
      <c r="A607" s="7" t="s">
        <v>17</v>
      </c>
      <c r="B607" s="7" t="s">
        <v>191</v>
      </c>
      <c r="C607" s="7">
        <f>1</f>
        <v>1</v>
      </c>
      <c r="D607" s="7">
        <v>1.0</v>
      </c>
      <c r="E607" s="7">
        <v>1.0</v>
      </c>
      <c r="F607" s="7" t="s">
        <v>96</v>
      </c>
      <c r="G607" s="7" t="s">
        <v>393</v>
      </c>
      <c r="H607" s="9" t="s">
        <v>2979</v>
      </c>
      <c r="I607" t="s">
        <v>3142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 t="str">
        <f t="shared" si="1"/>
        <v>Built-up :</v>
      </c>
      <c r="AE607" s="7" t="str">
        <f t="shared" si="2"/>
        <v> sq. ft.</v>
      </c>
      <c r="AF607">
        <f>IFERROR(__xludf.DUMMYFUNCTION("VALUE(REGEXREPLACE(G607,""[^[:digit:]]"", """"))"),751.0)</f>
        <v>751</v>
      </c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 t="s">
        <v>27</v>
      </c>
    </row>
    <row r="608">
      <c r="A608" s="7" t="s">
        <v>17</v>
      </c>
      <c r="B608" s="7" t="s">
        <v>748</v>
      </c>
      <c r="C608" s="7">
        <f>2</f>
        <v>2</v>
      </c>
      <c r="D608" s="7">
        <v>2.0</v>
      </c>
      <c r="E608" s="7">
        <v>2.0</v>
      </c>
      <c r="F608" s="7" t="s">
        <v>30</v>
      </c>
      <c r="G608" s="7" t="s">
        <v>234</v>
      </c>
      <c r="H608" s="9" t="s">
        <v>2979</v>
      </c>
      <c r="I608" t="s">
        <v>3068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 t="str">
        <f t="shared" si="1"/>
        <v>Built-up :</v>
      </c>
      <c r="AE608" s="7" t="str">
        <f t="shared" si="2"/>
        <v> sq. ft.</v>
      </c>
      <c r="AF608">
        <f>IFERROR(__xludf.DUMMYFUNCTION("VALUE(REGEXREPLACE(G608,""[^[:digit:]]"", """"))"),1399.0)</f>
        <v>1399</v>
      </c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 t="s">
        <v>27</v>
      </c>
    </row>
    <row r="609">
      <c r="A609" s="7" t="s">
        <v>72</v>
      </c>
      <c r="B609" s="7" t="s">
        <v>749</v>
      </c>
      <c r="C609" s="7">
        <f>4+2</f>
        <v>6</v>
      </c>
      <c r="E609" s="7">
        <v>4.0</v>
      </c>
      <c r="F609" s="7" t="s">
        <v>43</v>
      </c>
      <c r="G609" s="7" t="s">
        <v>750</v>
      </c>
      <c r="H609" s="9" t="s">
        <v>2981</v>
      </c>
      <c r="I609" t="s">
        <v>3297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 t="str">
        <f t="shared" si="1"/>
        <v>Land area </v>
      </c>
      <c r="AE609" s="7" t="str">
        <f t="shared" si="2"/>
        <v> sq. ft.</v>
      </c>
      <c r="AF609">
        <f>IFERROR(__xludf.DUMMYFUNCTION("VALUE(REGEXREPLACE(G609,""[^[:digit:]]"", """"))"),1300.0)</f>
        <v>1300</v>
      </c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>
      <c r="A610" s="7" t="s">
        <v>72</v>
      </c>
      <c r="B610" s="7" t="s">
        <v>73</v>
      </c>
      <c r="C610" s="7">
        <f>3</f>
        <v>3</v>
      </c>
      <c r="D610" s="7">
        <v>3.0</v>
      </c>
      <c r="E610" s="7">
        <v>2.0</v>
      </c>
      <c r="F610" s="7" t="s">
        <v>121</v>
      </c>
      <c r="G610" s="7" t="s">
        <v>732</v>
      </c>
      <c r="H610" s="9" t="s">
        <v>2979</v>
      </c>
      <c r="I610" t="s">
        <v>3307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 t="str">
        <f t="shared" si="1"/>
        <v>Built-up :</v>
      </c>
      <c r="AE610" s="7" t="str">
        <f t="shared" si="2"/>
        <v> sq. ft.</v>
      </c>
      <c r="AF610">
        <f>IFERROR(__xludf.DUMMYFUNCTION("VALUE(REGEXREPLACE(G610,""[^[:digit:]]"", """"))"),1523.0)</f>
        <v>1523</v>
      </c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 t="s">
        <v>27</v>
      </c>
    </row>
    <row r="611">
      <c r="A611" s="7" t="s">
        <v>17</v>
      </c>
      <c r="B611" s="7" t="s">
        <v>243</v>
      </c>
      <c r="C611" s="7">
        <f t="shared" ref="C611:C612" si="57">1+1</f>
        <v>2</v>
      </c>
      <c r="D611" s="7">
        <v>2.0</v>
      </c>
      <c r="E611" s="7">
        <v>1.0</v>
      </c>
      <c r="F611" s="7" t="s">
        <v>20</v>
      </c>
      <c r="G611" s="7" t="s">
        <v>505</v>
      </c>
      <c r="H611" s="9" t="s">
        <v>2979</v>
      </c>
      <c r="I611" t="s">
        <v>3199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 t="str">
        <f t="shared" si="1"/>
        <v>Built-up :</v>
      </c>
      <c r="AE611" s="7" t="str">
        <f t="shared" si="2"/>
        <v> sq. ft.</v>
      </c>
      <c r="AF611">
        <f>IFERROR(__xludf.DUMMYFUNCTION("VALUE(REGEXREPLACE(G611,""[^[:digit:]]"", """"))"),900.0)</f>
        <v>900</v>
      </c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 t="s">
        <v>22</v>
      </c>
    </row>
    <row r="612">
      <c r="A612" s="7" t="s">
        <v>17</v>
      </c>
      <c r="B612" s="7" t="s">
        <v>751</v>
      </c>
      <c r="C612" s="7">
        <f t="shared" si="57"/>
        <v>2</v>
      </c>
      <c r="D612" s="7">
        <v>2.0</v>
      </c>
      <c r="E612" s="9">
        <v>2.0</v>
      </c>
      <c r="F612" s="7" t="s">
        <v>82</v>
      </c>
      <c r="G612" s="7" t="s">
        <v>342</v>
      </c>
      <c r="H612" s="9" t="s">
        <v>2979</v>
      </c>
      <c r="I612" t="s">
        <v>3117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 t="str">
        <f t="shared" si="1"/>
        <v>Built-up :</v>
      </c>
      <c r="AE612" s="7" t="str">
        <f t="shared" si="2"/>
        <v> sq. ft.</v>
      </c>
      <c r="AF612">
        <f>IFERROR(__xludf.DUMMYFUNCTION("VALUE(REGEXREPLACE(G612,""[^[:digit:]]"", """"))"),1076.0)</f>
        <v>1076</v>
      </c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 t="s">
        <v>27</v>
      </c>
    </row>
    <row r="613">
      <c r="A613" s="7" t="s">
        <v>155</v>
      </c>
      <c r="B613" s="7" t="s">
        <v>752</v>
      </c>
      <c r="C613" s="7">
        <f>2</f>
        <v>2</v>
      </c>
      <c r="D613" s="7">
        <v>2.0</v>
      </c>
      <c r="E613" s="7">
        <v>1.0</v>
      </c>
      <c r="F613" s="7" t="s">
        <v>20</v>
      </c>
      <c r="G613" s="7" t="s">
        <v>753</v>
      </c>
      <c r="H613" s="9" t="s">
        <v>2979</v>
      </c>
      <c r="I613" t="s">
        <v>3319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 t="str">
        <f t="shared" si="1"/>
        <v>Built-up :</v>
      </c>
      <c r="AE613" s="7" t="str">
        <f t="shared" si="2"/>
        <v> sq. ft.</v>
      </c>
      <c r="AF613">
        <f>IFERROR(__xludf.DUMMYFUNCTION("VALUE(REGEXREPLACE(G613,""[^[:digit:]]"", """"))"),743.0)</f>
        <v>743</v>
      </c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 t="s">
        <v>103</v>
      </c>
    </row>
    <row r="614">
      <c r="A614" s="7" t="s">
        <v>86</v>
      </c>
      <c r="B614" s="7" t="s">
        <v>510</v>
      </c>
      <c r="C614" s="7">
        <f>1+1</f>
        <v>2</v>
      </c>
      <c r="D614" s="7">
        <v>1.0</v>
      </c>
      <c r="E614" s="7">
        <v>1.0</v>
      </c>
      <c r="F614" s="7" t="s">
        <v>354</v>
      </c>
      <c r="G614" s="7" t="s">
        <v>754</v>
      </c>
      <c r="H614" s="9" t="s">
        <v>2979</v>
      </c>
      <c r="I614" t="s">
        <v>3320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 t="str">
        <f t="shared" si="1"/>
        <v>Built-up :</v>
      </c>
      <c r="AE614" s="7" t="str">
        <f t="shared" si="2"/>
        <v> sq. ft.</v>
      </c>
      <c r="AF614">
        <f>IFERROR(__xludf.DUMMYFUNCTION("VALUE(REGEXREPLACE(G614,""[^[:digit:]]"", """"))"),452.0)</f>
        <v>452</v>
      </c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 t="s">
        <v>27</v>
      </c>
    </row>
    <row r="615">
      <c r="A615" s="7" t="s">
        <v>17</v>
      </c>
      <c r="B615" s="7" t="s">
        <v>755</v>
      </c>
      <c r="C615" s="7">
        <f>1</f>
        <v>1</v>
      </c>
      <c r="D615" s="7">
        <v>1.0</v>
      </c>
      <c r="E615" s="7">
        <v>1.0</v>
      </c>
      <c r="F615" s="7" t="s">
        <v>82</v>
      </c>
      <c r="G615" s="7" t="s">
        <v>756</v>
      </c>
      <c r="H615" s="9" t="s">
        <v>2979</v>
      </c>
      <c r="I615" t="s">
        <v>3321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 t="str">
        <f t="shared" si="1"/>
        <v>Built-up :</v>
      </c>
      <c r="AE615" s="7" t="str">
        <f t="shared" si="2"/>
        <v> sq. ft.</v>
      </c>
      <c r="AF615">
        <f>IFERROR(__xludf.DUMMYFUNCTION("VALUE(REGEXREPLACE(G615,""[^[:digit:]]"", """"))"),603.0)</f>
        <v>603</v>
      </c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 t="s">
        <v>22</v>
      </c>
    </row>
    <row r="616">
      <c r="A616" s="7" t="s">
        <v>33</v>
      </c>
      <c r="B616" s="7" t="s">
        <v>34</v>
      </c>
      <c r="C616" s="7">
        <f>4</f>
        <v>4</v>
      </c>
      <c r="D616" s="7">
        <v>3.0</v>
      </c>
      <c r="E616" s="7">
        <v>2.0</v>
      </c>
      <c r="F616" s="7" t="s">
        <v>30</v>
      </c>
      <c r="G616" s="7" t="s">
        <v>36</v>
      </c>
      <c r="H616" s="9" t="s">
        <v>2979</v>
      </c>
      <c r="I616" t="s">
        <v>2986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 t="str">
        <f t="shared" si="1"/>
        <v>Built-up :</v>
      </c>
      <c r="AE616" s="7" t="str">
        <f t="shared" si="2"/>
        <v> sq. ft.</v>
      </c>
      <c r="AF616">
        <f>IFERROR(__xludf.DUMMYFUNCTION("VALUE(REGEXREPLACE(G616,""[^[:digit:]]"", """"))"),1513.0)</f>
        <v>1513</v>
      </c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 t="s">
        <v>27</v>
      </c>
    </row>
    <row r="617">
      <c r="A617" s="7" t="s">
        <v>33</v>
      </c>
      <c r="B617" s="7" t="s">
        <v>284</v>
      </c>
      <c r="C617" s="7">
        <f t="shared" ref="C617:C618" si="58">4+1</f>
        <v>5</v>
      </c>
      <c r="D617" s="7">
        <v>4.0</v>
      </c>
      <c r="E617" s="7">
        <v>4.0</v>
      </c>
      <c r="F617" s="7" t="s">
        <v>30</v>
      </c>
      <c r="G617" s="7" t="s">
        <v>137</v>
      </c>
      <c r="H617" s="9" t="s">
        <v>2979</v>
      </c>
      <c r="I617" t="s">
        <v>3024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 t="str">
        <f t="shared" si="1"/>
        <v>Built-up :</v>
      </c>
      <c r="AE617" s="7" t="str">
        <f t="shared" si="2"/>
        <v> sq. ft.</v>
      </c>
      <c r="AF617">
        <f>IFERROR(__xludf.DUMMYFUNCTION("VALUE(REGEXREPLACE(G617,""[^[:digit:]]"", """"))"),1772.0)</f>
        <v>1772</v>
      </c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 t="s">
        <v>27</v>
      </c>
    </row>
    <row r="618">
      <c r="A618" s="7" t="s">
        <v>17</v>
      </c>
      <c r="B618" s="7" t="s">
        <v>757</v>
      </c>
      <c r="C618" s="7">
        <f t="shared" si="58"/>
        <v>5</v>
      </c>
      <c r="D618" s="7">
        <v>6.0</v>
      </c>
      <c r="E618" s="7">
        <v>2.0</v>
      </c>
      <c r="F618" s="7" t="s">
        <v>20</v>
      </c>
      <c r="G618" s="7" t="s">
        <v>727</v>
      </c>
      <c r="H618" s="9" t="s">
        <v>2979</v>
      </c>
      <c r="I618" t="s">
        <v>3305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 t="str">
        <f t="shared" si="1"/>
        <v>Built-up :</v>
      </c>
      <c r="AE618" s="7" t="str">
        <f t="shared" si="2"/>
        <v> sq. ft.</v>
      </c>
      <c r="AF618">
        <f>IFERROR(__xludf.DUMMYFUNCTION("VALUE(REGEXREPLACE(G618,""[^[:digit:]]"", """"))"),3300.0)</f>
        <v>3300</v>
      </c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 t="s">
        <v>22</v>
      </c>
    </row>
    <row r="619">
      <c r="A619" s="7" t="s">
        <v>17</v>
      </c>
      <c r="B619" s="7" t="s">
        <v>277</v>
      </c>
      <c r="C619" s="7">
        <f>3+1</f>
        <v>4</v>
      </c>
      <c r="D619" s="7">
        <v>3.0</v>
      </c>
      <c r="E619" s="9">
        <v>2.0</v>
      </c>
      <c r="F619" s="7" t="s">
        <v>20</v>
      </c>
      <c r="G619" s="7" t="s">
        <v>758</v>
      </c>
      <c r="H619" s="9" t="s">
        <v>2979</v>
      </c>
      <c r="I619" t="s">
        <v>3322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 t="str">
        <f t="shared" si="1"/>
        <v>Built-up :</v>
      </c>
      <c r="AE619" s="7" t="str">
        <f t="shared" si="2"/>
        <v> sq. ft.</v>
      </c>
      <c r="AF619">
        <f>IFERROR(__xludf.DUMMYFUNCTION("VALUE(REGEXREPLACE(G619,""[^[:digit:]]"", """"))"),1888.0)</f>
        <v>1888</v>
      </c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 t="s">
        <v>27</v>
      </c>
    </row>
    <row r="620">
      <c r="A620" s="7" t="s">
        <v>77</v>
      </c>
      <c r="B620" s="7" t="s">
        <v>125</v>
      </c>
      <c r="C620" s="7">
        <f>4+1</f>
        <v>5</v>
      </c>
      <c r="D620" s="7">
        <v>5.0</v>
      </c>
      <c r="E620" s="7">
        <v>3.0</v>
      </c>
      <c r="F620" s="7" t="s">
        <v>30</v>
      </c>
      <c r="G620" s="7" t="s">
        <v>266</v>
      </c>
      <c r="H620" s="9" t="s">
        <v>2979</v>
      </c>
      <c r="I620" t="s">
        <v>3083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 t="str">
        <f t="shared" si="1"/>
        <v>Built-up :</v>
      </c>
      <c r="AE620" s="7" t="str">
        <f t="shared" si="2"/>
        <v> sq. ft.</v>
      </c>
      <c r="AF620">
        <f>IFERROR(__xludf.DUMMYFUNCTION("VALUE(REGEXREPLACE(G620,""[^[:digit:]]"", """"))"),2454.0)</f>
        <v>2454</v>
      </c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 t="s">
        <v>27</v>
      </c>
    </row>
    <row r="621">
      <c r="A621" s="7" t="s">
        <v>37</v>
      </c>
      <c r="B621" s="7" t="s">
        <v>45</v>
      </c>
      <c r="C621" s="7">
        <f t="shared" ref="C621:C623" si="59">4</f>
        <v>4</v>
      </c>
      <c r="E621" s="7">
        <v>3.0</v>
      </c>
      <c r="F621" s="7" t="s">
        <v>184</v>
      </c>
      <c r="G621" s="7" t="s">
        <v>256</v>
      </c>
      <c r="H621" s="9" t="s">
        <v>2981</v>
      </c>
      <c r="I621" t="s">
        <v>3079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 t="str">
        <f t="shared" si="1"/>
        <v>Land area </v>
      </c>
      <c r="AE621" s="7" t="str">
        <f t="shared" si="2"/>
        <v> sq. ft.</v>
      </c>
      <c r="AF621">
        <f>IFERROR(__xludf.DUMMYFUNCTION("VALUE(REGEXREPLACE(G621,""[^[:digit:]]"", """"))"),3700.0)</f>
        <v>3700</v>
      </c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 t="s">
        <v>27</v>
      </c>
    </row>
    <row r="622">
      <c r="A622" s="7" t="s">
        <v>171</v>
      </c>
      <c r="B622" s="7" t="s">
        <v>759</v>
      </c>
      <c r="C622" s="7">
        <f t="shared" si="59"/>
        <v>4</v>
      </c>
      <c r="D622" s="7">
        <v>2.0</v>
      </c>
      <c r="E622" s="7">
        <v>2.0</v>
      </c>
      <c r="F622" s="7" t="s">
        <v>30</v>
      </c>
      <c r="G622" s="7" t="s">
        <v>760</v>
      </c>
      <c r="H622" s="9" t="s">
        <v>2979</v>
      </c>
      <c r="I622" t="s">
        <v>3323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 t="str">
        <f t="shared" si="1"/>
        <v>Built-up :</v>
      </c>
      <c r="AE622" s="7" t="str">
        <f t="shared" si="2"/>
        <v> sq. ft.</v>
      </c>
      <c r="AF622">
        <f>IFERROR(__xludf.DUMMYFUNCTION("VALUE(REGEXREPLACE(G622,""[^[:digit:]]"", """"))"),1450.0)</f>
        <v>1450</v>
      </c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 t="s">
        <v>27</v>
      </c>
    </row>
    <row r="623">
      <c r="A623" s="7" t="s">
        <v>171</v>
      </c>
      <c r="B623" s="7" t="s">
        <v>761</v>
      </c>
      <c r="C623" s="7">
        <f t="shared" si="59"/>
        <v>4</v>
      </c>
      <c r="D623" s="7">
        <v>2.0</v>
      </c>
      <c r="E623" s="7">
        <v>1.0</v>
      </c>
      <c r="F623" s="7" t="s">
        <v>83</v>
      </c>
      <c r="H623" s="9" t="s">
        <v>2984</v>
      </c>
      <c r="I623" t="s">
        <v>2985</v>
      </c>
      <c r="AD623" s="7" t="str">
        <f t="shared" si="1"/>
        <v/>
      </c>
      <c r="AE623" s="7" t="str">
        <f t="shared" si="2"/>
        <v/>
      </c>
      <c r="AF623">
        <f>IFERROR(__xludf.DUMMYFUNCTION("VALUE(REGEXREPLACE(G623,""[^[:digit:]]"", """"))"),0.0)</f>
        <v>0</v>
      </c>
    </row>
    <row r="624">
      <c r="A624" s="7" t="s">
        <v>143</v>
      </c>
      <c r="B624" s="7" t="s">
        <v>448</v>
      </c>
      <c r="C624" s="7">
        <f>3+1</f>
        <v>4</v>
      </c>
      <c r="D624" s="7">
        <v>3.0</v>
      </c>
      <c r="E624" s="7">
        <v>2.0</v>
      </c>
      <c r="F624" s="7" t="s">
        <v>121</v>
      </c>
      <c r="G624" s="7" t="s">
        <v>762</v>
      </c>
      <c r="H624" s="9" t="s">
        <v>2979</v>
      </c>
      <c r="I624" t="s">
        <v>3324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 t="str">
        <f t="shared" si="1"/>
        <v>Built-up :</v>
      </c>
      <c r="AE624" s="7" t="str">
        <f t="shared" si="2"/>
        <v> sq. ft.</v>
      </c>
      <c r="AF624">
        <f>IFERROR(__xludf.DUMMYFUNCTION("VALUE(REGEXREPLACE(G624,""[^[:digit:]]"", """"))"),1582.0)</f>
        <v>1582</v>
      </c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 t="s">
        <v>22</v>
      </c>
    </row>
    <row r="625">
      <c r="A625" s="7" t="s">
        <v>164</v>
      </c>
      <c r="B625" s="7" t="s">
        <v>763</v>
      </c>
      <c r="C625" s="7">
        <f>3</f>
        <v>3</v>
      </c>
      <c r="D625" s="7">
        <v>3.0</v>
      </c>
      <c r="E625" s="7">
        <v>2.0</v>
      </c>
      <c r="F625" s="7" t="s">
        <v>121</v>
      </c>
      <c r="G625" s="7" t="s">
        <v>764</v>
      </c>
      <c r="H625" s="9" t="s">
        <v>2979</v>
      </c>
      <c r="I625" t="s">
        <v>3325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 t="str">
        <f t="shared" si="1"/>
        <v>Built-up :</v>
      </c>
      <c r="AE625" s="7" t="str">
        <f t="shared" si="2"/>
        <v> sq. ft.</v>
      </c>
      <c r="AF625">
        <f>IFERROR(__xludf.DUMMYFUNCTION("VALUE(REGEXREPLACE(G625,""[^[:digit:]]"", """"))"),1025.0)</f>
        <v>1025</v>
      </c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 t="s">
        <v>27</v>
      </c>
    </row>
    <row r="626">
      <c r="A626" s="7" t="s">
        <v>77</v>
      </c>
      <c r="B626" s="7" t="s">
        <v>526</v>
      </c>
      <c r="E626" s="7">
        <v>2.0</v>
      </c>
      <c r="F626" s="7" t="s">
        <v>93</v>
      </c>
      <c r="G626" s="7" t="s">
        <v>321</v>
      </c>
      <c r="H626" s="9" t="s">
        <v>2979</v>
      </c>
      <c r="I626" t="s">
        <v>3107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 t="str">
        <f t="shared" si="1"/>
        <v>Built-up :</v>
      </c>
      <c r="AE626" s="7" t="str">
        <f t="shared" si="2"/>
        <v> sq. ft.</v>
      </c>
      <c r="AF626">
        <f>IFERROR(__xludf.DUMMYFUNCTION("VALUE(REGEXREPLACE(G626,""[^[:digit:]]"", """"))"),1292.0)</f>
        <v>1292</v>
      </c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 t="s">
        <v>22</v>
      </c>
    </row>
    <row r="627">
      <c r="A627" s="7" t="s">
        <v>17</v>
      </c>
      <c r="B627" s="7" t="s">
        <v>765</v>
      </c>
      <c r="C627" s="7">
        <f>2</f>
        <v>2</v>
      </c>
      <c r="D627" s="7">
        <v>2.0</v>
      </c>
      <c r="E627" s="7">
        <v>1.0</v>
      </c>
      <c r="F627" s="7" t="s">
        <v>121</v>
      </c>
      <c r="G627" s="7" t="s">
        <v>505</v>
      </c>
      <c r="H627" s="9" t="s">
        <v>2979</v>
      </c>
      <c r="I627" t="s">
        <v>3199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 t="str">
        <f t="shared" si="1"/>
        <v>Built-up :</v>
      </c>
      <c r="AE627" s="7" t="str">
        <f t="shared" si="2"/>
        <v> sq. ft.</v>
      </c>
      <c r="AF627">
        <f>IFERROR(__xludf.DUMMYFUNCTION("VALUE(REGEXREPLACE(G627,""[^[:digit:]]"", """"))"),900.0)</f>
        <v>900</v>
      </c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 t="s">
        <v>22</v>
      </c>
    </row>
    <row r="628">
      <c r="A628" s="7" t="s">
        <v>177</v>
      </c>
      <c r="B628" s="7" t="s">
        <v>633</v>
      </c>
      <c r="C628" s="7">
        <f>4+1</f>
        <v>5</v>
      </c>
      <c r="D628" s="7">
        <v>5.0</v>
      </c>
      <c r="E628" s="7">
        <v>3.0</v>
      </c>
      <c r="F628" s="7" t="s">
        <v>30</v>
      </c>
      <c r="G628" s="7" t="s">
        <v>550</v>
      </c>
      <c r="H628" s="9" t="s">
        <v>2979</v>
      </c>
      <c r="I628" t="s">
        <v>3220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 t="str">
        <f t="shared" si="1"/>
        <v>Built-up :</v>
      </c>
      <c r="AE628" s="7" t="str">
        <f t="shared" si="2"/>
        <v> sq. ft.</v>
      </c>
      <c r="AF628">
        <f>IFERROR(__xludf.DUMMYFUNCTION("VALUE(REGEXREPLACE(G628,""[^[:digit:]]"", """"))"),4771.0)</f>
        <v>4771</v>
      </c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 t="s">
        <v>103</v>
      </c>
    </row>
    <row r="629">
      <c r="A629" s="7" t="s">
        <v>17</v>
      </c>
      <c r="B629" s="7" t="s">
        <v>415</v>
      </c>
      <c r="C629" s="7">
        <f>2</f>
        <v>2</v>
      </c>
      <c r="D629" s="7">
        <v>2.0</v>
      </c>
      <c r="E629" s="7">
        <v>1.0</v>
      </c>
      <c r="F629" s="7" t="s">
        <v>83</v>
      </c>
      <c r="G629" s="7" t="s">
        <v>240</v>
      </c>
      <c r="H629" s="9" t="s">
        <v>2979</v>
      </c>
      <c r="I629" t="s">
        <v>3071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 t="str">
        <f t="shared" si="1"/>
        <v>Built-up :</v>
      </c>
      <c r="AE629" s="7" t="str">
        <f t="shared" si="2"/>
        <v> sq. ft.</v>
      </c>
      <c r="AF629">
        <f>IFERROR(__xludf.DUMMYFUNCTION("VALUE(REGEXREPLACE(G629,""[^[:digit:]]"", """"))"),736.0)</f>
        <v>736</v>
      </c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 t="s">
        <v>27</v>
      </c>
    </row>
    <row r="630">
      <c r="A630" s="7" t="s">
        <v>72</v>
      </c>
      <c r="B630" s="7" t="s">
        <v>766</v>
      </c>
      <c r="C630" s="7">
        <f>4+1</f>
        <v>5</v>
      </c>
      <c r="D630" s="7">
        <v>4.0</v>
      </c>
      <c r="E630" s="7">
        <v>3.0</v>
      </c>
      <c r="F630" s="7" t="s">
        <v>83</v>
      </c>
      <c r="G630" s="7" t="s">
        <v>767</v>
      </c>
      <c r="H630" s="9" t="s">
        <v>2979</v>
      </c>
      <c r="I630" t="s">
        <v>3326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 t="str">
        <f t="shared" si="1"/>
        <v>Built-up :</v>
      </c>
      <c r="AE630" s="7" t="str">
        <f t="shared" si="2"/>
        <v> sq. ft.</v>
      </c>
      <c r="AF630">
        <f>IFERROR(__xludf.DUMMYFUNCTION("VALUE(REGEXREPLACE(G630,""[^[:digit:]]"", """"))"),3043.0)</f>
        <v>3043</v>
      </c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 t="s">
        <v>103</v>
      </c>
    </row>
    <row r="631">
      <c r="A631" s="7" t="s">
        <v>33</v>
      </c>
      <c r="B631" s="7" t="s">
        <v>156</v>
      </c>
      <c r="C631" s="7">
        <f>3</f>
        <v>3</v>
      </c>
      <c r="D631" s="7">
        <v>2.0</v>
      </c>
      <c r="E631" s="7">
        <v>2.0</v>
      </c>
      <c r="F631" s="7" t="s">
        <v>83</v>
      </c>
      <c r="G631" s="7" t="s">
        <v>21</v>
      </c>
      <c r="H631" s="9" t="s">
        <v>2979</v>
      </c>
      <c r="I631" t="s">
        <v>2980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 t="str">
        <f t="shared" si="1"/>
        <v>Built-up :</v>
      </c>
      <c r="AE631" s="7" t="str">
        <f t="shared" si="2"/>
        <v> sq. ft.</v>
      </c>
      <c r="AF631">
        <f>IFERROR(__xludf.DUMMYFUNCTION("VALUE(REGEXREPLACE(G631,""[^[:digit:]]"", """"))"),1335.0)</f>
        <v>1335</v>
      </c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 t="s">
        <v>22</v>
      </c>
    </row>
    <row r="632">
      <c r="A632" s="7" t="s">
        <v>72</v>
      </c>
      <c r="B632" s="7" t="s">
        <v>768</v>
      </c>
      <c r="C632" s="7">
        <f>5+2</f>
        <v>7</v>
      </c>
      <c r="D632" s="7">
        <v>8.0</v>
      </c>
      <c r="E632" s="7">
        <v>5.0</v>
      </c>
      <c r="F632" s="7" t="s">
        <v>25</v>
      </c>
      <c r="G632" s="7" t="s">
        <v>769</v>
      </c>
      <c r="H632" s="9" t="s">
        <v>2981</v>
      </c>
      <c r="I632" t="s">
        <v>3327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 t="str">
        <f t="shared" si="1"/>
        <v>Land area </v>
      </c>
      <c r="AE632" s="7" t="str">
        <f t="shared" si="2"/>
        <v> sq. ft.</v>
      </c>
      <c r="AF632">
        <f>IFERROR(__xludf.DUMMYFUNCTION("VALUE(REGEXREPLACE(G632,""[^[:digit:]]"", """"))"),8600.0)</f>
        <v>8600</v>
      </c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 t="s">
        <v>22</v>
      </c>
    </row>
    <row r="633">
      <c r="A633" s="7" t="s">
        <v>164</v>
      </c>
      <c r="B633" s="7" t="s">
        <v>770</v>
      </c>
      <c r="C633" s="7">
        <f>4+1</f>
        <v>5</v>
      </c>
      <c r="D633" s="7">
        <v>5.0</v>
      </c>
      <c r="E633" s="7">
        <v>4.0</v>
      </c>
      <c r="F633" s="7" t="s">
        <v>312</v>
      </c>
      <c r="G633" s="7" t="s">
        <v>570</v>
      </c>
      <c r="H633" s="9" t="s">
        <v>2979</v>
      </c>
      <c r="I633" t="s">
        <v>3230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 t="str">
        <f t="shared" si="1"/>
        <v>Built-up :</v>
      </c>
      <c r="AE633" s="7" t="str">
        <f t="shared" si="2"/>
        <v> sq. ft.</v>
      </c>
      <c r="AF633">
        <f>IFERROR(__xludf.DUMMYFUNCTION("VALUE(REGEXREPLACE(G633,""[^[:digit:]]"", """"))"),3143.0)</f>
        <v>3143</v>
      </c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 t="s">
        <v>27</v>
      </c>
    </row>
    <row r="634">
      <c r="A634" s="7" t="s">
        <v>164</v>
      </c>
      <c r="B634" s="7" t="s">
        <v>422</v>
      </c>
      <c r="C634" s="7">
        <f>5+1</f>
        <v>6</v>
      </c>
      <c r="D634" s="7">
        <v>5.0</v>
      </c>
      <c r="E634" s="9">
        <v>2.0</v>
      </c>
      <c r="F634" s="7" t="s">
        <v>83</v>
      </c>
      <c r="G634" s="7" t="s">
        <v>771</v>
      </c>
      <c r="H634" s="9" t="s">
        <v>2979</v>
      </c>
      <c r="I634" t="s">
        <v>3328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 t="str">
        <f t="shared" si="1"/>
        <v>Built-up :</v>
      </c>
      <c r="AE634" s="7" t="str">
        <f t="shared" si="2"/>
        <v> sq. ft.</v>
      </c>
      <c r="AF634">
        <f>IFERROR(__xludf.DUMMYFUNCTION("VALUE(REGEXREPLACE(G634,""[^[:digit:]]"", """"))"),3004.0)</f>
        <v>3004</v>
      </c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 t="s">
        <v>22</v>
      </c>
    </row>
    <row r="635">
      <c r="A635" s="7" t="s">
        <v>177</v>
      </c>
      <c r="B635" s="7" t="s">
        <v>433</v>
      </c>
      <c r="C635" s="7">
        <f>12</f>
        <v>12</v>
      </c>
      <c r="D635" s="7">
        <v>8.0</v>
      </c>
      <c r="E635" s="7">
        <v>6.0</v>
      </c>
      <c r="F635" s="7" t="s">
        <v>61</v>
      </c>
      <c r="G635" s="7" t="s">
        <v>772</v>
      </c>
      <c r="H635" s="9" t="s">
        <v>2981</v>
      </c>
      <c r="I635" t="s">
        <v>3329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 t="str">
        <f t="shared" si="1"/>
        <v>Land area </v>
      </c>
      <c r="AE635" s="7" t="str">
        <f t="shared" si="2"/>
        <v> sq. ft.</v>
      </c>
      <c r="AF635">
        <f>IFERROR(__xludf.DUMMYFUNCTION("VALUE(REGEXREPLACE(G635,""[^[:digit:]]"", """"))"),6507.0)</f>
        <v>6507</v>
      </c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 t="s">
        <v>27</v>
      </c>
    </row>
    <row r="636">
      <c r="A636" s="7" t="s">
        <v>72</v>
      </c>
      <c r="B636" s="7" t="s">
        <v>773</v>
      </c>
      <c r="C636" s="7">
        <f>6+1</f>
        <v>7</v>
      </c>
      <c r="D636" s="7">
        <v>8.0</v>
      </c>
      <c r="E636" s="7">
        <v>2.0</v>
      </c>
      <c r="F636" s="7" t="s">
        <v>67</v>
      </c>
      <c r="G636" s="7" t="s">
        <v>774</v>
      </c>
      <c r="H636" s="9" t="s">
        <v>2981</v>
      </c>
      <c r="I636" t="s">
        <v>3330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 t="str">
        <f t="shared" si="1"/>
        <v>Land area </v>
      </c>
      <c r="AE636" s="7" t="str">
        <f t="shared" si="2"/>
        <v> sq. ft.</v>
      </c>
      <c r="AF636">
        <f>IFERROR(__xludf.DUMMYFUNCTION("VALUE(REGEXREPLACE(G636,""[^[:digit:]]"", """"))"),8700.0)</f>
        <v>8700</v>
      </c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 t="s">
        <v>27</v>
      </c>
    </row>
    <row r="637">
      <c r="A637" s="7" t="s">
        <v>177</v>
      </c>
      <c r="B637" s="7" t="s">
        <v>530</v>
      </c>
      <c r="C637" s="7">
        <f>6</f>
        <v>6</v>
      </c>
      <c r="D637" s="7">
        <v>6.0</v>
      </c>
      <c r="E637" s="7">
        <v>4.0</v>
      </c>
      <c r="F637" s="7" t="s">
        <v>43</v>
      </c>
      <c r="G637" s="7" t="s">
        <v>775</v>
      </c>
      <c r="H637" s="9" t="s">
        <v>2981</v>
      </c>
      <c r="I637" t="s">
        <v>3331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 t="str">
        <f t="shared" si="1"/>
        <v>Land area </v>
      </c>
      <c r="AE637" s="7" t="str">
        <f t="shared" si="2"/>
        <v> sq. ft.</v>
      </c>
      <c r="AF637">
        <f>IFERROR(__xludf.DUMMYFUNCTION("VALUE(REGEXREPLACE(G637,""[^[:digit:]]"", """"))"),4800.0)</f>
        <v>4800</v>
      </c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 t="s">
        <v>27</v>
      </c>
    </row>
    <row r="638">
      <c r="A638" s="7" t="s">
        <v>72</v>
      </c>
      <c r="B638" s="7" t="s">
        <v>158</v>
      </c>
      <c r="C638" s="7">
        <f>3+1</f>
        <v>4</v>
      </c>
      <c r="D638" s="7">
        <v>3.0</v>
      </c>
      <c r="E638" s="7">
        <v>2.0</v>
      </c>
      <c r="F638" s="7" t="s">
        <v>83</v>
      </c>
      <c r="G638" s="7" t="s">
        <v>119</v>
      </c>
      <c r="H638" s="9" t="s">
        <v>2979</v>
      </c>
      <c r="I638" t="s">
        <v>3015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 t="str">
        <f t="shared" si="1"/>
        <v>Built-up :</v>
      </c>
      <c r="AE638" s="7" t="str">
        <f t="shared" si="2"/>
        <v> sq. ft.</v>
      </c>
      <c r="AF638">
        <f>IFERROR(__xludf.DUMMYFUNCTION("VALUE(REGEXREPLACE(G638,""[^[:digit:]]"", """"))"),2020.0)</f>
        <v>2020</v>
      </c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 t="s">
        <v>22</v>
      </c>
    </row>
    <row r="639">
      <c r="A639" s="7" t="s">
        <v>17</v>
      </c>
      <c r="B639" s="7" t="s">
        <v>704</v>
      </c>
      <c r="C639" s="7">
        <f>2</f>
        <v>2</v>
      </c>
      <c r="D639" s="7">
        <v>2.0</v>
      </c>
      <c r="E639" s="7">
        <v>2.0</v>
      </c>
      <c r="F639" s="7" t="s">
        <v>82</v>
      </c>
      <c r="G639" s="7" t="s">
        <v>318</v>
      </c>
      <c r="H639" s="9" t="s">
        <v>2979</v>
      </c>
      <c r="I639" t="s">
        <v>3105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 t="str">
        <f t="shared" si="1"/>
        <v>Built-up :</v>
      </c>
      <c r="AE639" s="7" t="str">
        <f t="shared" si="2"/>
        <v> sq. ft.</v>
      </c>
      <c r="AF639">
        <f>IFERROR(__xludf.DUMMYFUNCTION("VALUE(REGEXREPLACE(G639,""[^[:digit:]]"", """"))"),1572.0)</f>
        <v>1572</v>
      </c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 t="s">
        <v>27</v>
      </c>
    </row>
    <row r="640">
      <c r="A640" s="7" t="s">
        <v>17</v>
      </c>
      <c r="B640" s="7" t="s">
        <v>191</v>
      </c>
      <c r="C640" s="7">
        <f>2+1</f>
        <v>3</v>
      </c>
      <c r="D640" s="7">
        <v>2.0</v>
      </c>
      <c r="E640" s="7">
        <v>1.0</v>
      </c>
      <c r="F640" s="7" t="s">
        <v>20</v>
      </c>
      <c r="G640" s="7" t="s">
        <v>687</v>
      </c>
      <c r="H640" s="9" t="s">
        <v>2979</v>
      </c>
      <c r="I640" t="s">
        <v>3285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 t="str">
        <f t="shared" si="1"/>
        <v>Built-up :</v>
      </c>
      <c r="AE640" s="7" t="str">
        <f t="shared" si="2"/>
        <v> sq. ft.</v>
      </c>
      <c r="AF640">
        <f>IFERROR(__xludf.DUMMYFUNCTION("VALUE(REGEXREPLACE(G640,""[^[:digit:]]"", """"))"),811.0)</f>
        <v>811</v>
      </c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 t="s">
        <v>22</v>
      </c>
    </row>
    <row r="641">
      <c r="A641" s="7" t="s">
        <v>188</v>
      </c>
      <c r="B641" s="7" t="s">
        <v>191</v>
      </c>
      <c r="D641" s="7">
        <v>2.0</v>
      </c>
      <c r="E641" s="7">
        <v>1.0</v>
      </c>
      <c r="F641" s="7" t="s">
        <v>20</v>
      </c>
      <c r="G641" s="7" t="s">
        <v>776</v>
      </c>
      <c r="H641" s="9" t="s">
        <v>2979</v>
      </c>
      <c r="I641" t="s">
        <v>3332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 t="str">
        <f t="shared" si="1"/>
        <v>Built-up :</v>
      </c>
      <c r="AE641" s="7" t="str">
        <f t="shared" si="2"/>
        <v> sq. ft.</v>
      </c>
      <c r="AF641">
        <f>IFERROR(__xludf.DUMMYFUNCTION("VALUE(REGEXREPLACE(G641,""[^[:digit:]]"", """"))"),1012.0)</f>
        <v>1012</v>
      </c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 t="s">
        <v>22</v>
      </c>
    </row>
    <row r="642">
      <c r="A642" s="7" t="s">
        <v>267</v>
      </c>
      <c r="B642" s="7" t="s">
        <v>447</v>
      </c>
      <c r="C642" s="7">
        <f t="shared" ref="C642:C643" si="60">4+1</f>
        <v>5</v>
      </c>
      <c r="D642" s="7">
        <v>5.0</v>
      </c>
      <c r="E642" s="7">
        <v>6.0</v>
      </c>
      <c r="F642" s="7" t="s">
        <v>64</v>
      </c>
      <c r="G642" s="7" t="s">
        <v>777</v>
      </c>
      <c r="H642" s="9" t="s">
        <v>2981</v>
      </c>
      <c r="I642" t="s">
        <v>3333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 t="str">
        <f t="shared" si="1"/>
        <v>Land area </v>
      </c>
      <c r="AE642" s="7" t="str">
        <f t="shared" si="2"/>
        <v> sq. ft.</v>
      </c>
      <c r="AF642">
        <f>IFERROR(__xludf.DUMMYFUNCTION("VALUE(REGEXREPLACE(G642,""[^[:digit:]]"", """"))"),3040.0)</f>
        <v>3040</v>
      </c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 t="s">
        <v>27</v>
      </c>
    </row>
    <row r="643">
      <c r="A643" s="7" t="s">
        <v>267</v>
      </c>
      <c r="B643" s="7" t="s">
        <v>127</v>
      </c>
      <c r="C643" s="7">
        <f t="shared" si="60"/>
        <v>5</v>
      </c>
      <c r="D643" s="7">
        <v>5.0</v>
      </c>
      <c r="E643" s="7">
        <v>4.0</v>
      </c>
      <c r="F643" s="7" t="s">
        <v>61</v>
      </c>
      <c r="G643" s="7" t="s">
        <v>778</v>
      </c>
      <c r="H643" s="9" t="s">
        <v>2981</v>
      </c>
      <c r="I643" t="s">
        <v>3334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 t="str">
        <f t="shared" si="1"/>
        <v>Land area </v>
      </c>
      <c r="AE643" s="7" t="str">
        <f t="shared" si="2"/>
        <v> sq. ft.</v>
      </c>
      <c r="AF643">
        <f>IFERROR(__xludf.DUMMYFUNCTION("VALUE(REGEXREPLACE(G643,""[^[:digit:]]"", """"))"),1615.0)</f>
        <v>1615</v>
      </c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 t="s">
        <v>103</v>
      </c>
    </row>
    <row r="644">
      <c r="A644" s="7" t="s">
        <v>177</v>
      </c>
      <c r="B644" s="7" t="s">
        <v>779</v>
      </c>
      <c r="C644" s="7">
        <f>6</f>
        <v>6</v>
      </c>
      <c r="D644" s="7">
        <v>7.0</v>
      </c>
      <c r="E644" s="7">
        <v>6.0</v>
      </c>
      <c r="F644" s="7" t="s">
        <v>61</v>
      </c>
      <c r="G644" s="7" t="s">
        <v>780</v>
      </c>
      <c r="H644" s="9" t="s">
        <v>2981</v>
      </c>
      <c r="I644" t="s">
        <v>3335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 t="str">
        <f t="shared" si="1"/>
        <v>Land area </v>
      </c>
      <c r="AE644" s="7" t="str">
        <f t="shared" si="2"/>
        <v> sq. ft.</v>
      </c>
      <c r="AF644">
        <f>IFERROR(__xludf.DUMMYFUNCTION("VALUE(REGEXREPLACE(G644,""[^[:digit:]]"", """"))"),15000.0)</f>
        <v>15000</v>
      </c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 t="s">
        <v>27</v>
      </c>
    </row>
    <row r="645">
      <c r="A645" s="7" t="s">
        <v>267</v>
      </c>
      <c r="B645" s="7" t="s">
        <v>781</v>
      </c>
      <c r="C645" s="7">
        <f>5+1</f>
        <v>6</v>
      </c>
      <c r="D645" s="7">
        <v>5.0</v>
      </c>
      <c r="E645" s="7">
        <v>9.0</v>
      </c>
      <c r="F645" s="7" t="s">
        <v>83</v>
      </c>
      <c r="G645" s="7" t="s">
        <v>782</v>
      </c>
      <c r="H645" s="9" t="s">
        <v>2979</v>
      </c>
      <c r="I645" t="s">
        <v>3336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 t="str">
        <f t="shared" si="1"/>
        <v>Built-up :</v>
      </c>
      <c r="AE645" s="7" t="str">
        <f t="shared" si="2"/>
        <v> sq. ft.</v>
      </c>
      <c r="AF645">
        <f>IFERROR(__xludf.DUMMYFUNCTION("VALUE(REGEXREPLACE(G645,""[^[:digit:]]"", """"))"),4069.0)</f>
        <v>4069</v>
      </c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 t="s">
        <v>27</v>
      </c>
    </row>
    <row r="646">
      <c r="A646" s="7" t="s">
        <v>177</v>
      </c>
      <c r="B646" s="7" t="s">
        <v>783</v>
      </c>
      <c r="C646" s="7">
        <f t="shared" ref="C646:C647" si="61">4+1</f>
        <v>5</v>
      </c>
      <c r="D646" s="7">
        <v>6.0</v>
      </c>
      <c r="E646" s="7">
        <v>5.0</v>
      </c>
      <c r="F646" s="7" t="s">
        <v>30</v>
      </c>
      <c r="G646" s="7" t="s">
        <v>574</v>
      </c>
      <c r="H646" s="9" t="s">
        <v>2979</v>
      </c>
      <c r="I646" t="s">
        <v>3232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 t="str">
        <f t="shared" si="1"/>
        <v>Built-up :</v>
      </c>
      <c r="AE646" s="7" t="str">
        <f t="shared" si="2"/>
        <v> sq. ft.</v>
      </c>
      <c r="AF646">
        <f>IFERROR(__xludf.DUMMYFUNCTION("VALUE(REGEXREPLACE(G646,""[^[:digit:]]"", """"))"),4945.0)</f>
        <v>4945</v>
      </c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 t="s">
        <v>27</v>
      </c>
    </row>
    <row r="647">
      <c r="A647" s="7" t="s">
        <v>72</v>
      </c>
      <c r="B647" s="7" t="s">
        <v>390</v>
      </c>
      <c r="C647" s="7">
        <f t="shared" si="61"/>
        <v>5</v>
      </c>
      <c r="D647" s="7">
        <v>5.0</v>
      </c>
      <c r="E647" s="7">
        <v>6.0</v>
      </c>
      <c r="F647" s="7" t="s">
        <v>83</v>
      </c>
      <c r="G647" s="7" t="s">
        <v>784</v>
      </c>
      <c r="H647" s="9" t="s">
        <v>2979</v>
      </c>
      <c r="I647" t="s">
        <v>3337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 t="str">
        <f t="shared" si="1"/>
        <v>Built-up :</v>
      </c>
      <c r="AE647" s="7" t="str">
        <f t="shared" si="2"/>
        <v> sq. ft.</v>
      </c>
      <c r="AF647">
        <f>IFERROR(__xludf.DUMMYFUNCTION("VALUE(REGEXREPLACE(G647,""[^[:digit:]]"", """"))"),8000.0)</f>
        <v>8000</v>
      </c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 t="s">
        <v>27</v>
      </c>
    </row>
    <row r="648">
      <c r="A648" s="7" t="s">
        <v>267</v>
      </c>
      <c r="B648" s="7" t="s">
        <v>479</v>
      </c>
      <c r="C648" s="7">
        <f>5+1</f>
        <v>6</v>
      </c>
      <c r="D648" s="7">
        <v>7.0</v>
      </c>
      <c r="E648" s="7">
        <v>6.0</v>
      </c>
      <c r="F648" s="7" t="s">
        <v>61</v>
      </c>
      <c r="G648" s="7" t="s">
        <v>785</v>
      </c>
      <c r="H648" s="9" t="s">
        <v>2981</v>
      </c>
      <c r="I648" t="s">
        <v>3338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 t="str">
        <f t="shared" si="1"/>
        <v>Land area </v>
      </c>
      <c r="AE648" s="7" t="str">
        <f t="shared" si="2"/>
        <v> sq. ft.</v>
      </c>
      <c r="AF648">
        <f>IFERROR(__xludf.DUMMYFUNCTION("VALUE(REGEXREPLACE(G648,""[^[:digit:]]"", """"))"),7100.0)</f>
        <v>7100</v>
      </c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 t="s">
        <v>103</v>
      </c>
    </row>
    <row r="649">
      <c r="A649" s="7" t="s">
        <v>100</v>
      </c>
      <c r="B649" s="7" t="s">
        <v>715</v>
      </c>
      <c r="C649" s="7">
        <f>1</f>
        <v>1</v>
      </c>
      <c r="D649" s="7">
        <v>2.0</v>
      </c>
      <c r="E649" s="7">
        <v>1.0</v>
      </c>
      <c r="F649" s="7" t="s">
        <v>82</v>
      </c>
      <c r="G649" s="7" t="s">
        <v>786</v>
      </c>
      <c r="H649" s="9" t="s">
        <v>2979</v>
      </c>
      <c r="I649" t="s">
        <v>3339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 t="str">
        <f t="shared" si="1"/>
        <v>Built-up :</v>
      </c>
      <c r="AE649" s="7" t="str">
        <f t="shared" si="2"/>
        <v> sq. ft.</v>
      </c>
      <c r="AF649">
        <f>IFERROR(__xludf.DUMMYFUNCTION("VALUE(REGEXREPLACE(G649,""[^[:digit:]]"", """"))"),775.0)</f>
        <v>775</v>
      </c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 t="s">
        <v>22</v>
      </c>
    </row>
    <row r="650">
      <c r="A650" s="7" t="s">
        <v>267</v>
      </c>
      <c r="B650" s="7" t="s">
        <v>787</v>
      </c>
      <c r="C650" s="7">
        <f>4+1</f>
        <v>5</v>
      </c>
      <c r="D650" s="7">
        <v>5.0</v>
      </c>
      <c r="E650" s="7">
        <v>5.0</v>
      </c>
      <c r="F650" s="7" t="s">
        <v>788</v>
      </c>
      <c r="G650" s="7" t="s">
        <v>789</v>
      </c>
      <c r="H650" s="9" t="s">
        <v>2981</v>
      </c>
      <c r="I650" t="s">
        <v>3340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 t="str">
        <f t="shared" si="1"/>
        <v>Land area </v>
      </c>
      <c r="AE650" s="7" t="str">
        <f t="shared" si="2"/>
        <v> sq. ft.</v>
      </c>
      <c r="AF650">
        <f>IFERROR(__xludf.DUMMYFUNCTION("VALUE(REGEXREPLACE(G650,""[^[:digit:]]"", """"))"),1367.0)</f>
        <v>1367</v>
      </c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 t="s">
        <v>27</v>
      </c>
    </row>
    <row r="651">
      <c r="A651" s="7" t="s">
        <v>267</v>
      </c>
      <c r="B651" s="7" t="s">
        <v>790</v>
      </c>
      <c r="C651" s="7">
        <f>3+1</f>
        <v>4</v>
      </c>
      <c r="D651" s="7">
        <v>5.0</v>
      </c>
      <c r="E651" s="7">
        <v>4.0</v>
      </c>
      <c r="F651" s="7" t="s">
        <v>90</v>
      </c>
      <c r="G651" s="7" t="s">
        <v>791</v>
      </c>
      <c r="H651" s="9" t="s">
        <v>2981</v>
      </c>
      <c r="I651" t="s">
        <v>3341</v>
      </c>
      <c r="J651" s="7"/>
      <c r="K651" s="7"/>
      <c r="L651" s="7"/>
      <c r="M651" s="7"/>
      <c r="N651" s="7"/>
      <c r="O651" s="7"/>
      <c r="P651" s="7"/>
      <c r="Q651" s="7"/>
      <c r="R651" s="7"/>
      <c r="S651" s="7" t="s">
        <v>2993</v>
      </c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 t="str">
        <f t="shared" si="1"/>
        <v>Land area </v>
      </c>
      <c r="AE651" s="7" t="str">
        <f t="shared" si="2"/>
        <v> sq. ft.</v>
      </c>
      <c r="AF651">
        <f>IFERROR(__xludf.DUMMYFUNCTION("VALUE(REGEXREPLACE(G651,""[^[:digit:]]"", """"))"),2680.0)</f>
        <v>2680</v>
      </c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 t="s">
        <v>27</v>
      </c>
    </row>
    <row r="652">
      <c r="A652" s="7" t="s">
        <v>17</v>
      </c>
      <c r="B652" s="7" t="s">
        <v>191</v>
      </c>
      <c r="C652" s="7">
        <f t="shared" ref="C652:C653" si="62">2+1</f>
        <v>3</v>
      </c>
      <c r="D652" s="7">
        <v>2.0</v>
      </c>
      <c r="E652" s="7">
        <v>1.0</v>
      </c>
      <c r="F652" s="7" t="s">
        <v>82</v>
      </c>
      <c r="G652" s="7" t="s">
        <v>792</v>
      </c>
      <c r="H652" s="9" t="s">
        <v>2979</v>
      </c>
      <c r="I652" t="s">
        <v>3342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 t="str">
        <f t="shared" si="1"/>
        <v>Built-up :</v>
      </c>
      <c r="AE652" s="7" t="str">
        <f t="shared" si="2"/>
        <v> sq. ft.</v>
      </c>
      <c r="AF652">
        <f>IFERROR(__xludf.DUMMYFUNCTION("VALUE(REGEXREPLACE(G652,""[^[:digit:]]"", """"))"),849.0)</f>
        <v>849</v>
      </c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 t="s">
        <v>22</v>
      </c>
    </row>
    <row r="653">
      <c r="A653" s="7" t="s">
        <v>180</v>
      </c>
      <c r="B653" s="7" t="s">
        <v>472</v>
      </c>
      <c r="C653" s="7">
        <f t="shared" si="62"/>
        <v>3</v>
      </c>
      <c r="D653" s="7">
        <v>3.0</v>
      </c>
      <c r="E653" s="7">
        <v>1.0</v>
      </c>
      <c r="F653" s="7" t="s">
        <v>121</v>
      </c>
      <c r="G653" s="7" t="s">
        <v>216</v>
      </c>
      <c r="H653" s="9" t="s">
        <v>2979</v>
      </c>
      <c r="I653" t="s">
        <v>3057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 t="str">
        <f t="shared" si="1"/>
        <v>Built-up :</v>
      </c>
      <c r="AE653" s="7" t="str">
        <f t="shared" si="2"/>
        <v> sq. ft.</v>
      </c>
      <c r="AF653">
        <f>IFERROR(__xludf.DUMMYFUNCTION("VALUE(REGEXREPLACE(G653,""[^[:digit:]]"", """"))"),1442.0)</f>
        <v>1442</v>
      </c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 t="s">
        <v>22</v>
      </c>
    </row>
    <row r="654">
      <c r="A654" s="7" t="s">
        <v>65</v>
      </c>
      <c r="B654" s="7" t="s">
        <v>479</v>
      </c>
      <c r="C654" s="7">
        <f>5</f>
        <v>5</v>
      </c>
      <c r="D654" s="7">
        <v>6.0</v>
      </c>
      <c r="E654" s="7">
        <v>5.0</v>
      </c>
      <c r="F654" s="7" t="s">
        <v>793</v>
      </c>
      <c r="G654" s="7" t="s">
        <v>794</v>
      </c>
      <c r="H654" s="9" t="s">
        <v>2979</v>
      </c>
      <c r="I654" t="s">
        <v>3343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 t="str">
        <f t="shared" si="1"/>
        <v>Built-up :</v>
      </c>
      <c r="AE654" s="7" t="str">
        <f t="shared" si="2"/>
        <v> sq. ft.</v>
      </c>
      <c r="AF654">
        <f>IFERROR(__xludf.DUMMYFUNCTION("VALUE(REGEXREPLACE(G654,""[^[:digit:]]"", """"))"),6900.0)</f>
        <v>6900</v>
      </c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 t="s">
        <v>27</v>
      </c>
    </row>
    <row r="655">
      <c r="A655" s="7" t="s">
        <v>33</v>
      </c>
      <c r="B655" s="7" t="s">
        <v>34</v>
      </c>
      <c r="C655" s="7">
        <f t="shared" ref="C655:C656" si="63">4+1</f>
        <v>5</v>
      </c>
      <c r="D655" s="7">
        <v>3.0</v>
      </c>
      <c r="E655" s="7">
        <v>3.0</v>
      </c>
      <c r="F655" s="7" t="s">
        <v>30</v>
      </c>
      <c r="G655" s="7" t="s">
        <v>36</v>
      </c>
      <c r="H655" s="9" t="s">
        <v>2979</v>
      </c>
      <c r="I655" t="s">
        <v>2986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 t="str">
        <f t="shared" si="1"/>
        <v>Built-up :</v>
      </c>
      <c r="AE655" s="7" t="str">
        <f t="shared" si="2"/>
        <v> sq. ft.</v>
      </c>
      <c r="AF655">
        <f>IFERROR(__xludf.DUMMYFUNCTION("VALUE(REGEXREPLACE(G655,""[^[:digit:]]"", """"))"),1513.0)</f>
        <v>1513</v>
      </c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 t="s">
        <v>27</v>
      </c>
    </row>
    <row r="656">
      <c r="A656" s="7" t="s">
        <v>33</v>
      </c>
      <c r="B656" s="7" t="s">
        <v>284</v>
      </c>
      <c r="C656" s="7">
        <f t="shared" si="63"/>
        <v>5</v>
      </c>
      <c r="D656" s="7">
        <v>4.0</v>
      </c>
      <c r="E656" s="7">
        <v>4.0</v>
      </c>
      <c r="F656" s="7" t="s">
        <v>30</v>
      </c>
      <c r="G656" s="7" t="s">
        <v>137</v>
      </c>
      <c r="H656" s="9" t="s">
        <v>2979</v>
      </c>
      <c r="I656" t="s">
        <v>3024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 t="str">
        <f t="shared" si="1"/>
        <v>Built-up :</v>
      </c>
      <c r="AE656" s="7" t="str">
        <f t="shared" si="2"/>
        <v> sq. ft.</v>
      </c>
      <c r="AF656">
        <f>IFERROR(__xludf.DUMMYFUNCTION("VALUE(REGEXREPLACE(G656,""[^[:digit:]]"", """"))"),1772.0)</f>
        <v>1772</v>
      </c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 t="s">
        <v>27</v>
      </c>
    </row>
    <row r="657">
      <c r="A657" s="7" t="s">
        <v>89</v>
      </c>
      <c r="B657" s="7" t="s">
        <v>221</v>
      </c>
      <c r="C657" s="7">
        <f>2+1</f>
        <v>3</v>
      </c>
      <c r="D657" s="7">
        <v>2.0</v>
      </c>
      <c r="E657" s="7">
        <v>2.0</v>
      </c>
      <c r="F657" s="7" t="s">
        <v>20</v>
      </c>
      <c r="G657" s="7" t="s">
        <v>764</v>
      </c>
      <c r="H657" s="9" t="s">
        <v>2979</v>
      </c>
      <c r="I657" t="s">
        <v>3325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 t="str">
        <f t="shared" si="1"/>
        <v>Built-up :</v>
      </c>
      <c r="AE657" s="7" t="str">
        <f t="shared" si="2"/>
        <v> sq. ft.</v>
      </c>
      <c r="AF657">
        <f>IFERROR(__xludf.DUMMYFUNCTION("VALUE(REGEXREPLACE(G657,""[^[:digit:]]"", """"))"),1025.0)</f>
        <v>1025</v>
      </c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 t="s">
        <v>27</v>
      </c>
    </row>
    <row r="658">
      <c r="A658" s="7" t="s">
        <v>33</v>
      </c>
      <c r="B658" s="7" t="s">
        <v>34</v>
      </c>
      <c r="C658" s="7">
        <f t="shared" ref="C658:C660" si="64">3</f>
        <v>3</v>
      </c>
      <c r="D658" s="7">
        <v>2.0</v>
      </c>
      <c r="E658" s="7">
        <v>2.0</v>
      </c>
      <c r="F658" s="7" t="s">
        <v>20</v>
      </c>
      <c r="G658" s="7" t="s">
        <v>795</v>
      </c>
      <c r="H658" s="9" t="s">
        <v>2979</v>
      </c>
      <c r="I658" t="s">
        <v>3344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 t="str">
        <f t="shared" si="1"/>
        <v>Built-up :</v>
      </c>
      <c r="AE658" s="7" t="str">
        <f t="shared" si="2"/>
        <v> sq. ft.</v>
      </c>
      <c r="AF658">
        <f>IFERROR(__xludf.DUMMYFUNCTION("VALUE(REGEXREPLACE(G658,""[^[:digit:]]"", """"))"),1170.0)</f>
        <v>1170</v>
      </c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 t="s">
        <v>27</v>
      </c>
    </row>
    <row r="659">
      <c r="A659" s="7" t="s">
        <v>171</v>
      </c>
      <c r="B659" s="7" t="s">
        <v>606</v>
      </c>
      <c r="C659" s="7">
        <f t="shared" si="64"/>
        <v>3</v>
      </c>
      <c r="E659" s="7">
        <v>2.0</v>
      </c>
      <c r="F659" s="7" t="s">
        <v>82</v>
      </c>
      <c r="G659" s="7" t="s">
        <v>607</v>
      </c>
      <c r="H659" s="9" t="s">
        <v>2979</v>
      </c>
      <c r="I659" t="s">
        <v>3245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 t="str">
        <f t="shared" si="1"/>
        <v>Built-up :</v>
      </c>
      <c r="AE659" s="7" t="str">
        <f t="shared" si="2"/>
        <v> sq. ft.</v>
      </c>
      <c r="AF659">
        <f>IFERROR(__xludf.DUMMYFUNCTION("VALUE(REGEXREPLACE(G659,""[^[:digit:]]"", """"))"),918.0)</f>
        <v>918</v>
      </c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 t="s">
        <v>103</v>
      </c>
    </row>
    <row r="660">
      <c r="A660" s="7" t="s">
        <v>89</v>
      </c>
      <c r="B660" s="7" t="s">
        <v>245</v>
      </c>
      <c r="C660" s="7">
        <f t="shared" si="64"/>
        <v>3</v>
      </c>
      <c r="D660" s="7">
        <v>3.0</v>
      </c>
      <c r="E660" s="7">
        <v>2.0</v>
      </c>
      <c r="F660" s="7" t="s">
        <v>20</v>
      </c>
      <c r="G660" s="7" t="s">
        <v>796</v>
      </c>
      <c r="H660" s="9" t="s">
        <v>2979</v>
      </c>
      <c r="I660" t="s">
        <v>3345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 t="str">
        <f t="shared" si="1"/>
        <v>Built-up :</v>
      </c>
      <c r="AE660" s="7" t="str">
        <f t="shared" si="2"/>
        <v> sq. ft.</v>
      </c>
      <c r="AF660">
        <f>IFERROR(__xludf.DUMMYFUNCTION("VALUE(REGEXREPLACE(G660,""[^[:digit:]]"", """"))"),1430.0)</f>
        <v>1430</v>
      </c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 t="s">
        <v>27</v>
      </c>
    </row>
    <row r="661">
      <c r="A661" s="7" t="s">
        <v>177</v>
      </c>
      <c r="B661" s="7" t="s">
        <v>66</v>
      </c>
      <c r="C661" s="7">
        <f>5</f>
        <v>5</v>
      </c>
      <c r="D661" s="7">
        <v>6.0</v>
      </c>
      <c r="E661" s="7">
        <v>4.0</v>
      </c>
      <c r="F661" s="7" t="s">
        <v>61</v>
      </c>
      <c r="G661" s="7" t="s">
        <v>696</v>
      </c>
      <c r="H661" s="9" t="s">
        <v>2981</v>
      </c>
      <c r="I661" t="s">
        <v>3288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 t="str">
        <f t="shared" si="1"/>
        <v>Land area </v>
      </c>
      <c r="AE661" s="7" t="str">
        <f t="shared" si="2"/>
        <v> sq. ft.</v>
      </c>
      <c r="AF661">
        <f>IFERROR(__xludf.DUMMYFUNCTION("VALUE(REGEXREPLACE(G661,""[^[:digit:]]"", """"))"),8000.0)</f>
        <v>8000</v>
      </c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 t="s">
        <v>27</v>
      </c>
    </row>
    <row r="662">
      <c r="A662" s="7" t="s">
        <v>23</v>
      </c>
      <c r="B662" s="7" t="s">
        <v>797</v>
      </c>
      <c r="C662" s="7">
        <f>7+1</f>
        <v>8</v>
      </c>
      <c r="D662" s="7">
        <v>9.0</v>
      </c>
      <c r="E662" s="7">
        <v>6.0</v>
      </c>
      <c r="F662" s="7" t="s">
        <v>67</v>
      </c>
      <c r="G662" s="7" t="s">
        <v>798</v>
      </c>
      <c r="H662" s="9" t="s">
        <v>2981</v>
      </c>
      <c r="I662" t="s">
        <v>3346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 t="str">
        <f t="shared" si="1"/>
        <v>Land area </v>
      </c>
      <c r="AE662" s="7" t="str">
        <f t="shared" si="2"/>
        <v> sq. ft.</v>
      </c>
      <c r="AF662">
        <f>IFERROR(__xludf.DUMMYFUNCTION("VALUE(REGEXREPLACE(G662,""[^[:digit:]]"", """"))"),7600.0)</f>
        <v>7600</v>
      </c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 t="s">
        <v>27</v>
      </c>
    </row>
    <row r="663">
      <c r="A663" s="7" t="s">
        <v>143</v>
      </c>
      <c r="B663" s="7" t="s">
        <v>799</v>
      </c>
      <c r="C663" s="7">
        <f>1</f>
        <v>1</v>
      </c>
      <c r="D663" s="7">
        <v>1.0</v>
      </c>
      <c r="E663" s="9">
        <v>2.0</v>
      </c>
      <c r="F663" s="7" t="s">
        <v>145</v>
      </c>
      <c r="G663" s="7" t="s">
        <v>800</v>
      </c>
      <c r="H663" s="9" t="s">
        <v>2979</v>
      </c>
      <c r="I663" t="s">
        <v>3347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 t="str">
        <f t="shared" si="1"/>
        <v>Built-up :</v>
      </c>
      <c r="AE663" s="7" t="str">
        <f t="shared" si="2"/>
        <v> sq. ft.</v>
      </c>
      <c r="AF663">
        <f>IFERROR(__xludf.DUMMYFUNCTION("VALUE(REGEXREPLACE(G663,""[^[:digit:]]"", """"))"),562.0)</f>
        <v>562</v>
      </c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 t="s">
        <v>27</v>
      </c>
    </row>
    <row r="664">
      <c r="A664" s="7" t="s">
        <v>33</v>
      </c>
      <c r="B664" s="7" t="s">
        <v>399</v>
      </c>
      <c r="C664" s="7">
        <f>4+1</f>
        <v>5</v>
      </c>
      <c r="D664" s="7">
        <v>5.0</v>
      </c>
      <c r="E664" s="7">
        <v>3.0</v>
      </c>
      <c r="F664" s="7" t="s">
        <v>30</v>
      </c>
      <c r="G664" s="7" t="s">
        <v>412</v>
      </c>
      <c r="H664" s="9" t="s">
        <v>2979</v>
      </c>
      <c r="I664" t="s">
        <v>3151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 t="str">
        <f t="shared" si="1"/>
        <v>Built-up :</v>
      </c>
      <c r="AE664" s="7" t="str">
        <f t="shared" si="2"/>
        <v> sq. ft.</v>
      </c>
      <c r="AF664">
        <f>IFERROR(__xludf.DUMMYFUNCTION("VALUE(REGEXREPLACE(G664,""[^[:digit:]]"", """"))"),2700.0)</f>
        <v>2700</v>
      </c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 t="s">
        <v>27</v>
      </c>
    </row>
    <row r="665">
      <c r="A665" s="7" t="s">
        <v>72</v>
      </c>
      <c r="B665" s="7" t="s">
        <v>327</v>
      </c>
      <c r="C665" s="7">
        <f>3</f>
        <v>3</v>
      </c>
      <c r="D665" s="7">
        <v>2.0</v>
      </c>
      <c r="E665" s="9">
        <v>2.0</v>
      </c>
      <c r="F665" s="7" t="s">
        <v>83</v>
      </c>
      <c r="G665" s="7" t="s">
        <v>135</v>
      </c>
      <c r="H665" s="9" t="s">
        <v>2979</v>
      </c>
      <c r="I665" t="s">
        <v>3023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 t="str">
        <f t="shared" si="1"/>
        <v>Built-up :</v>
      </c>
      <c r="AE665" s="7" t="str">
        <f t="shared" si="2"/>
        <v> sq. ft.</v>
      </c>
      <c r="AF665">
        <f>IFERROR(__xludf.DUMMYFUNCTION("VALUE(REGEXREPLACE(G665,""[^[:digit:]]"", """"))"),1200.0)</f>
        <v>1200</v>
      </c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 t="s">
        <v>27</v>
      </c>
    </row>
    <row r="666">
      <c r="A666" s="7" t="s">
        <v>371</v>
      </c>
      <c r="B666" s="7" t="s">
        <v>527</v>
      </c>
      <c r="C666" s="7">
        <f>3+1</f>
        <v>4</v>
      </c>
      <c r="D666" s="7">
        <v>4.0</v>
      </c>
      <c r="E666" s="7">
        <v>3.0</v>
      </c>
      <c r="F666" s="7" t="s">
        <v>30</v>
      </c>
      <c r="G666" s="7" t="s">
        <v>528</v>
      </c>
      <c r="H666" s="9" t="s">
        <v>2979</v>
      </c>
      <c r="I666" t="s">
        <v>3209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 t="str">
        <f t="shared" si="1"/>
        <v>Built-up :</v>
      </c>
      <c r="AE666" s="7" t="str">
        <f t="shared" si="2"/>
        <v> sq. ft.</v>
      </c>
      <c r="AF666">
        <f>IFERROR(__xludf.DUMMYFUNCTION("VALUE(REGEXREPLACE(G666,""[^[:digit:]]"", """"))"),2336.0)</f>
        <v>2336</v>
      </c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 t="s">
        <v>27</v>
      </c>
    </row>
    <row r="667">
      <c r="A667" s="7" t="s">
        <v>371</v>
      </c>
      <c r="B667" s="7" t="s">
        <v>268</v>
      </c>
      <c r="C667" s="7">
        <f>3</f>
        <v>3</v>
      </c>
      <c r="D667" s="7">
        <v>2.0</v>
      </c>
      <c r="E667" s="7">
        <v>1.0</v>
      </c>
      <c r="F667" s="7" t="s">
        <v>54</v>
      </c>
      <c r="G667" s="7" t="s">
        <v>801</v>
      </c>
      <c r="H667" s="9" t="s">
        <v>2981</v>
      </c>
      <c r="I667" t="s">
        <v>3008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 t="str">
        <f t="shared" si="1"/>
        <v>Land area </v>
      </c>
      <c r="AE667" s="7" t="str">
        <f t="shared" si="2"/>
        <v> sq. ft.</v>
      </c>
      <c r="AF667" s="7">
        <v>880.0</v>
      </c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 t="s">
        <v>27</v>
      </c>
    </row>
    <row r="668">
      <c r="A668" s="7" t="s">
        <v>608</v>
      </c>
      <c r="B668" s="7" t="s">
        <v>329</v>
      </c>
      <c r="C668" s="7">
        <f>2</f>
        <v>2</v>
      </c>
      <c r="D668" s="7">
        <v>2.0</v>
      </c>
      <c r="E668" s="7">
        <v>1.0</v>
      </c>
      <c r="F668" s="7" t="s">
        <v>83</v>
      </c>
      <c r="G668" s="7" t="s">
        <v>609</v>
      </c>
      <c r="H668" s="9" t="s">
        <v>2979</v>
      </c>
      <c r="I668" t="s">
        <v>3246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 t="str">
        <f t="shared" si="1"/>
        <v>Built-up :</v>
      </c>
      <c r="AE668" s="7" t="str">
        <f t="shared" si="2"/>
        <v> sq. ft.</v>
      </c>
      <c r="AF668">
        <f>IFERROR(__xludf.DUMMYFUNCTION("VALUE(REGEXREPLACE(G668,""[^[:digit:]]"", """"))"),969.0)</f>
        <v>969</v>
      </c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 t="s">
        <v>27</v>
      </c>
    </row>
    <row r="669">
      <c r="A669" s="7" t="s">
        <v>72</v>
      </c>
      <c r="B669" s="7" t="s">
        <v>802</v>
      </c>
      <c r="C669" s="7">
        <f>4+2</f>
        <v>6</v>
      </c>
      <c r="D669" s="7">
        <v>6.0</v>
      </c>
      <c r="E669" s="7">
        <v>3.0</v>
      </c>
      <c r="F669" s="7" t="s">
        <v>30</v>
      </c>
      <c r="G669" s="7" t="s">
        <v>803</v>
      </c>
      <c r="H669" s="9" t="s">
        <v>2979</v>
      </c>
      <c r="I669" t="s">
        <v>3348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 t="str">
        <f t="shared" si="1"/>
        <v>Built-up :</v>
      </c>
      <c r="AE669" s="7" t="str">
        <f t="shared" si="2"/>
        <v> sq. ft.</v>
      </c>
      <c r="AF669">
        <f>IFERROR(__xludf.DUMMYFUNCTION("VALUE(REGEXREPLACE(G669,""[^[:digit:]]"", """"))"),2874.0)</f>
        <v>2874</v>
      </c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 t="s">
        <v>27</v>
      </c>
    </row>
    <row r="670">
      <c r="A670" s="7" t="s">
        <v>77</v>
      </c>
      <c r="B670" s="7" t="s">
        <v>127</v>
      </c>
      <c r="C670" s="7">
        <f>4+1</f>
        <v>5</v>
      </c>
      <c r="D670" s="7">
        <v>6.0</v>
      </c>
      <c r="E670" s="9">
        <v>2.0</v>
      </c>
      <c r="F670" s="7" t="s">
        <v>804</v>
      </c>
      <c r="G670" s="7" t="s">
        <v>805</v>
      </c>
      <c r="H670" s="9" t="s">
        <v>2981</v>
      </c>
      <c r="I670" t="s">
        <v>3349</v>
      </c>
      <c r="J670" s="7"/>
      <c r="K670" s="7"/>
      <c r="L670" s="7"/>
      <c r="M670" s="7"/>
      <c r="N670" s="7"/>
      <c r="O670" s="7"/>
      <c r="P670" s="7"/>
      <c r="Q670" s="7"/>
      <c r="R670" s="7"/>
      <c r="S670" s="7" t="s">
        <v>3121</v>
      </c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 t="str">
        <f t="shared" si="1"/>
        <v>Land area </v>
      </c>
      <c r="AE670" s="7" t="str">
        <f t="shared" si="2"/>
        <v> sq. ft.</v>
      </c>
      <c r="AF670">
        <f>IFERROR(__xludf.DUMMYFUNCTION("VALUE(REGEXREPLACE(G670,""[^[:digit:]]"", """"))"),3170.0)</f>
        <v>3170</v>
      </c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 t="s">
        <v>27</v>
      </c>
    </row>
    <row r="671">
      <c r="A671" s="7" t="s">
        <v>77</v>
      </c>
      <c r="B671" s="7" t="s">
        <v>530</v>
      </c>
      <c r="C671" s="7">
        <f>7+1</f>
        <v>8</v>
      </c>
      <c r="D671" s="7">
        <v>9.0</v>
      </c>
      <c r="E671" s="9">
        <v>2.0</v>
      </c>
      <c r="F671" s="7" t="s">
        <v>300</v>
      </c>
      <c r="G671" s="7" t="s">
        <v>305</v>
      </c>
      <c r="H671" s="9" t="s">
        <v>2981</v>
      </c>
      <c r="I671" t="s">
        <v>3100</v>
      </c>
      <c r="J671" s="7"/>
      <c r="K671" s="7"/>
      <c r="L671" s="7"/>
      <c r="M671" s="7"/>
      <c r="N671" s="7"/>
      <c r="O671" s="7"/>
      <c r="P671" s="7"/>
      <c r="Q671" s="7"/>
      <c r="R671" s="7"/>
      <c r="S671" s="7" t="s">
        <v>3101</v>
      </c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 t="str">
        <f t="shared" si="1"/>
        <v>Land area </v>
      </c>
      <c r="AE671" s="7" t="str">
        <f t="shared" si="2"/>
        <v> sq. ft.</v>
      </c>
      <c r="AF671">
        <f>IFERROR(__xludf.DUMMYFUNCTION("VALUE(REGEXREPLACE(G671,""[^[:digit:]]"", """"))"),3385.0)</f>
        <v>3385</v>
      </c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 t="s">
        <v>27</v>
      </c>
    </row>
    <row r="672">
      <c r="A672" s="7" t="s">
        <v>32</v>
      </c>
      <c r="B672" s="7" t="s">
        <v>806</v>
      </c>
      <c r="C672" s="7">
        <f>3</f>
        <v>3</v>
      </c>
      <c r="D672" s="7">
        <v>2.0</v>
      </c>
      <c r="E672" s="7">
        <v>1.0</v>
      </c>
      <c r="F672" s="7" t="s">
        <v>82</v>
      </c>
      <c r="G672" s="7" t="s">
        <v>491</v>
      </c>
      <c r="H672" s="9" t="s">
        <v>2979</v>
      </c>
      <c r="I672" t="s">
        <v>3190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 t="str">
        <f t="shared" si="1"/>
        <v>Built-up :</v>
      </c>
      <c r="AE672" s="7" t="str">
        <f t="shared" si="2"/>
        <v> sq. ft.</v>
      </c>
      <c r="AF672">
        <f>IFERROR(__xludf.DUMMYFUNCTION("VALUE(REGEXREPLACE(G672,""[^[:digit:]]"", """"))"),950.0)</f>
        <v>950</v>
      </c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 t="s">
        <v>27</v>
      </c>
    </row>
    <row r="673">
      <c r="A673" s="7" t="s">
        <v>100</v>
      </c>
      <c r="B673" s="7" t="s">
        <v>807</v>
      </c>
      <c r="C673" s="7">
        <f>3+1</f>
        <v>4</v>
      </c>
      <c r="D673" s="7">
        <v>4.0</v>
      </c>
      <c r="E673" s="7">
        <v>3.0</v>
      </c>
      <c r="F673" s="7" t="s">
        <v>30</v>
      </c>
      <c r="G673" s="7" t="s">
        <v>735</v>
      </c>
      <c r="H673" s="9" t="s">
        <v>2979</v>
      </c>
      <c r="I673" t="s">
        <v>3309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 t="str">
        <f t="shared" si="1"/>
        <v>Built-up :</v>
      </c>
      <c r="AE673" s="7" t="str">
        <f t="shared" si="2"/>
        <v> sq. ft.</v>
      </c>
      <c r="AF673">
        <f>IFERROR(__xludf.DUMMYFUNCTION("VALUE(REGEXREPLACE(G673,""[^[:digit:]]"", """"))"),2638.0)</f>
        <v>2638</v>
      </c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 t="s">
        <v>27</v>
      </c>
    </row>
    <row r="674">
      <c r="A674" s="7" t="s">
        <v>358</v>
      </c>
      <c r="B674" s="7" t="s">
        <v>808</v>
      </c>
      <c r="C674" s="7">
        <f>5+1</f>
        <v>6</v>
      </c>
      <c r="D674" s="7">
        <v>5.0</v>
      </c>
      <c r="E674" s="7">
        <v>5.0</v>
      </c>
      <c r="F674" s="7" t="s">
        <v>83</v>
      </c>
      <c r="G674" s="7" t="s">
        <v>307</v>
      </c>
      <c r="H674" s="9" t="s">
        <v>2979</v>
      </c>
      <c r="I674" t="s">
        <v>3102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 t="str">
        <f t="shared" si="1"/>
        <v>Built-up :</v>
      </c>
      <c r="AE674" s="7" t="str">
        <f t="shared" si="2"/>
        <v> sq. ft.</v>
      </c>
      <c r="AF674">
        <f>IFERROR(__xludf.DUMMYFUNCTION("VALUE(REGEXREPLACE(G674,""[^[:digit:]]"", """"))"),2500.0)</f>
        <v>2500</v>
      </c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 t="s">
        <v>27</v>
      </c>
    </row>
    <row r="675">
      <c r="A675" s="7" t="s">
        <v>17</v>
      </c>
      <c r="B675" s="7" t="s">
        <v>191</v>
      </c>
      <c r="C675" s="7">
        <f t="shared" ref="C675:C676" si="65">1</f>
        <v>1</v>
      </c>
      <c r="D675" s="7">
        <v>1.0</v>
      </c>
      <c r="E675" s="7">
        <v>1.0</v>
      </c>
      <c r="F675" s="7" t="s">
        <v>83</v>
      </c>
      <c r="G675" s="7" t="s">
        <v>393</v>
      </c>
      <c r="H675" s="9" t="s">
        <v>2979</v>
      </c>
      <c r="I675" t="s">
        <v>3142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 t="str">
        <f t="shared" si="1"/>
        <v>Built-up :</v>
      </c>
      <c r="AE675" s="7" t="str">
        <f t="shared" si="2"/>
        <v> sq. ft.</v>
      </c>
      <c r="AF675">
        <f>IFERROR(__xludf.DUMMYFUNCTION("VALUE(REGEXREPLACE(G675,""[^[:digit:]]"", """"))"),751.0)</f>
        <v>751</v>
      </c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 t="s">
        <v>27</v>
      </c>
    </row>
    <row r="676">
      <c r="A676" s="7" t="s">
        <v>72</v>
      </c>
      <c r="B676" s="7" t="s">
        <v>809</v>
      </c>
      <c r="C676" s="7">
        <f t="shared" si="65"/>
        <v>1</v>
      </c>
      <c r="D676" s="7">
        <v>1.0</v>
      </c>
      <c r="E676" s="7">
        <v>1.0</v>
      </c>
      <c r="F676" s="7" t="s">
        <v>20</v>
      </c>
      <c r="G676" s="7" t="s">
        <v>810</v>
      </c>
      <c r="H676" s="9" t="s">
        <v>2981</v>
      </c>
      <c r="I676" t="s">
        <v>3283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 t="str">
        <f t="shared" si="1"/>
        <v>Land area </v>
      </c>
      <c r="AE676" s="7" t="str">
        <f t="shared" si="2"/>
        <v> sq. ft.</v>
      </c>
      <c r="AF676">
        <f>IFERROR(__xludf.DUMMYFUNCTION("VALUE(REGEXREPLACE(G676,""[^[:digit:]]"", """"))"),462.0)</f>
        <v>462</v>
      </c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 t="s">
        <v>22</v>
      </c>
    </row>
    <row r="677">
      <c r="A677" s="7" t="s">
        <v>77</v>
      </c>
      <c r="B677" s="7" t="s">
        <v>811</v>
      </c>
      <c r="C677" s="7">
        <f>3+1</f>
        <v>4</v>
      </c>
      <c r="D677" s="7">
        <v>5.0</v>
      </c>
      <c r="E677" s="7">
        <v>4.0</v>
      </c>
      <c r="F677" s="7" t="s">
        <v>184</v>
      </c>
      <c r="G677" s="7" t="s">
        <v>812</v>
      </c>
      <c r="H677" s="9" t="s">
        <v>2981</v>
      </c>
      <c r="I677" t="s">
        <v>3350</v>
      </c>
      <c r="J677" s="7"/>
      <c r="K677" s="7"/>
      <c r="L677" s="7"/>
      <c r="M677" s="7"/>
      <c r="N677" s="7"/>
      <c r="O677" s="7"/>
      <c r="P677" s="7"/>
      <c r="Q677" s="7"/>
      <c r="R677" s="7"/>
      <c r="S677" s="7" t="s">
        <v>3351</v>
      </c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 t="str">
        <f t="shared" si="1"/>
        <v>Land area </v>
      </c>
      <c r="AE677" s="7" t="str">
        <f t="shared" si="2"/>
        <v> sq. ft.</v>
      </c>
      <c r="AF677">
        <f>IFERROR(__xludf.DUMMYFUNCTION("VALUE(REGEXREPLACE(G677,""[^[:digit:]]"", """"))"),4582.0)</f>
        <v>4582</v>
      </c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 t="s">
        <v>27</v>
      </c>
    </row>
    <row r="678">
      <c r="A678" s="7" t="s">
        <v>17</v>
      </c>
      <c r="B678" s="7" t="s">
        <v>73</v>
      </c>
      <c r="C678" s="7">
        <f>1</f>
        <v>1</v>
      </c>
      <c r="D678" s="7">
        <v>1.0</v>
      </c>
      <c r="E678" s="7">
        <v>1.0</v>
      </c>
      <c r="F678" s="7" t="s">
        <v>20</v>
      </c>
      <c r="G678" s="7" t="s">
        <v>226</v>
      </c>
      <c r="H678" s="9" t="s">
        <v>2979</v>
      </c>
      <c r="I678" t="s">
        <v>3063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 t="str">
        <f t="shared" si="1"/>
        <v>Built-up :</v>
      </c>
      <c r="AE678" s="7" t="str">
        <f t="shared" si="2"/>
        <v> sq. ft.</v>
      </c>
      <c r="AF678">
        <f>IFERROR(__xludf.DUMMYFUNCTION("VALUE(REGEXREPLACE(G678,""[^[:digit:]]"", """"))"),728.0)</f>
        <v>728</v>
      </c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 t="s">
        <v>22</v>
      </c>
    </row>
    <row r="679">
      <c r="A679" s="7" t="s">
        <v>17</v>
      </c>
      <c r="B679" s="7" t="s">
        <v>322</v>
      </c>
      <c r="C679" s="7">
        <f>2+1</f>
        <v>3</v>
      </c>
      <c r="D679" s="7">
        <v>2.0</v>
      </c>
      <c r="E679" s="7">
        <v>1.0</v>
      </c>
      <c r="F679" s="7" t="s">
        <v>83</v>
      </c>
      <c r="G679" s="7" t="s">
        <v>323</v>
      </c>
      <c r="H679" s="9" t="s">
        <v>2979</v>
      </c>
      <c r="I679" t="s">
        <v>3108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 t="str">
        <f t="shared" si="1"/>
        <v>Built-up :</v>
      </c>
      <c r="AE679" s="7" t="str">
        <f t="shared" si="2"/>
        <v> sq. ft.</v>
      </c>
      <c r="AF679">
        <f>IFERROR(__xludf.DUMMYFUNCTION("VALUE(REGEXREPLACE(G679,""[^[:digit:]]"", """"))"),915.0)</f>
        <v>915</v>
      </c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 t="s">
        <v>27</v>
      </c>
    </row>
    <row r="680">
      <c r="A680" s="7" t="s">
        <v>77</v>
      </c>
      <c r="B680" s="7" t="s">
        <v>813</v>
      </c>
      <c r="C680" s="7">
        <f>4+1</f>
        <v>5</v>
      </c>
      <c r="D680" s="7">
        <v>3.0</v>
      </c>
      <c r="E680" s="9">
        <v>2.0</v>
      </c>
      <c r="F680" s="7" t="s">
        <v>169</v>
      </c>
      <c r="G680" s="7" t="s">
        <v>248</v>
      </c>
      <c r="H680" s="9" t="s">
        <v>2979</v>
      </c>
      <c r="I680" t="s">
        <v>3075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 t="str">
        <f t="shared" si="1"/>
        <v>Built-up :</v>
      </c>
      <c r="AE680" s="7" t="str">
        <f t="shared" si="2"/>
        <v> sq. ft.</v>
      </c>
      <c r="AF680">
        <f>IFERROR(__xludf.DUMMYFUNCTION("VALUE(REGEXREPLACE(G680,""[^[:digit:]]"", """"))"),2200.0)</f>
        <v>2200</v>
      </c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 t="s">
        <v>27</v>
      </c>
    </row>
    <row r="681">
      <c r="A681" s="7" t="s">
        <v>77</v>
      </c>
      <c r="B681" s="7" t="s">
        <v>814</v>
      </c>
      <c r="C681" s="7">
        <f>3+1</f>
        <v>4</v>
      </c>
      <c r="D681" s="7">
        <v>4.0</v>
      </c>
      <c r="E681" s="9">
        <v>2.0</v>
      </c>
      <c r="F681" s="7" t="s">
        <v>54</v>
      </c>
      <c r="G681" s="7" t="s">
        <v>91</v>
      </c>
      <c r="H681" s="9" t="s">
        <v>2981</v>
      </c>
      <c r="I681" t="s">
        <v>3003</v>
      </c>
      <c r="J681" s="7"/>
      <c r="K681" s="7"/>
      <c r="L681" s="7"/>
      <c r="M681" s="7"/>
      <c r="N681" s="7"/>
      <c r="O681" s="7"/>
      <c r="P681" s="7"/>
      <c r="Q681" s="7"/>
      <c r="R681" s="7"/>
      <c r="S681" s="7" t="s">
        <v>2990</v>
      </c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 t="str">
        <f t="shared" si="1"/>
        <v>Land area </v>
      </c>
      <c r="AE681" s="7" t="str">
        <f t="shared" si="2"/>
        <v> sq. ft.</v>
      </c>
      <c r="AF681">
        <f>IFERROR(__xludf.DUMMYFUNCTION("VALUE(REGEXREPLACE(G681,""[^[:digit:]]"", """"))"),2075.0)</f>
        <v>2075</v>
      </c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 t="s">
        <v>27</v>
      </c>
    </row>
    <row r="682">
      <c r="A682" s="7" t="s">
        <v>17</v>
      </c>
      <c r="B682" s="7" t="s">
        <v>191</v>
      </c>
      <c r="C682" s="7">
        <f>1</f>
        <v>1</v>
      </c>
      <c r="D682" s="7">
        <v>1.0</v>
      </c>
      <c r="E682" s="7">
        <v>1.0</v>
      </c>
      <c r="F682" s="7" t="s">
        <v>96</v>
      </c>
      <c r="G682" s="7" t="s">
        <v>393</v>
      </c>
      <c r="H682" s="9" t="s">
        <v>2979</v>
      </c>
      <c r="I682" t="s">
        <v>3142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 t="str">
        <f t="shared" si="1"/>
        <v>Built-up :</v>
      </c>
      <c r="AE682" s="7" t="str">
        <f t="shared" si="2"/>
        <v> sq. ft.</v>
      </c>
      <c r="AF682">
        <f>IFERROR(__xludf.DUMMYFUNCTION("VALUE(REGEXREPLACE(G682,""[^[:digit:]]"", """"))"),751.0)</f>
        <v>751</v>
      </c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 t="s">
        <v>27</v>
      </c>
    </row>
    <row r="683">
      <c r="A683" s="7" t="s">
        <v>17</v>
      </c>
      <c r="B683" s="7" t="s">
        <v>85</v>
      </c>
      <c r="C683" s="7">
        <f>2</f>
        <v>2</v>
      </c>
      <c r="D683" s="7">
        <v>2.0</v>
      </c>
      <c r="E683" s="7">
        <v>1.0</v>
      </c>
      <c r="F683" s="7" t="s">
        <v>82</v>
      </c>
      <c r="G683" s="7" t="s">
        <v>157</v>
      </c>
      <c r="H683" s="9" t="s">
        <v>2979</v>
      </c>
      <c r="I683" t="s">
        <v>3031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 t="str">
        <f t="shared" si="1"/>
        <v>Built-up :</v>
      </c>
      <c r="AE683" s="7" t="str">
        <f t="shared" si="2"/>
        <v> sq. ft.</v>
      </c>
      <c r="AF683">
        <f>IFERROR(__xludf.DUMMYFUNCTION("VALUE(REGEXREPLACE(G683,""[^[:digit:]]"", """"))"),1050.0)</f>
        <v>1050</v>
      </c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 t="s">
        <v>22</v>
      </c>
    </row>
    <row r="684">
      <c r="A684" s="7" t="s">
        <v>23</v>
      </c>
      <c r="B684" s="7" t="s">
        <v>779</v>
      </c>
      <c r="C684" s="7">
        <f>7</f>
        <v>7</v>
      </c>
      <c r="D684" s="7">
        <v>7.0</v>
      </c>
      <c r="E684" s="7">
        <v>6.0</v>
      </c>
      <c r="F684" s="7" t="s">
        <v>25</v>
      </c>
      <c r="G684" s="7" t="s">
        <v>815</v>
      </c>
      <c r="H684" s="9" t="s">
        <v>2981</v>
      </c>
      <c r="I684" t="s">
        <v>3352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 t="str">
        <f t="shared" si="1"/>
        <v>Land area </v>
      </c>
      <c r="AE684" s="7" t="str">
        <f t="shared" si="2"/>
        <v> sq. ft.</v>
      </c>
      <c r="AF684">
        <f>IFERROR(__xludf.DUMMYFUNCTION("VALUE(REGEXREPLACE(G684,""[^[:digit:]]"", """"))"),16000.0)</f>
        <v>16000</v>
      </c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 t="s">
        <v>22</v>
      </c>
    </row>
    <row r="685">
      <c r="A685" s="7" t="s">
        <v>77</v>
      </c>
      <c r="B685" s="7" t="s">
        <v>475</v>
      </c>
      <c r="C685" s="7">
        <f>4+1</f>
        <v>5</v>
      </c>
      <c r="D685" s="7">
        <v>4.0</v>
      </c>
      <c r="E685" s="7">
        <v>3.0</v>
      </c>
      <c r="F685" s="7" t="s">
        <v>46</v>
      </c>
      <c r="G685" s="7" t="s">
        <v>816</v>
      </c>
      <c r="H685" s="9" t="s">
        <v>2981</v>
      </c>
      <c r="I685" t="s">
        <v>3086</v>
      </c>
      <c r="J685" s="7"/>
      <c r="K685" s="7"/>
      <c r="L685" s="7"/>
      <c r="M685" s="7"/>
      <c r="N685" s="7"/>
      <c r="O685" s="7"/>
      <c r="P685" s="7"/>
      <c r="Q685" s="7"/>
      <c r="R685" s="7"/>
      <c r="S685" s="7" t="s">
        <v>3353</v>
      </c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 t="str">
        <f t="shared" si="1"/>
        <v>Land area </v>
      </c>
      <c r="AE685" s="7" t="str">
        <f t="shared" si="2"/>
        <v> sq. ft.</v>
      </c>
      <c r="AF685">
        <f>IFERROR(__xludf.DUMMYFUNCTION("VALUE(REGEXREPLACE(G685,""[^[:digit:]]"", """"))"),3.875285E7)</f>
        <v>38752850</v>
      </c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 t="s">
        <v>27</v>
      </c>
    </row>
    <row r="686">
      <c r="A686" s="7" t="s">
        <v>77</v>
      </c>
      <c r="B686" s="7" t="s">
        <v>134</v>
      </c>
      <c r="C686" s="7">
        <f>3</f>
        <v>3</v>
      </c>
      <c r="D686" s="7">
        <v>2.0</v>
      </c>
      <c r="E686" s="7">
        <v>2.0</v>
      </c>
      <c r="F686" s="7" t="s">
        <v>30</v>
      </c>
      <c r="G686" s="7" t="s">
        <v>817</v>
      </c>
      <c r="H686" s="9" t="s">
        <v>2979</v>
      </c>
      <c r="I686" t="s">
        <v>3354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 t="str">
        <f t="shared" si="1"/>
        <v>Built-up :</v>
      </c>
      <c r="AE686" s="7" t="str">
        <f t="shared" si="2"/>
        <v> sq. ft.</v>
      </c>
      <c r="AF686">
        <f>IFERROR(__xludf.DUMMYFUNCTION("VALUE(REGEXREPLACE(G686,""[^[:digit:]]"", """"))"),1580.0)</f>
        <v>1580</v>
      </c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 t="s">
        <v>27</v>
      </c>
    </row>
    <row r="687">
      <c r="A687" s="7" t="s">
        <v>17</v>
      </c>
      <c r="B687" s="7" t="s">
        <v>818</v>
      </c>
      <c r="C687" s="7">
        <f>2</f>
        <v>2</v>
      </c>
      <c r="D687" s="7">
        <v>2.0</v>
      </c>
      <c r="E687" s="7">
        <v>1.0</v>
      </c>
      <c r="F687" s="7" t="s">
        <v>82</v>
      </c>
      <c r="G687" s="7" t="s">
        <v>111</v>
      </c>
      <c r="H687" s="9" t="s">
        <v>2979</v>
      </c>
      <c r="I687" t="s">
        <v>3011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 t="str">
        <f t="shared" si="1"/>
        <v>Built-up :</v>
      </c>
      <c r="AE687" s="7" t="str">
        <f t="shared" si="2"/>
        <v> sq. ft.</v>
      </c>
      <c r="AF687">
        <f>IFERROR(__xludf.DUMMYFUNCTION("VALUE(REGEXREPLACE(G687,""[^[:digit:]]"", """"))"),1006.0)</f>
        <v>1006</v>
      </c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 t="s">
        <v>22</v>
      </c>
    </row>
    <row r="688">
      <c r="A688" s="7" t="s">
        <v>17</v>
      </c>
      <c r="B688" s="7" t="s">
        <v>73</v>
      </c>
      <c r="C688" s="7">
        <f>1</f>
        <v>1</v>
      </c>
      <c r="D688" s="7">
        <v>1.0</v>
      </c>
      <c r="E688" s="7">
        <v>1.0</v>
      </c>
      <c r="F688" s="7" t="s">
        <v>20</v>
      </c>
      <c r="G688" s="7" t="s">
        <v>226</v>
      </c>
      <c r="H688" s="9" t="s">
        <v>2979</v>
      </c>
      <c r="I688" t="s">
        <v>3063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 t="str">
        <f t="shared" si="1"/>
        <v>Built-up :</v>
      </c>
      <c r="AE688" s="7" t="str">
        <f t="shared" si="2"/>
        <v> sq. ft.</v>
      </c>
      <c r="AF688">
        <f>IFERROR(__xludf.DUMMYFUNCTION("VALUE(REGEXREPLACE(G688,""[^[:digit:]]"", """"))"),728.0)</f>
        <v>728</v>
      </c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 t="s">
        <v>22</v>
      </c>
    </row>
    <row r="689">
      <c r="A689" s="7" t="s">
        <v>77</v>
      </c>
      <c r="B689" s="7" t="s">
        <v>610</v>
      </c>
      <c r="C689" s="7">
        <f t="shared" ref="C689:C691" si="66">3+1</f>
        <v>4</v>
      </c>
      <c r="D689" s="7">
        <v>5.0</v>
      </c>
      <c r="E689" s="9">
        <v>2.0</v>
      </c>
      <c r="F689" s="7" t="s">
        <v>54</v>
      </c>
      <c r="G689" s="7" t="s">
        <v>275</v>
      </c>
      <c r="H689" s="9" t="s">
        <v>2981</v>
      </c>
      <c r="I689" t="s">
        <v>3087</v>
      </c>
      <c r="J689" s="7"/>
      <c r="K689" s="7"/>
      <c r="L689" s="7"/>
      <c r="M689" s="7"/>
      <c r="N689" s="7"/>
      <c r="O689" s="7"/>
      <c r="P689" s="7"/>
      <c r="Q689" s="7"/>
      <c r="R689" s="7"/>
      <c r="S689" s="7" t="s">
        <v>3088</v>
      </c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 t="str">
        <f t="shared" si="1"/>
        <v>Land area </v>
      </c>
      <c r="AE689" s="7" t="str">
        <f t="shared" si="2"/>
        <v> sq. ft.</v>
      </c>
      <c r="AF689">
        <f>IFERROR(__xludf.DUMMYFUNCTION("VALUE(REGEXREPLACE(G689,""[^[:digit:]]"", """"))"),2283.0)</f>
        <v>2283</v>
      </c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 t="s">
        <v>27</v>
      </c>
    </row>
    <row r="690">
      <c r="A690" s="7" t="s">
        <v>77</v>
      </c>
      <c r="B690" s="7" t="s">
        <v>98</v>
      </c>
      <c r="C690" s="7">
        <f t="shared" si="66"/>
        <v>4</v>
      </c>
      <c r="D690" s="7">
        <v>3.0</v>
      </c>
      <c r="E690" s="7">
        <v>2.0</v>
      </c>
      <c r="F690" s="7" t="s">
        <v>54</v>
      </c>
      <c r="G690" s="7" t="s">
        <v>283</v>
      </c>
      <c r="H690" s="9" t="s">
        <v>2981</v>
      </c>
      <c r="I690" t="s">
        <v>3091</v>
      </c>
      <c r="J690" s="7"/>
      <c r="K690" s="7"/>
      <c r="L690" s="7"/>
      <c r="M690" s="7"/>
      <c r="N690" s="7"/>
      <c r="O690" s="7"/>
      <c r="P690" s="7"/>
      <c r="Q690" s="7"/>
      <c r="R690" s="7"/>
      <c r="S690" s="7" t="s">
        <v>2990</v>
      </c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 t="str">
        <f t="shared" si="1"/>
        <v>Land area </v>
      </c>
      <c r="AE690" s="7" t="str">
        <f t="shared" si="2"/>
        <v> sq. ft.</v>
      </c>
      <c r="AF690">
        <f>IFERROR(__xludf.DUMMYFUNCTION("VALUE(REGEXREPLACE(G690,""[^[:digit:]]"", """"))"),2275.0)</f>
        <v>2275</v>
      </c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>
      <c r="A691" s="7" t="s">
        <v>17</v>
      </c>
      <c r="B691" s="7" t="s">
        <v>120</v>
      </c>
      <c r="C691" s="7">
        <f t="shared" si="66"/>
        <v>4</v>
      </c>
      <c r="D691" s="7">
        <v>5.0</v>
      </c>
      <c r="E691" s="7">
        <v>2.0</v>
      </c>
      <c r="F691" s="7" t="s">
        <v>121</v>
      </c>
      <c r="G691" s="7" t="s">
        <v>122</v>
      </c>
      <c r="H691" s="9" t="s">
        <v>2979</v>
      </c>
      <c r="I691" t="s">
        <v>3016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 t="str">
        <f t="shared" si="1"/>
        <v>Built-up :</v>
      </c>
      <c r="AE691" s="7" t="str">
        <f t="shared" si="2"/>
        <v> sq. ft.</v>
      </c>
      <c r="AF691">
        <f>IFERROR(__xludf.DUMMYFUNCTION("VALUE(REGEXREPLACE(G691,""[^[:digit:]]"", """"))"),3897.0)</f>
        <v>3897</v>
      </c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 t="s">
        <v>27</v>
      </c>
    </row>
    <row r="692">
      <c r="A692" s="7" t="s">
        <v>188</v>
      </c>
      <c r="B692" s="7" t="s">
        <v>34</v>
      </c>
      <c r="C692" s="7">
        <f>3</f>
        <v>3</v>
      </c>
      <c r="D692" s="7">
        <v>3.0</v>
      </c>
      <c r="E692" s="7">
        <v>1.0</v>
      </c>
      <c r="F692" s="7" t="s">
        <v>82</v>
      </c>
      <c r="G692" s="7" t="s">
        <v>819</v>
      </c>
      <c r="H692" s="9" t="s">
        <v>2979</v>
      </c>
      <c r="I692" t="s">
        <v>3355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 t="str">
        <f t="shared" si="1"/>
        <v>Built-up :</v>
      </c>
      <c r="AE692" s="7" t="str">
        <f t="shared" si="2"/>
        <v> sq. ft.</v>
      </c>
      <c r="AF692">
        <f>IFERROR(__xludf.DUMMYFUNCTION("VALUE(REGEXREPLACE(G692,""[^[:digit:]]"", """"))"),1063.0)</f>
        <v>1063</v>
      </c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 t="s">
        <v>22</v>
      </c>
    </row>
    <row r="693">
      <c r="A693" s="7" t="s">
        <v>100</v>
      </c>
      <c r="B693" s="7" t="s">
        <v>820</v>
      </c>
      <c r="C693" s="7">
        <f>2+1</f>
        <v>3</v>
      </c>
      <c r="D693" s="7">
        <v>3.0</v>
      </c>
      <c r="E693" s="7">
        <v>2.0</v>
      </c>
      <c r="F693" s="7" t="s">
        <v>93</v>
      </c>
      <c r="G693" s="7" t="s">
        <v>732</v>
      </c>
      <c r="H693" s="9" t="s">
        <v>2979</v>
      </c>
      <c r="I693" t="s">
        <v>3307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 t="str">
        <f t="shared" si="1"/>
        <v>Built-up :</v>
      </c>
      <c r="AE693" s="7" t="str">
        <f t="shared" si="2"/>
        <v> sq. ft.</v>
      </c>
      <c r="AF693">
        <f>IFERROR(__xludf.DUMMYFUNCTION("VALUE(REGEXREPLACE(G693,""[^[:digit:]]"", """"))"),1523.0)</f>
        <v>1523</v>
      </c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 t="s">
        <v>27</v>
      </c>
    </row>
    <row r="694">
      <c r="A694" s="7" t="s">
        <v>177</v>
      </c>
      <c r="B694" s="7" t="s">
        <v>605</v>
      </c>
      <c r="C694" s="7">
        <f>4+1</f>
        <v>5</v>
      </c>
      <c r="D694" s="7">
        <v>3.0</v>
      </c>
      <c r="E694" s="9">
        <v>2.0</v>
      </c>
      <c r="F694" s="7" t="s">
        <v>54</v>
      </c>
      <c r="G694" s="7" t="s">
        <v>58</v>
      </c>
      <c r="H694" s="9" t="s">
        <v>2981</v>
      </c>
      <c r="I694" t="s">
        <v>2994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 t="str">
        <f t="shared" si="1"/>
        <v>Land area </v>
      </c>
      <c r="AE694" s="7" t="str">
        <f t="shared" si="2"/>
        <v> sq. ft.</v>
      </c>
      <c r="AF694">
        <f>IFERROR(__xludf.DUMMYFUNCTION("VALUE(REGEXREPLACE(G694,""[^[:digit:]]"", """"))"),1900.0)</f>
        <v>1900</v>
      </c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 t="s">
        <v>103</v>
      </c>
    </row>
    <row r="695">
      <c r="A695" s="7" t="s">
        <v>86</v>
      </c>
      <c r="B695" s="7" t="s">
        <v>286</v>
      </c>
      <c r="C695" s="7">
        <f>2</f>
        <v>2</v>
      </c>
      <c r="D695" s="7">
        <v>1.0</v>
      </c>
      <c r="E695" s="9">
        <v>2.0</v>
      </c>
      <c r="F695" s="7" t="s">
        <v>20</v>
      </c>
      <c r="G695" s="7" t="s">
        <v>821</v>
      </c>
      <c r="H695" s="9" t="s">
        <v>2979</v>
      </c>
      <c r="I695" t="s">
        <v>3356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 t="str">
        <f t="shared" si="1"/>
        <v>Built-up :</v>
      </c>
      <c r="AE695" s="7" t="str">
        <f t="shared" si="2"/>
        <v> sq. ft.</v>
      </c>
      <c r="AF695">
        <f>IFERROR(__xludf.DUMMYFUNCTION("VALUE(REGEXREPLACE(G695,""[^[:digit:]]"", """"))"),815.0)</f>
        <v>815</v>
      </c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>
      <c r="A696" s="7" t="s">
        <v>72</v>
      </c>
      <c r="B696" s="7" t="s">
        <v>144</v>
      </c>
      <c r="C696" s="7">
        <f>3+1</f>
        <v>4</v>
      </c>
      <c r="D696" s="7">
        <v>4.0</v>
      </c>
      <c r="E696" s="7">
        <v>2.0</v>
      </c>
      <c r="F696" s="7" t="s">
        <v>83</v>
      </c>
      <c r="G696" s="7" t="s">
        <v>714</v>
      </c>
      <c r="H696" s="9" t="s">
        <v>2979</v>
      </c>
      <c r="I696" t="s">
        <v>3295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 t="str">
        <f t="shared" si="1"/>
        <v>Built-up :</v>
      </c>
      <c r="AE696" s="7" t="str">
        <f t="shared" si="2"/>
        <v> sq. ft.</v>
      </c>
      <c r="AF696">
        <f>IFERROR(__xludf.DUMMYFUNCTION("VALUE(REGEXREPLACE(G696,""[^[:digit:]]"", """"))"),2038.0)</f>
        <v>2038</v>
      </c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 t="s">
        <v>27</v>
      </c>
    </row>
    <row r="697">
      <c r="A697" s="7" t="s">
        <v>188</v>
      </c>
      <c r="B697" s="7" t="s">
        <v>822</v>
      </c>
      <c r="C697" s="7">
        <f>2</f>
        <v>2</v>
      </c>
      <c r="D697" s="7">
        <v>3.0</v>
      </c>
      <c r="E697" s="9">
        <v>2.0</v>
      </c>
      <c r="F697" s="7" t="s">
        <v>121</v>
      </c>
      <c r="G697" s="7" t="s">
        <v>823</v>
      </c>
      <c r="H697" s="9" t="s">
        <v>2979</v>
      </c>
      <c r="I697" t="s">
        <v>3357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 t="str">
        <f t="shared" si="1"/>
        <v>Built-up :</v>
      </c>
      <c r="AE697" s="7" t="str">
        <f t="shared" si="2"/>
        <v> sq. ft.</v>
      </c>
      <c r="AF697">
        <f>IFERROR(__xludf.DUMMYFUNCTION("VALUE(REGEXREPLACE(G697,""[^[:digit:]]"", """"))"),1509.0)</f>
        <v>1509</v>
      </c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 t="s">
        <v>27</v>
      </c>
    </row>
    <row r="698">
      <c r="A698" s="7" t="s">
        <v>171</v>
      </c>
      <c r="B698" s="7" t="s">
        <v>510</v>
      </c>
      <c r="C698" s="7">
        <f t="shared" ref="C698:C699" si="67">3+1</f>
        <v>4</v>
      </c>
      <c r="D698" s="7">
        <v>2.0</v>
      </c>
      <c r="E698" s="7">
        <v>2.0</v>
      </c>
      <c r="F698" s="7" t="s">
        <v>83</v>
      </c>
      <c r="G698" s="7" t="s">
        <v>491</v>
      </c>
      <c r="H698" s="9" t="s">
        <v>2979</v>
      </c>
      <c r="I698" t="s">
        <v>3190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 t="str">
        <f t="shared" si="1"/>
        <v>Built-up :</v>
      </c>
      <c r="AE698" s="7" t="str">
        <f t="shared" si="2"/>
        <v> sq. ft.</v>
      </c>
      <c r="AF698">
        <f>IFERROR(__xludf.DUMMYFUNCTION("VALUE(REGEXREPLACE(G698,""[^[:digit:]]"", """"))"),950.0)</f>
        <v>950</v>
      </c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>
      <c r="A699" s="7" t="s">
        <v>72</v>
      </c>
      <c r="B699" s="7" t="s">
        <v>85</v>
      </c>
      <c r="C699" s="7">
        <f t="shared" si="67"/>
        <v>4</v>
      </c>
      <c r="D699" s="7">
        <v>4.0</v>
      </c>
      <c r="E699" s="7">
        <v>2.0</v>
      </c>
      <c r="F699" s="7" t="s">
        <v>83</v>
      </c>
      <c r="G699" s="7" t="s">
        <v>334</v>
      </c>
      <c r="H699" s="9" t="s">
        <v>2979</v>
      </c>
      <c r="I699" t="s">
        <v>3112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 t="str">
        <f t="shared" si="1"/>
        <v>Built-up :</v>
      </c>
      <c r="AE699" s="7" t="str">
        <f t="shared" si="2"/>
        <v> sq. ft.</v>
      </c>
      <c r="AF699">
        <f>IFERROR(__xludf.DUMMYFUNCTION("VALUE(REGEXREPLACE(G699,""[^[:digit:]]"", """"))"),1496.0)</f>
        <v>1496</v>
      </c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 t="s">
        <v>27</v>
      </c>
    </row>
    <row r="700">
      <c r="A700" s="7" t="s">
        <v>72</v>
      </c>
      <c r="B700" s="7" t="s">
        <v>329</v>
      </c>
      <c r="C700" s="7">
        <f>3</f>
        <v>3</v>
      </c>
      <c r="D700" s="7">
        <v>2.0</v>
      </c>
      <c r="E700" s="7">
        <v>2.0</v>
      </c>
      <c r="F700" s="7" t="s">
        <v>83</v>
      </c>
      <c r="G700" s="7" t="s">
        <v>135</v>
      </c>
      <c r="H700" s="9" t="s">
        <v>2979</v>
      </c>
      <c r="I700" t="s">
        <v>3023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 t="str">
        <f t="shared" si="1"/>
        <v>Built-up :</v>
      </c>
      <c r="AE700" s="7" t="str">
        <f t="shared" si="2"/>
        <v> sq. ft.</v>
      </c>
      <c r="AF700">
        <f>IFERROR(__xludf.DUMMYFUNCTION("VALUE(REGEXREPLACE(G700,""[^[:digit:]]"", """"))"),1200.0)</f>
        <v>1200</v>
      </c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 t="s">
        <v>27</v>
      </c>
    </row>
    <row r="701">
      <c r="A701" s="7" t="s">
        <v>72</v>
      </c>
      <c r="B701" s="7" t="s">
        <v>158</v>
      </c>
      <c r="C701" s="7">
        <f>3+1</f>
        <v>4</v>
      </c>
      <c r="D701" s="7">
        <v>4.0</v>
      </c>
      <c r="E701" s="7">
        <v>2.0</v>
      </c>
      <c r="F701" s="7" t="s">
        <v>83</v>
      </c>
      <c r="G701" s="7" t="s">
        <v>714</v>
      </c>
      <c r="H701" s="9" t="s">
        <v>2979</v>
      </c>
      <c r="I701" t="s">
        <v>3295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 t="str">
        <f t="shared" si="1"/>
        <v>Built-up :</v>
      </c>
      <c r="AE701" s="7" t="str">
        <f t="shared" si="2"/>
        <v> sq. ft.</v>
      </c>
      <c r="AF701">
        <f>IFERROR(__xludf.DUMMYFUNCTION("VALUE(REGEXREPLACE(G701,""[^[:digit:]]"", """"))"),2038.0)</f>
        <v>2038</v>
      </c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 t="s">
        <v>27</v>
      </c>
    </row>
    <row r="702">
      <c r="A702" s="7" t="s">
        <v>33</v>
      </c>
      <c r="B702" s="7" t="s">
        <v>657</v>
      </c>
      <c r="C702" s="7">
        <f>4+1</f>
        <v>5</v>
      </c>
      <c r="D702" s="7">
        <v>3.0</v>
      </c>
      <c r="E702" s="7">
        <v>2.0</v>
      </c>
      <c r="F702" s="7" t="s">
        <v>83</v>
      </c>
      <c r="G702" s="7" t="s">
        <v>36</v>
      </c>
      <c r="H702" s="9" t="s">
        <v>2979</v>
      </c>
      <c r="I702" t="s">
        <v>2986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 t="str">
        <f t="shared" si="1"/>
        <v>Built-up :</v>
      </c>
      <c r="AE702" s="7" t="str">
        <f t="shared" si="2"/>
        <v> sq. ft.</v>
      </c>
      <c r="AF702">
        <f>IFERROR(__xludf.DUMMYFUNCTION("VALUE(REGEXREPLACE(G702,""[^[:digit:]]"", """"))"),1513.0)</f>
        <v>1513</v>
      </c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 t="s">
        <v>27</v>
      </c>
    </row>
    <row r="703">
      <c r="A703" s="7" t="s">
        <v>17</v>
      </c>
      <c r="B703" s="7" t="s">
        <v>824</v>
      </c>
      <c r="C703" s="7">
        <f>2</f>
        <v>2</v>
      </c>
      <c r="D703" s="7">
        <v>2.0</v>
      </c>
      <c r="E703" s="7">
        <v>1.0</v>
      </c>
      <c r="F703" s="7" t="s">
        <v>93</v>
      </c>
      <c r="G703" s="7" t="s">
        <v>380</v>
      </c>
      <c r="H703" s="9" t="s">
        <v>2979</v>
      </c>
      <c r="I703" t="s">
        <v>3135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 t="str">
        <f t="shared" si="1"/>
        <v>Built-up :</v>
      </c>
      <c r="AE703" s="7" t="str">
        <f t="shared" si="2"/>
        <v> sq. ft.</v>
      </c>
      <c r="AF703">
        <f>IFERROR(__xludf.DUMMYFUNCTION("VALUE(REGEXREPLACE(G703,""[^[:digit:]]"", """"))"),871.0)</f>
        <v>871</v>
      </c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 t="s">
        <v>27</v>
      </c>
    </row>
    <row r="704">
      <c r="A704" s="7" t="s">
        <v>17</v>
      </c>
      <c r="B704" s="7" t="s">
        <v>825</v>
      </c>
      <c r="C704" s="7">
        <f>3</f>
        <v>3</v>
      </c>
      <c r="D704" s="7">
        <v>2.0</v>
      </c>
      <c r="E704" s="7">
        <v>2.0</v>
      </c>
      <c r="F704" s="7" t="s">
        <v>93</v>
      </c>
      <c r="G704" s="7" t="s">
        <v>826</v>
      </c>
      <c r="H704" s="9" t="s">
        <v>2979</v>
      </c>
      <c r="I704" t="s">
        <v>3358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 t="str">
        <f t="shared" si="1"/>
        <v>Built-up :</v>
      </c>
      <c r="AE704" s="7" t="str">
        <f t="shared" si="2"/>
        <v> sq. ft.</v>
      </c>
      <c r="AF704">
        <f>IFERROR(__xludf.DUMMYFUNCTION("VALUE(REGEXREPLACE(G704,""[^[:digit:]]"", """"))"),1031.0)</f>
        <v>1031</v>
      </c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 t="s">
        <v>27</v>
      </c>
    </row>
    <row r="705">
      <c r="A705" s="7" t="s">
        <v>17</v>
      </c>
      <c r="B705" s="7" t="s">
        <v>827</v>
      </c>
      <c r="C705" s="7">
        <f>1</f>
        <v>1</v>
      </c>
      <c r="D705" s="7">
        <v>1.0</v>
      </c>
      <c r="E705" s="7">
        <v>2.0</v>
      </c>
      <c r="F705" s="7" t="s">
        <v>82</v>
      </c>
      <c r="G705" s="7" t="s">
        <v>328</v>
      </c>
      <c r="H705" s="9" t="s">
        <v>2979</v>
      </c>
      <c r="I705" t="s">
        <v>3110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 t="str">
        <f t="shared" si="1"/>
        <v>Built-up :</v>
      </c>
      <c r="AE705" s="7" t="str">
        <f t="shared" si="2"/>
        <v> sq. ft.</v>
      </c>
      <c r="AF705">
        <f>IFERROR(__xludf.DUMMYFUNCTION("VALUE(REGEXREPLACE(G705,""[^[:digit:]]"", """"))"),925.0)</f>
        <v>925</v>
      </c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 t="s">
        <v>27</v>
      </c>
    </row>
    <row r="706">
      <c r="A706" s="7" t="s">
        <v>17</v>
      </c>
      <c r="B706" s="7" t="s">
        <v>120</v>
      </c>
      <c r="C706" s="7">
        <f>3+1</f>
        <v>4</v>
      </c>
      <c r="D706" s="7">
        <v>5.0</v>
      </c>
      <c r="E706" s="7">
        <v>2.0</v>
      </c>
      <c r="F706" s="7" t="s">
        <v>121</v>
      </c>
      <c r="G706" s="7" t="s">
        <v>122</v>
      </c>
      <c r="H706" s="9" t="s">
        <v>2979</v>
      </c>
      <c r="I706" t="s">
        <v>3016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 t="str">
        <f t="shared" si="1"/>
        <v>Built-up :</v>
      </c>
      <c r="AE706" s="7" t="str">
        <f t="shared" si="2"/>
        <v> sq. ft.</v>
      </c>
      <c r="AF706">
        <f>IFERROR(__xludf.DUMMYFUNCTION("VALUE(REGEXREPLACE(G706,""[^[:digit:]]"", """"))"),3897.0)</f>
        <v>3897</v>
      </c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 t="s">
        <v>27</v>
      </c>
    </row>
    <row r="707">
      <c r="A707" s="7" t="s">
        <v>17</v>
      </c>
      <c r="B707" s="7" t="s">
        <v>828</v>
      </c>
      <c r="C707" s="7">
        <f>4</f>
        <v>4</v>
      </c>
      <c r="D707" s="7">
        <v>5.0</v>
      </c>
      <c r="E707" s="7">
        <v>4.0</v>
      </c>
      <c r="F707" s="7" t="s">
        <v>312</v>
      </c>
      <c r="G707" s="7" t="s">
        <v>829</v>
      </c>
      <c r="H707" s="9" t="s">
        <v>2979</v>
      </c>
      <c r="I707" t="s">
        <v>3359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 t="str">
        <f t="shared" si="1"/>
        <v>Built-up :</v>
      </c>
      <c r="AE707" s="7" t="str">
        <f t="shared" si="2"/>
        <v> sq. ft.</v>
      </c>
      <c r="AF707">
        <f>IFERROR(__xludf.DUMMYFUNCTION("VALUE(REGEXREPLACE(G707,""[^[:digit:]]"", """"))"),2615.0)</f>
        <v>2615</v>
      </c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 t="s">
        <v>22</v>
      </c>
    </row>
    <row r="708">
      <c r="A708" s="7" t="s">
        <v>17</v>
      </c>
      <c r="B708" s="7" t="s">
        <v>98</v>
      </c>
      <c r="C708" s="7">
        <f t="shared" ref="C708:C709" si="68">3+1</f>
        <v>4</v>
      </c>
      <c r="D708" s="7">
        <v>4.0</v>
      </c>
      <c r="E708" s="7">
        <v>2.0</v>
      </c>
      <c r="F708" s="7" t="s">
        <v>20</v>
      </c>
      <c r="G708" s="7" t="s">
        <v>830</v>
      </c>
      <c r="H708" s="9" t="s">
        <v>2979</v>
      </c>
      <c r="I708" t="s">
        <v>3360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 t="str">
        <f t="shared" si="1"/>
        <v>Built-up :</v>
      </c>
      <c r="AE708" s="7" t="str">
        <f t="shared" si="2"/>
        <v> sq. ft.</v>
      </c>
      <c r="AF708">
        <f>IFERROR(__xludf.DUMMYFUNCTION("VALUE(REGEXREPLACE(G708,""[^[:digit:]]"", """"))"),1426.0)</f>
        <v>1426</v>
      </c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 t="s">
        <v>22</v>
      </c>
    </row>
    <row r="709">
      <c r="A709" s="7" t="s">
        <v>17</v>
      </c>
      <c r="B709" s="7" t="s">
        <v>831</v>
      </c>
      <c r="C709" s="7">
        <f t="shared" si="68"/>
        <v>4</v>
      </c>
      <c r="D709" s="7">
        <v>5.0</v>
      </c>
      <c r="E709" s="7">
        <v>2.0</v>
      </c>
      <c r="F709" s="7" t="s">
        <v>30</v>
      </c>
      <c r="G709" s="7" t="s">
        <v>832</v>
      </c>
      <c r="H709" s="9" t="s">
        <v>2979</v>
      </c>
      <c r="I709" t="s">
        <v>3361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 t="str">
        <f t="shared" si="1"/>
        <v>Built-up :</v>
      </c>
      <c r="AE709" s="7" t="str">
        <f t="shared" si="2"/>
        <v> sq. ft.</v>
      </c>
      <c r="AF709">
        <f>IFERROR(__xludf.DUMMYFUNCTION("VALUE(REGEXREPLACE(G709,""[^[:digit:]]"", """"))"),2593.0)</f>
        <v>2593</v>
      </c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 t="s">
        <v>22</v>
      </c>
    </row>
    <row r="710">
      <c r="A710" s="7" t="s">
        <v>17</v>
      </c>
      <c r="B710" s="7" t="s">
        <v>749</v>
      </c>
      <c r="C710" s="7">
        <f>3+2</f>
        <v>5</v>
      </c>
      <c r="D710" s="7">
        <v>5.0</v>
      </c>
      <c r="E710" s="9">
        <v>2.0</v>
      </c>
      <c r="F710" s="7" t="s">
        <v>121</v>
      </c>
      <c r="G710" s="7" t="s">
        <v>122</v>
      </c>
      <c r="H710" s="9" t="s">
        <v>2979</v>
      </c>
      <c r="I710" t="s">
        <v>3016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 t="str">
        <f t="shared" si="1"/>
        <v>Built-up :</v>
      </c>
      <c r="AE710" s="7" t="str">
        <f t="shared" si="2"/>
        <v> sq. ft.</v>
      </c>
      <c r="AF710">
        <f>IFERROR(__xludf.DUMMYFUNCTION("VALUE(REGEXREPLACE(G710,""[^[:digit:]]"", """"))"),3897.0)</f>
        <v>3897</v>
      </c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 t="s">
        <v>22</v>
      </c>
    </row>
    <row r="711">
      <c r="A711" s="7" t="s">
        <v>17</v>
      </c>
      <c r="B711" s="7" t="s">
        <v>833</v>
      </c>
      <c r="C711" s="7">
        <f>2+1</f>
        <v>3</v>
      </c>
      <c r="D711" s="7">
        <v>3.0</v>
      </c>
      <c r="E711" s="7">
        <v>1.0</v>
      </c>
      <c r="F711" s="7" t="s">
        <v>121</v>
      </c>
      <c r="G711" s="7" t="s">
        <v>834</v>
      </c>
      <c r="H711" s="9" t="s">
        <v>2979</v>
      </c>
      <c r="I711" t="s">
        <v>3362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 t="str">
        <f t="shared" si="1"/>
        <v>Built-up :</v>
      </c>
      <c r="AE711" s="7" t="str">
        <f t="shared" si="2"/>
        <v> sq. ft.</v>
      </c>
      <c r="AF711">
        <f>IFERROR(__xludf.DUMMYFUNCTION("VALUE(REGEXREPLACE(G711,""[^[:digit:]]"", """"))"),1688.0)</f>
        <v>1688</v>
      </c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 t="s">
        <v>27</v>
      </c>
    </row>
    <row r="712">
      <c r="A712" s="7" t="s">
        <v>177</v>
      </c>
      <c r="B712" s="7" t="s">
        <v>779</v>
      </c>
      <c r="C712" s="7">
        <f>8</f>
        <v>8</v>
      </c>
      <c r="D712" s="7">
        <v>7.0</v>
      </c>
      <c r="E712" s="9">
        <v>2.0</v>
      </c>
      <c r="F712" s="7" t="s">
        <v>61</v>
      </c>
      <c r="G712" s="7" t="s">
        <v>780</v>
      </c>
      <c r="H712" s="9" t="s">
        <v>2981</v>
      </c>
      <c r="I712" t="s">
        <v>3335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 t="str">
        <f t="shared" si="1"/>
        <v>Land area </v>
      </c>
      <c r="AE712" s="7" t="str">
        <f t="shared" si="2"/>
        <v> sq. ft.</v>
      </c>
      <c r="AF712">
        <f>IFERROR(__xludf.DUMMYFUNCTION("VALUE(REGEXREPLACE(G712,""[^[:digit:]]"", """"))"),15000.0)</f>
        <v>15000</v>
      </c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 t="s">
        <v>27</v>
      </c>
    </row>
    <row r="713">
      <c r="A713" s="7" t="s">
        <v>17</v>
      </c>
      <c r="B713" s="7" t="s">
        <v>530</v>
      </c>
      <c r="C713" s="7">
        <f>3+1</f>
        <v>4</v>
      </c>
      <c r="D713" s="7">
        <v>4.0</v>
      </c>
      <c r="E713" s="7">
        <v>2.0</v>
      </c>
      <c r="F713" s="7" t="s">
        <v>121</v>
      </c>
      <c r="H713" s="9" t="s">
        <v>2984</v>
      </c>
      <c r="I713" t="s">
        <v>2985</v>
      </c>
      <c r="AD713" s="7" t="str">
        <f t="shared" si="1"/>
        <v/>
      </c>
      <c r="AE713" s="7" t="str">
        <f t="shared" si="2"/>
        <v/>
      </c>
      <c r="AF713">
        <f>IFERROR(__xludf.DUMMYFUNCTION("VALUE(REGEXREPLACE(G713,""[^[:digit:]]"", """"))"),0.0)</f>
        <v>0</v>
      </c>
      <c r="AS713" s="7" t="s">
        <v>22</v>
      </c>
    </row>
    <row r="714">
      <c r="A714" s="7" t="s">
        <v>72</v>
      </c>
      <c r="B714" s="7" t="s">
        <v>311</v>
      </c>
      <c r="C714" s="7">
        <f>3</f>
        <v>3</v>
      </c>
      <c r="D714" s="7">
        <v>2.0</v>
      </c>
      <c r="E714" s="7">
        <v>2.0</v>
      </c>
      <c r="F714" s="7" t="s">
        <v>83</v>
      </c>
      <c r="G714" s="7" t="s">
        <v>135</v>
      </c>
      <c r="H714" s="9" t="s">
        <v>2979</v>
      </c>
      <c r="I714" t="s">
        <v>3023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 t="str">
        <f t="shared" si="1"/>
        <v>Built-up :</v>
      </c>
      <c r="AE714" s="7" t="str">
        <f t="shared" si="2"/>
        <v> sq. ft.</v>
      </c>
      <c r="AF714">
        <f>IFERROR(__xludf.DUMMYFUNCTION("VALUE(REGEXREPLACE(G714,""[^[:digit:]]"", """"))"),1200.0)</f>
        <v>1200</v>
      </c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 t="s">
        <v>27</v>
      </c>
    </row>
    <row r="715">
      <c r="A715" s="7" t="s">
        <v>17</v>
      </c>
      <c r="B715" s="7" t="s">
        <v>835</v>
      </c>
      <c r="C715" s="7">
        <f t="shared" ref="C715:C716" si="69">1</f>
        <v>1</v>
      </c>
      <c r="D715" s="7">
        <v>1.0</v>
      </c>
      <c r="E715" s="7">
        <v>1.0</v>
      </c>
      <c r="F715" s="7" t="s">
        <v>20</v>
      </c>
      <c r="G715" s="7" t="s">
        <v>836</v>
      </c>
      <c r="H715" s="9" t="s">
        <v>2979</v>
      </c>
      <c r="I715" t="s">
        <v>3363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 t="str">
        <f t="shared" si="1"/>
        <v>Built-up :</v>
      </c>
      <c r="AE715" s="7" t="str">
        <f t="shared" si="2"/>
        <v> sq. ft.</v>
      </c>
      <c r="AF715">
        <f>IFERROR(__xludf.DUMMYFUNCTION("VALUE(REGEXREPLACE(G715,""[^[:digit:]]"", """"))"),636.0)</f>
        <v>636</v>
      </c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 t="s">
        <v>22</v>
      </c>
    </row>
    <row r="716">
      <c r="A716" s="7" t="s">
        <v>17</v>
      </c>
      <c r="B716" s="7" t="s">
        <v>18</v>
      </c>
      <c r="C716" s="7">
        <f t="shared" si="69"/>
        <v>1</v>
      </c>
      <c r="D716" s="7">
        <v>1.0</v>
      </c>
      <c r="E716" s="7">
        <v>1.0</v>
      </c>
      <c r="F716" s="7" t="s">
        <v>121</v>
      </c>
      <c r="G716" s="7" t="s">
        <v>328</v>
      </c>
      <c r="H716" s="9" t="s">
        <v>2979</v>
      </c>
      <c r="I716" t="s">
        <v>3110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 t="str">
        <f t="shared" si="1"/>
        <v>Built-up :</v>
      </c>
      <c r="AE716" s="7" t="str">
        <f t="shared" si="2"/>
        <v> sq. ft.</v>
      </c>
      <c r="AF716">
        <f>IFERROR(__xludf.DUMMYFUNCTION("VALUE(REGEXREPLACE(G716,""[^[:digit:]]"", """"))"),925.0)</f>
        <v>925</v>
      </c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 t="s">
        <v>22</v>
      </c>
    </row>
    <row r="717">
      <c r="A717" s="7" t="s">
        <v>17</v>
      </c>
      <c r="B717" s="7" t="s">
        <v>98</v>
      </c>
      <c r="C717" s="7">
        <f>1+1</f>
        <v>2</v>
      </c>
      <c r="D717" s="7">
        <v>2.0</v>
      </c>
      <c r="E717" s="7">
        <v>1.0</v>
      </c>
      <c r="F717" s="7" t="s">
        <v>20</v>
      </c>
      <c r="G717" s="7" t="s">
        <v>342</v>
      </c>
      <c r="H717" s="9" t="s">
        <v>2979</v>
      </c>
      <c r="I717" t="s">
        <v>3117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 t="str">
        <f t="shared" si="1"/>
        <v>Built-up :</v>
      </c>
      <c r="AE717" s="7" t="str">
        <f t="shared" si="2"/>
        <v> sq. ft.</v>
      </c>
      <c r="AF717">
        <f>IFERROR(__xludf.DUMMYFUNCTION("VALUE(REGEXREPLACE(G717,""[^[:digit:]]"", """"))"),1076.0)</f>
        <v>1076</v>
      </c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 t="s">
        <v>27</v>
      </c>
    </row>
    <row r="718">
      <c r="A718" s="7" t="s">
        <v>72</v>
      </c>
      <c r="B718" s="7" t="s">
        <v>837</v>
      </c>
      <c r="C718" s="7">
        <f>3+1</f>
        <v>4</v>
      </c>
      <c r="D718" s="7">
        <v>4.0</v>
      </c>
      <c r="E718" s="7">
        <v>3.0</v>
      </c>
      <c r="F718" s="7" t="s">
        <v>30</v>
      </c>
      <c r="G718" s="7" t="s">
        <v>838</v>
      </c>
      <c r="H718" s="9" t="s">
        <v>2979</v>
      </c>
      <c r="I718" t="s">
        <v>3364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 t="str">
        <f t="shared" si="1"/>
        <v>Built-up :</v>
      </c>
      <c r="AE718" s="7" t="str">
        <f t="shared" si="2"/>
        <v> sq. ft.</v>
      </c>
      <c r="AF718">
        <f>IFERROR(__xludf.DUMMYFUNCTION("VALUE(REGEXREPLACE(G718,""[^[:digit:]]"", """"))"),2694.0)</f>
        <v>2694</v>
      </c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 t="s">
        <v>27</v>
      </c>
    </row>
    <row r="719">
      <c r="A719" s="7" t="s">
        <v>17</v>
      </c>
      <c r="B719" s="7" t="s">
        <v>839</v>
      </c>
      <c r="C719" s="7">
        <f>4+1</f>
        <v>5</v>
      </c>
      <c r="D719" s="7">
        <v>5.0</v>
      </c>
      <c r="E719" s="9">
        <v>2.0</v>
      </c>
      <c r="F719" s="7" t="s">
        <v>30</v>
      </c>
      <c r="G719" s="7" t="s">
        <v>840</v>
      </c>
      <c r="H719" s="9" t="s">
        <v>2979</v>
      </c>
      <c r="I719" t="s">
        <v>3365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 t="str">
        <f t="shared" si="1"/>
        <v>Built-up :</v>
      </c>
      <c r="AE719" s="7" t="str">
        <f t="shared" si="2"/>
        <v> sq. ft.</v>
      </c>
      <c r="AF719">
        <f>IFERROR(__xludf.DUMMYFUNCTION("VALUE(REGEXREPLACE(G719,""[^[:digit:]]"", """"))"),2916.0)</f>
        <v>2916</v>
      </c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 t="s">
        <v>22</v>
      </c>
    </row>
    <row r="720">
      <c r="A720" s="7" t="s">
        <v>515</v>
      </c>
      <c r="B720" s="7" t="s">
        <v>841</v>
      </c>
      <c r="C720" s="7">
        <f>5</f>
        <v>5</v>
      </c>
      <c r="D720" s="7">
        <v>3.0</v>
      </c>
      <c r="E720" s="7">
        <v>8.0</v>
      </c>
      <c r="F720" s="7" t="s">
        <v>43</v>
      </c>
      <c r="G720" s="7" t="s">
        <v>631</v>
      </c>
      <c r="H720" s="9" t="s">
        <v>2981</v>
      </c>
      <c r="I720" t="s">
        <v>3258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 t="str">
        <f t="shared" si="1"/>
        <v>Land area </v>
      </c>
      <c r="AE720" s="7" t="str">
        <f t="shared" si="2"/>
        <v> sq. ft.</v>
      </c>
      <c r="AF720">
        <f>IFERROR(__xludf.DUMMYFUNCTION("VALUE(REGEXREPLACE(G720,""[^[:digit:]]"", """"))"),5000.0)</f>
        <v>5000</v>
      </c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 t="s">
        <v>22</v>
      </c>
    </row>
    <row r="721">
      <c r="A721" s="7" t="s">
        <v>177</v>
      </c>
      <c r="B721" s="7" t="s">
        <v>842</v>
      </c>
      <c r="C721" s="7">
        <f>5+1</f>
        <v>6</v>
      </c>
      <c r="D721" s="7">
        <v>6.0</v>
      </c>
      <c r="E721" s="7">
        <v>4.0</v>
      </c>
      <c r="F721" s="7" t="s">
        <v>25</v>
      </c>
      <c r="G721" s="7" t="s">
        <v>843</v>
      </c>
      <c r="H721" s="9" t="s">
        <v>2981</v>
      </c>
      <c r="I721" t="s">
        <v>3366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 t="str">
        <f t="shared" si="1"/>
        <v>Land area </v>
      </c>
      <c r="AE721" s="7" t="str">
        <f t="shared" si="2"/>
        <v> sq. ft.</v>
      </c>
      <c r="AF721">
        <f>IFERROR(__xludf.DUMMYFUNCTION("VALUE(REGEXREPLACE(G721,""[^[:digit:]]"", """"))"),6600.0)</f>
        <v>6600</v>
      </c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 t="s">
        <v>27</v>
      </c>
    </row>
    <row r="722">
      <c r="A722" s="7" t="s">
        <v>100</v>
      </c>
      <c r="B722" s="7" t="s">
        <v>353</v>
      </c>
      <c r="C722" s="7">
        <f>3</f>
        <v>3</v>
      </c>
      <c r="D722" s="7">
        <v>2.0</v>
      </c>
      <c r="E722" s="9">
        <v>2.0</v>
      </c>
      <c r="F722" s="7" t="s">
        <v>20</v>
      </c>
      <c r="G722" s="7" t="s">
        <v>491</v>
      </c>
      <c r="H722" s="9" t="s">
        <v>2979</v>
      </c>
      <c r="I722" t="s">
        <v>3190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 t="str">
        <f t="shared" si="1"/>
        <v>Built-up :</v>
      </c>
      <c r="AE722" s="7" t="str">
        <f t="shared" si="2"/>
        <v> sq. ft.</v>
      </c>
      <c r="AF722">
        <f>IFERROR(__xludf.DUMMYFUNCTION("VALUE(REGEXREPLACE(G722,""[^[:digit:]]"", """"))"),950.0)</f>
        <v>950</v>
      </c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 t="s">
        <v>27</v>
      </c>
    </row>
    <row r="723">
      <c r="A723" s="7" t="s">
        <v>72</v>
      </c>
      <c r="B723" s="7" t="s">
        <v>844</v>
      </c>
      <c r="C723" s="7">
        <f>3+1</f>
        <v>4</v>
      </c>
      <c r="D723" s="7">
        <v>4.0</v>
      </c>
      <c r="E723" s="7">
        <v>2.0</v>
      </c>
      <c r="F723" s="7" t="s">
        <v>93</v>
      </c>
      <c r="G723" s="7" t="s">
        <v>119</v>
      </c>
      <c r="H723" s="9" t="s">
        <v>2979</v>
      </c>
      <c r="I723" t="s">
        <v>3015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 t="str">
        <f t="shared" si="1"/>
        <v>Built-up :</v>
      </c>
      <c r="AE723" s="7" t="str">
        <f t="shared" si="2"/>
        <v> sq. ft.</v>
      </c>
      <c r="AF723">
        <f>IFERROR(__xludf.DUMMYFUNCTION("VALUE(REGEXREPLACE(G723,""[^[:digit:]]"", """"))"),2020.0)</f>
        <v>2020</v>
      </c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 t="s">
        <v>27</v>
      </c>
    </row>
    <row r="724">
      <c r="A724" s="7" t="s">
        <v>164</v>
      </c>
      <c r="B724" s="7" t="s">
        <v>279</v>
      </c>
      <c r="C724" s="7">
        <f>3</f>
        <v>3</v>
      </c>
      <c r="D724" s="7">
        <v>2.0</v>
      </c>
      <c r="E724" s="7">
        <v>1.0</v>
      </c>
      <c r="F724" s="7" t="s">
        <v>83</v>
      </c>
      <c r="G724" s="7" t="s">
        <v>845</v>
      </c>
      <c r="H724" s="9" t="s">
        <v>2979</v>
      </c>
      <c r="I724" t="s">
        <v>3367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 t="str">
        <f t="shared" si="1"/>
        <v>Built-up :</v>
      </c>
      <c r="AE724" s="7" t="str">
        <f t="shared" si="2"/>
        <v> sq. ft.</v>
      </c>
      <c r="AF724">
        <f>IFERROR(__xludf.DUMMYFUNCTION("VALUE(REGEXREPLACE(G724,""[^[:digit:]]"", """"))"),1500.0)</f>
        <v>1500</v>
      </c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 t="s">
        <v>22</v>
      </c>
    </row>
    <row r="725">
      <c r="A725" s="7" t="s">
        <v>100</v>
      </c>
      <c r="B725" s="7" t="s">
        <v>846</v>
      </c>
      <c r="C725" s="7">
        <f>5+1</f>
        <v>6</v>
      </c>
      <c r="D725" s="7">
        <v>6.0</v>
      </c>
      <c r="E725" s="7">
        <v>6.0</v>
      </c>
      <c r="F725" s="7" t="s">
        <v>83</v>
      </c>
      <c r="G725" s="7" t="s">
        <v>847</v>
      </c>
      <c r="H725" s="9" t="s">
        <v>2979</v>
      </c>
      <c r="I725" t="s">
        <v>3368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 t="str">
        <f t="shared" si="1"/>
        <v>Built-up :</v>
      </c>
      <c r="AE725" s="7" t="str">
        <f t="shared" si="2"/>
        <v> sq. ft.</v>
      </c>
      <c r="AF725">
        <f>IFERROR(__xludf.DUMMYFUNCTION("VALUE(REGEXREPLACE(G725,""[^[:digit:]]"", """"))"),5632.0)</f>
        <v>5632</v>
      </c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>
      <c r="A726" s="7" t="s">
        <v>177</v>
      </c>
      <c r="B726" s="7" t="s">
        <v>81</v>
      </c>
      <c r="C726" s="7">
        <f>3</f>
        <v>3</v>
      </c>
      <c r="D726" s="7">
        <v>2.0</v>
      </c>
      <c r="E726" s="7">
        <v>2.0</v>
      </c>
      <c r="F726" s="7" t="s">
        <v>494</v>
      </c>
      <c r="G726" s="7" t="s">
        <v>400</v>
      </c>
      <c r="H726" s="9" t="s">
        <v>2979</v>
      </c>
      <c r="I726" t="s">
        <v>3145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 t="str">
        <f t="shared" si="1"/>
        <v>Built-up :</v>
      </c>
      <c r="AE726" s="7" t="str">
        <f t="shared" si="2"/>
        <v> sq. ft.</v>
      </c>
      <c r="AF726">
        <f>IFERROR(__xludf.DUMMYFUNCTION("VALUE(REGEXREPLACE(G726,""[^[:digit:]]"", """"))"),2400.0)</f>
        <v>2400</v>
      </c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 t="s">
        <v>22</v>
      </c>
    </row>
    <row r="727">
      <c r="A727" s="7" t="s">
        <v>17</v>
      </c>
      <c r="B727" s="7" t="s">
        <v>322</v>
      </c>
      <c r="C727" s="7">
        <f>1+1</f>
        <v>2</v>
      </c>
      <c r="D727" s="7">
        <v>2.0</v>
      </c>
      <c r="E727" s="7">
        <v>1.0</v>
      </c>
      <c r="F727" s="7" t="s">
        <v>82</v>
      </c>
      <c r="G727" s="7" t="s">
        <v>342</v>
      </c>
      <c r="H727" s="9" t="s">
        <v>2979</v>
      </c>
      <c r="I727" t="s">
        <v>3117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 t="str">
        <f t="shared" si="1"/>
        <v>Built-up :</v>
      </c>
      <c r="AE727" s="7" t="str">
        <f t="shared" si="2"/>
        <v> sq. ft.</v>
      </c>
      <c r="AF727">
        <f>IFERROR(__xludf.DUMMYFUNCTION("VALUE(REGEXREPLACE(G727,""[^[:digit:]]"", """"))"),1076.0)</f>
        <v>1076</v>
      </c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 t="s">
        <v>22</v>
      </c>
    </row>
    <row r="728">
      <c r="A728" s="7" t="s">
        <v>177</v>
      </c>
      <c r="B728" s="7" t="s">
        <v>313</v>
      </c>
      <c r="C728" s="7">
        <f t="shared" ref="C728:C729" si="70">4+1</f>
        <v>5</v>
      </c>
      <c r="D728" s="7">
        <v>3.0</v>
      </c>
      <c r="E728" s="7">
        <v>4.0</v>
      </c>
      <c r="F728" s="7" t="s">
        <v>46</v>
      </c>
      <c r="G728" s="7" t="s">
        <v>848</v>
      </c>
      <c r="H728" s="9" t="s">
        <v>2981</v>
      </c>
      <c r="I728" t="s">
        <v>3369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 t="str">
        <f t="shared" si="1"/>
        <v>Land area </v>
      </c>
      <c r="AE728" s="7" t="str">
        <f t="shared" si="2"/>
        <v> sq. ft.</v>
      </c>
      <c r="AF728">
        <f>IFERROR(__xludf.DUMMYFUNCTION("VALUE(REGEXREPLACE(G728,""[^[:digit:]]"", """"))"),3254.0)</f>
        <v>3254</v>
      </c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 t="s">
        <v>27</v>
      </c>
    </row>
    <row r="729">
      <c r="A729" s="7" t="s">
        <v>72</v>
      </c>
      <c r="B729" s="7" t="s">
        <v>849</v>
      </c>
      <c r="C729" s="7">
        <f t="shared" si="70"/>
        <v>5</v>
      </c>
      <c r="D729" s="7">
        <v>6.0</v>
      </c>
      <c r="E729" s="7">
        <v>3.0</v>
      </c>
      <c r="F729" s="7" t="s">
        <v>30</v>
      </c>
      <c r="G729" s="7" t="s">
        <v>622</v>
      </c>
      <c r="H729" s="9" t="s">
        <v>2979</v>
      </c>
      <c r="I729" t="s">
        <v>3252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 t="str">
        <f t="shared" si="1"/>
        <v>Built-up :</v>
      </c>
      <c r="AE729" s="7" t="str">
        <f t="shared" si="2"/>
        <v> sq. ft.</v>
      </c>
      <c r="AF729">
        <f>IFERROR(__xludf.DUMMYFUNCTION("VALUE(REGEXREPLACE(G729,""[^[:digit:]]"", """"))"),3478.0)</f>
        <v>3478</v>
      </c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 t="s">
        <v>22</v>
      </c>
    </row>
    <row r="730">
      <c r="A730" s="7" t="s">
        <v>72</v>
      </c>
      <c r="B730" s="7" t="s">
        <v>563</v>
      </c>
      <c r="C730" s="7">
        <f>1</f>
        <v>1</v>
      </c>
      <c r="D730" s="7">
        <v>1.0</v>
      </c>
      <c r="E730" s="7">
        <v>1.0</v>
      </c>
      <c r="F730" s="7" t="s">
        <v>82</v>
      </c>
      <c r="G730" s="7" t="s">
        <v>850</v>
      </c>
      <c r="H730" s="9" t="s">
        <v>2979</v>
      </c>
      <c r="I730" t="s">
        <v>3370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 t="str">
        <f t="shared" si="1"/>
        <v>Built-up :</v>
      </c>
      <c r="AE730" s="7" t="str">
        <f t="shared" si="2"/>
        <v> sq. ft.</v>
      </c>
      <c r="AF730">
        <f>IFERROR(__xludf.DUMMYFUNCTION("VALUE(REGEXREPLACE(G730,""[^[:digit:]]"", """"))"),633.0)</f>
        <v>633</v>
      </c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 t="s">
        <v>22</v>
      </c>
    </row>
    <row r="731">
      <c r="A731" s="7" t="s">
        <v>17</v>
      </c>
      <c r="B731" s="7" t="s">
        <v>751</v>
      </c>
      <c r="C731" s="7">
        <f>1+1</f>
        <v>2</v>
      </c>
      <c r="D731" s="7">
        <v>2.0</v>
      </c>
      <c r="E731" s="7">
        <v>1.0</v>
      </c>
      <c r="F731" s="7" t="s">
        <v>20</v>
      </c>
      <c r="G731" s="7" t="s">
        <v>237</v>
      </c>
      <c r="H731" s="9" t="s">
        <v>2979</v>
      </c>
      <c r="I731" t="s">
        <v>3069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 t="str">
        <f t="shared" si="1"/>
        <v>Built-up :</v>
      </c>
      <c r="AE731" s="7" t="str">
        <f t="shared" si="2"/>
        <v> sq. ft.</v>
      </c>
      <c r="AF731">
        <f>IFERROR(__xludf.DUMMYFUNCTION("VALUE(REGEXREPLACE(G731,""[^[:digit:]]"", """"))"),1087.0)</f>
        <v>1087</v>
      </c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 t="s">
        <v>22</v>
      </c>
    </row>
    <row r="732">
      <c r="A732" s="7" t="s">
        <v>171</v>
      </c>
      <c r="B732" s="7" t="s">
        <v>851</v>
      </c>
      <c r="C732" s="7">
        <f t="shared" ref="C732:C733" si="71">2</f>
        <v>2</v>
      </c>
      <c r="D732" s="7">
        <v>2.0</v>
      </c>
      <c r="E732" s="7">
        <v>2.0</v>
      </c>
      <c r="F732" s="7" t="s">
        <v>121</v>
      </c>
      <c r="G732" s="7" t="s">
        <v>505</v>
      </c>
      <c r="H732" s="9" t="s">
        <v>2979</v>
      </c>
      <c r="I732" t="s">
        <v>3199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 t="str">
        <f t="shared" si="1"/>
        <v>Built-up :</v>
      </c>
      <c r="AE732" s="7" t="str">
        <f t="shared" si="2"/>
        <v> sq. ft.</v>
      </c>
      <c r="AF732">
        <f>IFERROR(__xludf.DUMMYFUNCTION("VALUE(REGEXREPLACE(G732,""[^[:digit:]]"", """"))"),900.0)</f>
        <v>900</v>
      </c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 t="s">
        <v>27</v>
      </c>
    </row>
    <row r="733">
      <c r="A733" s="7" t="s">
        <v>32</v>
      </c>
      <c r="B733" s="7" t="s">
        <v>852</v>
      </c>
      <c r="C733" s="7">
        <f t="shared" si="71"/>
        <v>2</v>
      </c>
      <c r="D733" s="7">
        <v>2.0</v>
      </c>
      <c r="E733" s="7">
        <v>1.0</v>
      </c>
      <c r="F733" s="7" t="s">
        <v>93</v>
      </c>
      <c r="G733" s="7" t="s">
        <v>853</v>
      </c>
      <c r="H733" s="9" t="s">
        <v>2979</v>
      </c>
      <c r="I733" t="s">
        <v>3371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 t="str">
        <f t="shared" si="1"/>
        <v>Built-up :</v>
      </c>
      <c r="AE733" s="7" t="str">
        <f t="shared" si="2"/>
        <v> sq. ft.</v>
      </c>
      <c r="AF733">
        <f>IFERROR(__xludf.DUMMYFUNCTION("VALUE(REGEXREPLACE(G733,""[^[:digit:]]"", """"))"),970.0)</f>
        <v>970</v>
      </c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 t="s">
        <v>22</v>
      </c>
    </row>
    <row r="734">
      <c r="A734" s="7" t="s">
        <v>32</v>
      </c>
      <c r="B734" s="7" t="s">
        <v>854</v>
      </c>
      <c r="C734" s="7">
        <f>4</f>
        <v>4</v>
      </c>
      <c r="D734" s="7">
        <v>3.0</v>
      </c>
      <c r="E734" s="7">
        <v>2.0</v>
      </c>
      <c r="F734" s="7" t="s">
        <v>54</v>
      </c>
      <c r="G734" s="7" t="s">
        <v>855</v>
      </c>
      <c r="H734" s="9" t="s">
        <v>2981</v>
      </c>
      <c r="I734" t="s">
        <v>3294</v>
      </c>
      <c r="J734" s="7"/>
      <c r="K734" s="7"/>
      <c r="L734" s="7"/>
      <c r="M734" s="7"/>
      <c r="N734" s="7"/>
      <c r="O734" s="7"/>
      <c r="P734" s="7"/>
      <c r="Q734" s="7"/>
      <c r="R734" s="7"/>
      <c r="S734" s="7" t="s">
        <v>3372</v>
      </c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 t="str">
        <f t="shared" si="1"/>
        <v>Land area </v>
      </c>
      <c r="AE734" s="7" t="str">
        <f t="shared" si="2"/>
        <v> sq. ft.</v>
      </c>
      <c r="AF734" s="7">
        <v>1200.0</v>
      </c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 t="s">
        <v>27</v>
      </c>
    </row>
    <row r="735">
      <c r="A735" s="7" t="s">
        <v>17</v>
      </c>
      <c r="B735" s="7" t="s">
        <v>191</v>
      </c>
      <c r="C735" s="7">
        <f>1</f>
        <v>1</v>
      </c>
      <c r="D735" s="7">
        <v>1.0</v>
      </c>
      <c r="E735" s="7">
        <v>1.0</v>
      </c>
      <c r="F735" s="7" t="s">
        <v>83</v>
      </c>
      <c r="G735" s="7" t="s">
        <v>252</v>
      </c>
      <c r="H735" s="9" t="s">
        <v>2979</v>
      </c>
      <c r="I735" t="s">
        <v>3077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 t="str">
        <f t="shared" si="1"/>
        <v>Built-up :</v>
      </c>
      <c r="AE735" s="7" t="str">
        <f t="shared" si="2"/>
        <v> sq. ft.</v>
      </c>
      <c r="AF735">
        <f>IFERROR(__xludf.DUMMYFUNCTION("VALUE(REGEXREPLACE(G735,""[^[:digit:]]"", """"))"),657.0)</f>
        <v>657</v>
      </c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 t="s">
        <v>27</v>
      </c>
    </row>
    <row r="736">
      <c r="A736" s="7" t="s">
        <v>432</v>
      </c>
      <c r="B736" s="7" t="s">
        <v>66</v>
      </c>
      <c r="C736" s="7">
        <f>5+1</f>
        <v>6</v>
      </c>
      <c r="D736" s="7">
        <v>6.0</v>
      </c>
      <c r="E736" s="9">
        <v>2.0</v>
      </c>
      <c r="F736" s="7" t="s">
        <v>25</v>
      </c>
      <c r="G736" s="7" t="s">
        <v>856</v>
      </c>
      <c r="H736" s="9" t="s">
        <v>2981</v>
      </c>
      <c r="I736" t="s">
        <v>3373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 t="str">
        <f t="shared" si="1"/>
        <v>Land area </v>
      </c>
      <c r="AE736" s="7" t="str">
        <f t="shared" si="2"/>
        <v> sq. ft.</v>
      </c>
      <c r="AF736">
        <f>IFERROR(__xludf.DUMMYFUNCTION("VALUE(REGEXREPLACE(G736,""[^[:digit:]]"", """"))"),8100.0)</f>
        <v>8100</v>
      </c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 t="s">
        <v>27</v>
      </c>
    </row>
    <row r="737">
      <c r="A737" s="7" t="s">
        <v>432</v>
      </c>
      <c r="B737" s="7" t="s">
        <v>513</v>
      </c>
      <c r="C737" s="7">
        <f t="shared" ref="C737:C738" si="72">7+1</f>
        <v>8</v>
      </c>
      <c r="D737" s="7">
        <v>8.0</v>
      </c>
      <c r="E737" s="9">
        <v>2.0</v>
      </c>
      <c r="F737" s="7" t="s">
        <v>25</v>
      </c>
      <c r="G737" s="7" t="s">
        <v>857</v>
      </c>
      <c r="H737" s="9" t="s">
        <v>2981</v>
      </c>
      <c r="I737" t="s">
        <v>3374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 t="str">
        <f t="shared" si="1"/>
        <v>Land area </v>
      </c>
      <c r="AE737" s="7" t="str">
        <f t="shared" si="2"/>
        <v> sq. ft.</v>
      </c>
      <c r="AF737">
        <f>IFERROR(__xludf.DUMMYFUNCTION("VALUE(REGEXREPLACE(G737,""[^[:digit:]]"", """"))"),9700.0)</f>
        <v>9700</v>
      </c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 t="s">
        <v>27</v>
      </c>
    </row>
    <row r="738">
      <c r="A738" s="7" t="s">
        <v>432</v>
      </c>
      <c r="B738" s="7" t="s">
        <v>858</v>
      </c>
      <c r="C738" s="7">
        <f t="shared" si="72"/>
        <v>8</v>
      </c>
      <c r="D738" s="7">
        <v>8.0</v>
      </c>
      <c r="E738" s="9">
        <v>2.0</v>
      </c>
      <c r="F738" s="7" t="s">
        <v>25</v>
      </c>
      <c r="G738" s="7" t="s">
        <v>859</v>
      </c>
      <c r="H738" s="9" t="s">
        <v>2981</v>
      </c>
      <c r="I738" t="s">
        <v>3375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 t="str">
        <f t="shared" si="1"/>
        <v>Land area </v>
      </c>
      <c r="AE738" s="7" t="str">
        <f t="shared" si="2"/>
        <v> sq. ft.</v>
      </c>
      <c r="AF738">
        <f>IFERROR(__xludf.DUMMYFUNCTION("VALUE(REGEXREPLACE(G738,""[^[:digit:]]"", """"))"),9400.0)</f>
        <v>9400</v>
      </c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 t="s">
        <v>27</v>
      </c>
    </row>
    <row r="739">
      <c r="A739" s="7" t="s">
        <v>48</v>
      </c>
      <c r="B739" s="7" t="s">
        <v>110</v>
      </c>
      <c r="C739" s="7">
        <f>5</f>
        <v>5</v>
      </c>
      <c r="D739" s="7">
        <v>5.0</v>
      </c>
      <c r="E739" s="7">
        <v>6.0</v>
      </c>
      <c r="F739" s="7" t="s">
        <v>64</v>
      </c>
      <c r="G739" s="7" t="s">
        <v>860</v>
      </c>
      <c r="H739" s="9" t="s">
        <v>2981</v>
      </c>
      <c r="I739" t="s">
        <v>3376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 t="str">
        <f t="shared" si="1"/>
        <v>Land area </v>
      </c>
      <c r="AE739" s="7" t="str">
        <f t="shared" si="2"/>
        <v> sq. ft.</v>
      </c>
      <c r="AF739">
        <f>IFERROR(__xludf.DUMMYFUNCTION("VALUE(REGEXREPLACE(G739,""[^[:digit:]]"", """"))"),4000.0)</f>
        <v>4000</v>
      </c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 t="s">
        <v>27</v>
      </c>
    </row>
    <row r="740">
      <c r="A740" s="7" t="s">
        <v>608</v>
      </c>
      <c r="B740" s="7" t="s">
        <v>139</v>
      </c>
      <c r="C740" s="7">
        <f>1</f>
        <v>1</v>
      </c>
      <c r="D740" s="7">
        <v>1.0</v>
      </c>
      <c r="E740" s="7">
        <v>1.0</v>
      </c>
      <c r="F740" s="7" t="s">
        <v>83</v>
      </c>
      <c r="G740" s="7" t="s">
        <v>252</v>
      </c>
      <c r="H740" s="9" t="s">
        <v>2979</v>
      </c>
      <c r="I740" t="s">
        <v>3077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 t="str">
        <f t="shared" si="1"/>
        <v>Built-up :</v>
      </c>
      <c r="AE740" s="7" t="str">
        <f t="shared" si="2"/>
        <v> sq. ft.</v>
      </c>
      <c r="AF740">
        <f>IFERROR(__xludf.DUMMYFUNCTION("VALUE(REGEXREPLACE(G740,""[^[:digit:]]"", """"))"),657.0)</f>
        <v>657</v>
      </c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 t="s">
        <v>27</v>
      </c>
    </row>
    <row r="741">
      <c r="A741" s="7" t="s">
        <v>241</v>
      </c>
      <c r="B741" s="7" t="s">
        <v>372</v>
      </c>
      <c r="C741" s="7">
        <f>3+1</f>
        <v>4</v>
      </c>
      <c r="D741" s="7">
        <v>3.0</v>
      </c>
      <c r="E741" s="7">
        <v>2.0</v>
      </c>
      <c r="F741" s="7" t="s">
        <v>93</v>
      </c>
      <c r="G741" s="7" t="s">
        <v>334</v>
      </c>
      <c r="H741" s="9" t="s">
        <v>2979</v>
      </c>
      <c r="I741" t="s">
        <v>3112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 t="str">
        <f t="shared" si="1"/>
        <v>Built-up :</v>
      </c>
      <c r="AE741" s="7" t="str">
        <f t="shared" si="2"/>
        <v> sq. ft.</v>
      </c>
      <c r="AF741">
        <f>IFERROR(__xludf.DUMMYFUNCTION("VALUE(REGEXREPLACE(G741,""[^[:digit:]]"", """"))"),1496.0)</f>
        <v>1496</v>
      </c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 t="s">
        <v>27</v>
      </c>
    </row>
    <row r="742">
      <c r="A742" s="7" t="s">
        <v>33</v>
      </c>
      <c r="B742" s="7" t="s">
        <v>861</v>
      </c>
      <c r="C742" s="7">
        <f>4+1</f>
        <v>5</v>
      </c>
      <c r="D742" s="7">
        <v>3.0</v>
      </c>
      <c r="E742" s="7">
        <v>4.0</v>
      </c>
      <c r="F742" s="7" t="s">
        <v>30</v>
      </c>
      <c r="G742" s="7" t="s">
        <v>137</v>
      </c>
      <c r="H742" s="9" t="s">
        <v>2979</v>
      </c>
      <c r="I742" t="s">
        <v>3024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 t="str">
        <f t="shared" si="1"/>
        <v>Built-up :</v>
      </c>
      <c r="AE742" s="7" t="str">
        <f t="shared" si="2"/>
        <v> sq. ft.</v>
      </c>
      <c r="AF742">
        <f>IFERROR(__xludf.DUMMYFUNCTION("VALUE(REGEXREPLACE(G742,""[^[:digit:]]"", """"))"),1772.0)</f>
        <v>1772</v>
      </c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 t="s">
        <v>27</v>
      </c>
    </row>
    <row r="743">
      <c r="A743" s="7" t="s">
        <v>77</v>
      </c>
      <c r="B743" s="7" t="s">
        <v>862</v>
      </c>
      <c r="C743" s="7">
        <f>8</f>
        <v>8</v>
      </c>
      <c r="D743" s="7">
        <v>6.0</v>
      </c>
      <c r="E743" s="9">
        <v>2.0</v>
      </c>
      <c r="F743" s="7" t="s">
        <v>487</v>
      </c>
      <c r="G743" s="7" t="s">
        <v>863</v>
      </c>
      <c r="H743" s="9" t="s">
        <v>2981</v>
      </c>
      <c r="I743" t="s">
        <v>3377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 t="str">
        <f t="shared" si="1"/>
        <v>Land area </v>
      </c>
      <c r="AE743" s="7" t="str">
        <f t="shared" si="2"/>
        <v> sq. ft.</v>
      </c>
      <c r="AF743">
        <f>IFERROR(__xludf.DUMMYFUNCTION("VALUE(REGEXREPLACE(G743,""[^[:digit:]]"", """"))"),3500.0)</f>
        <v>3500</v>
      </c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 t="s">
        <v>27</v>
      </c>
    </row>
    <row r="744">
      <c r="A744" s="7" t="s">
        <v>77</v>
      </c>
      <c r="B744" s="7" t="s">
        <v>864</v>
      </c>
      <c r="C744" s="7">
        <f>4+1</f>
        <v>5</v>
      </c>
      <c r="D744" s="7">
        <v>5.0</v>
      </c>
      <c r="E744" s="9">
        <v>2.0</v>
      </c>
      <c r="F744" s="7" t="s">
        <v>90</v>
      </c>
      <c r="G744" s="7" t="s">
        <v>865</v>
      </c>
      <c r="H744" s="9" t="s">
        <v>2981</v>
      </c>
      <c r="I744" t="s">
        <v>3091</v>
      </c>
      <c r="J744" s="7"/>
      <c r="K744" s="7"/>
      <c r="L744" s="7"/>
      <c r="M744" s="7"/>
      <c r="N744" s="7"/>
      <c r="O744" s="7"/>
      <c r="P744" s="7"/>
      <c r="Q744" s="7"/>
      <c r="R744" s="7"/>
      <c r="S744" s="7" t="s">
        <v>3378</v>
      </c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 t="str">
        <f t="shared" si="1"/>
        <v>Land area </v>
      </c>
      <c r="AE744" s="7" t="str">
        <f t="shared" si="2"/>
        <v> sq. ft.</v>
      </c>
      <c r="AF744">
        <f>IFERROR(__xludf.DUMMYFUNCTION("VALUE(REGEXREPLACE(G744,""[^[:digit:]]"", """"))"),2275.0)</f>
        <v>2275</v>
      </c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 t="s">
        <v>27</v>
      </c>
    </row>
    <row r="745">
      <c r="A745" s="7" t="s">
        <v>17</v>
      </c>
      <c r="B745" s="7" t="s">
        <v>448</v>
      </c>
      <c r="C745" s="7">
        <f>2</f>
        <v>2</v>
      </c>
      <c r="D745" s="7">
        <v>2.0</v>
      </c>
      <c r="E745" s="7">
        <v>1.0</v>
      </c>
      <c r="F745" s="7" t="s">
        <v>93</v>
      </c>
      <c r="G745" s="7" t="s">
        <v>213</v>
      </c>
      <c r="H745" s="9" t="s">
        <v>2979</v>
      </c>
      <c r="I745" t="s">
        <v>3055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 t="str">
        <f t="shared" si="1"/>
        <v>Built-up :</v>
      </c>
      <c r="AE745" s="7" t="str">
        <f t="shared" si="2"/>
        <v> sq. ft.</v>
      </c>
      <c r="AF745">
        <f>IFERROR(__xludf.DUMMYFUNCTION("VALUE(REGEXREPLACE(G745,""[^[:digit:]]"", """"))"),976.0)</f>
        <v>976</v>
      </c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 t="s">
        <v>27</v>
      </c>
    </row>
    <row r="746">
      <c r="A746" s="7" t="s">
        <v>72</v>
      </c>
      <c r="B746" s="7" t="s">
        <v>866</v>
      </c>
      <c r="C746" s="7">
        <f>4+1</f>
        <v>5</v>
      </c>
      <c r="D746" s="7">
        <v>5.0</v>
      </c>
      <c r="E746" s="7">
        <v>3.0</v>
      </c>
      <c r="F746" s="7" t="s">
        <v>30</v>
      </c>
      <c r="G746" s="7" t="s">
        <v>115</v>
      </c>
      <c r="H746" s="9" t="s">
        <v>2979</v>
      </c>
      <c r="I746" t="s">
        <v>3013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 t="str">
        <f t="shared" si="1"/>
        <v>Built-up :</v>
      </c>
      <c r="AE746" s="7" t="str">
        <f t="shared" si="2"/>
        <v> sq. ft.</v>
      </c>
      <c r="AF746">
        <f>IFERROR(__xludf.DUMMYFUNCTION("VALUE(REGEXREPLACE(G746,""[^[:digit:]]"", """"))"),2702.0)</f>
        <v>2702</v>
      </c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 t="s">
        <v>27</v>
      </c>
    </row>
    <row r="747">
      <c r="A747" s="7" t="s">
        <v>77</v>
      </c>
      <c r="B747" s="7" t="s">
        <v>165</v>
      </c>
      <c r="C747" s="7">
        <f>5+1</f>
        <v>6</v>
      </c>
      <c r="D747" s="7">
        <v>4.0</v>
      </c>
      <c r="E747" s="9">
        <v>2.0</v>
      </c>
      <c r="F747" s="7" t="s">
        <v>90</v>
      </c>
      <c r="G747" s="7" t="s">
        <v>293</v>
      </c>
      <c r="H747" s="9" t="s">
        <v>2979</v>
      </c>
      <c r="I747" t="s">
        <v>3095</v>
      </c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 t="str">
        <f t="shared" si="1"/>
        <v>Built-up :</v>
      </c>
      <c r="AE747" s="7" t="str">
        <f t="shared" si="2"/>
        <v> sq. ft.</v>
      </c>
      <c r="AF747">
        <f>IFERROR(__xludf.DUMMYFUNCTION("VALUE(REGEXREPLACE(G747,""[^[:digit:]]"", """"))"),5448.0)</f>
        <v>5448</v>
      </c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 t="s">
        <v>27</v>
      </c>
    </row>
    <row r="748">
      <c r="A748" s="7" t="s">
        <v>72</v>
      </c>
      <c r="B748" s="7" t="s">
        <v>73</v>
      </c>
      <c r="C748" s="7">
        <f>3+1</f>
        <v>4</v>
      </c>
      <c r="D748" s="7">
        <v>4.0</v>
      </c>
      <c r="E748" s="7">
        <v>2.0</v>
      </c>
      <c r="F748" s="7" t="s">
        <v>30</v>
      </c>
      <c r="G748" s="7" t="s">
        <v>867</v>
      </c>
      <c r="H748" s="9" t="s">
        <v>2979</v>
      </c>
      <c r="I748" t="s">
        <v>3379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 t="str">
        <f t="shared" si="1"/>
        <v>Built-up :</v>
      </c>
      <c r="AE748" s="7" t="str">
        <f t="shared" si="2"/>
        <v> sq. ft.</v>
      </c>
      <c r="AF748">
        <f>IFERROR(__xludf.DUMMYFUNCTION("VALUE(REGEXREPLACE(G748,""[^[:digit:]]"", """"))"),2073.0)</f>
        <v>2073</v>
      </c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 t="s">
        <v>27</v>
      </c>
    </row>
    <row r="749">
      <c r="A749" s="7" t="s">
        <v>17</v>
      </c>
      <c r="B749" s="7" t="s">
        <v>229</v>
      </c>
      <c r="C749" s="7">
        <f>1</f>
        <v>1</v>
      </c>
      <c r="D749" s="7">
        <v>1.0</v>
      </c>
      <c r="E749" s="7">
        <v>1.0</v>
      </c>
      <c r="F749" s="7" t="s">
        <v>93</v>
      </c>
      <c r="G749" s="7" t="s">
        <v>393</v>
      </c>
      <c r="H749" s="9" t="s">
        <v>2979</v>
      </c>
      <c r="I749" t="s">
        <v>3142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 t="str">
        <f t="shared" si="1"/>
        <v>Built-up :</v>
      </c>
      <c r="AE749" s="7" t="str">
        <f t="shared" si="2"/>
        <v> sq. ft.</v>
      </c>
      <c r="AF749">
        <f>IFERROR(__xludf.DUMMYFUNCTION("VALUE(REGEXREPLACE(G749,""[^[:digit:]]"", """"))"),751.0)</f>
        <v>751</v>
      </c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 t="s">
        <v>22</v>
      </c>
    </row>
    <row r="750">
      <c r="A750" s="7" t="s">
        <v>33</v>
      </c>
      <c r="B750" s="7" t="s">
        <v>221</v>
      </c>
      <c r="C750" s="7">
        <f>3</f>
        <v>3</v>
      </c>
      <c r="E750" s="7">
        <v>2.0</v>
      </c>
      <c r="F750" s="7" t="s">
        <v>30</v>
      </c>
      <c r="G750" s="7" t="s">
        <v>868</v>
      </c>
      <c r="H750" s="9" t="s">
        <v>2979</v>
      </c>
      <c r="I750" t="s">
        <v>3380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 t="str">
        <f t="shared" si="1"/>
        <v>Built-up :</v>
      </c>
      <c r="AE750" s="7" t="str">
        <f t="shared" si="2"/>
        <v> sq. ft.</v>
      </c>
      <c r="AF750">
        <f>IFERROR(__xludf.DUMMYFUNCTION("VALUE(REGEXREPLACE(G750,""[^[:digit:]]"", """"))"),1404.0)</f>
        <v>1404</v>
      </c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 t="s">
        <v>27</v>
      </c>
    </row>
    <row r="751">
      <c r="A751" s="7" t="s">
        <v>32</v>
      </c>
      <c r="B751" s="7" t="s">
        <v>361</v>
      </c>
      <c r="C751" s="7">
        <f t="shared" ref="C751:C752" si="73">3+1</f>
        <v>4</v>
      </c>
      <c r="D751" s="7">
        <v>2.0</v>
      </c>
      <c r="E751" s="7">
        <v>1.0</v>
      </c>
      <c r="F751" s="7" t="s">
        <v>93</v>
      </c>
      <c r="G751" s="7" t="s">
        <v>869</v>
      </c>
      <c r="H751" s="9" t="s">
        <v>2979</v>
      </c>
      <c r="I751" t="s">
        <v>3381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 t="str">
        <f t="shared" si="1"/>
        <v>Built-up :</v>
      </c>
      <c r="AE751" s="7" t="str">
        <f t="shared" si="2"/>
        <v> sq. ft.</v>
      </c>
      <c r="AF751">
        <f>IFERROR(__xludf.DUMMYFUNCTION("VALUE(REGEXREPLACE(G751,""[^[:digit:]]"", """"))"),1394.0)</f>
        <v>1394</v>
      </c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 t="s">
        <v>103</v>
      </c>
    </row>
    <row r="752">
      <c r="A752" s="7" t="s">
        <v>77</v>
      </c>
      <c r="B752" s="7" t="s">
        <v>306</v>
      </c>
      <c r="C752" s="7">
        <f t="shared" si="73"/>
        <v>4</v>
      </c>
      <c r="D752" s="7">
        <v>4.0</v>
      </c>
      <c r="E752" s="9">
        <v>2.0</v>
      </c>
      <c r="F752" s="7" t="s">
        <v>54</v>
      </c>
      <c r="G752" s="7" t="s">
        <v>333</v>
      </c>
      <c r="H752" s="9" t="s">
        <v>2981</v>
      </c>
      <c r="I752" t="s">
        <v>3091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 t="str">
        <f t="shared" si="1"/>
        <v>Land area </v>
      </c>
      <c r="AE752" s="7" t="str">
        <f t="shared" si="2"/>
        <v> sq. ft.</v>
      </c>
      <c r="AF752">
        <f>IFERROR(__xludf.DUMMYFUNCTION("VALUE(REGEXREPLACE(G752,""[^[:digit:]]"", """"))"),1650.0)</f>
        <v>1650</v>
      </c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 t="s">
        <v>27</v>
      </c>
    </row>
    <row r="753">
      <c r="A753" s="7" t="s">
        <v>17</v>
      </c>
      <c r="B753" s="7" t="s">
        <v>870</v>
      </c>
      <c r="C753" s="7">
        <f>2</f>
        <v>2</v>
      </c>
      <c r="D753" s="7">
        <v>2.0</v>
      </c>
      <c r="E753" s="7">
        <v>1.0</v>
      </c>
      <c r="F753" s="7" t="s">
        <v>83</v>
      </c>
      <c r="G753" s="7" t="s">
        <v>213</v>
      </c>
      <c r="H753" s="9" t="s">
        <v>2979</v>
      </c>
      <c r="I753" t="s">
        <v>3055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 t="str">
        <f t="shared" si="1"/>
        <v>Built-up :</v>
      </c>
      <c r="AE753" s="7" t="str">
        <f t="shared" si="2"/>
        <v> sq. ft.</v>
      </c>
      <c r="AF753">
        <f>IFERROR(__xludf.DUMMYFUNCTION("VALUE(REGEXREPLACE(G753,""[^[:digit:]]"", """"))"),976.0)</f>
        <v>976</v>
      </c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 t="s">
        <v>22</v>
      </c>
    </row>
    <row r="754">
      <c r="A754" s="7" t="s">
        <v>17</v>
      </c>
      <c r="B754" s="7" t="s">
        <v>413</v>
      </c>
      <c r="C754" s="7">
        <f>4+1</f>
        <v>5</v>
      </c>
      <c r="D754" s="7">
        <v>6.0</v>
      </c>
      <c r="E754" s="7">
        <v>2.0</v>
      </c>
      <c r="F754" s="7" t="s">
        <v>312</v>
      </c>
      <c r="G754" s="7" t="s">
        <v>414</v>
      </c>
      <c r="H754" s="9" t="s">
        <v>2979</v>
      </c>
      <c r="I754" t="s">
        <v>3152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 t="str">
        <f t="shared" si="1"/>
        <v>Built-up :</v>
      </c>
      <c r="AE754" s="7" t="str">
        <f t="shared" si="2"/>
        <v> sq. ft.</v>
      </c>
      <c r="AF754">
        <f>IFERROR(__xludf.DUMMYFUNCTION("VALUE(REGEXREPLACE(G754,""[^[:digit:]]"", """"))"),2975.0)</f>
        <v>2975</v>
      </c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>
      <c r="A755" s="7" t="s">
        <v>100</v>
      </c>
      <c r="B755" s="7" t="s">
        <v>871</v>
      </c>
      <c r="C755" s="7">
        <f>3+1</f>
        <v>4</v>
      </c>
      <c r="D755" s="7">
        <v>2.0</v>
      </c>
      <c r="E755" s="7">
        <v>2.0</v>
      </c>
      <c r="F755" s="7" t="s">
        <v>82</v>
      </c>
      <c r="G755" s="7" t="s">
        <v>410</v>
      </c>
      <c r="H755" s="9" t="s">
        <v>2979</v>
      </c>
      <c r="I755" t="s">
        <v>3150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 t="str">
        <f t="shared" si="1"/>
        <v>Built-up :</v>
      </c>
      <c r="AE755" s="7" t="str">
        <f t="shared" si="2"/>
        <v> sq. ft.</v>
      </c>
      <c r="AF755">
        <f>IFERROR(__xludf.DUMMYFUNCTION("VALUE(REGEXREPLACE(G755,""[^[:digit:]]"", """"))"),1094.0)</f>
        <v>1094</v>
      </c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 t="s">
        <v>103</v>
      </c>
    </row>
    <row r="756">
      <c r="A756" s="7" t="s">
        <v>77</v>
      </c>
      <c r="B756" s="7" t="s">
        <v>872</v>
      </c>
      <c r="C756" s="7">
        <f>4+1</f>
        <v>5</v>
      </c>
      <c r="D756" s="7">
        <v>4.0</v>
      </c>
      <c r="E756" s="9">
        <v>2.0</v>
      </c>
      <c r="F756" s="7" t="s">
        <v>46</v>
      </c>
      <c r="G756" s="7" t="s">
        <v>274</v>
      </c>
      <c r="H756" s="9" t="s">
        <v>2981</v>
      </c>
      <c r="I756" t="s">
        <v>3086</v>
      </c>
      <c r="J756" s="7"/>
      <c r="K756" s="7"/>
      <c r="L756" s="7"/>
      <c r="M756" s="7"/>
      <c r="N756" s="7"/>
      <c r="O756" s="7"/>
      <c r="P756" s="7"/>
      <c r="Q756" s="7"/>
      <c r="R756" s="7"/>
      <c r="S756" s="7" t="s">
        <v>2990</v>
      </c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 t="str">
        <f t="shared" si="1"/>
        <v>Land area </v>
      </c>
      <c r="AE756" s="7" t="str">
        <f t="shared" si="2"/>
        <v> sq. ft.</v>
      </c>
      <c r="AF756">
        <f>IFERROR(__xludf.DUMMYFUNCTION("VALUE(REGEXREPLACE(G756,""[^[:digit:]]"", """"))"),3875.0)</f>
        <v>3875</v>
      </c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 t="s">
        <v>27</v>
      </c>
    </row>
    <row r="757">
      <c r="A757" s="7" t="s">
        <v>100</v>
      </c>
      <c r="B757" s="7" t="s">
        <v>116</v>
      </c>
      <c r="C757" s="7">
        <f>3+1</f>
        <v>4</v>
      </c>
      <c r="D757" s="7">
        <v>4.0</v>
      </c>
      <c r="E757" s="7">
        <v>4.0</v>
      </c>
      <c r="F757" s="7" t="s">
        <v>93</v>
      </c>
      <c r="G757" s="7" t="s">
        <v>117</v>
      </c>
      <c r="H757" s="9" t="s">
        <v>2979</v>
      </c>
      <c r="I757" t="s">
        <v>3014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 t="str">
        <f t="shared" si="1"/>
        <v>Built-up :</v>
      </c>
      <c r="AE757" s="7" t="str">
        <f t="shared" si="2"/>
        <v> sq. ft.</v>
      </c>
      <c r="AF757">
        <f>IFERROR(__xludf.DUMMYFUNCTION("VALUE(REGEXREPLACE(G757,""[^[:digit:]]"", """"))"),2378.0)</f>
        <v>2378</v>
      </c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 t="s">
        <v>103</v>
      </c>
    </row>
    <row r="758">
      <c r="A758" s="7" t="s">
        <v>100</v>
      </c>
      <c r="B758" s="7" t="s">
        <v>239</v>
      </c>
      <c r="C758" s="7">
        <f>3+2</f>
        <v>5</v>
      </c>
      <c r="D758" s="7">
        <v>4.0</v>
      </c>
      <c r="E758" s="7">
        <v>3.0</v>
      </c>
      <c r="F758" s="7" t="s">
        <v>93</v>
      </c>
      <c r="G758" s="7" t="s">
        <v>741</v>
      </c>
      <c r="H758" s="9" t="s">
        <v>2979</v>
      </c>
      <c r="I758" t="s">
        <v>3313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 t="str">
        <f t="shared" si="1"/>
        <v>Built-up :</v>
      </c>
      <c r="AE758" s="7" t="str">
        <f t="shared" si="2"/>
        <v> sq. ft.</v>
      </c>
      <c r="AF758">
        <f>IFERROR(__xludf.DUMMYFUNCTION("VALUE(REGEXREPLACE(G758,""[^[:digit:]]"", """"))"),2128.0)</f>
        <v>2128</v>
      </c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 t="s">
        <v>22</v>
      </c>
    </row>
    <row r="759">
      <c r="A759" s="7" t="s">
        <v>17</v>
      </c>
      <c r="B759" s="7" t="s">
        <v>191</v>
      </c>
      <c r="C759" s="7">
        <f>2+2</f>
        <v>4</v>
      </c>
      <c r="D759" s="7">
        <v>3.0</v>
      </c>
      <c r="E759" s="7">
        <v>2.0</v>
      </c>
      <c r="F759" s="7" t="s">
        <v>20</v>
      </c>
      <c r="G759" s="7" t="s">
        <v>192</v>
      </c>
      <c r="H759" s="9" t="s">
        <v>2979</v>
      </c>
      <c r="I759" t="s">
        <v>3045</v>
      </c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 t="str">
        <f t="shared" si="1"/>
        <v>Built-up :</v>
      </c>
      <c r="AE759" s="7" t="str">
        <f t="shared" si="2"/>
        <v> sq. ft.</v>
      </c>
      <c r="AF759">
        <f>IFERROR(__xludf.DUMMYFUNCTION("VALUE(REGEXREPLACE(G759,""[^[:digit:]]"", """"))"),1313.0)</f>
        <v>1313</v>
      </c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 t="s">
        <v>22</v>
      </c>
    </row>
    <row r="760">
      <c r="A760" s="7" t="s">
        <v>104</v>
      </c>
      <c r="B760" s="7" t="s">
        <v>311</v>
      </c>
      <c r="C760" s="7">
        <f>4+1</f>
        <v>5</v>
      </c>
      <c r="D760" s="7">
        <v>5.0</v>
      </c>
      <c r="E760" s="7">
        <v>4.0</v>
      </c>
      <c r="F760" s="7" t="s">
        <v>43</v>
      </c>
      <c r="G760" s="7" t="s">
        <v>873</v>
      </c>
      <c r="H760" s="9" t="s">
        <v>2981</v>
      </c>
      <c r="I760" t="s">
        <v>3376</v>
      </c>
      <c r="J760" s="7"/>
      <c r="K760" s="7"/>
      <c r="L760" s="7"/>
      <c r="M760" s="7"/>
      <c r="N760" s="7"/>
      <c r="O760" s="7"/>
      <c r="P760" s="7"/>
      <c r="Q760" s="7"/>
      <c r="R760" s="7"/>
      <c r="S760" s="7" t="s">
        <v>3382</v>
      </c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 t="str">
        <f t="shared" si="1"/>
        <v>Land area </v>
      </c>
      <c r="AE760" s="7" t="str">
        <f t="shared" si="2"/>
        <v> sq. ft.</v>
      </c>
      <c r="AF760">
        <f>IFERROR(__xludf.DUMMYFUNCTION("VALUE(REGEXREPLACE(G760,""[^[:digit:]]"", """"))"),40100.0)</f>
        <v>40100</v>
      </c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 t="s">
        <v>103</v>
      </c>
    </row>
    <row r="761">
      <c r="A761" s="7" t="s">
        <v>100</v>
      </c>
      <c r="B761" s="7" t="s">
        <v>874</v>
      </c>
      <c r="C761" s="7">
        <f>2+1</f>
        <v>3</v>
      </c>
      <c r="D761" s="7">
        <v>3.0</v>
      </c>
      <c r="E761" s="7">
        <v>2.0</v>
      </c>
      <c r="F761" s="7" t="s">
        <v>93</v>
      </c>
      <c r="G761" s="7" t="s">
        <v>732</v>
      </c>
      <c r="H761" s="9" t="s">
        <v>2979</v>
      </c>
      <c r="I761" t="s">
        <v>3307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 t="str">
        <f t="shared" si="1"/>
        <v>Built-up :</v>
      </c>
      <c r="AE761" s="7" t="str">
        <f t="shared" si="2"/>
        <v> sq. ft.</v>
      </c>
      <c r="AF761">
        <f>IFERROR(__xludf.DUMMYFUNCTION("VALUE(REGEXREPLACE(G761,""[^[:digit:]]"", """"))"),1523.0)</f>
        <v>1523</v>
      </c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 t="s">
        <v>27</v>
      </c>
    </row>
    <row r="762">
      <c r="A762" s="7" t="s">
        <v>37</v>
      </c>
      <c r="B762" s="7" t="s">
        <v>229</v>
      </c>
      <c r="C762" s="7">
        <f>3</f>
        <v>3</v>
      </c>
      <c r="D762" s="7">
        <v>2.0</v>
      </c>
      <c r="E762" s="7">
        <v>2.0</v>
      </c>
      <c r="F762" s="7" t="s">
        <v>343</v>
      </c>
      <c r="G762" s="7" t="s">
        <v>344</v>
      </c>
      <c r="H762" s="9" t="s">
        <v>2981</v>
      </c>
      <c r="I762" t="s">
        <v>3118</v>
      </c>
      <c r="J762" s="7"/>
      <c r="K762" s="7"/>
      <c r="L762" s="7"/>
      <c r="M762" s="7"/>
      <c r="N762" s="7"/>
      <c r="O762" s="7"/>
      <c r="P762" s="7"/>
      <c r="Q762" s="7"/>
      <c r="R762" s="7"/>
      <c r="S762" s="7" t="s">
        <v>2993</v>
      </c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 t="str">
        <f t="shared" si="1"/>
        <v>Land area </v>
      </c>
      <c r="AE762" s="7" t="str">
        <f t="shared" si="2"/>
        <v> sq. ft.</v>
      </c>
      <c r="AF762">
        <f>IFERROR(__xludf.DUMMYFUNCTION("VALUE(REGEXREPLACE(G762,""[^[:digit:]]"", """"))"),2480.0)</f>
        <v>2480</v>
      </c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 t="s">
        <v>27</v>
      </c>
    </row>
    <row r="763">
      <c r="A763" s="7" t="s">
        <v>17</v>
      </c>
      <c r="B763" s="7" t="s">
        <v>81</v>
      </c>
      <c r="C763" s="7">
        <f>1+1</f>
        <v>2</v>
      </c>
      <c r="D763" s="7">
        <v>2.0</v>
      </c>
      <c r="E763" s="7">
        <v>1.0</v>
      </c>
      <c r="F763" s="7" t="s">
        <v>20</v>
      </c>
      <c r="G763" s="7" t="s">
        <v>875</v>
      </c>
      <c r="H763" s="9" t="s">
        <v>2979</v>
      </c>
      <c r="I763" t="s">
        <v>3383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 t="str">
        <f t="shared" si="1"/>
        <v>Built-up :</v>
      </c>
      <c r="AE763" s="7" t="str">
        <f t="shared" si="2"/>
        <v> sq. ft.</v>
      </c>
      <c r="AF763">
        <f>IFERROR(__xludf.DUMMYFUNCTION("VALUE(REGEXREPLACE(G763,""[^[:digit:]]"", """"))"),711.0)</f>
        <v>711</v>
      </c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 t="s">
        <v>27</v>
      </c>
    </row>
    <row r="764">
      <c r="A764" s="7" t="s">
        <v>17</v>
      </c>
      <c r="B764" s="7" t="s">
        <v>63</v>
      </c>
      <c r="C764" s="7">
        <f>2</f>
        <v>2</v>
      </c>
      <c r="D764" s="7">
        <v>2.0</v>
      </c>
      <c r="E764" s="7">
        <v>2.0</v>
      </c>
      <c r="F764" s="7" t="s">
        <v>121</v>
      </c>
      <c r="G764" s="7" t="s">
        <v>318</v>
      </c>
      <c r="H764" s="9" t="s">
        <v>2979</v>
      </c>
      <c r="I764" t="s">
        <v>3105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 t="str">
        <f t="shared" si="1"/>
        <v>Built-up :</v>
      </c>
      <c r="AE764" s="7" t="str">
        <f t="shared" si="2"/>
        <v> sq. ft.</v>
      </c>
      <c r="AF764">
        <f>IFERROR(__xludf.DUMMYFUNCTION("VALUE(REGEXREPLACE(G764,""[^[:digit:]]"", """"))"),1572.0)</f>
        <v>1572</v>
      </c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 t="s">
        <v>27</v>
      </c>
    </row>
    <row r="765">
      <c r="A765" s="7" t="s">
        <v>177</v>
      </c>
      <c r="B765" s="7" t="s">
        <v>313</v>
      </c>
      <c r="C765" s="7">
        <f>5+2</f>
        <v>7</v>
      </c>
      <c r="D765" s="7">
        <v>3.0</v>
      </c>
      <c r="E765" s="7">
        <v>4.0</v>
      </c>
      <c r="F765" s="7" t="s">
        <v>46</v>
      </c>
      <c r="G765" s="7" t="s">
        <v>876</v>
      </c>
      <c r="H765" s="9" t="s">
        <v>2981</v>
      </c>
      <c r="I765" t="s">
        <v>3384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 t="str">
        <f t="shared" si="1"/>
        <v>Land area </v>
      </c>
      <c r="AE765" s="7" t="str">
        <f t="shared" si="2"/>
        <v> sq. ft.</v>
      </c>
      <c r="AF765">
        <f>IFERROR(__xludf.DUMMYFUNCTION("VALUE(REGEXREPLACE(G765,""[^[:digit:]]"", """"))"),3400.0)</f>
        <v>3400</v>
      </c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 t="s">
        <v>27</v>
      </c>
    </row>
    <row r="766">
      <c r="A766" s="7" t="s">
        <v>17</v>
      </c>
      <c r="B766" s="7" t="s">
        <v>877</v>
      </c>
      <c r="C766" s="7">
        <f t="shared" ref="C766:C769" si="74">2</f>
        <v>2</v>
      </c>
      <c r="D766" s="7">
        <v>2.0</v>
      </c>
      <c r="E766" s="7">
        <v>1.0</v>
      </c>
      <c r="F766" s="7" t="s">
        <v>20</v>
      </c>
      <c r="G766" s="7" t="s">
        <v>459</v>
      </c>
      <c r="H766" s="9" t="s">
        <v>2979</v>
      </c>
      <c r="I766" t="s">
        <v>3171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 t="str">
        <f t="shared" si="1"/>
        <v>Built-up :</v>
      </c>
      <c r="AE766" s="7" t="str">
        <f t="shared" si="2"/>
        <v> sq. ft.</v>
      </c>
      <c r="AF766">
        <f>IFERROR(__xludf.DUMMYFUNCTION("VALUE(REGEXREPLACE(G766,""[^[:digit:]]"", """"))"),1114.0)</f>
        <v>1114</v>
      </c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 t="s">
        <v>22</v>
      </c>
    </row>
    <row r="767">
      <c r="A767" s="7" t="s">
        <v>72</v>
      </c>
      <c r="B767" s="7" t="s">
        <v>878</v>
      </c>
      <c r="C767" s="7">
        <f t="shared" si="74"/>
        <v>2</v>
      </c>
      <c r="D767" s="7">
        <v>2.0</v>
      </c>
      <c r="E767" s="7">
        <v>1.0</v>
      </c>
      <c r="F767" s="7" t="s">
        <v>20</v>
      </c>
      <c r="G767" s="7" t="s">
        <v>879</v>
      </c>
      <c r="H767" s="9" t="s">
        <v>2979</v>
      </c>
      <c r="I767" t="s">
        <v>3385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 t="str">
        <f t="shared" si="1"/>
        <v>Built-up :</v>
      </c>
      <c r="AE767" s="7" t="str">
        <f t="shared" si="2"/>
        <v> sq. ft.</v>
      </c>
      <c r="AF767">
        <f>IFERROR(__xludf.DUMMYFUNCTION("VALUE(REGEXREPLACE(G767,""[^[:digit:]]"", """"))"),873.0)</f>
        <v>873</v>
      </c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 t="s">
        <v>27</v>
      </c>
    </row>
    <row r="768">
      <c r="A768" s="7" t="s">
        <v>72</v>
      </c>
      <c r="B768" s="7" t="s">
        <v>134</v>
      </c>
      <c r="C768" s="7">
        <f t="shared" si="74"/>
        <v>2</v>
      </c>
      <c r="D768" s="7">
        <v>2.0</v>
      </c>
      <c r="E768" s="7">
        <v>1.0</v>
      </c>
      <c r="F768" s="7" t="s">
        <v>20</v>
      </c>
      <c r="G768" s="7" t="s">
        <v>880</v>
      </c>
      <c r="H768" s="9" t="s">
        <v>2979</v>
      </c>
      <c r="I768" t="s">
        <v>3267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 t="str">
        <f t="shared" si="1"/>
        <v>Built-up :</v>
      </c>
      <c r="AE768" s="7" t="str">
        <f t="shared" si="2"/>
        <v> sq. ft.</v>
      </c>
      <c r="AF768">
        <f>IFERROR(__xludf.DUMMYFUNCTION("VALUE(REGEXREPLACE(G768,""[^[:digit:]]"", """"))"),910.0)</f>
        <v>910</v>
      </c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 t="s">
        <v>27</v>
      </c>
    </row>
    <row r="769">
      <c r="A769" s="7" t="s">
        <v>72</v>
      </c>
      <c r="B769" s="7" t="s">
        <v>311</v>
      </c>
      <c r="C769" s="7">
        <f t="shared" si="74"/>
        <v>2</v>
      </c>
      <c r="D769" s="7">
        <v>2.0</v>
      </c>
      <c r="E769" s="7">
        <v>1.0</v>
      </c>
      <c r="F769" s="7" t="s">
        <v>20</v>
      </c>
      <c r="G769" s="7" t="s">
        <v>738</v>
      </c>
      <c r="H769" s="9" t="s">
        <v>2979</v>
      </c>
      <c r="I769" t="s">
        <v>3311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 t="str">
        <f t="shared" si="1"/>
        <v>Built-up :</v>
      </c>
      <c r="AE769" s="7" t="str">
        <f t="shared" si="2"/>
        <v> sq. ft.</v>
      </c>
      <c r="AF769">
        <f>IFERROR(__xludf.DUMMYFUNCTION("VALUE(REGEXREPLACE(G769,""[^[:digit:]]"", """"))"),907.0)</f>
        <v>907</v>
      </c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 t="s">
        <v>22</v>
      </c>
    </row>
    <row r="770">
      <c r="A770" s="7" t="s">
        <v>23</v>
      </c>
      <c r="B770" s="7" t="s">
        <v>881</v>
      </c>
      <c r="C770" s="7">
        <f>5</f>
        <v>5</v>
      </c>
      <c r="D770" s="7">
        <v>4.0</v>
      </c>
      <c r="E770" s="7">
        <v>6.0</v>
      </c>
      <c r="F770" s="7" t="s">
        <v>25</v>
      </c>
      <c r="G770" s="7" t="s">
        <v>882</v>
      </c>
      <c r="H770" s="9" t="s">
        <v>2981</v>
      </c>
      <c r="I770" t="s">
        <v>3386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 t="str">
        <f t="shared" si="1"/>
        <v>Land area </v>
      </c>
      <c r="AE770" s="7" t="str">
        <f t="shared" si="2"/>
        <v> sq. ft.</v>
      </c>
      <c r="AF770">
        <f>IFERROR(__xludf.DUMMYFUNCTION("VALUE(REGEXREPLACE(G770,""[^[:digit:]]"", """"))"),7318.0)</f>
        <v>7318</v>
      </c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>
      <c r="A771" s="7" t="s">
        <v>89</v>
      </c>
      <c r="B771" s="7" t="s">
        <v>883</v>
      </c>
      <c r="C771" s="7">
        <f>3</f>
        <v>3</v>
      </c>
      <c r="D771" s="7">
        <v>2.0</v>
      </c>
      <c r="E771" s="7">
        <v>2.0</v>
      </c>
      <c r="F771" s="7" t="s">
        <v>30</v>
      </c>
      <c r="G771" s="7" t="s">
        <v>884</v>
      </c>
      <c r="H771" s="9" t="s">
        <v>2979</v>
      </c>
      <c r="I771" t="s">
        <v>3387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 t="str">
        <f t="shared" si="1"/>
        <v>Built-up :</v>
      </c>
      <c r="AE771" s="7" t="str">
        <f t="shared" si="2"/>
        <v> sq. ft.</v>
      </c>
      <c r="AF771">
        <f>IFERROR(__xludf.DUMMYFUNCTION("VALUE(REGEXREPLACE(G771,""[^[:digit:]]"", """"))"),1260.0)</f>
        <v>1260</v>
      </c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 t="s">
        <v>27</v>
      </c>
    </row>
    <row r="772">
      <c r="A772" s="7" t="s">
        <v>371</v>
      </c>
      <c r="B772" s="7" t="s">
        <v>885</v>
      </c>
      <c r="C772" s="7">
        <f>2+1</f>
        <v>3</v>
      </c>
      <c r="D772" s="7">
        <v>2.0</v>
      </c>
      <c r="E772" s="7">
        <v>1.0</v>
      </c>
      <c r="F772" s="7" t="s">
        <v>93</v>
      </c>
      <c r="H772" s="9" t="s">
        <v>2984</v>
      </c>
      <c r="I772" t="s">
        <v>2985</v>
      </c>
      <c r="AD772" s="7" t="str">
        <f t="shared" si="1"/>
        <v/>
      </c>
      <c r="AE772" s="7" t="str">
        <f t="shared" si="2"/>
        <v/>
      </c>
      <c r="AF772">
        <f>IFERROR(__xludf.DUMMYFUNCTION("VALUE(REGEXREPLACE(G772,""[^[:digit:]]"", """"))"),0.0)</f>
        <v>0</v>
      </c>
      <c r="AS772" s="7" t="s">
        <v>103</v>
      </c>
    </row>
    <row r="773">
      <c r="A773" s="7" t="s">
        <v>17</v>
      </c>
      <c r="B773" s="7" t="s">
        <v>229</v>
      </c>
      <c r="C773" s="7">
        <f t="shared" ref="C773:C774" si="75">1</f>
        <v>1</v>
      </c>
      <c r="D773" s="7">
        <v>1.0</v>
      </c>
      <c r="E773" s="7">
        <v>1.0</v>
      </c>
      <c r="F773" s="7" t="s">
        <v>96</v>
      </c>
      <c r="G773" s="7" t="s">
        <v>393</v>
      </c>
      <c r="H773" s="9" t="s">
        <v>2979</v>
      </c>
      <c r="I773" t="s">
        <v>3142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 t="str">
        <f t="shared" si="1"/>
        <v>Built-up :</v>
      </c>
      <c r="AE773" s="7" t="str">
        <f t="shared" si="2"/>
        <v> sq. ft.</v>
      </c>
      <c r="AF773">
        <f>IFERROR(__xludf.DUMMYFUNCTION("VALUE(REGEXREPLACE(G773,""[^[:digit:]]"", """"))"),751.0)</f>
        <v>751</v>
      </c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 t="s">
        <v>27</v>
      </c>
    </row>
    <row r="774">
      <c r="A774" s="7" t="s">
        <v>17</v>
      </c>
      <c r="B774" s="7" t="s">
        <v>419</v>
      </c>
      <c r="C774" s="7">
        <f t="shared" si="75"/>
        <v>1</v>
      </c>
      <c r="D774" s="7">
        <v>1.0</v>
      </c>
      <c r="E774" s="7">
        <v>1.0</v>
      </c>
      <c r="F774" s="7" t="s">
        <v>83</v>
      </c>
      <c r="G774" s="7" t="s">
        <v>252</v>
      </c>
      <c r="H774" s="9" t="s">
        <v>2979</v>
      </c>
      <c r="I774" t="s">
        <v>3077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 t="str">
        <f t="shared" si="1"/>
        <v>Built-up :</v>
      </c>
      <c r="AE774" s="7" t="str">
        <f t="shared" si="2"/>
        <v> sq. ft.</v>
      </c>
      <c r="AF774">
        <f>IFERROR(__xludf.DUMMYFUNCTION("VALUE(REGEXREPLACE(G774,""[^[:digit:]]"", """"))"),657.0)</f>
        <v>657</v>
      </c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 t="s">
        <v>27</v>
      </c>
    </row>
    <row r="775">
      <c r="A775" s="7" t="s">
        <v>143</v>
      </c>
      <c r="B775" s="7" t="s">
        <v>886</v>
      </c>
      <c r="C775" s="7" t="s">
        <v>325</v>
      </c>
      <c r="D775" s="7">
        <v>1.0</v>
      </c>
      <c r="E775" s="7">
        <v>1.0</v>
      </c>
      <c r="F775" s="7" t="s">
        <v>121</v>
      </c>
      <c r="G775" s="7" t="s">
        <v>887</v>
      </c>
      <c r="H775" s="9" t="s">
        <v>2979</v>
      </c>
      <c r="I775" t="s">
        <v>3388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 t="str">
        <f t="shared" si="1"/>
        <v>Built-up :</v>
      </c>
      <c r="AE775" s="7" t="str">
        <f t="shared" si="2"/>
        <v> sq. ft.</v>
      </c>
      <c r="AF775">
        <f>IFERROR(__xludf.DUMMYFUNCTION("VALUE(REGEXREPLACE(G775,""[^[:digit:]]"", """"))"),546.0)</f>
        <v>546</v>
      </c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 t="s">
        <v>22</v>
      </c>
    </row>
    <row r="776">
      <c r="A776" s="7" t="s">
        <v>72</v>
      </c>
      <c r="B776" s="7" t="s">
        <v>85</v>
      </c>
      <c r="C776" s="7">
        <f>3+1</f>
        <v>4</v>
      </c>
      <c r="D776" s="7">
        <v>4.0</v>
      </c>
      <c r="E776" s="7">
        <v>2.0</v>
      </c>
      <c r="F776" s="7" t="s">
        <v>93</v>
      </c>
      <c r="G776" s="7" t="s">
        <v>334</v>
      </c>
      <c r="H776" s="9" t="s">
        <v>2979</v>
      </c>
      <c r="I776" t="s">
        <v>3112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 t="str">
        <f t="shared" si="1"/>
        <v>Built-up :</v>
      </c>
      <c r="AE776" s="7" t="str">
        <f t="shared" si="2"/>
        <v> sq. ft.</v>
      </c>
      <c r="AF776">
        <f>IFERROR(__xludf.DUMMYFUNCTION("VALUE(REGEXREPLACE(G776,""[^[:digit:]]"", """"))"),1496.0)</f>
        <v>1496</v>
      </c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 t="s">
        <v>27</v>
      </c>
    </row>
    <row r="777">
      <c r="A777" s="7" t="s">
        <v>17</v>
      </c>
      <c r="B777" s="7" t="s">
        <v>489</v>
      </c>
      <c r="C777" s="7">
        <f t="shared" ref="C777:C778" si="76">1</f>
        <v>1</v>
      </c>
      <c r="D777" s="7">
        <v>1.0</v>
      </c>
      <c r="E777" s="7">
        <v>1.0</v>
      </c>
      <c r="F777" s="7" t="s">
        <v>82</v>
      </c>
      <c r="G777" s="7" t="s">
        <v>392</v>
      </c>
      <c r="H777" s="9" t="s">
        <v>2979</v>
      </c>
      <c r="I777" t="s">
        <v>3141</v>
      </c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 t="str">
        <f t="shared" si="1"/>
        <v>Built-up :</v>
      </c>
      <c r="AE777" s="7" t="str">
        <f t="shared" si="2"/>
        <v> sq. ft.</v>
      </c>
      <c r="AF777">
        <f>IFERROR(__xludf.DUMMYFUNCTION("VALUE(REGEXREPLACE(G777,""[^[:digit:]]"", """"))"),850.0)</f>
        <v>850</v>
      </c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 t="s">
        <v>22</v>
      </c>
    </row>
    <row r="778">
      <c r="A778" s="7" t="s">
        <v>17</v>
      </c>
      <c r="B778" s="7" t="s">
        <v>191</v>
      </c>
      <c r="C778" s="7">
        <f t="shared" si="76"/>
        <v>1</v>
      </c>
      <c r="D778" s="7">
        <v>1.0</v>
      </c>
      <c r="E778" s="7">
        <v>1.0</v>
      </c>
      <c r="F778" s="7" t="s">
        <v>93</v>
      </c>
      <c r="G778" s="7" t="s">
        <v>252</v>
      </c>
      <c r="H778" s="9" t="s">
        <v>2979</v>
      </c>
      <c r="I778" t="s">
        <v>3077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 t="str">
        <f t="shared" si="1"/>
        <v>Built-up :</v>
      </c>
      <c r="AE778" s="7" t="str">
        <f t="shared" si="2"/>
        <v> sq. ft.</v>
      </c>
      <c r="AF778">
        <f>IFERROR(__xludf.DUMMYFUNCTION("VALUE(REGEXREPLACE(G778,""[^[:digit:]]"", """"))"),657.0)</f>
        <v>657</v>
      </c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 t="s">
        <v>27</v>
      </c>
    </row>
    <row r="779">
      <c r="A779" s="7" t="s">
        <v>72</v>
      </c>
      <c r="B779" s="7" t="s">
        <v>713</v>
      </c>
      <c r="C779" s="7">
        <f>3+1</f>
        <v>4</v>
      </c>
      <c r="D779" s="7">
        <v>4.0</v>
      </c>
      <c r="E779" s="7">
        <v>2.0</v>
      </c>
      <c r="F779" s="7" t="s">
        <v>30</v>
      </c>
      <c r="G779" s="7" t="s">
        <v>714</v>
      </c>
      <c r="H779" s="9" t="s">
        <v>2979</v>
      </c>
      <c r="I779" t="s">
        <v>3295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 t="str">
        <f t="shared" si="1"/>
        <v>Built-up :</v>
      </c>
      <c r="AE779" s="7" t="str">
        <f t="shared" si="2"/>
        <v> sq. ft.</v>
      </c>
      <c r="AF779">
        <f>IFERROR(__xludf.DUMMYFUNCTION("VALUE(REGEXREPLACE(G779,""[^[:digit:]]"", """"))"),2038.0)</f>
        <v>2038</v>
      </c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 t="s">
        <v>27</v>
      </c>
    </row>
    <row r="780">
      <c r="A780" s="7" t="s">
        <v>171</v>
      </c>
      <c r="B780" s="7" t="s">
        <v>824</v>
      </c>
      <c r="C780" s="7">
        <f t="shared" ref="C780:C781" si="77">4+1</f>
        <v>5</v>
      </c>
      <c r="D780" s="7">
        <v>5.0</v>
      </c>
      <c r="E780" s="9">
        <v>2.0</v>
      </c>
      <c r="F780" s="7" t="s">
        <v>83</v>
      </c>
      <c r="G780" s="7" t="s">
        <v>888</v>
      </c>
      <c r="H780" s="9" t="s">
        <v>2979</v>
      </c>
      <c r="I780" t="s">
        <v>3389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 t="str">
        <f t="shared" si="1"/>
        <v>Built-up :</v>
      </c>
      <c r="AE780" s="7" t="str">
        <f t="shared" si="2"/>
        <v> sq. ft.</v>
      </c>
      <c r="AF780">
        <f>IFERROR(__xludf.DUMMYFUNCTION("VALUE(REGEXREPLACE(G780,""[^[:digit:]]"", """"))"),2501.0)</f>
        <v>2501</v>
      </c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 t="s">
        <v>103</v>
      </c>
    </row>
    <row r="781">
      <c r="A781" s="7" t="s">
        <v>72</v>
      </c>
      <c r="B781" s="7" t="s">
        <v>475</v>
      </c>
      <c r="C781" s="7">
        <f t="shared" si="77"/>
        <v>5</v>
      </c>
      <c r="D781" s="7">
        <v>5.0</v>
      </c>
      <c r="E781" s="7">
        <v>3.0</v>
      </c>
      <c r="F781" s="7" t="s">
        <v>83</v>
      </c>
      <c r="G781" s="7" t="s">
        <v>231</v>
      </c>
      <c r="H781" s="9" t="s">
        <v>2979</v>
      </c>
      <c r="I781" t="s">
        <v>3066</v>
      </c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 t="str">
        <f t="shared" si="1"/>
        <v>Built-up :</v>
      </c>
      <c r="AE781" s="7" t="str">
        <f t="shared" si="2"/>
        <v> sq. ft.</v>
      </c>
      <c r="AF781">
        <f>IFERROR(__xludf.DUMMYFUNCTION("VALUE(REGEXREPLACE(G781,""[^[:digit:]]"", """"))"),3041.0)</f>
        <v>3041</v>
      </c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 t="s">
        <v>22</v>
      </c>
    </row>
    <row r="782">
      <c r="A782" s="7" t="s">
        <v>72</v>
      </c>
      <c r="B782" s="7" t="s">
        <v>403</v>
      </c>
      <c r="C782" s="7">
        <f>4</f>
        <v>4</v>
      </c>
      <c r="D782" s="7">
        <v>4.0</v>
      </c>
      <c r="E782" s="7">
        <v>2.0</v>
      </c>
      <c r="F782" s="7" t="s">
        <v>83</v>
      </c>
      <c r="H782" s="9" t="s">
        <v>2984</v>
      </c>
      <c r="I782" t="s">
        <v>2985</v>
      </c>
      <c r="AD782" s="7" t="str">
        <f t="shared" si="1"/>
        <v/>
      </c>
      <c r="AE782" s="7" t="str">
        <f t="shared" si="2"/>
        <v/>
      </c>
      <c r="AF782">
        <f>IFERROR(__xludf.DUMMYFUNCTION("VALUE(REGEXREPLACE(G782,""[^[:digit:]]"", """"))"),0.0)</f>
        <v>0</v>
      </c>
    </row>
    <row r="783">
      <c r="A783" s="7" t="s">
        <v>72</v>
      </c>
      <c r="B783" s="7" t="s">
        <v>399</v>
      </c>
      <c r="C783" s="7">
        <f t="shared" ref="C783:C785" si="78">3+1</f>
        <v>4</v>
      </c>
      <c r="D783" s="7">
        <v>4.0</v>
      </c>
      <c r="E783" s="9">
        <v>2.0</v>
      </c>
      <c r="F783" s="7" t="s">
        <v>83</v>
      </c>
      <c r="G783" s="7" t="s">
        <v>867</v>
      </c>
      <c r="H783" s="9" t="s">
        <v>2979</v>
      </c>
      <c r="I783" t="s">
        <v>3379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 t="str">
        <f t="shared" si="1"/>
        <v>Built-up :</v>
      </c>
      <c r="AE783" s="7" t="str">
        <f t="shared" si="2"/>
        <v> sq. ft.</v>
      </c>
      <c r="AF783">
        <f>IFERROR(__xludf.DUMMYFUNCTION("VALUE(REGEXREPLACE(G783,""[^[:digit:]]"", """"))"),2073.0)</f>
        <v>2073</v>
      </c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>
      <c r="A784" s="7" t="s">
        <v>23</v>
      </c>
      <c r="B784" s="7" t="s">
        <v>42</v>
      </c>
      <c r="C784" s="7">
        <f t="shared" si="78"/>
        <v>4</v>
      </c>
      <c r="D784" s="7">
        <v>4.0</v>
      </c>
      <c r="E784" s="7">
        <v>2.0</v>
      </c>
      <c r="F784" s="7" t="s">
        <v>20</v>
      </c>
      <c r="G784" s="7" t="s">
        <v>889</v>
      </c>
      <c r="H784" s="9" t="s">
        <v>2979</v>
      </c>
      <c r="I784" t="s">
        <v>3390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 t="str">
        <f t="shared" si="1"/>
        <v>Built-up :</v>
      </c>
      <c r="AE784" s="7" t="str">
        <f t="shared" si="2"/>
        <v> sq. ft.</v>
      </c>
      <c r="AF784">
        <f>IFERROR(__xludf.DUMMYFUNCTION("VALUE(REGEXREPLACE(G784,""[^[:digit:]]"", """"))"),1851.0)</f>
        <v>1851</v>
      </c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 t="s">
        <v>27</v>
      </c>
    </row>
    <row r="785">
      <c r="A785" s="7" t="s">
        <v>17</v>
      </c>
      <c r="B785" s="7" t="s">
        <v>120</v>
      </c>
      <c r="C785" s="7">
        <f t="shared" si="78"/>
        <v>4</v>
      </c>
      <c r="D785" s="7">
        <v>4.0</v>
      </c>
      <c r="E785" s="7">
        <v>2.0</v>
      </c>
      <c r="F785" s="7" t="s">
        <v>121</v>
      </c>
      <c r="G785" s="7" t="s">
        <v>122</v>
      </c>
      <c r="H785" s="9" t="s">
        <v>2979</v>
      </c>
      <c r="I785" t="s">
        <v>3016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 t="str">
        <f t="shared" si="1"/>
        <v>Built-up :</v>
      </c>
      <c r="AE785" s="7" t="str">
        <f t="shared" si="2"/>
        <v> sq. ft.</v>
      </c>
      <c r="AF785">
        <f>IFERROR(__xludf.DUMMYFUNCTION("VALUE(REGEXREPLACE(G785,""[^[:digit:]]"", """"))"),3897.0)</f>
        <v>3897</v>
      </c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 t="s">
        <v>103</v>
      </c>
    </row>
    <row r="786">
      <c r="A786" s="7" t="s">
        <v>23</v>
      </c>
      <c r="B786" s="7" t="s">
        <v>349</v>
      </c>
      <c r="C786" s="7">
        <f t="shared" ref="C786:C787" si="79">1</f>
        <v>1</v>
      </c>
      <c r="D786" s="7">
        <v>1.0</v>
      </c>
      <c r="E786" s="7">
        <v>1.0</v>
      </c>
      <c r="F786" s="7" t="s">
        <v>20</v>
      </c>
      <c r="G786" s="7" t="s">
        <v>51</v>
      </c>
      <c r="H786" s="9" t="s">
        <v>2979</v>
      </c>
      <c r="I786" t="s">
        <v>2991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 t="str">
        <f t="shared" si="1"/>
        <v>Built-up :</v>
      </c>
      <c r="AE786" s="7" t="str">
        <f t="shared" si="2"/>
        <v> sq. ft.</v>
      </c>
      <c r="AF786">
        <f>IFERROR(__xludf.DUMMYFUNCTION("VALUE(REGEXREPLACE(G786,""[^[:digit:]]"", """"))"),904.0)</f>
        <v>904</v>
      </c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 t="s">
        <v>27</v>
      </c>
    </row>
    <row r="787">
      <c r="A787" s="7" t="s">
        <v>17</v>
      </c>
      <c r="B787" s="7" t="s">
        <v>191</v>
      </c>
      <c r="C787" s="7">
        <f t="shared" si="79"/>
        <v>1</v>
      </c>
      <c r="D787" s="7">
        <v>1.0</v>
      </c>
      <c r="E787" s="7">
        <v>1.0</v>
      </c>
      <c r="F787" s="7" t="s">
        <v>83</v>
      </c>
      <c r="G787" s="7" t="s">
        <v>393</v>
      </c>
      <c r="H787" s="9" t="s">
        <v>2979</v>
      </c>
      <c r="I787" t="s">
        <v>3142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 t="str">
        <f t="shared" si="1"/>
        <v>Built-up :</v>
      </c>
      <c r="AE787" s="7" t="str">
        <f t="shared" si="2"/>
        <v> sq. ft.</v>
      </c>
      <c r="AF787">
        <f>IFERROR(__xludf.DUMMYFUNCTION("VALUE(REGEXREPLACE(G787,""[^[:digit:]]"", """"))"),751.0)</f>
        <v>751</v>
      </c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 t="s">
        <v>27</v>
      </c>
    </row>
    <row r="788">
      <c r="A788" s="7" t="s">
        <v>17</v>
      </c>
      <c r="B788" s="7" t="s">
        <v>362</v>
      </c>
      <c r="C788" s="7">
        <f t="shared" ref="C788:C789" si="80">3</f>
        <v>3</v>
      </c>
      <c r="D788" s="7">
        <v>3.0</v>
      </c>
      <c r="E788" s="7">
        <v>3.0</v>
      </c>
      <c r="F788" s="7" t="s">
        <v>20</v>
      </c>
      <c r="G788" s="7" t="s">
        <v>363</v>
      </c>
      <c r="H788" s="9" t="s">
        <v>2979</v>
      </c>
      <c r="I788" t="s">
        <v>3127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 t="str">
        <f t="shared" si="1"/>
        <v>Built-up :</v>
      </c>
      <c r="AE788" s="7" t="str">
        <f t="shared" si="2"/>
        <v> sq. ft.</v>
      </c>
      <c r="AF788">
        <f>IFERROR(__xludf.DUMMYFUNCTION("VALUE(REGEXREPLACE(G788,""[^[:digit:]]"", """"))"),2142.0)</f>
        <v>2142</v>
      </c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 t="s">
        <v>27</v>
      </c>
    </row>
    <row r="789">
      <c r="A789" s="7" t="s">
        <v>32</v>
      </c>
      <c r="B789" s="7" t="s">
        <v>890</v>
      </c>
      <c r="C789" s="7">
        <f t="shared" si="80"/>
        <v>3</v>
      </c>
      <c r="D789" s="7">
        <v>2.0</v>
      </c>
      <c r="E789" s="7">
        <v>2.0</v>
      </c>
      <c r="F789" s="7" t="s">
        <v>83</v>
      </c>
      <c r="G789" s="7" t="s">
        <v>504</v>
      </c>
      <c r="H789" s="9" t="s">
        <v>2979</v>
      </c>
      <c r="I789" t="s">
        <v>3198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 t="str">
        <f t="shared" si="1"/>
        <v>Built-up :</v>
      </c>
      <c r="AE789" s="7" t="str">
        <f t="shared" si="2"/>
        <v> sq. ft.</v>
      </c>
      <c r="AF789">
        <f>IFERROR(__xludf.DUMMYFUNCTION("VALUE(REGEXREPLACE(G789,""[^[:digit:]]"", """"))"),1018.0)</f>
        <v>1018</v>
      </c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 t="s">
        <v>103</v>
      </c>
    </row>
    <row r="790">
      <c r="A790" s="7" t="s">
        <v>23</v>
      </c>
      <c r="B790" s="7" t="s">
        <v>351</v>
      </c>
      <c r="C790" s="7">
        <f>6+1</f>
        <v>7</v>
      </c>
      <c r="D790" s="7">
        <v>6.0</v>
      </c>
      <c r="E790" s="7">
        <v>4.0</v>
      </c>
      <c r="F790" s="7" t="s">
        <v>25</v>
      </c>
      <c r="G790" s="7" t="s">
        <v>631</v>
      </c>
      <c r="H790" s="9" t="s">
        <v>2981</v>
      </c>
      <c r="I790" t="s">
        <v>3258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 t="str">
        <f t="shared" si="1"/>
        <v>Land area </v>
      </c>
      <c r="AE790" s="7" t="str">
        <f t="shared" si="2"/>
        <v> sq. ft.</v>
      </c>
      <c r="AF790">
        <f>IFERROR(__xludf.DUMMYFUNCTION("VALUE(REGEXREPLACE(G790,""[^[:digit:]]"", """"))"),5000.0)</f>
        <v>5000</v>
      </c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 t="s">
        <v>27</v>
      </c>
    </row>
    <row r="791">
      <c r="A791" s="7" t="s">
        <v>17</v>
      </c>
      <c r="B791" s="7" t="s">
        <v>891</v>
      </c>
      <c r="C791" s="7">
        <f>1+1</f>
        <v>2</v>
      </c>
      <c r="D791" s="7">
        <v>2.0</v>
      </c>
      <c r="E791" s="7">
        <v>1.0</v>
      </c>
      <c r="F791" s="7" t="s">
        <v>30</v>
      </c>
      <c r="G791" s="7" t="s">
        <v>892</v>
      </c>
      <c r="H791" s="9" t="s">
        <v>2979</v>
      </c>
      <c r="I791" t="s">
        <v>3391</v>
      </c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 t="str">
        <f t="shared" si="1"/>
        <v>Built-up :</v>
      </c>
      <c r="AE791" s="7" t="str">
        <f t="shared" si="2"/>
        <v> sq. ft.</v>
      </c>
      <c r="AF791">
        <f>IFERROR(__xludf.DUMMYFUNCTION("VALUE(REGEXREPLACE(G791,""[^[:digit:]]"", """"))"),1098.0)</f>
        <v>1098</v>
      </c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 t="s">
        <v>27</v>
      </c>
    </row>
    <row r="792">
      <c r="A792" s="7" t="s">
        <v>177</v>
      </c>
      <c r="B792" s="7" t="s">
        <v>893</v>
      </c>
      <c r="C792" s="7">
        <f>5+1</f>
        <v>6</v>
      </c>
      <c r="D792" s="7">
        <v>6.0</v>
      </c>
      <c r="E792" s="7">
        <v>4.0</v>
      </c>
      <c r="F792" s="7" t="s">
        <v>67</v>
      </c>
      <c r="G792" s="7" t="s">
        <v>894</v>
      </c>
      <c r="H792" s="9" t="s">
        <v>2981</v>
      </c>
      <c r="I792" t="s">
        <v>3392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 t="str">
        <f t="shared" si="1"/>
        <v>Land area </v>
      </c>
      <c r="AE792" s="7" t="str">
        <f t="shared" si="2"/>
        <v> sq. ft.</v>
      </c>
      <c r="AF792">
        <f>IFERROR(__xludf.DUMMYFUNCTION("VALUE(REGEXREPLACE(G792,""[^[:digit:]]"", """"))"),6846.0)</f>
        <v>6846</v>
      </c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 t="s">
        <v>27</v>
      </c>
    </row>
    <row r="793">
      <c r="A793" s="7" t="s">
        <v>65</v>
      </c>
      <c r="B793" s="7" t="s">
        <v>433</v>
      </c>
      <c r="C793" s="7">
        <f>7+1</f>
        <v>8</v>
      </c>
      <c r="D793" s="7">
        <v>8.0</v>
      </c>
      <c r="E793" s="7">
        <v>6.0</v>
      </c>
      <c r="F793" s="7" t="s">
        <v>67</v>
      </c>
      <c r="G793" s="7" t="s">
        <v>593</v>
      </c>
      <c r="H793" s="9" t="s">
        <v>2981</v>
      </c>
      <c r="I793" t="s">
        <v>3239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 t="str">
        <f t="shared" si="1"/>
        <v>Land area </v>
      </c>
      <c r="AE793" s="7" t="str">
        <f t="shared" si="2"/>
        <v> sq. ft.</v>
      </c>
      <c r="AF793">
        <f>IFERROR(__xludf.DUMMYFUNCTION("VALUE(REGEXREPLACE(G793,""[^[:digit:]]"", """"))"),12000.0)</f>
        <v>12000</v>
      </c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 t="s">
        <v>27</v>
      </c>
    </row>
    <row r="794">
      <c r="A794" s="7" t="s">
        <v>432</v>
      </c>
      <c r="B794" s="7" t="s">
        <v>433</v>
      </c>
      <c r="C794" s="7">
        <f>5+2</f>
        <v>7</v>
      </c>
      <c r="D794" s="7">
        <v>7.0</v>
      </c>
      <c r="E794" s="7">
        <v>5.0</v>
      </c>
      <c r="F794" s="7" t="s">
        <v>67</v>
      </c>
      <c r="G794" s="7" t="s">
        <v>895</v>
      </c>
      <c r="H794" s="9" t="s">
        <v>2981</v>
      </c>
      <c r="I794" t="s">
        <v>3393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 t="str">
        <f t="shared" si="1"/>
        <v>Land area </v>
      </c>
      <c r="AE794" s="7" t="str">
        <f t="shared" si="2"/>
        <v> sq. ft.</v>
      </c>
      <c r="AF794">
        <f>IFERROR(__xludf.DUMMYFUNCTION("VALUE(REGEXREPLACE(G794,""[^[:digit:]]"", """"))"),13041.0)</f>
        <v>13041</v>
      </c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 t="s">
        <v>22</v>
      </c>
    </row>
    <row r="795">
      <c r="A795" s="7" t="s">
        <v>608</v>
      </c>
      <c r="B795" s="7" t="s">
        <v>896</v>
      </c>
      <c r="C795" s="7">
        <f>1+1</f>
        <v>2</v>
      </c>
      <c r="D795" s="7">
        <v>1.0</v>
      </c>
      <c r="E795" s="7">
        <v>1.0</v>
      </c>
      <c r="F795" s="7" t="s">
        <v>83</v>
      </c>
      <c r="G795" s="7" t="s">
        <v>897</v>
      </c>
      <c r="H795" s="9" t="s">
        <v>2979</v>
      </c>
      <c r="I795" t="s">
        <v>3394</v>
      </c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 t="str">
        <f t="shared" si="1"/>
        <v>Built-up :</v>
      </c>
      <c r="AE795" s="7" t="str">
        <f t="shared" si="2"/>
        <v> sq. ft.</v>
      </c>
      <c r="AF795">
        <f>IFERROR(__xludf.DUMMYFUNCTION("VALUE(REGEXREPLACE(G795,""[^[:digit:]]"", """"))"),786.0)</f>
        <v>786</v>
      </c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 t="s">
        <v>27</v>
      </c>
    </row>
    <row r="796">
      <c r="A796" s="7" t="s">
        <v>608</v>
      </c>
      <c r="B796" s="7" t="s">
        <v>34</v>
      </c>
      <c r="C796" s="7">
        <f>1</f>
        <v>1</v>
      </c>
      <c r="D796" s="7">
        <v>1.0</v>
      </c>
      <c r="E796" s="7">
        <v>1.0</v>
      </c>
      <c r="F796" s="7" t="s">
        <v>83</v>
      </c>
      <c r="G796" s="7" t="s">
        <v>252</v>
      </c>
      <c r="H796" s="9" t="s">
        <v>2979</v>
      </c>
      <c r="I796" t="s">
        <v>3077</v>
      </c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 t="str">
        <f t="shared" si="1"/>
        <v>Built-up :</v>
      </c>
      <c r="AE796" s="7" t="str">
        <f t="shared" si="2"/>
        <v> sq. ft.</v>
      </c>
      <c r="AF796">
        <f>IFERROR(__xludf.DUMMYFUNCTION("VALUE(REGEXREPLACE(G796,""[^[:digit:]]"", """"))"),657.0)</f>
        <v>657</v>
      </c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 t="s">
        <v>22</v>
      </c>
    </row>
    <row r="797">
      <c r="A797" s="7" t="s">
        <v>104</v>
      </c>
      <c r="B797" s="7" t="s">
        <v>898</v>
      </c>
      <c r="C797" s="7">
        <f t="shared" ref="C797:C798" si="81">3</f>
        <v>3</v>
      </c>
      <c r="D797" s="7">
        <v>2.0</v>
      </c>
      <c r="E797" s="7">
        <v>1.0</v>
      </c>
      <c r="F797" s="7" t="s">
        <v>83</v>
      </c>
      <c r="G797" s="7" t="s">
        <v>491</v>
      </c>
      <c r="H797" s="9" t="s">
        <v>2979</v>
      </c>
      <c r="I797" t="s">
        <v>3190</v>
      </c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 t="str">
        <f t="shared" si="1"/>
        <v>Built-up :</v>
      </c>
      <c r="AE797" s="7" t="str">
        <f t="shared" si="2"/>
        <v> sq. ft.</v>
      </c>
      <c r="AF797">
        <f>IFERROR(__xludf.DUMMYFUNCTION("VALUE(REGEXREPLACE(G797,""[^[:digit:]]"", """"))"),950.0)</f>
        <v>950</v>
      </c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 t="s">
        <v>22</v>
      </c>
    </row>
    <row r="798">
      <c r="A798" s="7" t="s">
        <v>77</v>
      </c>
      <c r="B798" s="7" t="s">
        <v>899</v>
      </c>
      <c r="C798" s="7">
        <f t="shared" si="81"/>
        <v>3</v>
      </c>
      <c r="D798" s="7">
        <v>2.0</v>
      </c>
      <c r="E798" s="7">
        <v>2.0</v>
      </c>
      <c r="F798" s="7" t="s">
        <v>93</v>
      </c>
      <c r="G798" s="7" t="s">
        <v>230</v>
      </c>
      <c r="H798" s="9" t="s">
        <v>2979</v>
      </c>
      <c r="I798" t="s">
        <v>3065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 t="str">
        <f t="shared" si="1"/>
        <v>Built-up :</v>
      </c>
      <c r="AE798" s="7" t="str">
        <f t="shared" si="2"/>
        <v> sq. ft.</v>
      </c>
      <c r="AF798">
        <f>IFERROR(__xludf.DUMMYFUNCTION("VALUE(REGEXREPLACE(G798,""[^[:digit:]]"", """"))"),1389.0)</f>
        <v>1389</v>
      </c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 t="s">
        <v>27</v>
      </c>
    </row>
    <row r="799">
      <c r="A799" s="7" t="s">
        <v>77</v>
      </c>
      <c r="B799" s="7" t="s">
        <v>900</v>
      </c>
      <c r="C799" s="7">
        <f t="shared" ref="C799:C800" si="82">4+1</f>
        <v>5</v>
      </c>
      <c r="D799" s="7">
        <v>5.0</v>
      </c>
      <c r="E799" s="7">
        <v>4.0</v>
      </c>
      <c r="F799" s="7" t="s">
        <v>90</v>
      </c>
      <c r="G799" s="7" t="s">
        <v>291</v>
      </c>
      <c r="H799" s="9" t="s">
        <v>2979</v>
      </c>
      <c r="I799" t="s">
        <v>3094</v>
      </c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 t="str">
        <f t="shared" si="1"/>
        <v>Built-up :</v>
      </c>
      <c r="AE799" s="7" t="str">
        <f t="shared" si="2"/>
        <v> sq. ft.</v>
      </c>
      <c r="AF799">
        <f>IFERROR(__xludf.DUMMYFUNCTION("VALUE(REGEXREPLACE(G799,""[^[:digit:]]"", """"))"),4306.0)</f>
        <v>4306</v>
      </c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 t="s">
        <v>103</v>
      </c>
    </row>
    <row r="800">
      <c r="A800" s="7" t="s">
        <v>23</v>
      </c>
      <c r="B800" s="7" t="s">
        <v>881</v>
      </c>
      <c r="C800" s="7">
        <f t="shared" si="82"/>
        <v>5</v>
      </c>
      <c r="D800" s="7">
        <v>4.0</v>
      </c>
      <c r="E800" s="7">
        <v>6.0</v>
      </c>
      <c r="F800" s="7" t="s">
        <v>67</v>
      </c>
      <c r="G800" s="7" t="s">
        <v>533</v>
      </c>
      <c r="H800" s="9" t="s">
        <v>2981</v>
      </c>
      <c r="I800" t="s">
        <v>3211</v>
      </c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 t="str">
        <f t="shared" si="1"/>
        <v>Land area </v>
      </c>
      <c r="AE800" s="7" t="str">
        <f t="shared" si="2"/>
        <v> sq. ft.</v>
      </c>
      <c r="AF800">
        <f>IFERROR(__xludf.DUMMYFUNCTION("VALUE(REGEXREPLACE(G800,""[^[:digit:]]"", """"))"),7300.0)</f>
        <v>7300</v>
      </c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 t="s">
        <v>27</v>
      </c>
    </row>
    <row r="801">
      <c r="A801" s="7" t="s">
        <v>72</v>
      </c>
      <c r="B801" s="7" t="s">
        <v>657</v>
      </c>
      <c r="C801" s="7">
        <f>2</f>
        <v>2</v>
      </c>
      <c r="D801" s="7">
        <v>2.0</v>
      </c>
      <c r="E801" s="7">
        <v>1.0</v>
      </c>
      <c r="F801" s="7" t="s">
        <v>20</v>
      </c>
      <c r="G801" s="7" t="s">
        <v>901</v>
      </c>
      <c r="H801" s="9" t="s">
        <v>2979</v>
      </c>
      <c r="I801" t="s">
        <v>3395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 t="str">
        <f t="shared" si="1"/>
        <v>Built-up :</v>
      </c>
      <c r="AE801" s="7" t="str">
        <f t="shared" si="2"/>
        <v> sq. ft.</v>
      </c>
      <c r="AF801">
        <f>IFERROR(__xludf.DUMMYFUNCTION("VALUE(REGEXREPLACE(G801,""[^[:digit:]]"", """"))"),932.0)</f>
        <v>932</v>
      </c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>
      <c r="A802" s="7" t="s">
        <v>17</v>
      </c>
      <c r="B802" s="7" t="s">
        <v>327</v>
      </c>
      <c r="C802" s="7">
        <f>1</f>
        <v>1</v>
      </c>
      <c r="D802" s="7">
        <v>1.0</v>
      </c>
      <c r="E802" s="7">
        <v>2.0</v>
      </c>
      <c r="F802" s="7" t="s">
        <v>20</v>
      </c>
      <c r="G802" s="7" t="s">
        <v>328</v>
      </c>
      <c r="H802" s="9" t="s">
        <v>2979</v>
      </c>
      <c r="I802" t="s">
        <v>3110</v>
      </c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 t="str">
        <f t="shared" si="1"/>
        <v>Built-up :</v>
      </c>
      <c r="AE802" s="7" t="str">
        <f t="shared" si="2"/>
        <v> sq. ft.</v>
      </c>
      <c r="AF802">
        <f>IFERROR(__xludf.DUMMYFUNCTION("VALUE(REGEXREPLACE(G802,""[^[:digit:]]"", """"))"),925.0)</f>
        <v>925</v>
      </c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 t="s">
        <v>27</v>
      </c>
    </row>
    <row r="803">
      <c r="A803" s="7" t="s">
        <v>33</v>
      </c>
      <c r="B803" s="7" t="s">
        <v>138</v>
      </c>
      <c r="C803" s="7">
        <f>4+1</f>
        <v>5</v>
      </c>
      <c r="E803" s="9">
        <v>2.0</v>
      </c>
      <c r="F803" s="7" t="s">
        <v>83</v>
      </c>
      <c r="G803" s="7" t="s">
        <v>36</v>
      </c>
      <c r="H803" s="9" t="s">
        <v>2979</v>
      </c>
      <c r="I803" t="s">
        <v>2986</v>
      </c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 t="str">
        <f t="shared" si="1"/>
        <v>Built-up :</v>
      </c>
      <c r="AE803" s="7" t="str">
        <f t="shared" si="2"/>
        <v> sq. ft.</v>
      </c>
      <c r="AF803">
        <f>IFERROR(__xludf.DUMMYFUNCTION("VALUE(REGEXREPLACE(G803,""[^[:digit:]]"", """"))"),1513.0)</f>
        <v>1513</v>
      </c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>
      <c r="A804" s="7" t="s">
        <v>72</v>
      </c>
      <c r="B804" s="7" t="s">
        <v>902</v>
      </c>
      <c r="C804" s="7">
        <f>1</f>
        <v>1</v>
      </c>
      <c r="D804" s="7">
        <v>1.0</v>
      </c>
      <c r="E804" s="9">
        <v>2.0</v>
      </c>
      <c r="F804" s="7" t="s">
        <v>20</v>
      </c>
      <c r="G804" s="7" t="s">
        <v>903</v>
      </c>
      <c r="H804" s="9" t="s">
        <v>2979</v>
      </c>
      <c r="I804" t="s">
        <v>3396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 t="str">
        <f t="shared" si="1"/>
        <v>Built-up :</v>
      </c>
      <c r="AE804" s="7" t="str">
        <f t="shared" si="2"/>
        <v> sq. ft.</v>
      </c>
      <c r="AF804">
        <f>IFERROR(__xludf.DUMMYFUNCTION("VALUE(REGEXREPLACE(G804,""[^[:digit:]]"", """"))"),676.0)</f>
        <v>676</v>
      </c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 t="s">
        <v>27</v>
      </c>
    </row>
    <row r="805">
      <c r="A805" s="7" t="s">
        <v>371</v>
      </c>
      <c r="B805" s="7" t="s">
        <v>904</v>
      </c>
      <c r="C805" s="7">
        <f>4+1</f>
        <v>5</v>
      </c>
      <c r="D805" s="7">
        <v>5.0</v>
      </c>
      <c r="E805" s="7">
        <v>3.0</v>
      </c>
      <c r="F805" s="7" t="s">
        <v>30</v>
      </c>
      <c r="G805" s="7" t="s">
        <v>905</v>
      </c>
      <c r="H805" s="9" t="s">
        <v>2979</v>
      </c>
      <c r="I805" t="s">
        <v>3397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 t="str">
        <f t="shared" si="1"/>
        <v>Built-up :</v>
      </c>
      <c r="AE805" s="7" t="str">
        <f t="shared" si="2"/>
        <v> sq. ft.</v>
      </c>
      <c r="AF805">
        <f>IFERROR(__xludf.DUMMYFUNCTION("VALUE(REGEXREPLACE(G805,""[^[:digit:]]"", """"))"),2266.0)</f>
        <v>2266</v>
      </c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 t="s">
        <v>27</v>
      </c>
    </row>
    <row r="806">
      <c r="A806" s="7" t="s">
        <v>72</v>
      </c>
      <c r="B806" s="7" t="s">
        <v>403</v>
      </c>
      <c r="C806" s="7">
        <f>3+1</f>
        <v>4</v>
      </c>
      <c r="D806" s="7">
        <v>4.0</v>
      </c>
      <c r="E806" s="7">
        <v>2.0</v>
      </c>
      <c r="F806" s="7" t="s">
        <v>83</v>
      </c>
      <c r="G806" s="7" t="s">
        <v>334</v>
      </c>
      <c r="H806" s="9" t="s">
        <v>2979</v>
      </c>
      <c r="I806" t="s">
        <v>3112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 t="str">
        <f t="shared" si="1"/>
        <v>Built-up :</v>
      </c>
      <c r="AE806" s="7" t="str">
        <f t="shared" si="2"/>
        <v> sq. ft.</v>
      </c>
      <c r="AF806">
        <f>IFERROR(__xludf.DUMMYFUNCTION("VALUE(REGEXREPLACE(G806,""[^[:digit:]]"", """"))"),1496.0)</f>
        <v>1496</v>
      </c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 t="s">
        <v>27</v>
      </c>
    </row>
    <row r="807">
      <c r="A807" s="7" t="s">
        <v>17</v>
      </c>
      <c r="B807" s="7" t="s">
        <v>18</v>
      </c>
      <c r="C807" s="7">
        <f>2</f>
        <v>2</v>
      </c>
      <c r="D807" s="7">
        <v>2.0</v>
      </c>
      <c r="E807" s="7">
        <v>1.0</v>
      </c>
      <c r="F807" s="7" t="s">
        <v>83</v>
      </c>
      <c r="G807" s="7" t="s">
        <v>240</v>
      </c>
      <c r="H807" s="9" t="s">
        <v>2979</v>
      </c>
      <c r="I807" t="s">
        <v>3071</v>
      </c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 t="str">
        <f t="shared" si="1"/>
        <v>Built-up :</v>
      </c>
      <c r="AE807" s="7" t="str">
        <f t="shared" si="2"/>
        <v> sq. ft.</v>
      </c>
      <c r="AF807">
        <f>IFERROR(__xludf.DUMMYFUNCTION("VALUE(REGEXREPLACE(G807,""[^[:digit:]]"", """"))"),736.0)</f>
        <v>736</v>
      </c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 t="s">
        <v>27</v>
      </c>
    </row>
    <row r="808">
      <c r="A808" s="7" t="s">
        <v>100</v>
      </c>
      <c r="B808" s="7" t="s">
        <v>906</v>
      </c>
      <c r="C808" s="7">
        <f t="shared" ref="C808:C809" si="83">3+1</f>
        <v>4</v>
      </c>
      <c r="D808" s="7">
        <v>2.0</v>
      </c>
      <c r="E808" s="7">
        <v>2.0</v>
      </c>
      <c r="F808" s="7" t="s">
        <v>20</v>
      </c>
      <c r="H808" s="9" t="s">
        <v>2984</v>
      </c>
      <c r="I808" t="s">
        <v>2985</v>
      </c>
      <c r="AD808" s="7" t="str">
        <f t="shared" si="1"/>
        <v/>
      </c>
      <c r="AE808" s="7" t="str">
        <f t="shared" si="2"/>
        <v/>
      </c>
      <c r="AF808">
        <f>IFERROR(__xludf.DUMMYFUNCTION("VALUE(REGEXREPLACE(G808,""[^[:digit:]]"", """"))"),0.0)</f>
        <v>0</v>
      </c>
      <c r="AS808" s="7" t="s">
        <v>103</v>
      </c>
    </row>
    <row r="809">
      <c r="A809" s="7" t="s">
        <v>77</v>
      </c>
      <c r="B809" s="7" t="s">
        <v>98</v>
      </c>
      <c r="C809" s="7">
        <f t="shared" si="83"/>
        <v>4</v>
      </c>
      <c r="D809" s="7">
        <v>3.0</v>
      </c>
      <c r="E809" s="9">
        <v>2.0</v>
      </c>
      <c r="F809" s="7" t="s">
        <v>54</v>
      </c>
      <c r="G809" s="7" t="s">
        <v>333</v>
      </c>
      <c r="H809" s="9" t="s">
        <v>2981</v>
      </c>
      <c r="I809" t="s">
        <v>3091</v>
      </c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 t="str">
        <f t="shared" si="1"/>
        <v>Land area </v>
      </c>
      <c r="AE809" s="7" t="str">
        <f t="shared" si="2"/>
        <v> sq. ft.</v>
      </c>
      <c r="AF809">
        <f>IFERROR(__xludf.DUMMYFUNCTION("VALUE(REGEXREPLACE(G809,""[^[:digit:]]"", """"))"),1650.0)</f>
        <v>1650</v>
      </c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 t="s">
        <v>27</v>
      </c>
    </row>
    <row r="810">
      <c r="A810" s="7" t="s">
        <v>104</v>
      </c>
      <c r="B810" s="7" t="s">
        <v>309</v>
      </c>
      <c r="C810" s="7">
        <f>6</f>
        <v>6</v>
      </c>
      <c r="D810" s="7">
        <v>6.0</v>
      </c>
      <c r="E810" s="7">
        <v>4.0</v>
      </c>
      <c r="F810" s="7" t="s">
        <v>43</v>
      </c>
      <c r="G810" s="7" t="s">
        <v>907</v>
      </c>
      <c r="H810" s="9" t="s">
        <v>2981</v>
      </c>
      <c r="I810" t="s">
        <v>3398</v>
      </c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 t="str">
        <f t="shared" si="1"/>
        <v>Land area </v>
      </c>
      <c r="AE810" s="7" t="str">
        <f t="shared" si="2"/>
        <v> sq. ft.</v>
      </c>
      <c r="AF810">
        <f>IFERROR(__xludf.DUMMYFUNCTION("VALUE(REGEXREPLACE(G810,""[^[:digit:]]"", """"))"),3060.0)</f>
        <v>3060</v>
      </c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>
      <c r="A811" s="7" t="s">
        <v>72</v>
      </c>
      <c r="B811" s="7" t="s">
        <v>613</v>
      </c>
      <c r="C811" s="7">
        <f>5+1</f>
        <v>6</v>
      </c>
      <c r="D811" s="7">
        <v>8.0</v>
      </c>
      <c r="E811" s="7">
        <v>5.0</v>
      </c>
      <c r="F811" s="7" t="s">
        <v>90</v>
      </c>
      <c r="G811" s="7" t="s">
        <v>908</v>
      </c>
      <c r="H811" s="9" t="s">
        <v>2981</v>
      </c>
      <c r="I811" t="s">
        <v>3399</v>
      </c>
      <c r="J811" s="7"/>
      <c r="K811" s="7"/>
      <c r="L811" s="7"/>
      <c r="M811" s="7"/>
      <c r="N811" s="7"/>
      <c r="O811" s="7"/>
      <c r="P811" s="7"/>
      <c r="Q811" s="7"/>
      <c r="R811" s="7"/>
      <c r="S811" s="7" t="s">
        <v>3400</v>
      </c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 t="str">
        <f t="shared" si="1"/>
        <v>Land area </v>
      </c>
      <c r="AE811" s="7" t="str">
        <f t="shared" si="2"/>
        <v> sq. ft.</v>
      </c>
      <c r="AF811">
        <f>IFERROR(__xludf.DUMMYFUNCTION("VALUE(REGEXREPLACE(G811,""[^[:digit:]]"", """"))"),2493.0)</f>
        <v>2493</v>
      </c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 t="s">
        <v>103</v>
      </c>
    </row>
    <row r="812">
      <c r="A812" s="7" t="s">
        <v>164</v>
      </c>
      <c r="B812" s="7" t="s">
        <v>909</v>
      </c>
      <c r="C812" s="7">
        <f>2</f>
        <v>2</v>
      </c>
      <c r="D812" s="7">
        <v>2.0</v>
      </c>
      <c r="E812" s="7">
        <v>2.0</v>
      </c>
      <c r="F812" s="7" t="s">
        <v>20</v>
      </c>
      <c r="G812" s="7" t="s">
        <v>910</v>
      </c>
      <c r="H812" s="9" t="s">
        <v>2979</v>
      </c>
      <c r="I812" t="s">
        <v>3401</v>
      </c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 t="str">
        <f t="shared" si="1"/>
        <v>Built-up :</v>
      </c>
      <c r="AE812" s="7" t="str">
        <f t="shared" si="2"/>
        <v> sq. ft.</v>
      </c>
      <c r="AF812">
        <f>IFERROR(__xludf.DUMMYFUNCTION("VALUE(REGEXREPLACE(G812,""[^[:digit:]]"", """"))"),858.0)</f>
        <v>858</v>
      </c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 t="s">
        <v>27</v>
      </c>
    </row>
    <row r="813">
      <c r="A813" s="7" t="s">
        <v>72</v>
      </c>
      <c r="B813" s="7" t="s">
        <v>158</v>
      </c>
      <c r="C813" s="7">
        <f>3+2</f>
        <v>5</v>
      </c>
      <c r="D813" s="7">
        <v>4.0</v>
      </c>
      <c r="E813" s="7">
        <v>2.0</v>
      </c>
      <c r="F813" s="7" t="s">
        <v>30</v>
      </c>
      <c r="G813" s="7" t="s">
        <v>74</v>
      </c>
      <c r="H813" s="9" t="s">
        <v>2979</v>
      </c>
      <c r="I813" t="s">
        <v>2998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 t="str">
        <f t="shared" si="1"/>
        <v>Built-up :</v>
      </c>
      <c r="AE813" s="7" t="str">
        <f t="shared" si="2"/>
        <v> sq. ft.</v>
      </c>
      <c r="AF813">
        <f>IFERROR(__xludf.DUMMYFUNCTION("VALUE(REGEXREPLACE(G813,""[^[:digit:]]"", """"))"),1830.0)</f>
        <v>1830</v>
      </c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 t="s">
        <v>27</v>
      </c>
    </row>
    <row r="814">
      <c r="A814" s="7" t="s">
        <v>77</v>
      </c>
      <c r="B814" s="7" t="s">
        <v>277</v>
      </c>
      <c r="C814" s="7">
        <f>4+1</f>
        <v>5</v>
      </c>
      <c r="D814" s="7">
        <v>4.0</v>
      </c>
      <c r="E814" s="7">
        <v>3.0</v>
      </c>
      <c r="F814" s="7" t="s">
        <v>54</v>
      </c>
      <c r="G814" s="7" t="s">
        <v>911</v>
      </c>
      <c r="H814" s="9" t="s">
        <v>2981</v>
      </c>
      <c r="I814" t="s">
        <v>3300</v>
      </c>
      <c r="J814" s="7"/>
      <c r="K814" s="7"/>
      <c r="L814" s="7"/>
      <c r="M814" s="7"/>
      <c r="N814" s="7"/>
      <c r="O814" s="7"/>
      <c r="P814" s="7"/>
      <c r="Q814" s="7"/>
      <c r="R814" s="7"/>
      <c r="S814" s="7" t="s">
        <v>3382</v>
      </c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 t="str">
        <f t="shared" si="1"/>
        <v>Land area </v>
      </c>
      <c r="AE814" s="7" t="str">
        <f t="shared" si="2"/>
        <v> sq. ft.</v>
      </c>
      <c r="AF814">
        <f>IFERROR(__xludf.DUMMYFUNCTION("VALUE(REGEXREPLACE(G814,""[^[:digit:]]"", """"))"),22100.0)</f>
        <v>22100</v>
      </c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 t="s">
        <v>27</v>
      </c>
    </row>
    <row r="815">
      <c r="A815" s="7" t="s">
        <v>77</v>
      </c>
      <c r="B815" s="7" t="s">
        <v>101</v>
      </c>
      <c r="C815" s="7">
        <f>5</f>
        <v>5</v>
      </c>
      <c r="D815" s="7">
        <v>5.0</v>
      </c>
      <c r="E815" s="7">
        <v>4.0</v>
      </c>
      <c r="F815" s="7" t="s">
        <v>61</v>
      </c>
      <c r="G815" s="7" t="s">
        <v>912</v>
      </c>
      <c r="H815" s="9" t="s">
        <v>2981</v>
      </c>
      <c r="I815" t="s">
        <v>3183</v>
      </c>
      <c r="J815" s="7"/>
      <c r="K815" s="7"/>
      <c r="L815" s="7"/>
      <c r="M815" s="7"/>
      <c r="N815" s="7"/>
      <c r="O815" s="7"/>
      <c r="P815" s="7"/>
      <c r="Q815" s="7"/>
      <c r="R815" s="7"/>
      <c r="S815" s="7" t="s">
        <v>2993</v>
      </c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 t="str">
        <f t="shared" si="1"/>
        <v>Land area </v>
      </c>
      <c r="AE815" s="7" t="str">
        <f t="shared" si="2"/>
        <v> sq. ft.</v>
      </c>
      <c r="AF815">
        <f>IFERROR(__xludf.DUMMYFUNCTION("VALUE(REGEXREPLACE(G815,""[^[:digit:]]"", """"))"),4080.0)</f>
        <v>4080</v>
      </c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 t="s">
        <v>27</v>
      </c>
    </row>
    <row r="816">
      <c r="A816" s="7" t="s">
        <v>77</v>
      </c>
      <c r="B816" s="7" t="s">
        <v>913</v>
      </c>
      <c r="C816" s="7">
        <f>7+1</f>
        <v>8</v>
      </c>
      <c r="D816" s="7">
        <v>6.0</v>
      </c>
      <c r="E816" s="7">
        <v>4.0</v>
      </c>
      <c r="F816" s="7" t="s">
        <v>736</v>
      </c>
      <c r="G816" s="7" t="s">
        <v>912</v>
      </c>
      <c r="H816" s="9" t="s">
        <v>2981</v>
      </c>
      <c r="I816" t="s">
        <v>3183</v>
      </c>
      <c r="J816" s="7"/>
      <c r="K816" s="7"/>
      <c r="L816" s="7"/>
      <c r="M816" s="7"/>
      <c r="N816" s="7"/>
      <c r="O816" s="7"/>
      <c r="P816" s="7"/>
      <c r="Q816" s="7"/>
      <c r="R816" s="7"/>
      <c r="S816" s="7" t="s">
        <v>2993</v>
      </c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 t="str">
        <f t="shared" si="1"/>
        <v>Land area </v>
      </c>
      <c r="AE816" s="7" t="str">
        <f t="shared" si="2"/>
        <v> sq. ft.</v>
      </c>
      <c r="AF816">
        <f>IFERROR(__xludf.DUMMYFUNCTION("VALUE(REGEXREPLACE(G816,""[^[:digit:]]"", """"))"),4080.0)</f>
        <v>4080</v>
      </c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 t="s">
        <v>27</v>
      </c>
    </row>
    <row r="817">
      <c r="A817" s="7" t="s">
        <v>72</v>
      </c>
      <c r="B817" s="7" t="s">
        <v>914</v>
      </c>
      <c r="C817" s="7">
        <f t="shared" ref="C817:C818" si="84">3</f>
        <v>3</v>
      </c>
      <c r="D817" s="7">
        <v>2.0</v>
      </c>
      <c r="E817" s="7">
        <v>2.0</v>
      </c>
      <c r="F817" s="7" t="s">
        <v>30</v>
      </c>
      <c r="G817" s="7" t="s">
        <v>711</v>
      </c>
      <c r="H817" s="9" t="s">
        <v>2981</v>
      </c>
      <c r="I817" t="s">
        <v>3294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 t="str">
        <f t="shared" si="1"/>
        <v>Land area </v>
      </c>
      <c r="AE817" s="7" t="str">
        <f t="shared" si="2"/>
        <v> sq. ft.</v>
      </c>
      <c r="AF817">
        <f>IFERROR(__xludf.DUMMYFUNCTION("VALUE(REGEXREPLACE(G817,""[^[:digit:]]"", """"))"),1200.0)</f>
        <v>1200</v>
      </c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 t="s">
        <v>22</v>
      </c>
    </row>
    <row r="818">
      <c r="A818" s="7" t="s">
        <v>37</v>
      </c>
      <c r="B818" s="7" t="s">
        <v>85</v>
      </c>
      <c r="C818" s="7">
        <f t="shared" si="84"/>
        <v>3</v>
      </c>
      <c r="D818" s="7">
        <v>2.0</v>
      </c>
      <c r="E818" s="7">
        <v>2.0</v>
      </c>
      <c r="F818" s="7" t="s">
        <v>343</v>
      </c>
      <c r="G818" s="7" t="s">
        <v>344</v>
      </c>
      <c r="H818" s="9" t="s">
        <v>2981</v>
      </c>
      <c r="I818" t="s">
        <v>3118</v>
      </c>
      <c r="J818" s="7"/>
      <c r="K818" s="7"/>
      <c r="L818" s="7"/>
      <c r="M818" s="7"/>
      <c r="N818" s="7"/>
      <c r="O818" s="7"/>
      <c r="P818" s="7"/>
      <c r="Q818" s="7"/>
      <c r="R818" s="7"/>
      <c r="S818" s="7" t="s">
        <v>2993</v>
      </c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 t="str">
        <f t="shared" si="1"/>
        <v>Land area </v>
      </c>
      <c r="AE818" s="7" t="str">
        <f t="shared" si="2"/>
        <v> sq. ft.</v>
      </c>
      <c r="AF818">
        <f>IFERROR(__xludf.DUMMYFUNCTION("VALUE(REGEXREPLACE(G818,""[^[:digit:]]"", """"))"),2480.0)</f>
        <v>2480</v>
      </c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 t="s">
        <v>22</v>
      </c>
    </row>
    <row r="819">
      <c r="A819" s="7" t="s">
        <v>89</v>
      </c>
      <c r="B819" s="7" t="s">
        <v>236</v>
      </c>
      <c r="C819" s="7">
        <f t="shared" ref="C819:C820" si="85">4+1</f>
        <v>5</v>
      </c>
      <c r="D819" s="7">
        <v>6.0</v>
      </c>
      <c r="E819" s="7">
        <v>6.0</v>
      </c>
      <c r="F819" s="7" t="s">
        <v>487</v>
      </c>
      <c r="G819" s="7" t="s">
        <v>915</v>
      </c>
      <c r="H819" s="9" t="s">
        <v>2981</v>
      </c>
      <c r="I819" t="s">
        <v>3402</v>
      </c>
      <c r="J819" s="7"/>
      <c r="K819" s="7"/>
      <c r="L819" s="7"/>
      <c r="M819" s="7"/>
      <c r="N819" s="7"/>
      <c r="O819" s="7"/>
      <c r="P819" s="7"/>
      <c r="Q819" s="7"/>
      <c r="R819" s="7"/>
      <c r="S819" s="7" t="s">
        <v>2993</v>
      </c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 t="str">
        <f t="shared" si="1"/>
        <v>Land area </v>
      </c>
      <c r="AE819" s="7" t="str">
        <f t="shared" si="2"/>
        <v> sq. ft.</v>
      </c>
      <c r="AF819" s="7">
        <v>3000.0</v>
      </c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 t="s">
        <v>27</v>
      </c>
    </row>
    <row r="820">
      <c r="A820" s="7" t="s">
        <v>33</v>
      </c>
      <c r="B820" s="7" t="s">
        <v>206</v>
      </c>
      <c r="C820" s="7">
        <f t="shared" si="85"/>
        <v>5</v>
      </c>
      <c r="D820" s="7">
        <v>3.0</v>
      </c>
      <c r="E820" s="7">
        <v>2.0</v>
      </c>
      <c r="F820" s="7" t="s">
        <v>83</v>
      </c>
      <c r="G820" s="7" t="s">
        <v>36</v>
      </c>
      <c r="H820" s="9" t="s">
        <v>2979</v>
      </c>
      <c r="I820" t="s">
        <v>2986</v>
      </c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 t="str">
        <f t="shared" si="1"/>
        <v>Built-up :</v>
      </c>
      <c r="AE820" s="7" t="str">
        <f t="shared" si="2"/>
        <v> sq. ft.</v>
      </c>
      <c r="AF820">
        <f>IFERROR(__xludf.DUMMYFUNCTION("VALUE(REGEXREPLACE(G820,""[^[:digit:]]"", """"))"),1513.0)</f>
        <v>1513</v>
      </c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 t="s">
        <v>27</v>
      </c>
    </row>
    <row r="821">
      <c r="A821" s="7" t="s">
        <v>17</v>
      </c>
      <c r="B821" s="7" t="s">
        <v>191</v>
      </c>
      <c r="C821" s="7">
        <f>1</f>
        <v>1</v>
      </c>
      <c r="D821" s="7">
        <v>1.0</v>
      </c>
      <c r="E821" s="7">
        <v>1.0</v>
      </c>
      <c r="F821" s="7" t="s">
        <v>96</v>
      </c>
      <c r="G821" s="7" t="s">
        <v>393</v>
      </c>
      <c r="H821" s="9" t="s">
        <v>2979</v>
      </c>
      <c r="I821" t="s">
        <v>3142</v>
      </c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 t="str">
        <f t="shared" si="1"/>
        <v>Built-up :</v>
      </c>
      <c r="AE821" s="7" t="str">
        <f t="shared" si="2"/>
        <v> sq. ft.</v>
      </c>
      <c r="AF821">
        <f>IFERROR(__xludf.DUMMYFUNCTION("VALUE(REGEXREPLACE(G821,""[^[:digit:]]"", """"))"),751.0)</f>
        <v>751</v>
      </c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 t="s">
        <v>27</v>
      </c>
    </row>
    <row r="822">
      <c r="A822" s="7" t="s">
        <v>23</v>
      </c>
      <c r="B822" s="7" t="s">
        <v>916</v>
      </c>
      <c r="C822" s="7">
        <f>4+2</f>
        <v>6</v>
      </c>
      <c r="D822" s="7">
        <v>4.0</v>
      </c>
      <c r="E822" s="7">
        <v>3.0</v>
      </c>
      <c r="F822" s="7" t="s">
        <v>145</v>
      </c>
      <c r="G822" s="7" t="s">
        <v>917</v>
      </c>
      <c r="H822" s="9" t="s">
        <v>2979</v>
      </c>
      <c r="I822" t="s">
        <v>3403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 t="str">
        <f t="shared" si="1"/>
        <v>Built-up :</v>
      </c>
      <c r="AE822" s="7" t="str">
        <f t="shared" si="2"/>
        <v> sq. ft.</v>
      </c>
      <c r="AF822">
        <f>IFERROR(__xludf.DUMMYFUNCTION("VALUE(REGEXREPLACE(G822,""[^[:digit:]]"", """"))"),4478.0)</f>
        <v>4478</v>
      </c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 t="s">
        <v>27</v>
      </c>
    </row>
    <row r="823">
      <c r="A823" s="7" t="s">
        <v>33</v>
      </c>
      <c r="B823" s="7" t="s">
        <v>34</v>
      </c>
      <c r="C823" s="7">
        <f t="shared" ref="C823:C824" si="86">4+1</f>
        <v>5</v>
      </c>
      <c r="D823" s="7">
        <v>3.0</v>
      </c>
      <c r="E823" s="7">
        <v>2.0</v>
      </c>
      <c r="F823" s="7" t="s">
        <v>30</v>
      </c>
      <c r="G823" s="7" t="s">
        <v>36</v>
      </c>
      <c r="H823" s="9" t="s">
        <v>2979</v>
      </c>
      <c r="I823" t="s">
        <v>2986</v>
      </c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 t="str">
        <f t="shared" si="1"/>
        <v>Built-up :</v>
      </c>
      <c r="AE823" s="7" t="str">
        <f t="shared" si="2"/>
        <v> sq. ft.</v>
      </c>
      <c r="AF823">
        <f>IFERROR(__xludf.DUMMYFUNCTION("VALUE(REGEXREPLACE(G823,""[^[:digit:]]"", """"))"),1513.0)</f>
        <v>1513</v>
      </c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 t="s">
        <v>27</v>
      </c>
    </row>
    <row r="824">
      <c r="A824" s="7" t="s">
        <v>33</v>
      </c>
      <c r="B824" s="7" t="s">
        <v>284</v>
      </c>
      <c r="C824" s="7">
        <f t="shared" si="86"/>
        <v>5</v>
      </c>
      <c r="D824" s="7">
        <v>3.0</v>
      </c>
      <c r="E824" s="7">
        <v>4.0</v>
      </c>
      <c r="F824" s="7" t="s">
        <v>30</v>
      </c>
      <c r="G824" s="7" t="s">
        <v>137</v>
      </c>
      <c r="H824" s="9" t="s">
        <v>2979</v>
      </c>
      <c r="I824" t="s">
        <v>3024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 t="str">
        <f t="shared" si="1"/>
        <v>Built-up :</v>
      </c>
      <c r="AE824" s="7" t="str">
        <f t="shared" si="2"/>
        <v> sq. ft.</v>
      </c>
      <c r="AF824">
        <f>IFERROR(__xludf.DUMMYFUNCTION("VALUE(REGEXREPLACE(G824,""[^[:digit:]]"", """"))"),1772.0)</f>
        <v>1772</v>
      </c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 t="s">
        <v>27</v>
      </c>
    </row>
    <row r="825">
      <c r="A825" s="7" t="s">
        <v>100</v>
      </c>
      <c r="B825" s="7" t="s">
        <v>918</v>
      </c>
      <c r="C825" s="7">
        <f t="shared" ref="C825:C826" si="87">4</f>
        <v>4</v>
      </c>
      <c r="D825" s="7">
        <v>2.0</v>
      </c>
      <c r="E825" s="7">
        <v>2.0</v>
      </c>
      <c r="F825" s="7" t="s">
        <v>96</v>
      </c>
      <c r="G825" s="7" t="s">
        <v>919</v>
      </c>
      <c r="H825" s="9" t="s">
        <v>2979</v>
      </c>
      <c r="I825" t="s">
        <v>3404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 t="str">
        <f t="shared" si="1"/>
        <v>Built-up :</v>
      </c>
      <c r="AE825" s="7" t="str">
        <f t="shared" si="2"/>
        <v> sq. ft.</v>
      </c>
      <c r="AF825">
        <f>IFERROR(__xludf.DUMMYFUNCTION("VALUE(REGEXREPLACE(G825,""[^[:digit:]]"", """"))"),1092.0)</f>
        <v>1092</v>
      </c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 t="s">
        <v>27</v>
      </c>
    </row>
    <row r="826">
      <c r="A826" s="7" t="s">
        <v>37</v>
      </c>
      <c r="B826" s="7" t="s">
        <v>239</v>
      </c>
      <c r="C826" s="7">
        <f t="shared" si="87"/>
        <v>4</v>
      </c>
      <c r="D826" s="7">
        <v>3.0</v>
      </c>
      <c r="E826" s="9">
        <v>2.0</v>
      </c>
      <c r="F826" s="7" t="s">
        <v>54</v>
      </c>
      <c r="G826" s="7" t="s">
        <v>47</v>
      </c>
      <c r="H826" s="9" t="s">
        <v>2981</v>
      </c>
      <c r="I826" t="s">
        <v>2989</v>
      </c>
      <c r="J826" s="7"/>
      <c r="K826" s="7"/>
      <c r="L826" s="7"/>
      <c r="M826" s="7"/>
      <c r="N826" s="7"/>
      <c r="O826" s="7"/>
      <c r="P826" s="7"/>
      <c r="Q826" s="7"/>
      <c r="R826" s="7"/>
      <c r="S826" s="7" t="s">
        <v>2990</v>
      </c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 t="str">
        <f t="shared" si="1"/>
        <v>Land area </v>
      </c>
      <c r="AE826" s="7" t="str">
        <f t="shared" si="2"/>
        <v> sq. ft.</v>
      </c>
      <c r="AF826">
        <f>IFERROR(__xludf.DUMMYFUNCTION("VALUE(REGEXREPLACE(G826,""[^[:digit:]]"", """"))"),2575.0)</f>
        <v>2575</v>
      </c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 t="s">
        <v>27</v>
      </c>
    </row>
    <row r="827">
      <c r="A827" s="7" t="s">
        <v>37</v>
      </c>
      <c r="B827" s="7" t="s">
        <v>38</v>
      </c>
      <c r="C827" s="7">
        <f>5+2</f>
        <v>7</v>
      </c>
      <c r="D827" s="7">
        <v>4.0</v>
      </c>
      <c r="E827" s="9">
        <v>2.0</v>
      </c>
      <c r="F827" s="7" t="s">
        <v>61</v>
      </c>
      <c r="G827" s="7" t="s">
        <v>40</v>
      </c>
      <c r="H827" s="9" t="s">
        <v>2981</v>
      </c>
      <c r="I827" t="s">
        <v>2987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 t="str">
        <f t="shared" si="1"/>
        <v>Land area </v>
      </c>
      <c r="AE827" s="7" t="str">
        <f t="shared" si="2"/>
        <v> sq. ft.</v>
      </c>
      <c r="AF827">
        <f>IFERROR(__xludf.DUMMYFUNCTION("VALUE(REGEXREPLACE(G827,""[^[:digit:]]"", """"))"),7200.0)</f>
        <v>7200</v>
      </c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 t="s">
        <v>27</v>
      </c>
    </row>
    <row r="828">
      <c r="A828" s="7" t="s">
        <v>77</v>
      </c>
      <c r="B828" s="7" t="s">
        <v>920</v>
      </c>
      <c r="C828" s="7">
        <f>4+1</f>
        <v>5</v>
      </c>
      <c r="D828" s="7">
        <v>6.0</v>
      </c>
      <c r="E828" s="7">
        <v>4.0</v>
      </c>
      <c r="F828" s="7" t="s">
        <v>90</v>
      </c>
      <c r="G828" s="7" t="s">
        <v>719</v>
      </c>
      <c r="H828" s="9" t="s">
        <v>2981</v>
      </c>
      <c r="I828" t="s">
        <v>3299</v>
      </c>
      <c r="J828" s="7"/>
      <c r="K828" s="7"/>
      <c r="L828" s="7"/>
      <c r="M828" s="7"/>
      <c r="N828" s="7"/>
      <c r="O828" s="7"/>
      <c r="P828" s="7"/>
      <c r="Q828" s="7"/>
      <c r="R828" s="7"/>
      <c r="S828" s="7" t="s">
        <v>3101</v>
      </c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 t="str">
        <f t="shared" si="1"/>
        <v>Land area </v>
      </c>
      <c r="AE828" s="7" t="str">
        <f t="shared" si="2"/>
        <v> sq. ft.</v>
      </c>
      <c r="AF828">
        <f>IFERROR(__xludf.DUMMYFUNCTION("VALUE(REGEXREPLACE(G828,""[^[:digit:]]"", """"))"),2285.0)</f>
        <v>2285</v>
      </c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 t="s">
        <v>22</v>
      </c>
    </row>
    <row r="829">
      <c r="A829" s="7" t="s">
        <v>77</v>
      </c>
      <c r="B829" s="7" t="s">
        <v>403</v>
      </c>
      <c r="C829" s="7">
        <f>5+1</f>
        <v>6</v>
      </c>
      <c r="D829" s="7">
        <v>4.0</v>
      </c>
      <c r="E829" s="9">
        <v>2.0</v>
      </c>
      <c r="F829" s="7" t="s">
        <v>681</v>
      </c>
      <c r="G829" s="7" t="s">
        <v>283</v>
      </c>
      <c r="H829" s="9" t="s">
        <v>2981</v>
      </c>
      <c r="I829" t="s">
        <v>3091</v>
      </c>
      <c r="J829" s="7"/>
      <c r="K829" s="7"/>
      <c r="L829" s="7"/>
      <c r="M829" s="7"/>
      <c r="N829" s="7"/>
      <c r="O829" s="7"/>
      <c r="P829" s="7"/>
      <c r="Q829" s="7"/>
      <c r="R829" s="7"/>
      <c r="S829" s="7" t="s">
        <v>2990</v>
      </c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 t="str">
        <f t="shared" si="1"/>
        <v>Land area </v>
      </c>
      <c r="AE829" s="7" t="str">
        <f t="shared" si="2"/>
        <v> sq. ft.</v>
      </c>
      <c r="AF829">
        <f>IFERROR(__xludf.DUMMYFUNCTION("VALUE(REGEXREPLACE(G829,""[^[:digit:]]"", """"))"),2275.0)</f>
        <v>2275</v>
      </c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 t="s">
        <v>27</v>
      </c>
    </row>
    <row r="830">
      <c r="A830" s="7" t="s">
        <v>17</v>
      </c>
      <c r="B830" s="7" t="s">
        <v>85</v>
      </c>
      <c r="C830" s="7">
        <f>2</f>
        <v>2</v>
      </c>
      <c r="D830" s="7">
        <v>2.0</v>
      </c>
      <c r="E830" s="7">
        <v>1.0</v>
      </c>
      <c r="F830" s="7" t="s">
        <v>83</v>
      </c>
      <c r="G830" s="7" t="s">
        <v>617</v>
      </c>
      <c r="H830" s="9" t="s">
        <v>2979</v>
      </c>
      <c r="I830" t="s">
        <v>3249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 t="str">
        <f t="shared" si="1"/>
        <v>Built-up :</v>
      </c>
      <c r="AE830" s="7" t="str">
        <f t="shared" si="2"/>
        <v> sq. ft.</v>
      </c>
      <c r="AF830">
        <f>IFERROR(__xludf.DUMMYFUNCTION("VALUE(REGEXREPLACE(G830,""[^[:digit:]]"", """"))"),867.0)</f>
        <v>867</v>
      </c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 t="s">
        <v>22</v>
      </c>
    </row>
    <row r="831">
      <c r="A831" s="7" t="s">
        <v>72</v>
      </c>
      <c r="B831" s="7" t="s">
        <v>56</v>
      </c>
      <c r="C831" s="7">
        <f>3+1</f>
        <v>4</v>
      </c>
      <c r="D831" s="7">
        <v>4.0</v>
      </c>
      <c r="E831" s="9">
        <v>2.0</v>
      </c>
      <c r="F831" s="7" t="s">
        <v>30</v>
      </c>
      <c r="G831" s="7" t="s">
        <v>714</v>
      </c>
      <c r="H831" s="9" t="s">
        <v>2979</v>
      </c>
      <c r="I831" t="s">
        <v>3295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 t="str">
        <f t="shared" si="1"/>
        <v>Built-up :</v>
      </c>
      <c r="AE831" s="7" t="str">
        <f t="shared" si="2"/>
        <v> sq. ft.</v>
      </c>
      <c r="AF831">
        <f>IFERROR(__xludf.DUMMYFUNCTION("VALUE(REGEXREPLACE(G831,""[^[:digit:]]"", """"))"),2038.0)</f>
        <v>2038</v>
      </c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 t="s">
        <v>27</v>
      </c>
    </row>
    <row r="832">
      <c r="A832" s="7" t="s">
        <v>164</v>
      </c>
      <c r="B832" s="7" t="s">
        <v>134</v>
      </c>
      <c r="C832" s="7">
        <f>2+2</f>
        <v>4</v>
      </c>
      <c r="D832" s="7">
        <v>1.0</v>
      </c>
      <c r="E832" s="9">
        <v>2.0</v>
      </c>
      <c r="F832" s="7" t="s">
        <v>83</v>
      </c>
      <c r="G832" s="7" t="s">
        <v>621</v>
      </c>
      <c r="H832" s="9" t="s">
        <v>2979</v>
      </c>
      <c r="I832" t="s">
        <v>3251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 t="str">
        <f t="shared" si="1"/>
        <v>Built-up :</v>
      </c>
      <c r="AE832" s="7" t="str">
        <f t="shared" si="2"/>
        <v> sq. ft.</v>
      </c>
      <c r="AF832">
        <f>IFERROR(__xludf.DUMMYFUNCTION("VALUE(REGEXREPLACE(G832,""[^[:digit:]]"", """"))"),1119.0)</f>
        <v>1119</v>
      </c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 t="s">
        <v>22</v>
      </c>
    </row>
    <row r="833">
      <c r="A833" s="7" t="s">
        <v>164</v>
      </c>
      <c r="B833" s="7" t="s">
        <v>78</v>
      </c>
      <c r="C833" s="7">
        <f>3+1</f>
        <v>4</v>
      </c>
      <c r="D833" s="7">
        <v>3.0</v>
      </c>
      <c r="E833" s="9">
        <v>2.0</v>
      </c>
      <c r="F833" s="7" t="s">
        <v>30</v>
      </c>
      <c r="G833" s="7" t="s">
        <v>261</v>
      </c>
      <c r="H833" s="9" t="s">
        <v>2979</v>
      </c>
      <c r="I833" t="s">
        <v>3081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 t="str">
        <f t="shared" si="1"/>
        <v>Built-up :</v>
      </c>
      <c r="AE833" s="7" t="str">
        <f t="shared" si="2"/>
        <v> sq. ft.</v>
      </c>
      <c r="AF833">
        <f>IFERROR(__xludf.DUMMYFUNCTION("VALUE(REGEXREPLACE(G833,""[^[:digit:]]"", """"))"),1544.0)</f>
        <v>1544</v>
      </c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 t="s">
        <v>27</v>
      </c>
    </row>
    <row r="834">
      <c r="A834" s="7" t="s">
        <v>177</v>
      </c>
      <c r="B834" s="7" t="s">
        <v>921</v>
      </c>
      <c r="C834" s="7">
        <f>4+1</f>
        <v>5</v>
      </c>
      <c r="D834" s="7">
        <v>3.0</v>
      </c>
      <c r="E834" s="7">
        <v>3.0</v>
      </c>
      <c r="F834" s="7" t="s">
        <v>46</v>
      </c>
      <c r="G834" s="7" t="s">
        <v>922</v>
      </c>
      <c r="H834" s="9" t="s">
        <v>2981</v>
      </c>
      <c r="I834" t="s">
        <v>3405</v>
      </c>
      <c r="J834" s="7"/>
      <c r="K834" s="7"/>
      <c r="L834" s="7"/>
      <c r="M834" s="7"/>
      <c r="N834" s="7"/>
      <c r="O834" s="7"/>
      <c r="P834" s="7"/>
      <c r="Q834" s="7"/>
      <c r="R834" s="7"/>
      <c r="S834" s="7" t="s">
        <v>3101</v>
      </c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 t="str">
        <f t="shared" si="1"/>
        <v>Land area </v>
      </c>
      <c r="AE834" s="7" t="str">
        <f t="shared" si="2"/>
        <v> sq. ft.</v>
      </c>
      <c r="AF834">
        <f>IFERROR(__xludf.DUMMYFUNCTION("VALUE(REGEXREPLACE(G834,""[^[:digit:]]"", """"))"),3985.0)</f>
        <v>3985</v>
      </c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 t="s">
        <v>27</v>
      </c>
    </row>
    <row r="835">
      <c r="A835" s="7" t="s">
        <v>32</v>
      </c>
      <c r="B835" s="7" t="s">
        <v>923</v>
      </c>
      <c r="C835" s="7">
        <f t="shared" ref="C835:C836" si="88">3</f>
        <v>3</v>
      </c>
      <c r="D835" s="7">
        <v>2.0</v>
      </c>
      <c r="E835" s="7">
        <v>1.0</v>
      </c>
      <c r="F835" s="7" t="s">
        <v>93</v>
      </c>
      <c r="G835" s="7" t="s">
        <v>924</v>
      </c>
      <c r="H835" s="9" t="s">
        <v>2979</v>
      </c>
      <c r="I835" t="s">
        <v>3406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 t="str">
        <f t="shared" si="1"/>
        <v>Built-up :</v>
      </c>
      <c r="AE835" s="7" t="str">
        <f t="shared" si="2"/>
        <v> sq. ft.</v>
      </c>
      <c r="AF835">
        <f>IFERROR(__xludf.DUMMYFUNCTION("VALUE(REGEXREPLACE(G835,""[^[:digit:]]"", """"))"),750.0)</f>
        <v>750</v>
      </c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 t="s">
        <v>22</v>
      </c>
    </row>
    <row r="836">
      <c r="A836" s="7" t="s">
        <v>371</v>
      </c>
      <c r="B836" s="7" t="s">
        <v>599</v>
      </c>
      <c r="C836" s="7">
        <f t="shared" si="88"/>
        <v>3</v>
      </c>
      <c r="D836" s="7">
        <v>3.0</v>
      </c>
      <c r="E836" s="7">
        <v>2.0</v>
      </c>
      <c r="F836" s="7" t="s">
        <v>83</v>
      </c>
      <c r="G836" s="7" t="s">
        <v>925</v>
      </c>
      <c r="H836" s="9" t="s">
        <v>2979</v>
      </c>
      <c r="I836" t="s">
        <v>3407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 t="str">
        <f t="shared" si="1"/>
        <v>Built-up :</v>
      </c>
      <c r="AE836" s="7" t="str">
        <f t="shared" si="2"/>
        <v> sq. ft.</v>
      </c>
      <c r="AF836">
        <f>IFERROR(__xludf.DUMMYFUNCTION("VALUE(REGEXREPLACE(G836,""[^[:digit:]]"", """"))"),1637.0)</f>
        <v>1637</v>
      </c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 t="s">
        <v>27</v>
      </c>
    </row>
    <row r="837">
      <c r="A837" s="7" t="s">
        <v>72</v>
      </c>
      <c r="B837" s="7" t="s">
        <v>658</v>
      </c>
      <c r="C837" s="7">
        <f>5</f>
        <v>5</v>
      </c>
      <c r="D837" s="7">
        <v>5.0</v>
      </c>
      <c r="E837" s="9">
        <v>2.0</v>
      </c>
      <c r="F837" s="7" t="s">
        <v>93</v>
      </c>
      <c r="G837" s="7" t="s">
        <v>926</v>
      </c>
      <c r="H837" s="9" t="s">
        <v>2979</v>
      </c>
      <c r="I837" t="s">
        <v>3408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 t="str">
        <f t="shared" si="1"/>
        <v>Built-up :</v>
      </c>
      <c r="AE837" s="7" t="str">
        <f t="shared" si="2"/>
        <v> sq. ft.</v>
      </c>
      <c r="AF837">
        <f>IFERROR(__xludf.DUMMYFUNCTION("VALUE(REGEXREPLACE(G837,""[^[:digit:]]"", """"))"),3401.0)</f>
        <v>3401</v>
      </c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 t="s">
        <v>22</v>
      </c>
    </row>
    <row r="838">
      <c r="A838" s="7" t="s">
        <v>23</v>
      </c>
      <c r="B838" s="7" t="s">
        <v>281</v>
      </c>
      <c r="C838" s="7">
        <f>4</f>
        <v>4</v>
      </c>
      <c r="D838" s="7">
        <v>3.0</v>
      </c>
      <c r="E838" s="7">
        <v>3.0</v>
      </c>
      <c r="F838" s="7" t="s">
        <v>184</v>
      </c>
      <c r="G838" s="7" t="s">
        <v>927</v>
      </c>
      <c r="H838" s="9" t="s">
        <v>2981</v>
      </c>
      <c r="I838" t="s">
        <v>3409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 t="str">
        <f t="shared" si="1"/>
        <v>Land area </v>
      </c>
      <c r="AE838" s="7" t="str">
        <f t="shared" si="2"/>
        <v> sq. ft.</v>
      </c>
      <c r="AF838">
        <f>IFERROR(__xludf.DUMMYFUNCTION("VALUE(REGEXREPLACE(G838,""[^[:digit:]]"", """"))"),2800.0)</f>
        <v>2800</v>
      </c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 t="s">
        <v>27</v>
      </c>
    </row>
    <row r="839">
      <c r="A839" s="7" t="s">
        <v>23</v>
      </c>
      <c r="B839" s="7" t="s">
        <v>174</v>
      </c>
      <c r="C839" s="7">
        <f>5</f>
        <v>5</v>
      </c>
      <c r="D839" s="7">
        <v>4.0</v>
      </c>
      <c r="E839" s="7">
        <v>4.0</v>
      </c>
      <c r="F839" s="7" t="s">
        <v>43</v>
      </c>
      <c r="G839" s="7" t="s">
        <v>928</v>
      </c>
      <c r="H839" s="9" t="s">
        <v>2981</v>
      </c>
      <c r="I839" t="s">
        <v>3410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 t="str">
        <f t="shared" si="1"/>
        <v>Land area </v>
      </c>
      <c r="AE839" s="7" t="str">
        <f t="shared" si="2"/>
        <v> sq. ft.</v>
      </c>
      <c r="AF839">
        <f>IFERROR(__xludf.DUMMYFUNCTION("VALUE(REGEXREPLACE(G839,""[^[:digit:]]"", """"))"),3550.0)</f>
        <v>3550</v>
      </c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 t="s">
        <v>27</v>
      </c>
    </row>
    <row r="840">
      <c r="A840" s="7" t="s">
        <v>23</v>
      </c>
      <c r="B840" s="7" t="s">
        <v>429</v>
      </c>
      <c r="C840" s="7">
        <f>7</f>
        <v>7</v>
      </c>
      <c r="D840" s="7">
        <v>6.0</v>
      </c>
      <c r="E840" s="7">
        <v>6.0</v>
      </c>
      <c r="F840" s="7" t="s">
        <v>25</v>
      </c>
      <c r="G840" s="7" t="s">
        <v>430</v>
      </c>
      <c r="H840" s="9" t="s">
        <v>2981</v>
      </c>
      <c r="I840" t="s">
        <v>3158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 t="str">
        <f t="shared" si="1"/>
        <v>Land area </v>
      </c>
      <c r="AE840" s="7" t="str">
        <f t="shared" si="2"/>
        <v> sq. ft.</v>
      </c>
      <c r="AF840">
        <f>IFERROR(__xludf.DUMMYFUNCTION("VALUE(REGEXREPLACE(G840,""[^[:digit:]]"", """"))"),6300.0)</f>
        <v>6300</v>
      </c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>
      <c r="A841" s="7" t="s">
        <v>77</v>
      </c>
      <c r="B841" s="7" t="s">
        <v>110</v>
      </c>
      <c r="C841" s="7">
        <f>6</f>
        <v>6</v>
      </c>
      <c r="D841" s="7">
        <v>5.0</v>
      </c>
      <c r="E841" s="7">
        <v>5.0</v>
      </c>
      <c r="F841" s="7" t="s">
        <v>562</v>
      </c>
      <c r="G841" s="7" t="s">
        <v>211</v>
      </c>
      <c r="H841" s="9" t="s">
        <v>2981</v>
      </c>
      <c r="I841" t="s">
        <v>2992</v>
      </c>
      <c r="J841" s="7"/>
      <c r="K841" s="7"/>
      <c r="L841" s="7"/>
      <c r="M841" s="7"/>
      <c r="N841" s="7"/>
      <c r="O841" s="7"/>
      <c r="P841" s="7"/>
      <c r="Q841" s="7"/>
      <c r="R841" s="7"/>
      <c r="S841" s="7" t="s">
        <v>2993</v>
      </c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 t="str">
        <f t="shared" si="1"/>
        <v>Land area </v>
      </c>
      <c r="AE841" s="7" t="str">
        <f t="shared" si="2"/>
        <v> sq. ft.</v>
      </c>
      <c r="AF841">
        <f>IFERROR(__xludf.DUMMYFUNCTION("VALUE(REGEXREPLACE(G841,""[^[:digit:]]"", """"))"),2280.0)</f>
        <v>2280</v>
      </c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 t="s">
        <v>27</v>
      </c>
    </row>
    <row r="842">
      <c r="A842" s="7" t="s">
        <v>77</v>
      </c>
      <c r="B842" s="7" t="s">
        <v>306</v>
      </c>
      <c r="C842" s="7" t="s">
        <v>70</v>
      </c>
      <c r="D842" s="7">
        <v>6.0</v>
      </c>
      <c r="E842" s="7">
        <v>2.0</v>
      </c>
      <c r="F842" s="7" t="s">
        <v>169</v>
      </c>
      <c r="G842" s="7" t="s">
        <v>911</v>
      </c>
      <c r="H842" s="9" t="s">
        <v>2981</v>
      </c>
      <c r="I842" t="s">
        <v>3300</v>
      </c>
      <c r="J842" s="7"/>
      <c r="K842" s="7"/>
      <c r="L842" s="7"/>
      <c r="M842" s="7"/>
      <c r="N842" s="7"/>
      <c r="O842" s="7"/>
      <c r="P842" s="7"/>
      <c r="Q842" s="7"/>
      <c r="R842" s="7"/>
      <c r="S842" s="7" t="s">
        <v>3382</v>
      </c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 t="str">
        <f t="shared" si="1"/>
        <v>Land area </v>
      </c>
      <c r="AE842" s="7" t="str">
        <f t="shared" si="2"/>
        <v> sq. ft.</v>
      </c>
      <c r="AF842">
        <f>IFERROR(__xludf.DUMMYFUNCTION("VALUE(REGEXREPLACE(G842,""[^[:digit:]]"", """"))"),22100.0)</f>
        <v>22100</v>
      </c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 t="s">
        <v>22</v>
      </c>
    </row>
    <row r="843">
      <c r="A843" s="7" t="s">
        <v>77</v>
      </c>
      <c r="B843" s="7" t="s">
        <v>399</v>
      </c>
      <c r="C843" s="7">
        <f>3+1</f>
        <v>4</v>
      </c>
      <c r="D843" s="7">
        <v>3.0</v>
      </c>
      <c r="E843" s="7">
        <v>2.0</v>
      </c>
      <c r="F843" s="7" t="s">
        <v>54</v>
      </c>
      <c r="G843" s="7" t="s">
        <v>283</v>
      </c>
      <c r="H843" s="9" t="s">
        <v>2981</v>
      </c>
      <c r="I843" t="s">
        <v>3091</v>
      </c>
      <c r="J843" s="7"/>
      <c r="K843" s="7"/>
      <c r="L843" s="7"/>
      <c r="M843" s="7"/>
      <c r="N843" s="7"/>
      <c r="O843" s="7"/>
      <c r="P843" s="7"/>
      <c r="Q843" s="7"/>
      <c r="R843" s="7"/>
      <c r="S843" s="7" t="s">
        <v>2990</v>
      </c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 t="str">
        <f t="shared" si="1"/>
        <v>Land area </v>
      </c>
      <c r="AE843" s="7" t="str">
        <f t="shared" si="2"/>
        <v> sq. ft.</v>
      </c>
      <c r="AF843">
        <f>IFERROR(__xludf.DUMMYFUNCTION("VALUE(REGEXREPLACE(G843,""[^[:digit:]]"", """"))"),2275.0)</f>
        <v>2275</v>
      </c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>
      <c r="A844" s="7" t="s">
        <v>33</v>
      </c>
      <c r="B844" s="7" t="s">
        <v>34</v>
      </c>
      <c r="C844" s="7">
        <f>4+1</f>
        <v>5</v>
      </c>
      <c r="D844" s="7">
        <v>3.0</v>
      </c>
      <c r="E844" s="7">
        <v>3.0</v>
      </c>
      <c r="F844" s="7" t="s">
        <v>30</v>
      </c>
      <c r="G844" s="7" t="s">
        <v>36</v>
      </c>
      <c r="H844" s="9" t="s">
        <v>2979</v>
      </c>
      <c r="I844" t="s">
        <v>2986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 t="str">
        <f t="shared" si="1"/>
        <v>Built-up :</v>
      </c>
      <c r="AE844" s="7" t="str">
        <f t="shared" si="2"/>
        <v> sq. ft.</v>
      </c>
      <c r="AF844">
        <f>IFERROR(__xludf.DUMMYFUNCTION("VALUE(REGEXREPLACE(G844,""[^[:digit:]]"", """"))"),1513.0)</f>
        <v>1513</v>
      </c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 t="s">
        <v>27</v>
      </c>
    </row>
    <row r="845">
      <c r="A845" s="7" t="s">
        <v>17</v>
      </c>
      <c r="B845" s="7" t="s">
        <v>18</v>
      </c>
      <c r="C845" s="7">
        <f>1+1</f>
        <v>2</v>
      </c>
      <c r="D845" s="7">
        <v>1.0</v>
      </c>
      <c r="E845" s="7">
        <v>1.0</v>
      </c>
      <c r="F845" s="7" t="s">
        <v>121</v>
      </c>
      <c r="G845" s="7" t="s">
        <v>140</v>
      </c>
      <c r="H845" s="9" t="s">
        <v>2979</v>
      </c>
      <c r="I845" t="s">
        <v>3008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 t="str">
        <f t="shared" si="1"/>
        <v>Built-up :</v>
      </c>
      <c r="AE845" s="7" t="str">
        <f t="shared" si="2"/>
        <v> sq. ft.</v>
      </c>
      <c r="AF845">
        <f>IFERROR(__xludf.DUMMYFUNCTION("VALUE(REGEXREPLACE(G845,""[^[:digit:]]"", """"))"),880.0)</f>
        <v>880</v>
      </c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 t="s">
        <v>22</v>
      </c>
    </row>
    <row r="846">
      <c r="A846" s="7" t="s">
        <v>33</v>
      </c>
      <c r="B846" s="7" t="s">
        <v>229</v>
      </c>
      <c r="C846" s="7">
        <f>4+1</f>
        <v>5</v>
      </c>
      <c r="D846" s="7">
        <v>3.0</v>
      </c>
      <c r="E846" s="7">
        <v>4.0</v>
      </c>
      <c r="F846" s="7" t="s">
        <v>30</v>
      </c>
      <c r="G846" s="7" t="s">
        <v>137</v>
      </c>
      <c r="H846" s="9" t="s">
        <v>2979</v>
      </c>
      <c r="I846" t="s">
        <v>3024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 t="str">
        <f t="shared" si="1"/>
        <v>Built-up :</v>
      </c>
      <c r="AE846" s="7" t="str">
        <f t="shared" si="2"/>
        <v> sq. ft.</v>
      </c>
      <c r="AF846">
        <f>IFERROR(__xludf.DUMMYFUNCTION("VALUE(REGEXREPLACE(G846,""[^[:digit:]]"", """"))"),1772.0)</f>
        <v>1772</v>
      </c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 t="s">
        <v>27</v>
      </c>
    </row>
    <row r="847">
      <c r="A847" s="7" t="s">
        <v>37</v>
      </c>
      <c r="B847" s="7" t="s">
        <v>523</v>
      </c>
      <c r="C847" s="7">
        <f>5</f>
        <v>5</v>
      </c>
      <c r="D847" s="7">
        <v>4.0</v>
      </c>
      <c r="E847" s="9">
        <v>2.0</v>
      </c>
      <c r="F847" s="7" t="s">
        <v>25</v>
      </c>
      <c r="G847" s="7" t="s">
        <v>696</v>
      </c>
      <c r="H847" s="9" t="s">
        <v>2981</v>
      </c>
      <c r="I847" t="s">
        <v>3288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 t="str">
        <f t="shared" si="1"/>
        <v>Land area </v>
      </c>
      <c r="AE847" s="7" t="str">
        <f t="shared" si="2"/>
        <v> sq. ft.</v>
      </c>
      <c r="AF847">
        <f>IFERROR(__xludf.DUMMYFUNCTION("VALUE(REGEXREPLACE(G847,""[^[:digit:]]"", """"))"),8000.0)</f>
        <v>8000</v>
      </c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 t="s">
        <v>27</v>
      </c>
    </row>
    <row r="848">
      <c r="A848" s="7" t="s">
        <v>32</v>
      </c>
      <c r="B848" s="7" t="s">
        <v>139</v>
      </c>
      <c r="C848" s="7">
        <f>1</f>
        <v>1</v>
      </c>
      <c r="D848" s="7">
        <v>1.0</v>
      </c>
      <c r="E848" s="7">
        <v>1.0</v>
      </c>
      <c r="F848" s="7" t="s">
        <v>50</v>
      </c>
      <c r="G848" s="7" t="s">
        <v>929</v>
      </c>
      <c r="H848" s="9" t="s">
        <v>2979</v>
      </c>
      <c r="I848" t="s">
        <v>3411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 t="str">
        <f t="shared" si="1"/>
        <v>Built-up :</v>
      </c>
      <c r="AE848" s="7" t="str">
        <f t="shared" si="2"/>
        <v> sq. ft.</v>
      </c>
      <c r="AF848">
        <f>IFERROR(__xludf.DUMMYFUNCTION("VALUE(REGEXREPLACE(G848,""[^[:digit:]]"", """"))"),624.0)</f>
        <v>624</v>
      </c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 t="s">
        <v>22</v>
      </c>
    </row>
    <row r="849">
      <c r="A849" s="7" t="s">
        <v>17</v>
      </c>
      <c r="B849" s="7" t="s">
        <v>243</v>
      </c>
      <c r="C849" s="7">
        <f>2</f>
        <v>2</v>
      </c>
      <c r="D849" s="7">
        <v>2.0</v>
      </c>
      <c r="E849" s="7">
        <v>2.0</v>
      </c>
      <c r="F849" s="7" t="s">
        <v>30</v>
      </c>
      <c r="G849" s="7" t="s">
        <v>930</v>
      </c>
      <c r="H849" s="9" t="s">
        <v>2979</v>
      </c>
      <c r="I849" t="s">
        <v>3412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 t="str">
        <f t="shared" si="1"/>
        <v>Built-up :</v>
      </c>
      <c r="AE849" s="7" t="str">
        <f t="shared" si="2"/>
        <v> sq. ft.</v>
      </c>
      <c r="AF849">
        <f>IFERROR(__xludf.DUMMYFUNCTION("VALUE(REGEXREPLACE(G849,""[^[:digit:]]"", """"))"),1270.0)</f>
        <v>1270</v>
      </c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 t="s">
        <v>22</v>
      </c>
    </row>
    <row r="850">
      <c r="A850" s="7" t="s">
        <v>23</v>
      </c>
      <c r="B850" s="7" t="s">
        <v>658</v>
      </c>
      <c r="C850" s="7">
        <f>3+1</f>
        <v>4</v>
      </c>
      <c r="D850" s="7">
        <v>4.0</v>
      </c>
      <c r="E850" s="7">
        <v>3.0</v>
      </c>
      <c r="F850" s="7" t="s">
        <v>20</v>
      </c>
      <c r="G850" s="7" t="s">
        <v>659</v>
      </c>
      <c r="H850" s="9" t="s">
        <v>2979</v>
      </c>
      <c r="I850" t="s">
        <v>3270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 t="str">
        <f t="shared" si="1"/>
        <v>Built-up :</v>
      </c>
      <c r="AE850" s="7" t="str">
        <f t="shared" si="2"/>
        <v> sq. ft.</v>
      </c>
      <c r="AF850">
        <f>IFERROR(__xludf.DUMMYFUNCTION("VALUE(REGEXREPLACE(G850,""[^[:digit:]]"", """"))"),2077.0)</f>
        <v>2077</v>
      </c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 t="s">
        <v>27</v>
      </c>
    </row>
    <row r="851">
      <c r="A851" s="7" t="s">
        <v>155</v>
      </c>
      <c r="B851" s="7" t="s">
        <v>520</v>
      </c>
      <c r="C851" s="7">
        <f>4</f>
        <v>4</v>
      </c>
      <c r="D851" s="7">
        <v>2.0</v>
      </c>
      <c r="E851" s="7">
        <v>2.0</v>
      </c>
      <c r="F851" s="7" t="s">
        <v>20</v>
      </c>
      <c r="H851" s="9" t="s">
        <v>2984</v>
      </c>
      <c r="I851" t="s">
        <v>2985</v>
      </c>
      <c r="AD851" s="7" t="str">
        <f t="shared" si="1"/>
        <v/>
      </c>
      <c r="AE851" s="7" t="str">
        <f t="shared" si="2"/>
        <v/>
      </c>
      <c r="AF851">
        <f>IFERROR(__xludf.DUMMYFUNCTION("VALUE(REGEXREPLACE(G851,""[^[:digit:]]"", """"))"),0.0)</f>
        <v>0</v>
      </c>
      <c r="AS851" s="7" t="s">
        <v>27</v>
      </c>
    </row>
    <row r="852">
      <c r="A852" s="7" t="s">
        <v>72</v>
      </c>
      <c r="B852" s="7" t="s">
        <v>931</v>
      </c>
      <c r="C852" s="7">
        <f>4+1</f>
        <v>5</v>
      </c>
      <c r="D852" s="7">
        <v>4.0</v>
      </c>
      <c r="E852" s="7">
        <v>3.0</v>
      </c>
      <c r="F852" s="7" t="s">
        <v>30</v>
      </c>
      <c r="G852" s="7" t="s">
        <v>176</v>
      </c>
      <c r="H852" s="9" t="s">
        <v>2979</v>
      </c>
      <c r="I852" t="s">
        <v>3039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 t="str">
        <f t="shared" si="1"/>
        <v>Built-up :</v>
      </c>
      <c r="AE852" s="7" t="str">
        <f t="shared" si="2"/>
        <v> sq. ft.</v>
      </c>
      <c r="AF852">
        <f>IFERROR(__xludf.DUMMYFUNCTION("VALUE(REGEXREPLACE(G852,""[^[:digit:]]"", """"))"),3000.0)</f>
        <v>3000</v>
      </c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 t="s">
        <v>27</v>
      </c>
    </row>
    <row r="853">
      <c r="A853" s="7" t="s">
        <v>23</v>
      </c>
      <c r="B853" s="7" t="s">
        <v>513</v>
      </c>
      <c r="C853" s="7">
        <f>6</f>
        <v>6</v>
      </c>
      <c r="D853" s="7">
        <v>7.0</v>
      </c>
      <c r="E853" s="9">
        <v>2.0</v>
      </c>
      <c r="F853" s="7" t="s">
        <v>25</v>
      </c>
      <c r="G853" s="7" t="s">
        <v>932</v>
      </c>
      <c r="H853" s="9" t="s">
        <v>2981</v>
      </c>
      <c r="I853" t="s">
        <v>3413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 t="str">
        <f t="shared" si="1"/>
        <v>Land area </v>
      </c>
      <c r="AE853" s="7" t="str">
        <f t="shared" si="2"/>
        <v> sq. ft.</v>
      </c>
      <c r="AF853">
        <f>IFERROR(__xludf.DUMMYFUNCTION("VALUE(REGEXREPLACE(G853,""[^[:digit:]]"", """"))"),9127.0)</f>
        <v>9127</v>
      </c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>
      <c r="A854" s="7" t="s">
        <v>17</v>
      </c>
      <c r="B854" s="7" t="s">
        <v>311</v>
      </c>
      <c r="C854" s="7">
        <f>2+1</f>
        <v>3</v>
      </c>
      <c r="D854" s="7">
        <v>2.0</v>
      </c>
      <c r="E854" s="9">
        <v>2.0</v>
      </c>
      <c r="F854" s="7" t="s">
        <v>121</v>
      </c>
      <c r="G854" s="7" t="s">
        <v>687</v>
      </c>
      <c r="H854" s="9" t="s">
        <v>2979</v>
      </c>
      <c r="I854" t="s">
        <v>3285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 t="str">
        <f t="shared" si="1"/>
        <v>Built-up :</v>
      </c>
      <c r="AE854" s="7" t="str">
        <f t="shared" si="2"/>
        <v> sq. ft.</v>
      </c>
      <c r="AF854">
        <f>IFERROR(__xludf.DUMMYFUNCTION("VALUE(REGEXREPLACE(G854,""[^[:digit:]]"", """"))"),811.0)</f>
        <v>811</v>
      </c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 t="s">
        <v>22</v>
      </c>
    </row>
    <row r="855">
      <c r="A855" s="7" t="s">
        <v>72</v>
      </c>
      <c r="B855" s="7" t="s">
        <v>655</v>
      </c>
      <c r="C855" s="7">
        <f>4+1</f>
        <v>5</v>
      </c>
      <c r="D855" s="7">
        <v>6.0</v>
      </c>
      <c r="E855" s="7">
        <v>3.0</v>
      </c>
      <c r="F855" s="7" t="s">
        <v>83</v>
      </c>
      <c r="G855" s="7" t="s">
        <v>933</v>
      </c>
      <c r="H855" s="9" t="s">
        <v>2979</v>
      </c>
      <c r="I855" t="s">
        <v>3414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 t="str">
        <f t="shared" si="1"/>
        <v>Built-up :</v>
      </c>
      <c r="AE855" s="7" t="str">
        <f t="shared" si="2"/>
        <v> sq. ft.</v>
      </c>
      <c r="AF855">
        <f>IFERROR(__xludf.DUMMYFUNCTION("VALUE(REGEXREPLACE(G855,""[^[:digit:]]"", """"))"),3541.0)</f>
        <v>3541</v>
      </c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 t="s">
        <v>27</v>
      </c>
    </row>
    <row r="856">
      <c r="A856" s="7" t="s">
        <v>89</v>
      </c>
      <c r="B856" s="7" t="s">
        <v>243</v>
      </c>
      <c r="C856" s="7">
        <f>6</f>
        <v>6</v>
      </c>
      <c r="D856" s="7">
        <v>5.0</v>
      </c>
      <c r="E856" s="7">
        <v>2.0</v>
      </c>
      <c r="F856" s="7" t="s">
        <v>90</v>
      </c>
      <c r="G856" s="7" t="s">
        <v>129</v>
      </c>
      <c r="H856" s="9" t="s">
        <v>2981</v>
      </c>
      <c r="I856" t="s">
        <v>3020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 t="str">
        <f t="shared" si="1"/>
        <v>Land area </v>
      </c>
      <c r="AE856" s="7" t="str">
        <f t="shared" si="2"/>
        <v> sq. ft.</v>
      </c>
      <c r="AF856" s="7">
        <v>1600.0</v>
      </c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 t="s">
        <v>22</v>
      </c>
    </row>
    <row r="857">
      <c r="A857" s="7" t="s">
        <v>37</v>
      </c>
      <c r="B857" s="7" t="s">
        <v>78</v>
      </c>
      <c r="C857" s="7">
        <f>4</f>
        <v>4</v>
      </c>
      <c r="D857" s="7">
        <v>3.0</v>
      </c>
      <c r="E857" s="7">
        <v>3.0</v>
      </c>
      <c r="F857" s="7" t="s">
        <v>54</v>
      </c>
      <c r="G857" s="7" t="s">
        <v>280</v>
      </c>
      <c r="H857" s="9" t="s">
        <v>2981</v>
      </c>
      <c r="I857" t="s">
        <v>3037</v>
      </c>
      <c r="J857" s="7"/>
      <c r="K857" s="7"/>
      <c r="L857" s="7"/>
      <c r="M857" s="7"/>
      <c r="N857" s="7"/>
      <c r="O857" s="7"/>
      <c r="P857" s="7"/>
      <c r="Q857" s="7"/>
      <c r="R857" s="7"/>
      <c r="S857" s="7" t="s">
        <v>2990</v>
      </c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 t="str">
        <f t="shared" si="1"/>
        <v>Land area </v>
      </c>
      <c r="AE857" s="7" t="str">
        <f t="shared" si="2"/>
        <v> sq. ft.</v>
      </c>
      <c r="AF857">
        <f>IFERROR(__xludf.DUMMYFUNCTION("VALUE(REGEXREPLACE(G857,""[^[:digit:]]"", """"))"),2475.0)</f>
        <v>2475</v>
      </c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 t="s">
        <v>27</v>
      </c>
    </row>
    <row r="858">
      <c r="A858" s="7" t="s">
        <v>33</v>
      </c>
      <c r="B858" s="7" t="s">
        <v>138</v>
      </c>
      <c r="C858" s="7">
        <f>4+1</f>
        <v>5</v>
      </c>
      <c r="D858" s="7">
        <v>4.0</v>
      </c>
      <c r="E858" s="7">
        <v>2.0</v>
      </c>
      <c r="F858" s="7" t="s">
        <v>83</v>
      </c>
      <c r="G858" s="7" t="s">
        <v>36</v>
      </c>
      <c r="H858" s="9" t="s">
        <v>2979</v>
      </c>
      <c r="I858" t="s">
        <v>2986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 t="str">
        <f t="shared" si="1"/>
        <v>Built-up :</v>
      </c>
      <c r="AE858" s="7" t="str">
        <f t="shared" si="2"/>
        <v> sq. ft.</v>
      </c>
      <c r="AF858">
        <f>IFERROR(__xludf.DUMMYFUNCTION("VALUE(REGEXREPLACE(G858,""[^[:digit:]]"", """"))"),1513.0)</f>
        <v>1513</v>
      </c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 t="s">
        <v>27</v>
      </c>
    </row>
    <row r="859">
      <c r="A859" s="7" t="s">
        <v>32</v>
      </c>
      <c r="B859" s="7" t="s">
        <v>677</v>
      </c>
      <c r="C859" s="7">
        <f>1</f>
        <v>1</v>
      </c>
      <c r="D859" s="7">
        <v>1.0</v>
      </c>
      <c r="E859" s="7">
        <v>1.0</v>
      </c>
      <c r="F859" s="7" t="s">
        <v>82</v>
      </c>
      <c r="G859" s="7" t="s">
        <v>678</v>
      </c>
      <c r="H859" s="9" t="s">
        <v>2979</v>
      </c>
      <c r="I859" t="s">
        <v>3280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 t="str">
        <f t="shared" si="1"/>
        <v>Built-up :</v>
      </c>
      <c r="AE859" s="7" t="str">
        <f t="shared" si="2"/>
        <v> sq. ft.</v>
      </c>
      <c r="AF859">
        <f>IFERROR(__xludf.DUMMYFUNCTION("VALUE(REGEXREPLACE(G859,""[^[:digit:]]"", """"))"),762.0)</f>
        <v>762</v>
      </c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 t="s">
        <v>27</v>
      </c>
    </row>
    <row r="860">
      <c r="A860" s="7" t="s">
        <v>17</v>
      </c>
      <c r="B860" s="7" t="s">
        <v>110</v>
      </c>
      <c r="C860" s="7">
        <f>2</f>
        <v>2</v>
      </c>
      <c r="D860" s="7">
        <v>2.0</v>
      </c>
      <c r="E860" s="7">
        <v>1.0</v>
      </c>
      <c r="F860" s="7" t="s">
        <v>82</v>
      </c>
      <c r="G860" s="7" t="s">
        <v>111</v>
      </c>
      <c r="H860" s="9" t="s">
        <v>2979</v>
      </c>
      <c r="I860" t="s">
        <v>3011</v>
      </c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 t="str">
        <f t="shared" si="1"/>
        <v>Built-up :</v>
      </c>
      <c r="AE860" s="7" t="str">
        <f t="shared" si="2"/>
        <v> sq. ft.</v>
      </c>
      <c r="AF860">
        <f>IFERROR(__xludf.DUMMYFUNCTION("VALUE(REGEXREPLACE(G860,""[^[:digit:]]"", """"))"),1006.0)</f>
        <v>1006</v>
      </c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 t="s">
        <v>22</v>
      </c>
    </row>
    <row r="861">
      <c r="A861" s="7" t="s">
        <v>262</v>
      </c>
      <c r="B861" s="7" t="s">
        <v>934</v>
      </c>
      <c r="C861" s="7">
        <f>7</f>
        <v>7</v>
      </c>
      <c r="D861" s="7">
        <v>8.0</v>
      </c>
      <c r="E861" s="7">
        <v>6.0</v>
      </c>
      <c r="F861" s="7" t="s">
        <v>67</v>
      </c>
      <c r="G861" s="7" t="s">
        <v>935</v>
      </c>
      <c r="H861" s="9" t="s">
        <v>2981</v>
      </c>
      <c r="I861" t="s">
        <v>3415</v>
      </c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 t="str">
        <f t="shared" si="1"/>
        <v>Land area </v>
      </c>
      <c r="AE861" s="7" t="str">
        <f t="shared" si="2"/>
        <v> sq. ft.</v>
      </c>
      <c r="AF861">
        <f>IFERROR(__xludf.DUMMYFUNCTION("VALUE(REGEXREPLACE(G861,""[^[:digit:]]"", """"))"),8622.0)</f>
        <v>8622</v>
      </c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 t="s">
        <v>22</v>
      </c>
    </row>
    <row r="862">
      <c r="A862" s="7" t="s">
        <v>17</v>
      </c>
      <c r="B862" s="7" t="s">
        <v>18</v>
      </c>
      <c r="C862" s="7">
        <f>1</f>
        <v>1</v>
      </c>
      <c r="D862" s="7">
        <v>1.0</v>
      </c>
      <c r="E862" s="7">
        <v>1.0</v>
      </c>
      <c r="F862" s="7" t="s">
        <v>20</v>
      </c>
      <c r="G862" s="7" t="s">
        <v>392</v>
      </c>
      <c r="H862" s="9" t="s">
        <v>2979</v>
      </c>
      <c r="I862" t="s">
        <v>3141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 t="str">
        <f t="shared" si="1"/>
        <v>Built-up :</v>
      </c>
      <c r="AE862" s="7" t="str">
        <f t="shared" si="2"/>
        <v> sq. ft.</v>
      </c>
      <c r="AF862">
        <f>IFERROR(__xludf.DUMMYFUNCTION("VALUE(REGEXREPLACE(G862,""[^[:digit:]]"", """"))"),850.0)</f>
        <v>850</v>
      </c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 t="s">
        <v>22</v>
      </c>
    </row>
    <row r="863">
      <c r="A863" s="7" t="s">
        <v>33</v>
      </c>
      <c r="B863" s="7" t="s">
        <v>132</v>
      </c>
      <c r="C863" s="7">
        <f>4+1</f>
        <v>5</v>
      </c>
      <c r="D863" s="7">
        <v>3.0</v>
      </c>
      <c r="E863" s="9">
        <v>2.0</v>
      </c>
      <c r="F863" s="7" t="s">
        <v>83</v>
      </c>
      <c r="G863" s="7" t="s">
        <v>137</v>
      </c>
      <c r="H863" s="9" t="s">
        <v>2979</v>
      </c>
      <c r="I863" t="s">
        <v>3024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 t="str">
        <f t="shared" si="1"/>
        <v>Built-up :</v>
      </c>
      <c r="AE863" s="7" t="str">
        <f t="shared" si="2"/>
        <v> sq. ft.</v>
      </c>
      <c r="AF863">
        <f>IFERROR(__xludf.DUMMYFUNCTION("VALUE(REGEXREPLACE(G863,""[^[:digit:]]"", """"))"),1772.0)</f>
        <v>1772</v>
      </c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>
      <c r="A864" s="7" t="s">
        <v>72</v>
      </c>
      <c r="B864" s="7" t="s">
        <v>85</v>
      </c>
      <c r="C864" s="7">
        <f>3+1</f>
        <v>4</v>
      </c>
      <c r="D864" s="7">
        <v>4.0</v>
      </c>
      <c r="E864" s="7">
        <v>2.0</v>
      </c>
      <c r="F864" s="7" t="s">
        <v>30</v>
      </c>
      <c r="G864" s="7" t="s">
        <v>334</v>
      </c>
      <c r="H864" s="9" t="s">
        <v>2979</v>
      </c>
      <c r="I864" t="s">
        <v>3112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 t="str">
        <f t="shared" si="1"/>
        <v>Built-up :</v>
      </c>
      <c r="AE864" s="7" t="str">
        <f t="shared" si="2"/>
        <v> sq. ft.</v>
      </c>
      <c r="AF864">
        <f>IFERROR(__xludf.DUMMYFUNCTION("VALUE(REGEXREPLACE(G864,""[^[:digit:]]"", """"))"),1496.0)</f>
        <v>1496</v>
      </c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 t="s">
        <v>27</v>
      </c>
    </row>
    <row r="865">
      <c r="A865" s="7" t="s">
        <v>33</v>
      </c>
      <c r="B865" s="7" t="s">
        <v>936</v>
      </c>
      <c r="C865" s="7">
        <f>4+1</f>
        <v>5</v>
      </c>
      <c r="D865" s="7">
        <v>3.0</v>
      </c>
      <c r="E865" s="7">
        <v>3.0</v>
      </c>
      <c r="F865" s="7" t="s">
        <v>30</v>
      </c>
      <c r="G865" s="7" t="s">
        <v>36</v>
      </c>
      <c r="H865" s="9" t="s">
        <v>2979</v>
      </c>
      <c r="I865" t="s">
        <v>2986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 t="str">
        <f t="shared" si="1"/>
        <v>Built-up :</v>
      </c>
      <c r="AE865" s="7" t="str">
        <f t="shared" si="2"/>
        <v> sq. ft.</v>
      </c>
      <c r="AF865">
        <f>IFERROR(__xludf.DUMMYFUNCTION("VALUE(REGEXREPLACE(G865,""[^[:digit:]]"", """"))"),1513.0)</f>
        <v>1513</v>
      </c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 t="s">
        <v>27</v>
      </c>
    </row>
    <row r="866">
      <c r="A866" s="7" t="s">
        <v>28</v>
      </c>
      <c r="B866" s="7" t="s">
        <v>134</v>
      </c>
      <c r="C866" s="7">
        <f>2</f>
        <v>2</v>
      </c>
      <c r="D866" s="7">
        <v>2.0</v>
      </c>
      <c r="E866" s="7">
        <v>1.0</v>
      </c>
      <c r="F866" s="7" t="s">
        <v>20</v>
      </c>
      <c r="G866" s="7" t="s">
        <v>937</v>
      </c>
      <c r="H866" s="9" t="s">
        <v>2979</v>
      </c>
      <c r="I866" t="s">
        <v>3416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 t="str">
        <f t="shared" si="1"/>
        <v>Built-up :</v>
      </c>
      <c r="AE866" s="7" t="str">
        <f t="shared" si="2"/>
        <v> sq. ft.</v>
      </c>
      <c r="AF866">
        <f>IFERROR(__xludf.DUMMYFUNCTION("VALUE(REGEXREPLACE(G866,""[^[:digit:]]"", """"))"),1148.0)</f>
        <v>1148</v>
      </c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 t="s">
        <v>22</v>
      </c>
    </row>
    <row r="867">
      <c r="A867" s="7" t="s">
        <v>72</v>
      </c>
      <c r="B867" s="7" t="s">
        <v>172</v>
      </c>
      <c r="C867" s="7" t="s">
        <v>325</v>
      </c>
      <c r="D867" s="7">
        <v>1.0</v>
      </c>
      <c r="E867" s="7">
        <v>1.0</v>
      </c>
      <c r="F867" s="7" t="s">
        <v>20</v>
      </c>
      <c r="G867" s="7" t="s">
        <v>685</v>
      </c>
      <c r="H867" s="9" t="s">
        <v>2979</v>
      </c>
      <c r="I867" t="s">
        <v>3283</v>
      </c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 t="str">
        <f t="shared" si="1"/>
        <v>Built-up :</v>
      </c>
      <c r="AE867" s="7" t="str">
        <f t="shared" si="2"/>
        <v> sq. ft.</v>
      </c>
      <c r="AF867">
        <f>IFERROR(__xludf.DUMMYFUNCTION("VALUE(REGEXREPLACE(G867,""[^[:digit:]]"", """"))"),462.0)</f>
        <v>462</v>
      </c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>
      <c r="A868" s="7" t="s">
        <v>72</v>
      </c>
      <c r="B868" s="7" t="s">
        <v>603</v>
      </c>
      <c r="C868" s="7">
        <f>1</f>
        <v>1</v>
      </c>
      <c r="D868" s="7">
        <v>1.0</v>
      </c>
      <c r="E868" s="7">
        <v>1.0</v>
      </c>
      <c r="F868" s="7" t="s">
        <v>938</v>
      </c>
      <c r="G868" s="7" t="s">
        <v>939</v>
      </c>
      <c r="H868" s="9" t="s">
        <v>2979</v>
      </c>
      <c r="I868" t="s">
        <v>3417</v>
      </c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 t="str">
        <f t="shared" si="1"/>
        <v>Built-up :</v>
      </c>
      <c r="AE868" s="7" t="str">
        <f t="shared" si="2"/>
        <v> sq. ft.</v>
      </c>
      <c r="AF868">
        <f>IFERROR(__xludf.DUMMYFUNCTION("VALUE(REGEXREPLACE(G868,""[^[:digit:]]"", """"))"),496.0)</f>
        <v>496</v>
      </c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>
      <c r="A869" s="7" t="s">
        <v>23</v>
      </c>
      <c r="B869" s="7" t="s">
        <v>940</v>
      </c>
      <c r="E869" s="7">
        <v>3.0</v>
      </c>
      <c r="F869" s="7" t="s">
        <v>43</v>
      </c>
      <c r="G869" s="7" t="s">
        <v>941</v>
      </c>
      <c r="H869" s="9" t="s">
        <v>2981</v>
      </c>
      <c r="I869" t="s">
        <v>3418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 t="str">
        <f t="shared" si="1"/>
        <v>Land area </v>
      </c>
      <c r="AE869" s="7" t="str">
        <f t="shared" si="2"/>
        <v> sq. ft.</v>
      </c>
      <c r="AF869">
        <f>IFERROR(__xludf.DUMMYFUNCTION("VALUE(REGEXREPLACE(G869,""[^[:digit:]]"", """"))"),5177.0)</f>
        <v>5177</v>
      </c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 t="s">
        <v>27</v>
      </c>
    </row>
    <row r="870">
      <c r="A870" s="7" t="s">
        <v>177</v>
      </c>
      <c r="B870" s="7" t="s">
        <v>309</v>
      </c>
      <c r="C870" s="7">
        <f>4+1</f>
        <v>5</v>
      </c>
      <c r="D870" s="7">
        <v>3.0</v>
      </c>
      <c r="E870" s="7">
        <v>2.0</v>
      </c>
      <c r="F870" s="7" t="s">
        <v>54</v>
      </c>
      <c r="G870" s="7" t="s">
        <v>942</v>
      </c>
      <c r="H870" s="9" t="s">
        <v>2981</v>
      </c>
      <c r="I870" t="s">
        <v>2989</v>
      </c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 t="str">
        <f t="shared" si="1"/>
        <v>Land area </v>
      </c>
      <c r="AE870" s="7" t="str">
        <f t="shared" si="2"/>
        <v> sq. ft.</v>
      </c>
      <c r="AF870">
        <f>IFERROR(__xludf.DUMMYFUNCTION("VALUE(REGEXREPLACE(G870,""[^[:digit:]]"", """"))"),1875.0)</f>
        <v>1875</v>
      </c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 t="s">
        <v>27</v>
      </c>
    </row>
    <row r="871">
      <c r="A871" s="7" t="s">
        <v>23</v>
      </c>
      <c r="B871" s="7" t="s">
        <v>943</v>
      </c>
      <c r="C871" s="7">
        <f>4+2</f>
        <v>6</v>
      </c>
      <c r="D871" s="7">
        <v>4.0</v>
      </c>
      <c r="E871" s="7">
        <v>4.0</v>
      </c>
      <c r="F871" s="7" t="s">
        <v>43</v>
      </c>
      <c r="G871" s="7" t="s">
        <v>944</v>
      </c>
      <c r="H871" s="9" t="s">
        <v>2981</v>
      </c>
      <c r="I871" t="s">
        <v>3419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 t="str">
        <f t="shared" si="1"/>
        <v>Land area </v>
      </c>
      <c r="AE871" s="7" t="str">
        <f t="shared" si="2"/>
        <v> sq. ft.</v>
      </c>
      <c r="AF871">
        <f>IFERROR(__xludf.DUMMYFUNCTION("VALUE(REGEXREPLACE(G871,""[^[:digit:]]"", """"))"),3800.0)</f>
        <v>3800</v>
      </c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 t="s">
        <v>27</v>
      </c>
    </row>
    <row r="872">
      <c r="A872" s="7" t="s">
        <v>17</v>
      </c>
      <c r="B872" s="7" t="s">
        <v>945</v>
      </c>
      <c r="C872" s="7">
        <f>1</f>
        <v>1</v>
      </c>
      <c r="D872" s="7">
        <v>2.0</v>
      </c>
      <c r="E872" s="7">
        <v>1.0</v>
      </c>
      <c r="F872" s="7" t="s">
        <v>20</v>
      </c>
      <c r="G872" s="7" t="s">
        <v>126</v>
      </c>
      <c r="H872" s="9" t="s">
        <v>2979</v>
      </c>
      <c r="I872" t="s">
        <v>3018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 t="str">
        <f t="shared" si="1"/>
        <v>Built-up :</v>
      </c>
      <c r="AE872" s="7" t="str">
        <f t="shared" si="2"/>
        <v> sq. ft.</v>
      </c>
      <c r="AF872">
        <f>IFERROR(__xludf.DUMMYFUNCTION("VALUE(REGEXREPLACE(G872,""[^[:digit:]]"", """"))"),1023.0)</f>
        <v>1023</v>
      </c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 t="s">
        <v>27</v>
      </c>
    </row>
    <row r="873">
      <c r="A873" s="7" t="s">
        <v>72</v>
      </c>
      <c r="B873" s="7" t="s">
        <v>311</v>
      </c>
      <c r="C873" s="7">
        <f>3+1</f>
        <v>4</v>
      </c>
      <c r="D873" s="7">
        <v>3.0</v>
      </c>
      <c r="E873" s="7">
        <v>2.0</v>
      </c>
      <c r="F873" s="7" t="s">
        <v>83</v>
      </c>
      <c r="G873" s="7" t="s">
        <v>135</v>
      </c>
      <c r="H873" s="9" t="s">
        <v>2979</v>
      </c>
      <c r="I873" t="s">
        <v>3023</v>
      </c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 t="str">
        <f t="shared" si="1"/>
        <v>Built-up :</v>
      </c>
      <c r="AE873" s="7" t="str">
        <f t="shared" si="2"/>
        <v> sq. ft.</v>
      </c>
      <c r="AF873">
        <f>IFERROR(__xludf.DUMMYFUNCTION("VALUE(REGEXREPLACE(G873,""[^[:digit:]]"", """"))"),1200.0)</f>
        <v>1200</v>
      </c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 t="s">
        <v>27</v>
      </c>
    </row>
    <row r="874">
      <c r="A874" s="7" t="s">
        <v>33</v>
      </c>
      <c r="B874" s="7" t="s">
        <v>534</v>
      </c>
      <c r="C874" s="7">
        <f>6+1</f>
        <v>7</v>
      </c>
      <c r="D874" s="7">
        <v>7.0</v>
      </c>
      <c r="E874" s="7">
        <v>5.0</v>
      </c>
      <c r="F874" s="7" t="s">
        <v>61</v>
      </c>
      <c r="G874" s="7" t="s">
        <v>946</v>
      </c>
      <c r="H874" s="9" t="s">
        <v>2981</v>
      </c>
      <c r="I874" t="s">
        <v>3420</v>
      </c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 t="str">
        <f t="shared" si="1"/>
        <v>Land area </v>
      </c>
      <c r="AE874" s="7" t="str">
        <f t="shared" si="2"/>
        <v> sq. ft.</v>
      </c>
      <c r="AF874">
        <f>IFERROR(__xludf.DUMMYFUNCTION("VALUE(REGEXREPLACE(G874,""[^[:digit:]]"", """"))"),5317.0)</f>
        <v>5317</v>
      </c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 t="s">
        <v>27</v>
      </c>
    </row>
    <row r="875">
      <c r="A875" s="7" t="s">
        <v>104</v>
      </c>
      <c r="B875" s="7" t="s">
        <v>947</v>
      </c>
      <c r="C875" s="7">
        <f>3</f>
        <v>3</v>
      </c>
      <c r="D875" s="7">
        <v>2.0</v>
      </c>
      <c r="E875" s="7">
        <v>2.0</v>
      </c>
      <c r="F875" s="7" t="s">
        <v>96</v>
      </c>
      <c r="G875" s="7" t="s">
        <v>948</v>
      </c>
      <c r="H875" s="9" t="s">
        <v>2979</v>
      </c>
      <c r="I875" t="s">
        <v>3421</v>
      </c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 t="str">
        <f t="shared" si="1"/>
        <v>Built-up :</v>
      </c>
      <c r="AE875" s="7" t="str">
        <f t="shared" si="2"/>
        <v> sq. ft.</v>
      </c>
      <c r="AF875">
        <f>IFERROR(__xludf.DUMMYFUNCTION("VALUE(REGEXREPLACE(G875,""[^[:digit:]]"", """"))"),960.0)</f>
        <v>960</v>
      </c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 t="s">
        <v>27</v>
      </c>
    </row>
    <row r="876">
      <c r="A876" s="7" t="s">
        <v>17</v>
      </c>
      <c r="B876" s="7" t="s">
        <v>214</v>
      </c>
      <c r="C876" s="7">
        <f>1+1</f>
        <v>2</v>
      </c>
      <c r="D876" s="7">
        <v>1.0</v>
      </c>
      <c r="E876" s="9">
        <v>2.0</v>
      </c>
      <c r="F876" s="7" t="s">
        <v>20</v>
      </c>
      <c r="G876" s="7" t="s">
        <v>949</v>
      </c>
      <c r="H876" s="9" t="s">
        <v>2979</v>
      </c>
      <c r="I876" t="s">
        <v>3422</v>
      </c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 t="str">
        <f t="shared" si="1"/>
        <v>Built-up :</v>
      </c>
      <c r="AE876" s="7" t="str">
        <f t="shared" si="2"/>
        <v> sq. ft.</v>
      </c>
      <c r="AF876">
        <f>IFERROR(__xludf.DUMMYFUNCTION("VALUE(REGEXREPLACE(G876,""[^[:digit:]]"", """"))"),635.0)</f>
        <v>635</v>
      </c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 t="s">
        <v>22</v>
      </c>
    </row>
    <row r="877">
      <c r="A877" s="7" t="s">
        <v>33</v>
      </c>
      <c r="B877" s="7" t="s">
        <v>637</v>
      </c>
      <c r="C877" s="7">
        <f t="shared" ref="C877:C878" si="89">4+1</f>
        <v>5</v>
      </c>
      <c r="D877" s="7">
        <v>3.0</v>
      </c>
      <c r="E877" s="7">
        <v>2.0</v>
      </c>
      <c r="F877" s="7" t="s">
        <v>93</v>
      </c>
      <c r="G877" s="7" t="s">
        <v>36</v>
      </c>
      <c r="H877" s="9" t="s">
        <v>2979</v>
      </c>
      <c r="I877" t="s">
        <v>2986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 t="str">
        <f t="shared" si="1"/>
        <v>Built-up :</v>
      </c>
      <c r="AE877" s="7" t="str">
        <f t="shared" si="2"/>
        <v> sq. ft.</v>
      </c>
      <c r="AF877">
        <f>IFERROR(__xludf.DUMMYFUNCTION("VALUE(REGEXREPLACE(G877,""[^[:digit:]]"", """"))"),1513.0)</f>
        <v>1513</v>
      </c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 t="s">
        <v>27</v>
      </c>
    </row>
    <row r="878">
      <c r="A878" s="7" t="s">
        <v>33</v>
      </c>
      <c r="B878" s="7" t="s">
        <v>311</v>
      </c>
      <c r="C878" s="7">
        <f t="shared" si="89"/>
        <v>5</v>
      </c>
      <c r="D878" s="7">
        <v>4.0</v>
      </c>
      <c r="E878" s="7">
        <v>4.0</v>
      </c>
      <c r="F878" s="7" t="s">
        <v>30</v>
      </c>
      <c r="G878" s="7" t="s">
        <v>137</v>
      </c>
      <c r="H878" s="9" t="s">
        <v>2979</v>
      </c>
      <c r="I878" t="s">
        <v>3024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 t="str">
        <f t="shared" si="1"/>
        <v>Built-up :</v>
      </c>
      <c r="AE878" s="7" t="str">
        <f t="shared" si="2"/>
        <v> sq. ft.</v>
      </c>
      <c r="AF878">
        <f>IFERROR(__xludf.DUMMYFUNCTION("VALUE(REGEXREPLACE(G878,""[^[:digit:]]"", """"))"),1772.0)</f>
        <v>1772</v>
      </c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 t="s">
        <v>27</v>
      </c>
    </row>
    <row r="879">
      <c r="A879" s="7" t="s">
        <v>100</v>
      </c>
      <c r="B879" s="7" t="s">
        <v>289</v>
      </c>
      <c r="C879" s="7">
        <f>2</f>
        <v>2</v>
      </c>
      <c r="D879" s="7">
        <v>2.0</v>
      </c>
      <c r="E879" s="7">
        <v>1.0</v>
      </c>
      <c r="F879" s="7" t="s">
        <v>20</v>
      </c>
      <c r="G879" s="7" t="s">
        <v>198</v>
      </c>
      <c r="H879" s="9" t="s">
        <v>2979</v>
      </c>
      <c r="I879" t="s">
        <v>3048</v>
      </c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 t="str">
        <f t="shared" si="1"/>
        <v>Built-up :</v>
      </c>
      <c r="AE879" s="7" t="str">
        <f t="shared" si="2"/>
        <v> sq. ft.</v>
      </c>
      <c r="AF879">
        <f>IFERROR(__xludf.DUMMYFUNCTION("VALUE(REGEXREPLACE(G879,""[^[:digit:]]"", """"))"),797.0)</f>
        <v>797</v>
      </c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>
      <c r="A880" s="7" t="s">
        <v>72</v>
      </c>
      <c r="B880" s="7" t="s">
        <v>950</v>
      </c>
      <c r="C880" s="7">
        <f t="shared" ref="C880:C881" si="90">4</f>
        <v>4</v>
      </c>
      <c r="D880" s="7">
        <v>4.0</v>
      </c>
      <c r="E880" s="7">
        <v>2.0</v>
      </c>
      <c r="F880" s="7" t="s">
        <v>30</v>
      </c>
      <c r="G880" s="7" t="s">
        <v>99</v>
      </c>
      <c r="H880" s="9" t="s">
        <v>2979</v>
      </c>
      <c r="I880" t="s">
        <v>3006</v>
      </c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 t="str">
        <f t="shared" si="1"/>
        <v>Built-up :</v>
      </c>
      <c r="AE880" s="7" t="str">
        <f t="shared" si="2"/>
        <v> sq. ft.</v>
      </c>
      <c r="AF880">
        <f>IFERROR(__xludf.DUMMYFUNCTION("VALUE(REGEXREPLACE(G880,""[^[:digit:]]"", """"))"),1668.0)</f>
        <v>1668</v>
      </c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 t="s">
        <v>27</v>
      </c>
    </row>
    <row r="881">
      <c r="A881" s="7" t="s">
        <v>104</v>
      </c>
      <c r="B881" s="7" t="s">
        <v>951</v>
      </c>
      <c r="C881" s="7">
        <f t="shared" si="90"/>
        <v>4</v>
      </c>
      <c r="D881" s="7">
        <v>2.0</v>
      </c>
      <c r="E881" s="7">
        <v>2.0</v>
      </c>
      <c r="F881" s="7" t="s">
        <v>93</v>
      </c>
      <c r="G881" s="7" t="s">
        <v>901</v>
      </c>
      <c r="H881" s="9" t="s">
        <v>2979</v>
      </c>
      <c r="I881" t="s">
        <v>3395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 t="str">
        <f t="shared" si="1"/>
        <v>Built-up :</v>
      </c>
      <c r="AE881" s="7" t="str">
        <f t="shared" si="2"/>
        <v> sq. ft.</v>
      </c>
      <c r="AF881">
        <f>IFERROR(__xludf.DUMMYFUNCTION("VALUE(REGEXREPLACE(G881,""[^[:digit:]]"", """"))"),932.0)</f>
        <v>932</v>
      </c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 t="s">
        <v>103</v>
      </c>
    </row>
    <row r="882">
      <c r="A882" s="7" t="s">
        <v>37</v>
      </c>
      <c r="B882" s="7" t="s">
        <v>42</v>
      </c>
      <c r="C882" s="7">
        <f>4+1</f>
        <v>5</v>
      </c>
      <c r="D882" s="7">
        <v>3.0</v>
      </c>
      <c r="E882" s="7">
        <v>3.0</v>
      </c>
      <c r="F882" s="7" t="s">
        <v>64</v>
      </c>
      <c r="G882" s="7" t="s">
        <v>44</v>
      </c>
      <c r="H882" s="9" t="s">
        <v>2981</v>
      </c>
      <c r="I882" t="s">
        <v>2988</v>
      </c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 t="str">
        <f t="shared" si="1"/>
        <v>Land area </v>
      </c>
      <c r="AE882" s="7" t="str">
        <f t="shared" si="2"/>
        <v> sq. ft.</v>
      </c>
      <c r="AF882">
        <f>IFERROR(__xludf.DUMMYFUNCTION("VALUE(REGEXREPLACE(G882,""[^[:digit:]]"", """"))"),3600.0)</f>
        <v>3600</v>
      </c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 t="s">
        <v>27</v>
      </c>
    </row>
    <row r="883">
      <c r="A883" s="7" t="s">
        <v>155</v>
      </c>
      <c r="B883" s="7" t="s">
        <v>372</v>
      </c>
      <c r="C883" s="7">
        <f>2+1</f>
        <v>3</v>
      </c>
      <c r="D883" s="7">
        <v>3.0</v>
      </c>
      <c r="E883" s="7">
        <v>2.0</v>
      </c>
      <c r="F883" s="7" t="s">
        <v>83</v>
      </c>
      <c r="G883" s="7" t="s">
        <v>952</v>
      </c>
      <c r="H883" s="9" t="s">
        <v>2979</v>
      </c>
      <c r="I883" t="s">
        <v>3423</v>
      </c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 t="str">
        <f t="shared" si="1"/>
        <v>Built-up :</v>
      </c>
      <c r="AE883" s="7" t="str">
        <f t="shared" si="2"/>
        <v> sq. ft.</v>
      </c>
      <c r="AF883">
        <f>IFERROR(__xludf.DUMMYFUNCTION("VALUE(REGEXREPLACE(G883,""[^[:digit:]]"", """"))"),999.0)</f>
        <v>999</v>
      </c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 t="s">
        <v>27</v>
      </c>
    </row>
    <row r="884">
      <c r="A884" s="7" t="s">
        <v>100</v>
      </c>
      <c r="B884" s="7" t="s">
        <v>752</v>
      </c>
      <c r="C884" s="7">
        <f>1</f>
        <v>1</v>
      </c>
      <c r="D884" s="7">
        <v>2.0</v>
      </c>
      <c r="E884" s="7">
        <v>1.0</v>
      </c>
      <c r="F884" s="7" t="s">
        <v>20</v>
      </c>
      <c r="G884" s="7" t="s">
        <v>786</v>
      </c>
      <c r="H884" s="9" t="s">
        <v>2979</v>
      </c>
      <c r="I884" t="s">
        <v>3339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 t="str">
        <f t="shared" si="1"/>
        <v>Built-up :</v>
      </c>
      <c r="AE884" s="7" t="str">
        <f t="shared" si="2"/>
        <v> sq. ft.</v>
      </c>
      <c r="AF884">
        <f>IFERROR(__xludf.DUMMYFUNCTION("VALUE(REGEXREPLACE(G884,""[^[:digit:]]"", """"))"),775.0)</f>
        <v>775</v>
      </c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 t="s">
        <v>22</v>
      </c>
    </row>
    <row r="885">
      <c r="A885" s="7" t="s">
        <v>171</v>
      </c>
      <c r="B885" s="7" t="s">
        <v>510</v>
      </c>
      <c r="C885" s="7">
        <f>2</f>
        <v>2</v>
      </c>
      <c r="D885" s="7">
        <v>2.0</v>
      </c>
      <c r="E885" s="7">
        <v>1.0</v>
      </c>
      <c r="F885" s="7" t="s">
        <v>20</v>
      </c>
      <c r="G885" s="7" t="s">
        <v>505</v>
      </c>
      <c r="H885" s="9" t="s">
        <v>2979</v>
      </c>
      <c r="I885" t="s">
        <v>3199</v>
      </c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 t="str">
        <f t="shared" si="1"/>
        <v>Built-up :</v>
      </c>
      <c r="AE885" s="7" t="str">
        <f t="shared" si="2"/>
        <v> sq. ft.</v>
      </c>
      <c r="AF885">
        <f>IFERROR(__xludf.DUMMYFUNCTION("VALUE(REGEXREPLACE(G885,""[^[:digit:]]"", """"))"),900.0)</f>
        <v>900</v>
      </c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>
      <c r="A886" s="7" t="s">
        <v>371</v>
      </c>
      <c r="B886" s="7" t="s">
        <v>543</v>
      </c>
      <c r="C886" s="7">
        <f>3</f>
        <v>3</v>
      </c>
      <c r="D886" s="7">
        <v>2.0</v>
      </c>
      <c r="E886" s="7">
        <v>2.0</v>
      </c>
      <c r="F886" s="7" t="s">
        <v>20</v>
      </c>
      <c r="G886" s="7" t="s">
        <v>140</v>
      </c>
      <c r="H886" s="9" t="s">
        <v>2979</v>
      </c>
      <c r="I886" t="s">
        <v>3008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 t="str">
        <f t="shared" si="1"/>
        <v>Built-up :</v>
      </c>
      <c r="AE886" s="7" t="str">
        <f t="shared" si="2"/>
        <v> sq. ft.</v>
      </c>
      <c r="AF886">
        <f>IFERROR(__xludf.DUMMYFUNCTION("VALUE(REGEXREPLACE(G886,""[^[:digit:]]"", """"))"),880.0)</f>
        <v>880</v>
      </c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 t="s">
        <v>27</v>
      </c>
    </row>
    <row r="887">
      <c r="A887" s="7" t="s">
        <v>72</v>
      </c>
      <c r="B887" s="7" t="s">
        <v>42</v>
      </c>
      <c r="C887" s="7">
        <f>4+1</f>
        <v>5</v>
      </c>
      <c r="D887" s="7">
        <v>4.0</v>
      </c>
      <c r="E887" s="7">
        <v>3.0</v>
      </c>
      <c r="F887" s="7" t="s">
        <v>83</v>
      </c>
      <c r="G887" s="7" t="s">
        <v>231</v>
      </c>
      <c r="H887" s="9" t="s">
        <v>2979</v>
      </c>
      <c r="I887" t="s">
        <v>3066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 t="str">
        <f t="shared" si="1"/>
        <v>Built-up :</v>
      </c>
      <c r="AE887" s="7" t="str">
        <f t="shared" si="2"/>
        <v> sq. ft.</v>
      </c>
      <c r="AF887">
        <f>IFERROR(__xludf.DUMMYFUNCTION("VALUE(REGEXREPLACE(G887,""[^[:digit:]]"", """"))"),3041.0)</f>
        <v>3041</v>
      </c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 t="s">
        <v>22</v>
      </c>
    </row>
    <row r="888">
      <c r="A888" s="7" t="s">
        <v>368</v>
      </c>
      <c r="B888" s="7" t="s">
        <v>953</v>
      </c>
      <c r="C888" s="7">
        <f t="shared" ref="C888:C889" si="91">3</f>
        <v>3</v>
      </c>
      <c r="D888" s="7">
        <v>2.0</v>
      </c>
      <c r="E888" s="7">
        <v>2.0</v>
      </c>
      <c r="F888" s="7" t="s">
        <v>82</v>
      </c>
      <c r="G888" s="7" t="s">
        <v>161</v>
      </c>
      <c r="H888" s="9" t="s">
        <v>2979</v>
      </c>
      <c r="I888" t="s">
        <v>3033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 t="str">
        <f t="shared" si="1"/>
        <v>Built-up :</v>
      </c>
      <c r="AE888" s="7" t="str">
        <f t="shared" si="2"/>
        <v> sq. ft.</v>
      </c>
      <c r="AF888">
        <f>IFERROR(__xludf.DUMMYFUNCTION("VALUE(REGEXREPLACE(G888,""[^[:digit:]]"", """"))"),1227.0)</f>
        <v>1227</v>
      </c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 t="s">
        <v>27</v>
      </c>
    </row>
    <row r="889">
      <c r="A889" s="7" t="s">
        <v>32</v>
      </c>
      <c r="B889" s="7" t="s">
        <v>761</v>
      </c>
      <c r="C889" s="7">
        <f t="shared" si="91"/>
        <v>3</v>
      </c>
      <c r="D889" s="7">
        <v>2.0</v>
      </c>
      <c r="E889" s="7">
        <v>2.0</v>
      </c>
      <c r="F889" s="7" t="s">
        <v>83</v>
      </c>
      <c r="G889" s="7" t="s">
        <v>246</v>
      </c>
      <c r="H889" s="9" t="s">
        <v>2979</v>
      </c>
      <c r="I889" t="s">
        <v>3074</v>
      </c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 t="str">
        <f t="shared" si="1"/>
        <v>Built-up :</v>
      </c>
      <c r="AE889" s="7" t="str">
        <f t="shared" si="2"/>
        <v> sq. ft.</v>
      </c>
      <c r="AF889">
        <f>IFERROR(__xludf.DUMMYFUNCTION("VALUE(REGEXREPLACE(G889,""[^[:digit:]]"", """"))"),825.0)</f>
        <v>825</v>
      </c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 t="s">
        <v>27</v>
      </c>
    </row>
    <row r="890">
      <c r="A890" s="7" t="s">
        <v>17</v>
      </c>
      <c r="B890" s="7" t="s">
        <v>98</v>
      </c>
      <c r="C890" s="7">
        <f>3+1</f>
        <v>4</v>
      </c>
      <c r="D890" s="7">
        <v>3.0</v>
      </c>
      <c r="E890" s="7">
        <v>2.0</v>
      </c>
      <c r="F890" s="7" t="s">
        <v>121</v>
      </c>
      <c r="H890" s="9" t="s">
        <v>2984</v>
      </c>
      <c r="I890" t="s">
        <v>2985</v>
      </c>
      <c r="AD890" s="7" t="str">
        <f t="shared" si="1"/>
        <v/>
      </c>
      <c r="AE890" s="7" t="str">
        <f t="shared" si="2"/>
        <v/>
      </c>
      <c r="AF890">
        <f>IFERROR(__xludf.DUMMYFUNCTION("VALUE(REGEXREPLACE(G890,""[^[:digit:]]"", """"))"),0.0)</f>
        <v>0</v>
      </c>
      <c r="AS890" s="7" t="s">
        <v>22</v>
      </c>
    </row>
    <row r="891">
      <c r="A891" s="7" t="s">
        <v>17</v>
      </c>
      <c r="B891" s="7" t="s">
        <v>85</v>
      </c>
      <c r="C891" s="7">
        <f>2</f>
        <v>2</v>
      </c>
      <c r="D891" s="7">
        <v>2.0</v>
      </c>
      <c r="E891" s="7">
        <v>1.0</v>
      </c>
      <c r="F891" s="7" t="s">
        <v>20</v>
      </c>
      <c r="G891" s="7" t="s">
        <v>157</v>
      </c>
      <c r="H891" s="9" t="s">
        <v>2979</v>
      </c>
      <c r="I891" t="s">
        <v>3031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 t="str">
        <f t="shared" si="1"/>
        <v>Built-up :</v>
      </c>
      <c r="AE891" s="7" t="str">
        <f t="shared" si="2"/>
        <v> sq. ft.</v>
      </c>
      <c r="AF891">
        <f>IFERROR(__xludf.DUMMYFUNCTION("VALUE(REGEXREPLACE(G891,""[^[:digit:]]"", """"))"),1050.0)</f>
        <v>1050</v>
      </c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 t="s">
        <v>22</v>
      </c>
    </row>
    <row r="892">
      <c r="A892" s="7" t="s">
        <v>104</v>
      </c>
      <c r="B892" s="7" t="s">
        <v>168</v>
      </c>
      <c r="C892" s="7">
        <f>4</f>
        <v>4</v>
      </c>
      <c r="D892" s="7">
        <v>3.0</v>
      </c>
      <c r="E892" s="9">
        <v>2.0</v>
      </c>
      <c r="F892" s="7" t="s">
        <v>54</v>
      </c>
      <c r="G892" s="7" t="s">
        <v>211</v>
      </c>
      <c r="H892" s="9" t="s">
        <v>2981</v>
      </c>
      <c r="I892" t="s">
        <v>2992</v>
      </c>
      <c r="J892" s="7"/>
      <c r="K892" s="7"/>
      <c r="L892" s="7"/>
      <c r="M892" s="7"/>
      <c r="N892" s="7"/>
      <c r="O892" s="7"/>
      <c r="P892" s="7"/>
      <c r="Q892" s="7"/>
      <c r="R892" s="7"/>
      <c r="S892" s="7" t="s">
        <v>2993</v>
      </c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 t="str">
        <f t="shared" si="1"/>
        <v>Land area </v>
      </c>
      <c r="AE892" s="7" t="str">
        <f t="shared" si="2"/>
        <v> sq. ft.</v>
      </c>
      <c r="AF892">
        <f>IFERROR(__xludf.DUMMYFUNCTION("VALUE(REGEXREPLACE(G892,""[^[:digit:]]"", """"))"),2280.0)</f>
        <v>2280</v>
      </c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>
      <c r="A893" s="7" t="s">
        <v>17</v>
      </c>
      <c r="B893" s="7" t="s">
        <v>120</v>
      </c>
      <c r="C893" s="7">
        <f>2+1</f>
        <v>3</v>
      </c>
      <c r="D893" s="7">
        <v>3.0</v>
      </c>
      <c r="E893" s="7">
        <v>2.0</v>
      </c>
      <c r="F893" s="7" t="s">
        <v>82</v>
      </c>
      <c r="G893" s="7" t="s">
        <v>99</v>
      </c>
      <c r="H893" s="9" t="s">
        <v>2979</v>
      </c>
      <c r="I893" t="s">
        <v>3006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 t="str">
        <f t="shared" si="1"/>
        <v>Built-up :</v>
      </c>
      <c r="AE893" s="7" t="str">
        <f t="shared" si="2"/>
        <v> sq. ft.</v>
      </c>
      <c r="AF893">
        <f>IFERROR(__xludf.DUMMYFUNCTION("VALUE(REGEXREPLACE(G893,""[^[:digit:]]"", """"))"),1668.0)</f>
        <v>1668</v>
      </c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 t="s">
        <v>27</v>
      </c>
    </row>
    <row r="894">
      <c r="A894" s="7" t="s">
        <v>432</v>
      </c>
      <c r="B894" s="7" t="s">
        <v>433</v>
      </c>
      <c r="C894" s="7">
        <f>5+2</f>
        <v>7</v>
      </c>
      <c r="D894" s="7">
        <v>7.0</v>
      </c>
      <c r="E894" s="9">
        <v>2.0</v>
      </c>
      <c r="F894" s="7" t="s">
        <v>25</v>
      </c>
      <c r="G894" s="7" t="s">
        <v>769</v>
      </c>
      <c r="H894" s="9" t="s">
        <v>2981</v>
      </c>
      <c r="I894" t="s">
        <v>3327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 t="str">
        <f t="shared" si="1"/>
        <v>Land area </v>
      </c>
      <c r="AE894" s="7" t="str">
        <f t="shared" si="2"/>
        <v> sq. ft.</v>
      </c>
      <c r="AF894">
        <f>IFERROR(__xludf.DUMMYFUNCTION("VALUE(REGEXREPLACE(G894,""[^[:digit:]]"", """"))"),8600.0)</f>
        <v>8600</v>
      </c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 t="s">
        <v>22</v>
      </c>
    </row>
    <row r="895">
      <c r="A895" s="7" t="s">
        <v>267</v>
      </c>
      <c r="B895" s="7" t="s">
        <v>563</v>
      </c>
      <c r="C895" s="7">
        <f t="shared" ref="C895:C896" si="92">3</f>
        <v>3</v>
      </c>
      <c r="D895" s="7">
        <v>2.0</v>
      </c>
      <c r="E895" s="7">
        <v>1.0</v>
      </c>
      <c r="F895" s="7" t="s">
        <v>20</v>
      </c>
      <c r="G895" s="7" t="s">
        <v>954</v>
      </c>
      <c r="H895" s="9" t="s">
        <v>2979</v>
      </c>
      <c r="I895" t="s">
        <v>3424</v>
      </c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 t="str">
        <f t="shared" si="1"/>
        <v>Built-up :</v>
      </c>
      <c r="AE895" s="7" t="str">
        <f t="shared" si="2"/>
        <v> sq. ft.</v>
      </c>
      <c r="AF895">
        <f>IFERROR(__xludf.DUMMYFUNCTION("VALUE(REGEXREPLACE(G895,""[^[:digit:]]"", """"))"),935.0)</f>
        <v>935</v>
      </c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 t="s">
        <v>22</v>
      </c>
    </row>
    <row r="896">
      <c r="A896" s="7" t="s">
        <v>267</v>
      </c>
      <c r="B896" s="7" t="s">
        <v>201</v>
      </c>
      <c r="C896" s="7">
        <f t="shared" si="92"/>
        <v>3</v>
      </c>
      <c r="D896" s="7">
        <v>2.0</v>
      </c>
      <c r="E896" s="7">
        <v>1.0</v>
      </c>
      <c r="F896" s="7" t="s">
        <v>20</v>
      </c>
      <c r="G896" s="7" t="s">
        <v>954</v>
      </c>
      <c r="H896" s="9" t="s">
        <v>2979</v>
      </c>
      <c r="I896" t="s">
        <v>3424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 t="str">
        <f t="shared" si="1"/>
        <v>Built-up :</v>
      </c>
      <c r="AE896" s="7" t="str">
        <f t="shared" si="2"/>
        <v> sq. ft.</v>
      </c>
      <c r="AF896">
        <f>IFERROR(__xludf.DUMMYFUNCTION("VALUE(REGEXREPLACE(G896,""[^[:digit:]]"", """"))"),935.0)</f>
        <v>935</v>
      </c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 t="s">
        <v>103</v>
      </c>
    </row>
    <row r="897">
      <c r="A897" s="7" t="s">
        <v>267</v>
      </c>
      <c r="B897" s="7" t="s">
        <v>955</v>
      </c>
      <c r="C897" s="7">
        <f>2</f>
        <v>2</v>
      </c>
      <c r="D897" s="7">
        <v>2.0</v>
      </c>
      <c r="E897" s="7">
        <v>1.0</v>
      </c>
      <c r="F897" s="7" t="s">
        <v>20</v>
      </c>
      <c r="G897" s="7" t="s">
        <v>269</v>
      </c>
      <c r="H897" s="9" t="s">
        <v>2979</v>
      </c>
      <c r="I897" t="s">
        <v>3084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 t="str">
        <f t="shared" si="1"/>
        <v>Built-up :</v>
      </c>
      <c r="AE897" s="7" t="str">
        <f t="shared" si="2"/>
        <v> sq. ft.</v>
      </c>
      <c r="AF897">
        <f>IFERROR(__xludf.DUMMYFUNCTION("VALUE(REGEXREPLACE(G897,""[^[:digit:]]"", """"))"),715.0)</f>
        <v>715</v>
      </c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 t="s">
        <v>27</v>
      </c>
    </row>
    <row r="898">
      <c r="A898" s="7" t="s">
        <v>33</v>
      </c>
      <c r="B898" s="7" t="s">
        <v>956</v>
      </c>
      <c r="C898" s="7">
        <f>1+1</f>
        <v>2</v>
      </c>
      <c r="D898" s="7">
        <v>1.0</v>
      </c>
      <c r="E898" s="7">
        <v>1.0</v>
      </c>
      <c r="F898" s="7" t="s">
        <v>121</v>
      </c>
      <c r="G898" s="7" t="s">
        <v>957</v>
      </c>
      <c r="H898" s="9" t="s">
        <v>2979</v>
      </c>
      <c r="I898" t="s">
        <v>3425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 t="str">
        <f t="shared" si="1"/>
        <v>Built-up :</v>
      </c>
      <c r="AE898" s="7" t="str">
        <f t="shared" si="2"/>
        <v> sq. ft.</v>
      </c>
      <c r="AF898">
        <f>IFERROR(__xludf.DUMMYFUNCTION("VALUE(REGEXREPLACE(G898,""[^[:digit:]]"", """"))"),933.0)</f>
        <v>933</v>
      </c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 t="s">
        <v>27</v>
      </c>
    </row>
    <row r="899">
      <c r="A899" s="7" t="s">
        <v>33</v>
      </c>
      <c r="B899" s="7" t="s">
        <v>243</v>
      </c>
      <c r="C899" s="7">
        <f>3+1</f>
        <v>4</v>
      </c>
      <c r="D899" s="7">
        <v>3.0</v>
      </c>
      <c r="E899" s="7">
        <v>3.0</v>
      </c>
      <c r="F899" s="7" t="s">
        <v>312</v>
      </c>
      <c r="G899" s="7" t="s">
        <v>958</v>
      </c>
      <c r="H899" s="9" t="s">
        <v>2979</v>
      </c>
      <c r="I899" t="s">
        <v>3426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 t="str">
        <f t="shared" si="1"/>
        <v>Built-up :</v>
      </c>
      <c r="AE899" s="7" t="str">
        <f t="shared" si="2"/>
        <v> sq. ft.</v>
      </c>
      <c r="AF899">
        <f>IFERROR(__xludf.DUMMYFUNCTION("VALUE(REGEXREPLACE(G899,""[^[:digit:]]"", """"))"),1519.0)</f>
        <v>1519</v>
      </c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 t="s">
        <v>27</v>
      </c>
    </row>
    <row r="900">
      <c r="A900" s="7" t="s">
        <v>33</v>
      </c>
      <c r="B900" s="7" t="s">
        <v>168</v>
      </c>
      <c r="C900" s="7">
        <f>1+1</f>
        <v>2</v>
      </c>
      <c r="D900" s="7">
        <v>2.0</v>
      </c>
      <c r="E900" s="7">
        <v>1.0</v>
      </c>
      <c r="F900" s="7" t="s">
        <v>121</v>
      </c>
      <c r="G900" s="7" t="s">
        <v>924</v>
      </c>
      <c r="H900" s="9" t="s">
        <v>2979</v>
      </c>
      <c r="I900" t="s">
        <v>3406</v>
      </c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 t="str">
        <f t="shared" si="1"/>
        <v>Built-up :</v>
      </c>
      <c r="AE900" s="7" t="str">
        <f t="shared" si="2"/>
        <v> sq. ft.</v>
      </c>
      <c r="AF900">
        <f>IFERROR(__xludf.DUMMYFUNCTION("VALUE(REGEXREPLACE(G900,""[^[:digit:]]"", """"))"),750.0)</f>
        <v>750</v>
      </c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 t="s">
        <v>27</v>
      </c>
    </row>
    <row r="901">
      <c r="A901" s="7" t="s">
        <v>72</v>
      </c>
      <c r="B901" s="7" t="s">
        <v>144</v>
      </c>
      <c r="C901" s="7">
        <f>4+1</f>
        <v>5</v>
      </c>
      <c r="D901" s="7">
        <v>4.0</v>
      </c>
      <c r="E901" s="7">
        <v>2.0</v>
      </c>
      <c r="F901" s="7" t="s">
        <v>83</v>
      </c>
      <c r="G901" s="7" t="s">
        <v>74</v>
      </c>
      <c r="H901" s="9" t="s">
        <v>2979</v>
      </c>
      <c r="I901" t="s">
        <v>2998</v>
      </c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 t="str">
        <f t="shared" si="1"/>
        <v>Built-up :</v>
      </c>
      <c r="AE901" s="7" t="str">
        <f t="shared" si="2"/>
        <v> sq. ft.</v>
      </c>
      <c r="AF901">
        <f>IFERROR(__xludf.DUMMYFUNCTION("VALUE(REGEXREPLACE(G901,""[^[:digit:]]"", """"))"),1830.0)</f>
        <v>1830</v>
      </c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>
      <c r="A902" s="7" t="s">
        <v>72</v>
      </c>
      <c r="B902" s="7" t="s">
        <v>144</v>
      </c>
      <c r="C902" s="7">
        <f t="shared" ref="C902:C903" si="93">3+1</f>
        <v>4</v>
      </c>
      <c r="D902" s="7">
        <v>3.0</v>
      </c>
      <c r="E902" s="7">
        <v>2.0</v>
      </c>
      <c r="F902" s="7" t="s">
        <v>83</v>
      </c>
      <c r="G902" s="7" t="s">
        <v>74</v>
      </c>
      <c r="H902" s="9" t="s">
        <v>2979</v>
      </c>
      <c r="I902" t="s">
        <v>2998</v>
      </c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 t="str">
        <f t="shared" si="1"/>
        <v>Built-up :</v>
      </c>
      <c r="AE902" s="7" t="str">
        <f t="shared" si="2"/>
        <v> sq. ft.</v>
      </c>
      <c r="AF902">
        <f>IFERROR(__xludf.DUMMYFUNCTION("VALUE(REGEXREPLACE(G902,""[^[:digit:]]"", """"))"),1830.0)</f>
        <v>1830</v>
      </c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>
      <c r="A903" s="7" t="s">
        <v>72</v>
      </c>
      <c r="B903" s="7" t="s">
        <v>399</v>
      </c>
      <c r="C903" s="7">
        <f t="shared" si="93"/>
        <v>4</v>
      </c>
      <c r="D903" s="7">
        <v>3.0</v>
      </c>
      <c r="E903" s="9">
        <v>2.0</v>
      </c>
      <c r="F903" s="7" t="s">
        <v>83</v>
      </c>
      <c r="G903" s="7" t="s">
        <v>74</v>
      </c>
      <c r="H903" s="9" t="s">
        <v>2979</v>
      </c>
      <c r="I903" t="s">
        <v>2998</v>
      </c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 t="str">
        <f t="shared" si="1"/>
        <v>Built-up :</v>
      </c>
      <c r="AE903" s="7" t="str">
        <f t="shared" si="2"/>
        <v> sq. ft.</v>
      </c>
      <c r="AF903">
        <f>IFERROR(__xludf.DUMMYFUNCTION("VALUE(REGEXREPLACE(G903,""[^[:digit:]]"", """"))"),1830.0)</f>
        <v>1830</v>
      </c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>
      <c r="A904" s="7" t="s">
        <v>89</v>
      </c>
      <c r="B904" s="7" t="s">
        <v>316</v>
      </c>
      <c r="C904" s="7">
        <f>2</f>
        <v>2</v>
      </c>
      <c r="D904" s="7">
        <v>2.0</v>
      </c>
      <c r="E904" s="7">
        <v>2.0</v>
      </c>
      <c r="F904" s="7" t="s">
        <v>20</v>
      </c>
      <c r="G904" s="7" t="s">
        <v>959</v>
      </c>
      <c r="H904" s="9" t="s">
        <v>2979</v>
      </c>
      <c r="I904" t="s">
        <v>3427</v>
      </c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 t="str">
        <f t="shared" si="1"/>
        <v>Built-up :</v>
      </c>
      <c r="AE904" s="7" t="str">
        <f t="shared" si="2"/>
        <v> sq. ft.</v>
      </c>
      <c r="AF904">
        <f>IFERROR(__xludf.DUMMYFUNCTION("VALUE(REGEXREPLACE(G904,""[^[:digit:]]"", """"))"),1259.0)</f>
        <v>1259</v>
      </c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>
      <c r="A905" s="7" t="s">
        <v>17</v>
      </c>
      <c r="B905" s="7" t="s">
        <v>960</v>
      </c>
      <c r="C905" s="7">
        <f>3</f>
        <v>3</v>
      </c>
      <c r="D905" s="7">
        <v>3.0</v>
      </c>
      <c r="E905" s="7">
        <v>1.0</v>
      </c>
      <c r="F905" s="7" t="s">
        <v>20</v>
      </c>
      <c r="G905" s="7" t="s">
        <v>276</v>
      </c>
      <c r="H905" s="9" t="s">
        <v>2979</v>
      </c>
      <c r="I905" t="s">
        <v>3089</v>
      </c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 t="str">
        <f t="shared" si="1"/>
        <v>Built-up :</v>
      </c>
      <c r="AE905" s="7" t="str">
        <f t="shared" si="2"/>
        <v> sq. ft.</v>
      </c>
      <c r="AF905">
        <f>IFERROR(__xludf.DUMMYFUNCTION("VALUE(REGEXREPLACE(G905,""[^[:digit:]]"", """"))"),1560.0)</f>
        <v>1560</v>
      </c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 t="s">
        <v>22</v>
      </c>
    </row>
    <row r="906">
      <c r="A906" s="7" t="s">
        <v>177</v>
      </c>
      <c r="B906" s="7" t="s">
        <v>361</v>
      </c>
      <c r="C906" s="7">
        <f>1+1</f>
        <v>2</v>
      </c>
      <c r="D906" s="7">
        <v>1.0</v>
      </c>
      <c r="E906" s="7">
        <v>1.0</v>
      </c>
      <c r="F906" s="7" t="s">
        <v>93</v>
      </c>
      <c r="G906" s="7" t="s">
        <v>961</v>
      </c>
      <c r="H906" s="9" t="s">
        <v>2979</v>
      </c>
      <c r="I906" t="s">
        <v>3428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 t="str">
        <f t="shared" si="1"/>
        <v>Built-up :</v>
      </c>
      <c r="AE906" s="7" t="str">
        <f t="shared" si="2"/>
        <v> sq. ft.</v>
      </c>
      <c r="AF906">
        <f>IFERROR(__xludf.DUMMYFUNCTION("VALUE(REGEXREPLACE(G906,""[^[:digit:]]"", """"))"),600.0)</f>
        <v>600</v>
      </c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 t="s">
        <v>22</v>
      </c>
    </row>
    <row r="907">
      <c r="A907" s="7" t="s">
        <v>188</v>
      </c>
      <c r="B907" s="7" t="s">
        <v>78</v>
      </c>
      <c r="C907" s="7">
        <f t="shared" ref="C907:C908" si="94">3</f>
        <v>3</v>
      </c>
      <c r="D907" s="7">
        <v>2.0</v>
      </c>
      <c r="E907" s="9">
        <v>2.0</v>
      </c>
      <c r="F907" s="7" t="s">
        <v>83</v>
      </c>
      <c r="G907" s="7" t="s">
        <v>135</v>
      </c>
      <c r="H907" s="9" t="s">
        <v>2979</v>
      </c>
      <c r="I907" t="s">
        <v>3023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 t="str">
        <f t="shared" si="1"/>
        <v>Built-up :</v>
      </c>
      <c r="AE907" s="7" t="str">
        <f t="shared" si="2"/>
        <v> sq. ft.</v>
      </c>
      <c r="AF907">
        <f>IFERROR(__xludf.DUMMYFUNCTION("VALUE(REGEXREPLACE(G907,""[^[:digit:]]"", """"))"),1200.0)</f>
        <v>1200</v>
      </c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>
      <c r="A908" s="7" t="s">
        <v>188</v>
      </c>
      <c r="B908" s="7" t="s">
        <v>329</v>
      </c>
      <c r="C908" s="7">
        <f t="shared" si="94"/>
        <v>3</v>
      </c>
      <c r="D908" s="7">
        <v>2.0</v>
      </c>
      <c r="E908" s="9">
        <v>2.0</v>
      </c>
      <c r="F908" s="7" t="s">
        <v>83</v>
      </c>
      <c r="G908" s="7" t="s">
        <v>135</v>
      </c>
      <c r="H908" s="9" t="s">
        <v>2979</v>
      </c>
      <c r="I908" t="s">
        <v>3023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 t="str">
        <f t="shared" si="1"/>
        <v>Built-up :</v>
      </c>
      <c r="AE908" s="7" t="str">
        <f t="shared" si="2"/>
        <v> sq. ft.</v>
      </c>
      <c r="AF908">
        <f>IFERROR(__xludf.DUMMYFUNCTION("VALUE(REGEXREPLACE(G908,""[^[:digit:]]"", """"))"),1200.0)</f>
        <v>1200</v>
      </c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>
      <c r="A909" s="7" t="s">
        <v>17</v>
      </c>
      <c r="B909" s="7" t="s">
        <v>136</v>
      </c>
      <c r="C909" s="7">
        <f t="shared" ref="C909:C910" si="95">2</f>
        <v>2</v>
      </c>
      <c r="D909" s="7">
        <v>1.0</v>
      </c>
      <c r="E909" s="7">
        <v>1.0</v>
      </c>
      <c r="F909" s="7" t="s">
        <v>83</v>
      </c>
      <c r="H909" s="9" t="s">
        <v>2984</v>
      </c>
      <c r="I909" t="s">
        <v>2985</v>
      </c>
      <c r="AD909" s="7" t="str">
        <f t="shared" si="1"/>
        <v/>
      </c>
      <c r="AE909" s="7" t="str">
        <f t="shared" si="2"/>
        <v/>
      </c>
      <c r="AF909">
        <f>IFERROR(__xludf.DUMMYFUNCTION("VALUE(REGEXREPLACE(G909,""[^[:digit:]]"", """"))"),0.0)</f>
        <v>0</v>
      </c>
    </row>
    <row r="910">
      <c r="A910" s="7" t="s">
        <v>17</v>
      </c>
      <c r="B910" s="7" t="s">
        <v>962</v>
      </c>
      <c r="C910" s="7">
        <f t="shared" si="95"/>
        <v>2</v>
      </c>
      <c r="D910" s="7">
        <v>2.0</v>
      </c>
      <c r="E910" s="7">
        <v>2.0</v>
      </c>
      <c r="F910" s="7" t="s">
        <v>83</v>
      </c>
      <c r="G910" s="7" t="s">
        <v>930</v>
      </c>
      <c r="H910" s="9" t="s">
        <v>2979</v>
      </c>
      <c r="I910" t="s">
        <v>3412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 t="str">
        <f t="shared" si="1"/>
        <v>Built-up :</v>
      </c>
      <c r="AE910" s="7" t="str">
        <f t="shared" si="2"/>
        <v> sq. ft.</v>
      </c>
      <c r="AF910">
        <f>IFERROR(__xludf.DUMMYFUNCTION("VALUE(REGEXREPLACE(G910,""[^[:digit:]]"", """"))"),1270.0)</f>
        <v>1270</v>
      </c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>
      <c r="A911" s="7" t="s">
        <v>155</v>
      </c>
      <c r="B911" s="7" t="s">
        <v>963</v>
      </c>
      <c r="C911" s="7">
        <f>3+1</f>
        <v>4</v>
      </c>
      <c r="D911" s="7">
        <v>3.0</v>
      </c>
      <c r="E911" s="7">
        <v>2.0</v>
      </c>
      <c r="F911" s="7" t="s">
        <v>83</v>
      </c>
      <c r="G911" s="7" t="s">
        <v>345</v>
      </c>
      <c r="H911" s="9" t="s">
        <v>2979</v>
      </c>
      <c r="I911" t="s">
        <v>3119</v>
      </c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 t="str">
        <f t="shared" si="1"/>
        <v>Built-up :</v>
      </c>
      <c r="AE911" s="7" t="str">
        <f t="shared" si="2"/>
        <v> sq. ft.</v>
      </c>
      <c r="AF911">
        <f>IFERROR(__xludf.DUMMYFUNCTION("VALUE(REGEXREPLACE(G911,""[^[:digit:]]"", """"))"),1381.0)</f>
        <v>1381</v>
      </c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 t="s">
        <v>27</v>
      </c>
    </row>
    <row r="912">
      <c r="A912" s="7" t="s">
        <v>72</v>
      </c>
      <c r="B912" s="7" t="s">
        <v>239</v>
      </c>
      <c r="C912" s="7">
        <f t="shared" ref="C912:C913" si="96">2</f>
        <v>2</v>
      </c>
      <c r="D912" s="7">
        <v>2.0</v>
      </c>
      <c r="E912" s="9">
        <v>2.0</v>
      </c>
      <c r="F912" s="7" t="s">
        <v>20</v>
      </c>
      <c r="G912" s="7" t="s">
        <v>964</v>
      </c>
      <c r="H912" s="9" t="s">
        <v>2979</v>
      </c>
      <c r="I912" t="s">
        <v>3429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 t="str">
        <f t="shared" si="1"/>
        <v>Built-up :</v>
      </c>
      <c r="AE912" s="7" t="str">
        <f t="shared" si="2"/>
        <v> sq. ft.</v>
      </c>
      <c r="AF912">
        <f>IFERROR(__xludf.DUMMYFUNCTION("VALUE(REGEXREPLACE(G912,""[^[:digit:]]"", """"))"),926.0)</f>
        <v>926</v>
      </c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 t="s">
        <v>22</v>
      </c>
    </row>
    <row r="913">
      <c r="A913" s="7" t="s">
        <v>155</v>
      </c>
      <c r="B913" s="7" t="s">
        <v>965</v>
      </c>
      <c r="C913" s="7">
        <f t="shared" si="96"/>
        <v>2</v>
      </c>
      <c r="D913" s="7">
        <v>2.0</v>
      </c>
      <c r="E913" s="7">
        <v>2.0</v>
      </c>
      <c r="F913" s="7" t="s">
        <v>83</v>
      </c>
      <c r="G913" s="7" t="s">
        <v>952</v>
      </c>
      <c r="H913" s="9" t="s">
        <v>2979</v>
      </c>
      <c r="I913" t="s">
        <v>3423</v>
      </c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 t="str">
        <f t="shared" si="1"/>
        <v>Built-up :</v>
      </c>
      <c r="AE913" s="7" t="str">
        <f t="shared" si="2"/>
        <v> sq. ft.</v>
      </c>
      <c r="AF913">
        <f>IFERROR(__xludf.DUMMYFUNCTION("VALUE(REGEXREPLACE(G913,""[^[:digit:]]"", """"))"),999.0)</f>
        <v>999</v>
      </c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 t="s">
        <v>27</v>
      </c>
    </row>
    <row r="914">
      <c r="A914" s="7" t="s">
        <v>104</v>
      </c>
      <c r="B914" s="7" t="s">
        <v>966</v>
      </c>
      <c r="C914" s="7">
        <f t="shared" ref="C914:C917" si="97">3</f>
        <v>3</v>
      </c>
      <c r="D914" s="7">
        <v>2.0</v>
      </c>
      <c r="E914" s="9">
        <v>2.0</v>
      </c>
      <c r="F914" s="7" t="s">
        <v>343</v>
      </c>
      <c r="G914" s="7" t="s">
        <v>718</v>
      </c>
      <c r="H914" s="9" t="s">
        <v>2981</v>
      </c>
      <c r="I914" t="s">
        <v>3297</v>
      </c>
      <c r="J914" s="7"/>
      <c r="K914" s="7"/>
      <c r="L914" s="7"/>
      <c r="M914" s="7"/>
      <c r="N914" s="7"/>
      <c r="O914" s="7"/>
      <c r="P914" s="7"/>
      <c r="Q914" s="7"/>
      <c r="R914" s="7"/>
      <c r="S914" s="7" t="s">
        <v>3298</v>
      </c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 t="str">
        <f t="shared" si="1"/>
        <v>Land area </v>
      </c>
      <c r="AE914" s="7" t="str">
        <f t="shared" si="2"/>
        <v> sq. ft.</v>
      </c>
      <c r="AF914">
        <f>IFERROR(__xludf.DUMMYFUNCTION("VALUE(REGEXREPLACE(G914,""[^[:digit:]]"", """"))"),2065.0)</f>
        <v>2065</v>
      </c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 t="s">
        <v>27</v>
      </c>
    </row>
    <row r="915">
      <c r="A915" s="7" t="s">
        <v>104</v>
      </c>
      <c r="B915" s="7" t="s">
        <v>967</v>
      </c>
      <c r="C915" s="7">
        <f t="shared" si="97"/>
        <v>3</v>
      </c>
      <c r="D915" s="7">
        <v>3.0</v>
      </c>
      <c r="E915" s="9">
        <v>2.0</v>
      </c>
      <c r="F915" s="7" t="s">
        <v>54</v>
      </c>
      <c r="G915" s="7" t="s">
        <v>968</v>
      </c>
      <c r="H915" s="9" t="s">
        <v>2981</v>
      </c>
      <c r="I915" t="s">
        <v>3421</v>
      </c>
      <c r="J915" s="7"/>
      <c r="K915" s="7"/>
      <c r="L915" s="7"/>
      <c r="M915" s="7"/>
      <c r="N915" s="7"/>
      <c r="O915" s="7"/>
      <c r="P915" s="7"/>
      <c r="Q915" s="7"/>
      <c r="R915" s="7"/>
      <c r="S915" s="7" t="s">
        <v>3372</v>
      </c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 t="str">
        <f t="shared" si="1"/>
        <v>Land area </v>
      </c>
      <c r="AE915" s="7" t="str">
        <f t="shared" si="2"/>
        <v> sq. ft.</v>
      </c>
      <c r="AF915">
        <f>IFERROR(__xludf.DUMMYFUNCTION("VALUE(REGEXREPLACE(G915,""[^[:digit:]]"", """"))"),1660.0)</f>
        <v>1660</v>
      </c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 t="s">
        <v>103</v>
      </c>
    </row>
    <row r="916">
      <c r="A916" s="7" t="s">
        <v>580</v>
      </c>
      <c r="B916" s="7" t="s">
        <v>969</v>
      </c>
      <c r="C916" s="7">
        <f t="shared" si="97"/>
        <v>3</v>
      </c>
      <c r="D916" s="7">
        <v>2.0</v>
      </c>
      <c r="E916" s="7">
        <v>2.0</v>
      </c>
      <c r="F916" s="7" t="s">
        <v>93</v>
      </c>
      <c r="G916" s="7" t="s">
        <v>342</v>
      </c>
      <c r="H916" s="9" t="s">
        <v>2979</v>
      </c>
      <c r="I916" t="s">
        <v>3117</v>
      </c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 t="str">
        <f t="shared" si="1"/>
        <v>Built-up :</v>
      </c>
      <c r="AE916" s="7" t="str">
        <f t="shared" si="2"/>
        <v> sq. ft.</v>
      </c>
      <c r="AF916">
        <f>IFERROR(__xludf.DUMMYFUNCTION("VALUE(REGEXREPLACE(G916,""[^[:digit:]]"", """"))"),1076.0)</f>
        <v>1076</v>
      </c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 t="s">
        <v>103</v>
      </c>
    </row>
    <row r="917">
      <c r="A917" s="7" t="s">
        <v>177</v>
      </c>
      <c r="B917" s="7" t="s">
        <v>18</v>
      </c>
      <c r="C917" s="7">
        <f t="shared" si="97"/>
        <v>3</v>
      </c>
      <c r="D917" s="7">
        <v>2.0</v>
      </c>
      <c r="E917" s="7">
        <v>2.0</v>
      </c>
      <c r="F917" s="7" t="s">
        <v>343</v>
      </c>
      <c r="G917" s="7" t="s">
        <v>211</v>
      </c>
      <c r="H917" s="9" t="s">
        <v>2981</v>
      </c>
      <c r="I917" t="s">
        <v>2992</v>
      </c>
      <c r="J917" s="7"/>
      <c r="K917" s="7"/>
      <c r="L917" s="7"/>
      <c r="M917" s="7"/>
      <c r="N917" s="7"/>
      <c r="O917" s="7"/>
      <c r="P917" s="7"/>
      <c r="Q917" s="7"/>
      <c r="R917" s="7"/>
      <c r="S917" s="7" t="s">
        <v>2993</v>
      </c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 t="str">
        <f t="shared" si="1"/>
        <v>Land area </v>
      </c>
      <c r="AE917" s="7" t="str">
        <f t="shared" si="2"/>
        <v> sq. ft.</v>
      </c>
      <c r="AF917">
        <f>IFERROR(__xludf.DUMMYFUNCTION("VALUE(REGEXREPLACE(G917,""[^[:digit:]]"", """"))"),2280.0)</f>
        <v>2280</v>
      </c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 t="s">
        <v>27</v>
      </c>
    </row>
    <row r="918">
      <c r="A918" s="7" t="s">
        <v>177</v>
      </c>
      <c r="B918" s="7" t="s">
        <v>970</v>
      </c>
      <c r="C918" s="7">
        <f>5</f>
        <v>5</v>
      </c>
      <c r="D918" s="7">
        <v>5.0</v>
      </c>
      <c r="E918" s="7">
        <v>8.0</v>
      </c>
      <c r="F918" s="7" t="s">
        <v>25</v>
      </c>
      <c r="G918" s="7" t="s">
        <v>971</v>
      </c>
      <c r="H918" s="9" t="s">
        <v>2981</v>
      </c>
      <c r="I918" t="s">
        <v>3430</v>
      </c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 t="str">
        <f t="shared" si="1"/>
        <v>Land area </v>
      </c>
      <c r="AE918" s="7" t="str">
        <f t="shared" si="2"/>
        <v> sq. ft.</v>
      </c>
      <c r="AF918">
        <f>IFERROR(__xludf.DUMMYFUNCTION("VALUE(REGEXREPLACE(G918,""[^[:digit:]]"", """"))"),12250.0)</f>
        <v>12250</v>
      </c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 t="s">
        <v>27</v>
      </c>
    </row>
    <row r="919">
      <c r="A919" s="7" t="s">
        <v>32</v>
      </c>
      <c r="B919" s="7" t="s">
        <v>972</v>
      </c>
      <c r="C919" s="7">
        <f>3</f>
        <v>3</v>
      </c>
      <c r="D919" s="7">
        <v>2.0</v>
      </c>
      <c r="E919" s="7">
        <v>1.0</v>
      </c>
      <c r="F919" s="7" t="s">
        <v>354</v>
      </c>
      <c r="G919" s="7" t="s">
        <v>973</v>
      </c>
      <c r="H919" s="9" t="s">
        <v>2981</v>
      </c>
      <c r="I919" t="s">
        <v>3431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 t="str">
        <f t="shared" si="1"/>
        <v>Land area </v>
      </c>
      <c r="AE919" s="7" t="str">
        <f t="shared" si="2"/>
        <v> sq. ft.</v>
      </c>
      <c r="AF919">
        <f>IFERROR(__xludf.DUMMYFUNCTION("VALUE(REGEXREPLACE(G919,""[^[:digit:]]"", """"))"),748.0)</f>
        <v>748</v>
      </c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 t="s">
        <v>27</v>
      </c>
    </row>
    <row r="920">
      <c r="A920" s="7" t="s">
        <v>32</v>
      </c>
      <c r="B920" s="7" t="s">
        <v>974</v>
      </c>
      <c r="C920" s="7">
        <f>4</f>
        <v>4</v>
      </c>
      <c r="D920" s="7">
        <v>3.0</v>
      </c>
      <c r="E920" s="7">
        <v>4.0</v>
      </c>
      <c r="F920" s="7" t="s">
        <v>169</v>
      </c>
      <c r="G920" s="7" t="s">
        <v>968</v>
      </c>
      <c r="H920" s="9" t="s">
        <v>2981</v>
      </c>
      <c r="I920" t="s">
        <v>3421</v>
      </c>
      <c r="J920" s="7"/>
      <c r="K920" s="7"/>
      <c r="L920" s="7"/>
      <c r="M920" s="7"/>
      <c r="N920" s="7"/>
      <c r="O920" s="7"/>
      <c r="P920" s="7"/>
      <c r="Q920" s="7"/>
      <c r="R920" s="7"/>
      <c r="S920" s="7" t="s">
        <v>3372</v>
      </c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 t="str">
        <f t="shared" si="1"/>
        <v>Land area </v>
      </c>
      <c r="AE920" s="7" t="str">
        <f t="shared" si="2"/>
        <v> sq. ft.</v>
      </c>
      <c r="AF920">
        <f>IFERROR(__xludf.DUMMYFUNCTION("VALUE(REGEXREPLACE(G920,""[^[:digit:]]"", """"))"),1660.0)</f>
        <v>1660</v>
      </c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>
      <c r="A921" s="7" t="s">
        <v>32</v>
      </c>
      <c r="B921" s="7" t="s">
        <v>975</v>
      </c>
      <c r="C921" s="7">
        <f>3</f>
        <v>3</v>
      </c>
      <c r="D921" s="7">
        <v>2.0</v>
      </c>
      <c r="E921" s="7">
        <v>1.0</v>
      </c>
      <c r="F921" s="7" t="s">
        <v>30</v>
      </c>
      <c r="G921" s="7" t="s">
        <v>976</v>
      </c>
      <c r="H921" s="9" t="s">
        <v>2979</v>
      </c>
      <c r="I921" t="s">
        <v>3432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 t="str">
        <f t="shared" si="1"/>
        <v>Built-up :</v>
      </c>
      <c r="AE921" s="7" t="str">
        <f t="shared" si="2"/>
        <v> sq. ft.</v>
      </c>
      <c r="AF921">
        <f>IFERROR(__xludf.DUMMYFUNCTION("VALUE(REGEXREPLACE(G921,""[^[:digit:]]"", """"))"),920.0)</f>
        <v>920</v>
      </c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 t="s">
        <v>22</v>
      </c>
    </row>
    <row r="922">
      <c r="A922" s="7" t="s">
        <v>41</v>
      </c>
      <c r="B922" s="7" t="s">
        <v>977</v>
      </c>
      <c r="C922" s="7">
        <f>1</f>
        <v>1</v>
      </c>
      <c r="D922" s="7">
        <v>1.0</v>
      </c>
      <c r="E922" s="7">
        <v>1.0</v>
      </c>
      <c r="F922" s="7" t="s">
        <v>30</v>
      </c>
      <c r="G922" s="7" t="s">
        <v>978</v>
      </c>
      <c r="H922" s="9" t="s">
        <v>2979</v>
      </c>
      <c r="I922" t="s">
        <v>3433</v>
      </c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 t="str">
        <f t="shared" si="1"/>
        <v>Built-up :</v>
      </c>
      <c r="AE922" s="7" t="str">
        <f t="shared" si="2"/>
        <v> sq. ft.</v>
      </c>
      <c r="AF922">
        <f>IFERROR(__xludf.DUMMYFUNCTION("VALUE(REGEXREPLACE(G922,""[^[:digit:]]"", """"))"),667.0)</f>
        <v>667</v>
      </c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 t="s">
        <v>27</v>
      </c>
    </row>
    <row r="923">
      <c r="A923" s="7" t="s">
        <v>33</v>
      </c>
      <c r="B923" s="7" t="s">
        <v>759</v>
      </c>
      <c r="C923" s="7">
        <f>3</f>
        <v>3</v>
      </c>
      <c r="D923" s="7">
        <v>2.0</v>
      </c>
      <c r="E923" s="7">
        <v>2.0</v>
      </c>
      <c r="F923" s="7" t="s">
        <v>83</v>
      </c>
      <c r="G923" s="7" t="s">
        <v>734</v>
      </c>
      <c r="H923" s="9" t="s">
        <v>2979</v>
      </c>
      <c r="I923" t="s">
        <v>3308</v>
      </c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 t="str">
        <f t="shared" si="1"/>
        <v>Built-up :</v>
      </c>
      <c r="AE923" s="7" t="str">
        <f t="shared" si="2"/>
        <v> sq. ft.</v>
      </c>
      <c r="AF923">
        <f>IFERROR(__xludf.DUMMYFUNCTION("VALUE(REGEXREPLACE(G923,""[^[:digit:]]"", """"))"),1100.0)</f>
        <v>1100</v>
      </c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 t="s">
        <v>27</v>
      </c>
    </row>
    <row r="924">
      <c r="A924" s="7" t="s">
        <v>17</v>
      </c>
      <c r="B924" s="7" t="s">
        <v>979</v>
      </c>
      <c r="C924" s="7" t="s">
        <v>325</v>
      </c>
      <c r="D924" s="7">
        <v>1.0</v>
      </c>
      <c r="E924" s="9">
        <v>2.0</v>
      </c>
      <c r="F924" s="7" t="s">
        <v>82</v>
      </c>
      <c r="G924" s="7" t="s">
        <v>980</v>
      </c>
      <c r="H924" s="9" t="s">
        <v>2979</v>
      </c>
      <c r="I924" t="s">
        <v>3434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 t="str">
        <f t="shared" si="1"/>
        <v>Built-up :</v>
      </c>
      <c r="AE924" s="7" t="str">
        <f t="shared" si="2"/>
        <v> sq. ft.</v>
      </c>
      <c r="AF924">
        <f>IFERROR(__xludf.DUMMYFUNCTION("VALUE(REGEXREPLACE(G924,""[^[:digit:]]"", """"))"),493.0)</f>
        <v>493</v>
      </c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 t="s">
        <v>27</v>
      </c>
    </row>
    <row r="925">
      <c r="A925" s="7" t="s">
        <v>17</v>
      </c>
      <c r="B925" s="7" t="s">
        <v>979</v>
      </c>
      <c r="C925" s="7" t="s">
        <v>325</v>
      </c>
      <c r="D925" s="7">
        <v>1.0</v>
      </c>
      <c r="E925" s="9">
        <v>2.0</v>
      </c>
      <c r="F925" s="7" t="s">
        <v>82</v>
      </c>
      <c r="G925" s="7" t="s">
        <v>980</v>
      </c>
      <c r="H925" s="9" t="s">
        <v>2979</v>
      </c>
      <c r="I925" t="s">
        <v>3434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 t="str">
        <f t="shared" si="1"/>
        <v>Built-up :</v>
      </c>
      <c r="AE925" s="7" t="str">
        <f t="shared" si="2"/>
        <v> sq. ft.</v>
      </c>
      <c r="AF925">
        <f>IFERROR(__xludf.DUMMYFUNCTION("VALUE(REGEXREPLACE(G925,""[^[:digit:]]"", """"))"),493.0)</f>
        <v>493</v>
      </c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 t="s">
        <v>27</v>
      </c>
    </row>
    <row r="926">
      <c r="A926" s="7" t="s">
        <v>17</v>
      </c>
      <c r="B926" s="7" t="s">
        <v>322</v>
      </c>
      <c r="C926" s="7">
        <f t="shared" ref="C926:C928" si="98">1+1</f>
        <v>2</v>
      </c>
      <c r="D926" s="7">
        <v>2.0</v>
      </c>
      <c r="E926" s="7">
        <v>1.0</v>
      </c>
      <c r="F926" s="7" t="s">
        <v>82</v>
      </c>
      <c r="G926" s="7" t="s">
        <v>342</v>
      </c>
      <c r="H926" s="9" t="s">
        <v>2979</v>
      </c>
      <c r="I926" t="s">
        <v>3117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 t="str">
        <f t="shared" si="1"/>
        <v>Built-up :</v>
      </c>
      <c r="AE926" s="7" t="str">
        <f t="shared" si="2"/>
        <v> sq. ft.</v>
      </c>
      <c r="AF926">
        <f>IFERROR(__xludf.DUMMYFUNCTION("VALUE(REGEXREPLACE(G926,""[^[:digit:]]"", """"))"),1076.0)</f>
        <v>1076</v>
      </c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 t="s">
        <v>27</v>
      </c>
    </row>
    <row r="927">
      <c r="A927" s="7" t="s">
        <v>17</v>
      </c>
      <c r="B927" s="7" t="s">
        <v>322</v>
      </c>
      <c r="C927" s="7">
        <f t="shared" si="98"/>
        <v>2</v>
      </c>
      <c r="D927" s="7">
        <v>2.0</v>
      </c>
      <c r="E927" s="7">
        <v>1.0</v>
      </c>
      <c r="F927" s="7" t="s">
        <v>82</v>
      </c>
      <c r="G927" s="7" t="s">
        <v>342</v>
      </c>
      <c r="H927" s="9" t="s">
        <v>2979</v>
      </c>
      <c r="I927" t="s">
        <v>3117</v>
      </c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 t="str">
        <f t="shared" si="1"/>
        <v>Built-up :</v>
      </c>
      <c r="AE927" s="7" t="str">
        <f t="shared" si="2"/>
        <v> sq. ft.</v>
      </c>
      <c r="AF927">
        <f>IFERROR(__xludf.DUMMYFUNCTION("VALUE(REGEXREPLACE(G927,""[^[:digit:]]"", """"))"),1076.0)</f>
        <v>1076</v>
      </c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 t="s">
        <v>27</v>
      </c>
    </row>
    <row r="928">
      <c r="A928" s="7" t="s">
        <v>17</v>
      </c>
      <c r="B928" s="7" t="s">
        <v>411</v>
      </c>
      <c r="C928" s="7">
        <f t="shared" si="98"/>
        <v>2</v>
      </c>
      <c r="D928" s="7">
        <v>2.0</v>
      </c>
      <c r="E928" s="7">
        <v>1.0</v>
      </c>
      <c r="F928" s="7" t="s">
        <v>82</v>
      </c>
      <c r="G928" s="7" t="s">
        <v>981</v>
      </c>
      <c r="H928" s="9" t="s">
        <v>2979</v>
      </c>
      <c r="I928" t="s">
        <v>3435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 t="str">
        <f t="shared" si="1"/>
        <v>Built-up :</v>
      </c>
      <c r="AE928" s="7" t="str">
        <f t="shared" si="2"/>
        <v> sq. ft.</v>
      </c>
      <c r="AF928">
        <f>IFERROR(__xludf.DUMMYFUNCTION("VALUE(REGEXREPLACE(G928,""[^[:digit:]]"", """"))"),1079.0)</f>
        <v>1079</v>
      </c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 t="s">
        <v>27</v>
      </c>
    </row>
    <row r="929">
      <c r="A929" s="7" t="s">
        <v>17</v>
      </c>
      <c r="B929" s="7" t="s">
        <v>123</v>
      </c>
      <c r="C929" s="7">
        <f>3+1</f>
        <v>4</v>
      </c>
      <c r="D929" s="7">
        <v>5.0</v>
      </c>
      <c r="E929" s="7">
        <v>2.0</v>
      </c>
      <c r="F929" s="7" t="s">
        <v>121</v>
      </c>
      <c r="G929" s="7" t="s">
        <v>124</v>
      </c>
      <c r="H929" s="9" t="s">
        <v>2979</v>
      </c>
      <c r="I929" t="s">
        <v>3017</v>
      </c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 t="str">
        <f t="shared" si="1"/>
        <v>Built-up :</v>
      </c>
      <c r="AE929" s="7" t="str">
        <f t="shared" si="2"/>
        <v> sq. ft.</v>
      </c>
      <c r="AF929">
        <f>IFERROR(__xludf.DUMMYFUNCTION("VALUE(REGEXREPLACE(G929,""[^[:digit:]]"", """"))"),2195.0)</f>
        <v>2195</v>
      </c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 t="s">
        <v>27</v>
      </c>
    </row>
    <row r="930">
      <c r="A930" s="7" t="s">
        <v>72</v>
      </c>
      <c r="B930" s="7" t="s">
        <v>34</v>
      </c>
      <c r="C930" s="7">
        <f>3</f>
        <v>3</v>
      </c>
      <c r="D930" s="7">
        <v>2.0</v>
      </c>
      <c r="E930" s="7">
        <v>1.0</v>
      </c>
      <c r="F930" s="7" t="s">
        <v>83</v>
      </c>
      <c r="G930" s="7" t="s">
        <v>982</v>
      </c>
      <c r="H930" s="9" t="s">
        <v>2979</v>
      </c>
      <c r="I930" t="s">
        <v>3436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 t="str">
        <f t="shared" si="1"/>
        <v>Built-up :</v>
      </c>
      <c r="AE930" s="7" t="str">
        <f t="shared" si="2"/>
        <v> sq. ft.</v>
      </c>
      <c r="AF930">
        <f>IFERROR(__xludf.DUMMYFUNCTION("VALUE(REGEXREPLACE(G930,""[^[:digit:]]"", """"))"),1208.0)</f>
        <v>1208</v>
      </c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 t="s">
        <v>22</v>
      </c>
    </row>
    <row r="931">
      <c r="A931" s="7" t="s">
        <v>143</v>
      </c>
      <c r="B931" s="7" t="s">
        <v>983</v>
      </c>
      <c r="C931" s="7">
        <f>3+1</f>
        <v>4</v>
      </c>
      <c r="D931" s="7">
        <v>2.0</v>
      </c>
      <c r="E931" s="7">
        <v>2.0</v>
      </c>
      <c r="F931" s="7" t="s">
        <v>83</v>
      </c>
      <c r="G931" s="7" t="s">
        <v>383</v>
      </c>
      <c r="H931" s="9" t="s">
        <v>2979</v>
      </c>
      <c r="I931" t="s">
        <v>3137</v>
      </c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 t="str">
        <f t="shared" si="1"/>
        <v>Built-up :</v>
      </c>
      <c r="AE931" s="7" t="str">
        <f t="shared" si="2"/>
        <v> sq. ft.</v>
      </c>
      <c r="AF931">
        <f>IFERROR(__xludf.DUMMYFUNCTION("VALUE(REGEXREPLACE(G931,""[^[:digit:]]"", """"))"),1065.0)</f>
        <v>1065</v>
      </c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 t="s">
        <v>27</v>
      </c>
    </row>
    <row r="932">
      <c r="A932" s="7" t="s">
        <v>72</v>
      </c>
      <c r="B932" s="7" t="s">
        <v>813</v>
      </c>
      <c r="C932" s="7">
        <f>4+1</f>
        <v>5</v>
      </c>
      <c r="D932" s="7">
        <v>5.0</v>
      </c>
      <c r="E932" s="7">
        <v>3.0</v>
      </c>
      <c r="F932" s="7" t="s">
        <v>30</v>
      </c>
      <c r="G932" s="7" t="s">
        <v>113</v>
      </c>
      <c r="H932" s="9" t="s">
        <v>2979</v>
      </c>
      <c r="I932" t="s">
        <v>3012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 t="str">
        <f t="shared" si="1"/>
        <v>Built-up :</v>
      </c>
      <c r="AE932" s="7" t="str">
        <f t="shared" si="2"/>
        <v> sq. ft.</v>
      </c>
      <c r="AF932">
        <f>IFERROR(__xludf.DUMMYFUNCTION("VALUE(REGEXREPLACE(G932,""[^[:digit:]]"", """"))"),2767.0)</f>
        <v>2767</v>
      </c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 t="s">
        <v>27</v>
      </c>
    </row>
    <row r="933">
      <c r="A933" s="7" t="s">
        <v>72</v>
      </c>
      <c r="B933" s="7" t="s">
        <v>984</v>
      </c>
      <c r="C933" s="7">
        <f>2</f>
        <v>2</v>
      </c>
      <c r="D933" s="7">
        <v>2.0</v>
      </c>
      <c r="E933" s="9">
        <v>2.0</v>
      </c>
      <c r="F933" s="7" t="s">
        <v>20</v>
      </c>
      <c r="G933" s="7" t="s">
        <v>880</v>
      </c>
      <c r="H933" s="9" t="s">
        <v>2979</v>
      </c>
      <c r="I933" t="s">
        <v>3267</v>
      </c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 t="str">
        <f t="shared" si="1"/>
        <v>Built-up :</v>
      </c>
      <c r="AE933" s="7" t="str">
        <f t="shared" si="2"/>
        <v> sq. ft.</v>
      </c>
      <c r="AF933">
        <f>IFERROR(__xludf.DUMMYFUNCTION("VALUE(REGEXREPLACE(G933,""[^[:digit:]]"", """"))"),910.0)</f>
        <v>910</v>
      </c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 t="s">
        <v>27</v>
      </c>
    </row>
    <row r="934">
      <c r="A934" s="7" t="s">
        <v>72</v>
      </c>
      <c r="B934" s="7" t="s">
        <v>985</v>
      </c>
      <c r="C934" s="7">
        <f>4+1</f>
        <v>5</v>
      </c>
      <c r="D934" s="7">
        <v>6.0</v>
      </c>
      <c r="E934" s="7">
        <v>3.0</v>
      </c>
      <c r="F934" s="7" t="s">
        <v>30</v>
      </c>
      <c r="G934" s="7" t="s">
        <v>115</v>
      </c>
      <c r="H934" s="9" t="s">
        <v>2979</v>
      </c>
      <c r="I934" t="s">
        <v>3013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 t="str">
        <f t="shared" si="1"/>
        <v>Built-up :</v>
      </c>
      <c r="AE934" s="7" t="str">
        <f t="shared" si="2"/>
        <v> sq. ft.</v>
      </c>
      <c r="AF934">
        <f>IFERROR(__xludf.DUMMYFUNCTION("VALUE(REGEXREPLACE(G934,""[^[:digit:]]"", """"))"),2702.0)</f>
        <v>2702</v>
      </c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 t="s">
        <v>27</v>
      </c>
    </row>
    <row r="935">
      <c r="A935" s="7" t="s">
        <v>72</v>
      </c>
      <c r="B935" s="7" t="s">
        <v>229</v>
      </c>
      <c r="C935" s="7">
        <f>2</f>
        <v>2</v>
      </c>
      <c r="D935" s="7">
        <v>2.0</v>
      </c>
      <c r="E935" s="9">
        <v>2.0</v>
      </c>
      <c r="F935" s="7" t="s">
        <v>20</v>
      </c>
      <c r="G935" s="7" t="s">
        <v>133</v>
      </c>
      <c r="H935" s="9" t="s">
        <v>2979</v>
      </c>
      <c r="I935" t="s">
        <v>3022</v>
      </c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 t="str">
        <f t="shared" si="1"/>
        <v>Built-up :</v>
      </c>
      <c r="AE935" s="7" t="str">
        <f t="shared" si="2"/>
        <v> sq. ft.</v>
      </c>
      <c r="AF935">
        <f>IFERROR(__xludf.DUMMYFUNCTION("VALUE(REGEXREPLACE(G935,""[^[:digit:]]"", """"))"),896.0)</f>
        <v>896</v>
      </c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 t="s">
        <v>27</v>
      </c>
    </row>
    <row r="936">
      <c r="A936" s="7" t="s">
        <v>72</v>
      </c>
      <c r="B936" s="7" t="s">
        <v>455</v>
      </c>
      <c r="C936" s="7">
        <f>4+1</f>
        <v>5</v>
      </c>
      <c r="D936" s="7">
        <v>5.0</v>
      </c>
      <c r="E936" s="9">
        <v>2.0</v>
      </c>
      <c r="F936" s="7" t="s">
        <v>30</v>
      </c>
      <c r="G936" s="7" t="s">
        <v>456</v>
      </c>
      <c r="H936" s="9" t="s">
        <v>2979</v>
      </c>
      <c r="I936" t="s">
        <v>3170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 t="str">
        <f t="shared" si="1"/>
        <v>Built-up :</v>
      </c>
      <c r="AE936" s="7" t="str">
        <f t="shared" si="2"/>
        <v> sq. ft.</v>
      </c>
      <c r="AF936">
        <f>IFERROR(__xludf.DUMMYFUNCTION("VALUE(REGEXREPLACE(G936,""[^[:digit:]]"", """"))"),2973.0)</f>
        <v>2973</v>
      </c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 t="s">
        <v>27</v>
      </c>
    </row>
    <row r="937">
      <c r="A937" s="7" t="s">
        <v>72</v>
      </c>
      <c r="B937" s="7" t="s">
        <v>712</v>
      </c>
      <c r="C937" s="7">
        <f>3+1</f>
        <v>4</v>
      </c>
      <c r="D937" s="7">
        <v>5.0</v>
      </c>
      <c r="E937" s="9">
        <v>2.0</v>
      </c>
      <c r="F937" s="7" t="s">
        <v>30</v>
      </c>
      <c r="G937" s="7" t="s">
        <v>278</v>
      </c>
      <c r="H937" s="9" t="s">
        <v>2979</v>
      </c>
      <c r="I937" t="s">
        <v>3090</v>
      </c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 t="str">
        <f t="shared" si="1"/>
        <v>Built-up :</v>
      </c>
      <c r="AE937" s="7" t="str">
        <f t="shared" si="2"/>
        <v> sq. ft.</v>
      </c>
      <c r="AF937">
        <f>IFERROR(__xludf.DUMMYFUNCTION("VALUE(REGEXREPLACE(G937,""[^[:digit:]]"", """"))"),2243.0)</f>
        <v>2243</v>
      </c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 t="s">
        <v>22</v>
      </c>
    </row>
    <row r="938">
      <c r="A938" s="7" t="s">
        <v>72</v>
      </c>
      <c r="B938" s="7" t="s">
        <v>986</v>
      </c>
      <c r="C938" s="7">
        <f>5+1</f>
        <v>6</v>
      </c>
      <c r="D938" s="7">
        <v>6.0</v>
      </c>
      <c r="E938" s="9">
        <v>2.0</v>
      </c>
      <c r="F938" s="7" t="s">
        <v>83</v>
      </c>
      <c r="G938" s="7" t="s">
        <v>987</v>
      </c>
      <c r="H938" s="9" t="s">
        <v>2979</v>
      </c>
      <c r="I938" t="s">
        <v>3437</v>
      </c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 t="str">
        <f t="shared" si="1"/>
        <v>Built-up :</v>
      </c>
      <c r="AE938" s="7" t="str">
        <f t="shared" si="2"/>
        <v> sq. ft.</v>
      </c>
      <c r="AF938">
        <f>IFERROR(__xludf.DUMMYFUNCTION("VALUE(REGEXREPLACE(G938,""[^[:digit:]]"", """"))"),3671.0)</f>
        <v>3671</v>
      </c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 t="s">
        <v>27</v>
      </c>
    </row>
    <row r="939">
      <c r="A939" s="7" t="s">
        <v>72</v>
      </c>
      <c r="B939" s="7" t="s">
        <v>988</v>
      </c>
      <c r="C939" s="7">
        <f>3</f>
        <v>3</v>
      </c>
      <c r="D939" s="7">
        <v>4.0</v>
      </c>
      <c r="E939" s="7">
        <v>2.0</v>
      </c>
      <c r="F939" s="7" t="s">
        <v>83</v>
      </c>
      <c r="G939" s="7" t="s">
        <v>404</v>
      </c>
      <c r="H939" s="9" t="s">
        <v>2979</v>
      </c>
      <c r="I939" t="s">
        <v>3147</v>
      </c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 t="str">
        <f t="shared" si="1"/>
        <v>Built-up :</v>
      </c>
      <c r="AE939" s="7" t="str">
        <f t="shared" si="2"/>
        <v> sq. ft.</v>
      </c>
      <c r="AF939">
        <f>IFERROR(__xludf.DUMMYFUNCTION("VALUE(REGEXREPLACE(G939,""[^[:digit:]]"", """"))"),1878.0)</f>
        <v>1878</v>
      </c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 t="s">
        <v>103</v>
      </c>
    </row>
    <row r="940">
      <c r="A940" s="7" t="s">
        <v>72</v>
      </c>
      <c r="B940" s="7" t="s">
        <v>534</v>
      </c>
      <c r="C940" s="7">
        <f>4+1</f>
        <v>5</v>
      </c>
      <c r="D940" s="7">
        <v>5.0</v>
      </c>
      <c r="E940" s="9">
        <v>2.0</v>
      </c>
      <c r="F940" s="7" t="s">
        <v>30</v>
      </c>
      <c r="G940" s="7" t="s">
        <v>989</v>
      </c>
      <c r="H940" s="9" t="s">
        <v>2979</v>
      </c>
      <c r="I940" t="s">
        <v>3438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 t="str">
        <f t="shared" si="1"/>
        <v>Built-up :</v>
      </c>
      <c r="AE940" s="7" t="str">
        <f t="shared" si="2"/>
        <v> sq. ft.</v>
      </c>
      <c r="AF940">
        <f>IFERROR(__xludf.DUMMYFUNCTION("VALUE(REGEXREPLACE(G940,""[^[:digit:]]"", """"))"),3729.0)</f>
        <v>3729</v>
      </c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 t="s">
        <v>27</v>
      </c>
    </row>
    <row r="941">
      <c r="A941" s="7" t="s">
        <v>432</v>
      </c>
      <c r="B941" s="7" t="s">
        <v>513</v>
      </c>
      <c r="C941" s="7">
        <v>7.0</v>
      </c>
      <c r="D941" s="7">
        <v>9.0</v>
      </c>
      <c r="E941" s="9">
        <v>2.0</v>
      </c>
      <c r="F941" s="7" t="s">
        <v>67</v>
      </c>
      <c r="G941" s="7" t="s">
        <v>991</v>
      </c>
      <c r="H941" s="9" t="s">
        <v>2981</v>
      </c>
      <c r="I941" t="s">
        <v>3439</v>
      </c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 t="str">
        <f t="shared" si="1"/>
        <v>Land area </v>
      </c>
      <c r="AE941" s="7" t="str">
        <f t="shared" si="2"/>
        <v> sq. ft.</v>
      </c>
      <c r="AF941">
        <f>IFERROR(__xludf.DUMMYFUNCTION("VALUE(REGEXREPLACE(G941,""[^[:digit:]]"", """"))"),10345.0)</f>
        <v>10345</v>
      </c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 t="s">
        <v>27</v>
      </c>
    </row>
    <row r="942">
      <c r="A942" s="7" t="s">
        <v>72</v>
      </c>
      <c r="B942" s="7" t="s">
        <v>69</v>
      </c>
      <c r="C942" s="7">
        <f t="shared" ref="C942:C944" si="99">4+1</f>
        <v>5</v>
      </c>
      <c r="D942" s="7">
        <v>5.0</v>
      </c>
      <c r="E942" s="9">
        <v>2.0</v>
      </c>
      <c r="F942" s="7" t="s">
        <v>30</v>
      </c>
      <c r="G942" s="7" t="s">
        <v>992</v>
      </c>
      <c r="H942" s="9" t="s">
        <v>2979</v>
      </c>
      <c r="I942" t="s">
        <v>3440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 t="str">
        <f t="shared" si="1"/>
        <v>Built-up :</v>
      </c>
      <c r="AE942" s="7" t="str">
        <f t="shared" si="2"/>
        <v> sq. ft.</v>
      </c>
      <c r="AF942">
        <f>IFERROR(__xludf.DUMMYFUNCTION("VALUE(REGEXREPLACE(G942,""[^[:digit:]]"", """"))"),4723.0)</f>
        <v>4723</v>
      </c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 t="s">
        <v>27</v>
      </c>
    </row>
    <row r="943">
      <c r="A943" s="7" t="s">
        <v>72</v>
      </c>
      <c r="B943" s="7" t="s">
        <v>447</v>
      </c>
      <c r="C943" s="7">
        <f t="shared" si="99"/>
        <v>5</v>
      </c>
      <c r="D943" s="7">
        <v>5.0</v>
      </c>
      <c r="E943" s="9">
        <v>2.0</v>
      </c>
      <c r="F943" s="7" t="s">
        <v>30</v>
      </c>
      <c r="G943" s="7" t="s">
        <v>147</v>
      </c>
      <c r="H943" s="9" t="s">
        <v>2979</v>
      </c>
      <c r="I943" t="s">
        <v>3027</v>
      </c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 t="str">
        <f t="shared" si="1"/>
        <v>Built-up :</v>
      </c>
      <c r="AE943" s="7" t="str">
        <f t="shared" si="2"/>
        <v> sq. ft.</v>
      </c>
      <c r="AF943">
        <f>IFERROR(__xludf.DUMMYFUNCTION("VALUE(REGEXREPLACE(G943,""[^[:digit:]]"", """"))"),4090.0)</f>
        <v>4090</v>
      </c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 t="s">
        <v>27</v>
      </c>
    </row>
    <row r="944">
      <c r="A944" s="7" t="s">
        <v>72</v>
      </c>
      <c r="B944" s="7" t="s">
        <v>993</v>
      </c>
      <c r="C944" s="7">
        <f t="shared" si="99"/>
        <v>5</v>
      </c>
      <c r="D944" s="7">
        <v>6.0</v>
      </c>
      <c r="E944" s="7">
        <v>3.0</v>
      </c>
      <c r="F944" s="7" t="s">
        <v>30</v>
      </c>
      <c r="G944" s="7" t="s">
        <v>994</v>
      </c>
      <c r="H944" s="9" t="s">
        <v>2979</v>
      </c>
      <c r="I944" t="s">
        <v>3441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 t="str">
        <f t="shared" si="1"/>
        <v>Built-up :</v>
      </c>
      <c r="AE944" s="7" t="str">
        <f t="shared" si="2"/>
        <v> sq. ft.</v>
      </c>
      <c r="AF944">
        <f>IFERROR(__xludf.DUMMYFUNCTION("VALUE(REGEXREPLACE(G944,""[^[:digit:]]"", """"))"),3668.0)</f>
        <v>3668</v>
      </c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 t="s">
        <v>27</v>
      </c>
    </row>
    <row r="945">
      <c r="A945" s="7" t="s">
        <v>72</v>
      </c>
      <c r="B945" s="7" t="s">
        <v>486</v>
      </c>
      <c r="C945" s="7">
        <f>5+1</f>
        <v>6</v>
      </c>
      <c r="D945" s="7">
        <v>6.0</v>
      </c>
      <c r="E945" s="9">
        <v>2.0</v>
      </c>
      <c r="F945" s="7" t="s">
        <v>203</v>
      </c>
      <c r="G945" s="7" t="s">
        <v>927</v>
      </c>
      <c r="H945" s="9" t="s">
        <v>2981</v>
      </c>
      <c r="I945" t="s">
        <v>3409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 t="str">
        <f t="shared" si="1"/>
        <v>Land area </v>
      </c>
      <c r="AE945" s="7" t="str">
        <f t="shared" si="2"/>
        <v> sq. ft.</v>
      </c>
      <c r="AF945">
        <f>IFERROR(__xludf.DUMMYFUNCTION("VALUE(REGEXREPLACE(G945,""[^[:digit:]]"", """"))"),2800.0)</f>
        <v>2800</v>
      </c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 t="s">
        <v>27</v>
      </c>
    </row>
    <row r="946">
      <c r="A946" s="7" t="s">
        <v>72</v>
      </c>
      <c r="B946" s="7" t="s">
        <v>101</v>
      </c>
      <c r="C946" s="7">
        <f t="shared" ref="C946:C948" si="100">4+1</f>
        <v>5</v>
      </c>
      <c r="D946" s="7">
        <v>5.0</v>
      </c>
      <c r="E946" s="9">
        <v>2.0</v>
      </c>
      <c r="F946" s="7" t="s">
        <v>30</v>
      </c>
      <c r="G946" s="7" t="s">
        <v>995</v>
      </c>
      <c r="H946" s="9" t="s">
        <v>2979</v>
      </c>
      <c r="I946" t="s">
        <v>3442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 t="str">
        <f t="shared" si="1"/>
        <v>Built-up :</v>
      </c>
      <c r="AE946" s="7" t="str">
        <f t="shared" si="2"/>
        <v> sq. ft.</v>
      </c>
      <c r="AF946">
        <f>IFERROR(__xludf.DUMMYFUNCTION("VALUE(REGEXREPLACE(G946,""[^[:digit:]]"", """"))"),4450.0)</f>
        <v>4450</v>
      </c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 t="s">
        <v>22</v>
      </c>
    </row>
    <row r="947">
      <c r="A947" s="7" t="s">
        <v>77</v>
      </c>
      <c r="B947" s="7" t="s">
        <v>398</v>
      </c>
      <c r="C947" s="7">
        <f t="shared" si="100"/>
        <v>5</v>
      </c>
      <c r="D947" s="7">
        <v>6.0</v>
      </c>
      <c r="E947" s="7">
        <v>2.0</v>
      </c>
      <c r="F947" s="7" t="s">
        <v>90</v>
      </c>
      <c r="G947" s="7" t="s">
        <v>211</v>
      </c>
      <c r="H947" s="9" t="s">
        <v>2981</v>
      </c>
      <c r="I947" t="s">
        <v>2992</v>
      </c>
      <c r="J947" s="7"/>
      <c r="K947" s="7"/>
      <c r="L947" s="7"/>
      <c r="M947" s="7"/>
      <c r="N947" s="7"/>
      <c r="O947" s="7"/>
      <c r="P947" s="7"/>
      <c r="Q947" s="7"/>
      <c r="R947" s="7"/>
      <c r="S947" s="7" t="s">
        <v>2993</v>
      </c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 t="str">
        <f t="shared" si="1"/>
        <v>Land area </v>
      </c>
      <c r="AE947" s="7" t="str">
        <f t="shared" si="2"/>
        <v> sq. ft.</v>
      </c>
      <c r="AF947">
        <f>IFERROR(__xludf.DUMMYFUNCTION("VALUE(REGEXREPLACE(G947,""[^[:digit:]]"", """"))"),2280.0)</f>
        <v>2280</v>
      </c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 t="s">
        <v>22</v>
      </c>
    </row>
    <row r="948">
      <c r="A948" s="7" t="s">
        <v>77</v>
      </c>
      <c r="B948" s="7" t="s">
        <v>401</v>
      </c>
      <c r="C948" s="7">
        <f t="shared" si="100"/>
        <v>5</v>
      </c>
      <c r="D948" s="7">
        <v>5.0</v>
      </c>
      <c r="E948" s="9">
        <v>2.0</v>
      </c>
      <c r="F948" s="7" t="s">
        <v>67</v>
      </c>
      <c r="G948" s="7" t="s">
        <v>912</v>
      </c>
      <c r="H948" s="9" t="s">
        <v>2981</v>
      </c>
      <c r="I948" t="s">
        <v>3183</v>
      </c>
      <c r="J948" s="7"/>
      <c r="K948" s="7"/>
      <c r="L948" s="7"/>
      <c r="M948" s="7"/>
      <c r="N948" s="7"/>
      <c r="O948" s="7"/>
      <c r="P948" s="7"/>
      <c r="Q948" s="7"/>
      <c r="R948" s="7"/>
      <c r="S948" s="7" t="s">
        <v>2993</v>
      </c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 t="str">
        <f t="shared" si="1"/>
        <v>Land area </v>
      </c>
      <c r="AE948" s="7" t="str">
        <f t="shared" si="2"/>
        <v> sq. ft.</v>
      </c>
      <c r="AF948">
        <f>IFERROR(__xludf.DUMMYFUNCTION("VALUE(REGEXREPLACE(G948,""[^[:digit:]]"", """"))"),4080.0)</f>
        <v>4080</v>
      </c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 t="s">
        <v>27</v>
      </c>
    </row>
    <row r="949">
      <c r="A949" s="7" t="s">
        <v>77</v>
      </c>
      <c r="B949" s="7" t="s">
        <v>247</v>
      </c>
      <c r="C949" s="7">
        <f>3+1</f>
        <v>4</v>
      </c>
      <c r="D949" s="7">
        <v>3.0</v>
      </c>
      <c r="E949" s="9">
        <v>2.0</v>
      </c>
      <c r="F949" s="7" t="s">
        <v>54</v>
      </c>
      <c r="G949" s="7" t="s">
        <v>333</v>
      </c>
      <c r="H949" s="9" t="s">
        <v>2981</v>
      </c>
      <c r="I949" t="s">
        <v>3091</v>
      </c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 t="str">
        <f t="shared" si="1"/>
        <v>Land area </v>
      </c>
      <c r="AE949" s="7" t="str">
        <f t="shared" si="2"/>
        <v> sq. ft.</v>
      </c>
      <c r="AF949">
        <f>IFERROR(__xludf.DUMMYFUNCTION("VALUE(REGEXREPLACE(G949,""[^[:digit:]]"", """"))"),1650.0)</f>
        <v>1650</v>
      </c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 t="s">
        <v>27</v>
      </c>
    </row>
    <row r="950">
      <c r="A950" s="7" t="s">
        <v>77</v>
      </c>
      <c r="B950" s="7" t="s">
        <v>110</v>
      </c>
      <c r="C950" s="7">
        <f>5+1</f>
        <v>6</v>
      </c>
      <c r="D950" s="7">
        <v>5.0</v>
      </c>
      <c r="E950" s="9">
        <v>2.0</v>
      </c>
      <c r="F950" s="7" t="s">
        <v>90</v>
      </c>
      <c r="G950" s="7" t="s">
        <v>719</v>
      </c>
      <c r="H950" s="9" t="s">
        <v>2981</v>
      </c>
      <c r="I950" t="s">
        <v>3299</v>
      </c>
      <c r="J950" s="7"/>
      <c r="K950" s="7"/>
      <c r="L950" s="7"/>
      <c r="M950" s="7"/>
      <c r="N950" s="7"/>
      <c r="O950" s="7"/>
      <c r="P950" s="7"/>
      <c r="Q950" s="7"/>
      <c r="R950" s="7"/>
      <c r="S950" s="7" t="s">
        <v>3101</v>
      </c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 t="str">
        <f t="shared" si="1"/>
        <v>Land area </v>
      </c>
      <c r="AE950" s="7" t="str">
        <f t="shared" si="2"/>
        <v> sq. ft.</v>
      </c>
      <c r="AF950">
        <f>IFERROR(__xludf.DUMMYFUNCTION("VALUE(REGEXREPLACE(G950,""[^[:digit:]]"", """"))"),2285.0)</f>
        <v>2285</v>
      </c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 t="s">
        <v>27</v>
      </c>
    </row>
    <row r="951">
      <c r="A951" s="7" t="s">
        <v>441</v>
      </c>
      <c r="B951" s="7" t="s">
        <v>996</v>
      </c>
      <c r="C951" s="7">
        <f t="shared" ref="C951:C952" si="101">5</f>
        <v>5</v>
      </c>
      <c r="D951" s="7">
        <v>5.0</v>
      </c>
      <c r="E951" s="7">
        <v>4.0</v>
      </c>
      <c r="F951" s="7" t="s">
        <v>451</v>
      </c>
      <c r="G951" s="7" t="s">
        <v>997</v>
      </c>
      <c r="H951" s="9" t="s">
        <v>2979</v>
      </c>
      <c r="I951" t="s">
        <v>3443</v>
      </c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 t="str">
        <f t="shared" si="1"/>
        <v>Built-up :</v>
      </c>
      <c r="AE951" s="7" t="str">
        <f t="shared" si="2"/>
        <v> sq. ft.</v>
      </c>
      <c r="AF951">
        <f>IFERROR(__xludf.DUMMYFUNCTION("VALUE(REGEXREPLACE(G951,""[^[:digit:]]"", """"))"),4422.0)</f>
        <v>4422</v>
      </c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 t="s">
        <v>27</v>
      </c>
    </row>
    <row r="952">
      <c r="A952" s="7" t="s">
        <v>441</v>
      </c>
      <c r="B952" s="7" t="s">
        <v>998</v>
      </c>
      <c r="C952" s="7">
        <f t="shared" si="101"/>
        <v>5</v>
      </c>
      <c r="D952" s="7">
        <v>5.0</v>
      </c>
      <c r="E952" s="7">
        <v>4.0</v>
      </c>
      <c r="F952" s="7" t="s">
        <v>451</v>
      </c>
      <c r="G952" s="7" t="s">
        <v>999</v>
      </c>
      <c r="H952" s="9" t="s">
        <v>2979</v>
      </c>
      <c r="I952" t="s">
        <v>3444</v>
      </c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 t="str">
        <f t="shared" si="1"/>
        <v>Built-up :</v>
      </c>
      <c r="AE952" s="7" t="str">
        <f t="shared" si="2"/>
        <v> sq. ft.</v>
      </c>
      <c r="AF952">
        <f>IFERROR(__xludf.DUMMYFUNCTION("VALUE(REGEXREPLACE(G952,""[^[:digit:]]"", """"))"),5315.0)</f>
        <v>5315</v>
      </c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 t="s">
        <v>27</v>
      </c>
    </row>
    <row r="953">
      <c r="A953" s="7" t="s">
        <v>692</v>
      </c>
      <c r="B953" s="7" t="s">
        <v>403</v>
      </c>
      <c r="C953" s="7">
        <f t="shared" ref="C953:C954" si="102">4+1</f>
        <v>5</v>
      </c>
      <c r="D953" s="7">
        <v>3.0</v>
      </c>
      <c r="E953" s="9">
        <v>2.0</v>
      </c>
      <c r="F953" s="7" t="s">
        <v>54</v>
      </c>
      <c r="G953" s="7" t="s">
        <v>283</v>
      </c>
      <c r="H953" s="9" t="s">
        <v>2981</v>
      </c>
      <c r="I953" t="s">
        <v>3091</v>
      </c>
      <c r="J953" s="7"/>
      <c r="K953" s="7"/>
      <c r="L953" s="7"/>
      <c r="M953" s="7"/>
      <c r="N953" s="7"/>
      <c r="O953" s="7"/>
      <c r="P953" s="7"/>
      <c r="Q953" s="7"/>
      <c r="R953" s="7"/>
      <c r="S953" s="7" t="s">
        <v>2990</v>
      </c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 t="str">
        <f t="shared" si="1"/>
        <v>Land area </v>
      </c>
      <c r="AE953" s="7" t="str">
        <f t="shared" si="2"/>
        <v> sq. ft.</v>
      </c>
      <c r="AF953">
        <f>IFERROR(__xludf.DUMMYFUNCTION("VALUE(REGEXREPLACE(G953,""[^[:digit:]]"", """"))"),2275.0)</f>
        <v>2275</v>
      </c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 t="s">
        <v>27</v>
      </c>
    </row>
    <row r="954">
      <c r="A954" s="7" t="s">
        <v>77</v>
      </c>
      <c r="B954" s="7" t="s">
        <v>313</v>
      </c>
      <c r="C954" s="7">
        <f t="shared" si="102"/>
        <v>5</v>
      </c>
      <c r="D954" s="7">
        <v>5.0</v>
      </c>
      <c r="E954" s="9">
        <v>2.0</v>
      </c>
      <c r="F954" s="7" t="s">
        <v>90</v>
      </c>
      <c r="G954" s="7" t="s">
        <v>719</v>
      </c>
      <c r="H954" s="9" t="s">
        <v>2981</v>
      </c>
      <c r="I954" t="s">
        <v>3299</v>
      </c>
      <c r="J954" s="7"/>
      <c r="K954" s="7"/>
      <c r="L954" s="7"/>
      <c r="M954" s="7"/>
      <c r="N954" s="7"/>
      <c r="O954" s="7"/>
      <c r="P954" s="7"/>
      <c r="Q954" s="7"/>
      <c r="R954" s="7"/>
      <c r="S954" s="7" t="s">
        <v>3101</v>
      </c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 t="str">
        <f t="shared" si="1"/>
        <v>Land area </v>
      </c>
      <c r="AE954" s="7" t="str">
        <f t="shared" si="2"/>
        <v> sq. ft.</v>
      </c>
      <c r="AF954">
        <f>IFERROR(__xludf.DUMMYFUNCTION("VALUE(REGEXREPLACE(G954,""[^[:digit:]]"", """"))"),2285.0)</f>
        <v>2285</v>
      </c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 t="s">
        <v>27</v>
      </c>
    </row>
    <row r="955">
      <c r="A955" s="7" t="s">
        <v>23</v>
      </c>
      <c r="B955" s="7" t="s">
        <v>309</v>
      </c>
      <c r="C955" s="7">
        <f>4</f>
        <v>4</v>
      </c>
      <c r="D955" s="7">
        <v>3.0</v>
      </c>
      <c r="E955" s="7">
        <v>2.0</v>
      </c>
      <c r="F955" s="7" t="s">
        <v>54</v>
      </c>
      <c r="G955" s="7" t="s">
        <v>211</v>
      </c>
      <c r="H955" s="9" t="s">
        <v>2981</v>
      </c>
      <c r="I955" t="s">
        <v>2992</v>
      </c>
      <c r="J955" s="7"/>
      <c r="K955" s="7"/>
      <c r="L955" s="7"/>
      <c r="M955" s="7"/>
      <c r="N955" s="7"/>
      <c r="O955" s="7"/>
      <c r="P955" s="7"/>
      <c r="Q955" s="7"/>
      <c r="R955" s="7"/>
      <c r="S955" s="7" t="s">
        <v>2993</v>
      </c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 t="str">
        <f t="shared" si="1"/>
        <v>Land area </v>
      </c>
      <c r="AE955" s="7" t="str">
        <f t="shared" si="2"/>
        <v> sq. ft.</v>
      </c>
      <c r="AF955">
        <f>IFERROR(__xludf.DUMMYFUNCTION("VALUE(REGEXREPLACE(G955,""[^[:digit:]]"", """"))"),2280.0)</f>
        <v>2280</v>
      </c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 t="s">
        <v>27</v>
      </c>
    </row>
    <row r="956">
      <c r="A956" s="7" t="s">
        <v>692</v>
      </c>
      <c r="B956" s="7" t="s">
        <v>329</v>
      </c>
      <c r="C956" s="7">
        <f>3+1</f>
        <v>4</v>
      </c>
      <c r="D956" s="7">
        <v>4.0</v>
      </c>
      <c r="E956" s="9">
        <v>2.0</v>
      </c>
      <c r="F956" s="7" t="s">
        <v>494</v>
      </c>
      <c r="G956" s="7" t="s">
        <v>1000</v>
      </c>
      <c r="H956" s="9" t="s">
        <v>2981</v>
      </c>
      <c r="I956" t="s">
        <v>3445</v>
      </c>
      <c r="J956" s="7"/>
      <c r="K956" s="7"/>
      <c r="L956" s="7"/>
      <c r="M956" s="7"/>
      <c r="N956" s="7"/>
      <c r="O956" s="7"/>
      <c r="P956" s="7"/>
      <c r="Q956" s="7"/>
      <c r="R956" s="7"/>
      <c r="S956" s="7" t="s">
        <v>3446</v>
      </c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 t="str">
        <f t="shared" si="1"/>
        <v>Land area </v>
      </c>
      <c r="AE956" s="7" t="str">
        <f t="shared" si="2"/>
        <v> sq. ft.</v>
      </c>
      <c r="AF956">
        <f>IFERROR(__xludf.DUMMYFUNCTION("VALUE(REGEXREPLACE(G956,""[^[:digit:]]"", """"))"),2687.0)</f>
        <v>2687</v>
      </c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 t="s">
        <v>27</v>
      </c>
    </row>
    <row r="957">
      <c r="A957" s="7" t="s">
        <v>692</v>
      </c>
      <c r="B957" s="7" t="s">
        <v>403</v>
      </c>
      <c r="C957" s="7">
        <f>5+1</f>
        <v>6</v>
      </c>
      <c r="D957" s="7">
        <v>5.0</v>
      </c>
      <c r="E957" s="9">
        <v>2.0</v>
      </c>
      <c r="F957" s="7" t="s">
        <v>203</v>
      </c>
      <c r="G957" s="7" t="s">
        <v>283</v>
      </c>
      <c r="H957" s="9" t="s">
        <v>2981</v>
      </c>
      <c r="I957" t="s">
        <v>3091</v>
      </c>
      <c r="J957" s="7"/>
      <c r="K957" s="7"/>
      <c r="L957" s="7"/>
      <c r="M957" s="7"/>
      <c r="N957" s="7"/>
      <c r="O957" s="7"/>
      <c r="P957" s="7"/>
      <c r="Q957" s="7"/>
      <c r="R957" s="7"/>
      <c r="S957" s="7" t="s">
        <v>2990</v>
      </c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 t="str">
        <f t="shared" si="1"/>
        <v>Land area </v>
      </c>
      <c r="AE957" s="7" t="str">
        <f t="shared" si="2"/>
        <v> sq. ft.</v>
      </c>
      <c r="AF957">
        <f>IFERROR(__xludf.DUMMYFUNCTION("VALUE(REGEXREPLACE(G957,""[^[:digit:]]"", """"))"),2275.0)</f>
        <v>2275</v>
      </c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 t="s">
        <v>27</v>
      </c>
    </row>
    <row r="958">
      <c r="A958" s="7" t="s">
        <v>72</v>
      </c>
      <c r="B958" s="7" t="s">
        <v>1001</v>
      </c>
      <c r="C958" s="7">
        <f>4+1</f>
        <v>5</v>
      </c>
      <c r="D958" s="7">
        <v>6.0</v>
      </c>
      <c r="E958" s="7">
        <v>3.0</v>
      </c>
      <c r="F958" s="7" t="s">
        <v>30</v>
      </c>
      <c r="G958" s="7" t="s">
        <v>994</v>
      </c>
      <c r="H958" s="9" t="s">
        <v>2979</v>
      </c>
      <c r="I958" t="s">
        <v>3441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 t="str">
        <f t="shared" si="1"/>
        <v>Built-up :</v>
      </c>
      <c r="AE958" s="7" t="str">
        <f t="shared" si="2"/>
        <v> sq. ft.</v>
      </c>
      <c r="AF958">
        <f>IFERROR(__xludf.DUMMYFUNCTION("VALUE(REGEXREPLACE(G958,""[^[:digit:]]"", """"))"),3668.0)</f>
        <v>3668</v>
      </c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 t="s">
        <v>27</v>
      </c>
    </row>
    <row r="959">
      <c r="A959" s="7" t="s">
        <v>177</v>
      </c>
      <c r="B959" s="7" t="s">
        <v>110</v>
      </c>
      <c r="C959" s="7">
        <f>5</f>
        <v>5</v>
      </c>
      <c r="D959" s="7">
        <v>3.0</v>
      </c>
      <c r="E959" s="7">
        <v>2.0</v>
      </c>
      <c r="F959" s="7" t="s">
        <v>54</v>
      </c>
      <c r="G959" s="7" t="s">
        <v>1002</v>
      </c>
      <c r="H959" s="9" t="s">
        <v>2981</v>
      </c>
      <c r="I959" t="s">
        <v>3447</v>
      </c>
      <c r="J959" s="7"/>
      <c r="K959" s="7"/>
      <c r="L959" s="7"/>
      <c r="M959" s="7"/>
      <c r="N959" s="7"/>
      <c r="O959" s="7"/>
      <c r="P959" s="7"/>
      <c r="Q959" s="7"/>
      <c r="R959" s="7"/>
      <c r="S959" s="7" t="s">
        <v>3101</v>
      </c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 t="str">
        <f t="shared" si="1"/>
        <v>Land area </v>
      </c>
      <c r="AE959" s="7" t="str">
        <f t="shared" si="2"/>
        <v> sq. ft.</v>
      </c>
      <c r="AF959" s="7">
        <v>2125.0</v>
      </c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 t="s">
        <v>27</v>
      </c>
    </row>
    <row r="960">
      <c r="A960" s="7" t="s">
        <v>77</v>
      </c>
      <c r="B960" s="7" t="s">
        <v>75</v>
      </c>
      <c r="C960" s="7">
        <f>6+1</f>
        <v>7</v>
      </c>
      <c r="D960" s="7">
        <v>6.0</v>
      </c>
      <c r="E960" s="9">
        <v>2.0</v>
      </c>
      <c r="F960" s="7" t="s">
        <v>64</v>
      </c>
      <c r="G960" s="7" t="s">
        <v>912</v>
      </c>
      <c r="H960" s="9" t="s">
        <v>2981</v>
      </c>
      <c r="I960" t="s">
        <v>3183</v>
      </c>
      <c r="J960" s="7"/>
      <c r="K960" s="7"/>
      <c r="L960" s="7"/>
      <c r="M960" s="7"/>
      <c r="N960" s="7"/>
      <c r="O960" s="7"/>
      <c r="P960" s="7"/>
      <c r="Q960" s="7"/>
      <c r="R960" s="7"/>
      <c r="S960" s="7" t="s">
        <v>2993</v>
      </c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 t="str">
        <f t="shared" si="1"/>
        <v>Land area </v>
      </c>
      <c r="AE960" s="7" t="str">
        <f t="shared" si="2"/>
        <v> sq. ft.</v>
      </c>
      <c r="AF960">
        <f>IFERROR(__xludf.DUMMYFUNCTION("VALUE(REGEXREPLACE(G960,""[^[:digit:]]"", """"))"),4080.0)</f>
        <v>4080</v>
      </c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 t="s">
        <v>27</v>
      </c>
    </row>
    <row r="961">
      <c r="A961" s="7" t="s">
        <v>77</v>
      </c>
      <c r="B961" s="7" t="s">
        <v>327</v>
      </c>
      <c r="C961" s="7">
        <f>2</f>
        <v>2</v>
      </c>
      <c r="D961" s="7">
        <v>2.0</v>
      </c>
      <c r="E961" s="7">
        <v>2.0</v>
      </c>
      <c r="F961" s="7" t="s">
        <v>30</v>
      </c>
      <c r="G961" s="7" t="s">
        <v>1003</v>
      </c>
      <c r="H961" s="9" t="s">
        <v>2979</v>
      </c>
      <c r="I961" t="s">
        <v>3448</v>
      </c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 t="str">
        <f t="shared" si="1"/>
        <v>Built-up :</v>
      </c>
      <c r="AE961" s="7" t="str">
        <f t="shared" si="2"/>
        <v> sq. ft.</v>
      </c>
      <c r="AF961">
        <f>IFERROR(__xludf.DUMMYFUNCTION("VALUE(REGEXREPLACE(G961,""[^[:digit:]]"", """"))"),1323.0)</f>
        <v>1323</v>
      </c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 t="s">
        <v>27</v>
      </c>
    </row>
    <row r="962">
      <c r="A962" s="7" t="s">
        <v>77</v>
      </c>
      <c r="B962" s="7" t="s">
        <v>319</v>
      </c>
      <c r="C962" s="7">
        <f>3+1</f>
        <v>4</v>
      </c>
      <c r="D962" s="7">
        <v>5.0</v>
      </c>
      <c r="E962" s="9">
        <v>2.0</v>
      </c>
      <c r="F962" s="7" t="s">
        <v>184</v>
      </c>
      <c r="G962" s="7" t="s">
        <v>618</v>
      </c>
      <c r="H962" s="9" t="s">
        <v>2979</v>
      </c>
      <c r="I962" t="s">
        <v>3250</v>
      </c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 t="str">
        <f t="shared" si="1"/>
        <v>Built-up :</v>
      </c>
      <c r="AE962" s="7" t="str">
        <f t="shared" si="2"/>
        <v> sq. ft.</v>
      </c>
      <c r="AF962">
        <f>IFERROR(__xludf.DUMMYFUNCTION("VALUE(REGEXREPLACE(G962,""[^[:digit:]]"", """"))"),3082.0)</f>
        <v>3082</v>
      </c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 t="s">
        <v>27</v>
      </c>
    </row>
    <row r="963">
      <c r="A963" s="7" t="s">
        <v>77</v>
      </c>
      <c r="B963" s="7" t="s">
        <v>18</v>
      </c>
      <c r="C963" s="7">
        <f>2</f>
        <v>2</v>
      </c>
      <c r="D963" s="7">
        <v>2.0</v>
      </c>
      <c r="E963" s="7">
        <v>2.0</v>
      </c>
      <c r="F963" s="7" t="s">
        <v>30</v>
      </c>
      <c r="G963" s="7" t="s">
        <v>1004</v>
      </c>
      <c r="H963" s="9" t="s">
        <v>2979</v>
      </c>
      <c r="I963" t="s">
        <v>3449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 t="str">
        <f t="shared" si="1"/>
        <v>Built-up :</v>
      </c>
      <c r="AE963" s="7" t="str">
        <f t="shared" si="2"/>
        <v> sq. ft.</v>
      </c>
      <c r="AF963">
        <f>IFERROR(__xludf.DUMMYFUNCTION("VALUE(REGEXREPLACE(G963,""[^[:digit:]]"", """"))"),1300.0)</f>
        <v>1300</v>
      </c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 t="s">
        <v>27</v>
      </c>
    </row>
    <row r="964">
      <c r="A964" s="7" t="s">
        <v>77</v>
      </c>
      <c r="B964" s="7" t="s">
        <v>472</v>
      </c>
      <c r="C964" s="7">
        <f t="shared" ref="C964:C965" si="103">3+1</f>
        <v>4</v>
      </c>
      <c r="D964" s="7">
        <v>4.0</v>
      </c>
      <c r="E964" s="7">
        <v>2.0</v>
      </c>
      <c r="F964" s="7" t="s">
        <v>30</v>
      </c>
      <c r="G964" s="7" t="s">
        <v>726</v>
      </c>
      <c r="H964" s="9" t="s">
        <v>2979</v>
      </c>
      <c r="I964" t="s">
        <v>3304</v>
      </c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 t="str">
        <f t="shared" si="1"/>
        <v>Built-up :</v>
      </c>
      <c r="AE964" s="7" t="str">
        <f t="shared" si="2"/>
        <v> sq. ft.</v>
      </c>
      <c r="AF964">
        <f>IFERROR(__xludf.DUMMYFUNCTION("VALUE(REGEXREPLACE(G964,""[^[:digit:]]"", """"))"),1700.0)</f>
        <v>1700</v>
      </c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 t="s">
        <v>22</v>
      </c>
    </row>
    <row r="965">
      <c r="A965" s="7" t="s">
        <v>77</v>
      </c>
      <c r="B965" s="7" t="s">
        <v>712</v>
      </c>
      <c r="C965" s="7">
        <f t="shared" si="103"/>
        <v>4</v>
      </c>
      <c r="D965" s="7">
        <v>4.0</v>
      </c>
      <c r="E965" s="9">
        <v>2.0</v>
      </c>
      <c r="F965" s="7" t="s">
        <v>54</v>
      </c>
      <c r="G965" s="7" t="s">
        <v>1005</v>
      </c>
      <c r="H965" s="9" t="s">
        <v>2981</v>
      </c>
      <c r="I965" t="s">
        <v>3003</v>
      </c>
      <c r="J965" s="7"/>
      <c r="K965" s="7"/>
      <c r="L965" s="7"/>
      <c r="M965" s="7"/>
      <c r="N965" s="7"/>
      <c r="O965" s="7"/>
      <c r="P965" s="7"/>
      <c r="Q965" s="7"/>
      <c r="R965" s="7"/>
      <c r="S965" s="7" t="s">
        <v>3378</v>
      </c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 t="str">
        <f t="shared" si="1"/>
        <v>Land area </v>
      </c>
      <c r="AE965" s="7" t="str">
        <f t="shared" si="2"/>
        <v> sq. ft.</v>
      </c>
      <c r="AF965">
        <f>IFERROR(__xludf.DUMMYFUNCTION("VALUE(REGEXREPLACE(G965,""[^[:digit:]]"", """"))"),2075.0)</f>
        <v>2075</v>
      </c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 t="s">
        <v>27</v>
      </c>
    </row>
    <row r="966">
      <c r="A966" s="7" t="s">
        <v>77</v>
      </c>
      <c r="B966" s="7" t="s">
        <v>214</v>
      </c>
      <c r="C966" s="7">
        <f>2+1</f>
        <v>3</v>
      </c>
      <c r="D966" s="7">
        <v>3.0</v>
      </c>
      <c r="E966" s="9">
        <v>2.0</v>
      </c>
      <c r="F966" s="7" t="s">
        <v>83</v>
      </c>
      <c r="G966" s="7" t="s">
        <v>481</v>
      </c>
      <c r="H966" s="9" t="s">
        <v>2979</v>
      </c>
      <c r="I966" t="s">
        <v>3184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 t="str">
        <f t="shared" si="1"/>
        <v>Built-up :</v>
      </c>
      <c r="AE966" s="7" t="str">
        <f t="shared" si="2"/>
        <v> sq. ft.</v>
      </c>
      <c r="AF966">
        <f>IFERROR(__xludf.DUMMYFUNCTION("VALUE(REGEXREPLACE(G966,""[^[:digit:]]"", """"))"),1507.0)</f>
        <v>1507</v>
      </c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 t="s">
        <v>22</v>
      </c>
    </row>
    <row r="967">
      <c r="A967" s="7" t="s">
        <v>77</v>
      </c>
      <c r="B967" s="7" t="s">
        <v>110</v>
      </c>
      <c r="C967" s="7">
        <f>4+2</f>
        <v>6</v>
      </c>
      <c r="D967" s="7">
        <v>5.0</v>
      </c>
      <c r="E967" s="9">
        <v>2.0</v>
      </c>
      <c r="F967" s="7" t="s">
        <v>562</v>
      </c>
      <c r="G967" s="7" t="s">
        <v>211</v>
      </c>
      <c r="H967" s="9" t="s">
        <v>2981</v>
      </c>
      <c r="I967" t="s">
        <v>2992</v>
      </c>
      <c r="J967" s="7"/>
      <c r="K967" s="7"/>
      <c r="L967" s="7"/>
      <c r="M967" s="7"/>
      <c r="N967" s="7"/>
      <c r="O967" s="7"/>
      <c r="P967" s="7"/>
      <c r="Q967" s="7"/>
      <c r="R967" s="7"/>
      <c r="S967" s="7" t="s">
        <v>2993</v>
      </c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 t="str">
        <f t="shared" si="1"/>
        <v>Land area </v>
      </c>
      <c r="AE967" s="7" t="str">
        <f t="shared" si="2"/>
        <v> sq. ft.</v>
      </c>
      <c r="AF967">
        <f>IFERROR(__xludf.DUMMYFUNCTION("VALUE(REGEXREPLACE(G967,""[^[:digit:]]"", """"))"),2280.0)</f>
        <v>2280</v>
      </c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 t="s">
        <v>27</v>
      </c>
    </row>
    <row r="968">
      <c r="A968" s="7" t="s">
        <v>77</v>
      </c>
      <c r="B968" s="7" t="s">
        <v>227</v>
      </c>
      <c r="C968" s="7">
        <f t="shared" ref="C968:C971" si="104">3+1</f>
        <v>4</v>
      </c>
      <c r="D968" s="7">
        <v>4.0</v>
      </c>
      <c r="E968" s="7">
        <v>3.0</v>
      </c>
      <c r="F968" s="7" t="s">
        <v>90</v>
      </c>
      <c r="G968" s="7" t="s">
        <v>1006</v>
      </c>
      <c r="H968" s="9" t="s">
        <v>2981</v>
      </c>
      <c r="I968" t="s">
        <v>3194</v>
      </c>
      <c r="J968" s="7"/>
      <c r="K968" s="7"/>
      <c r="L968" s="7"/>
      <c r="M968" s="7"/>
      <c r="N968" s="7"/>
      <c r="O968" s="7"/>
      <c r="P968" s="7"/>
      <c r="Q968" s="7"/>
      <c r="R968" s="7"/>
      <c r="S968" s="7" t="s">
        <v>3450</v>
      </c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 t="str">
        <f t="shared" si="1"/>
        <v>Land area </v>
      </c>
      <c r="AE968" s="7" t="str">
        <f t="shared" si="2"/>
        <v> sq. ft.</v>
      </c>
      <c r="AF968">
        <f>IFERROR(__xludf.DUMMYFUNCTION("VALUE(REGEXREPLACE(G968,""[^[:digit:]]"", """"))"),3044.0)</f>
        <v>3044</v>
      </c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 t="s">
        <v>27</v>
      </c>
    </row>
    <row r="969">
      <c r="A969" s="7" t="s">
        <v>77</v>
      </c>
      <c r="B969" s="7" t="s">
        <v>227</v>
      </c>
      <c r="C969" s="7">
        <f t="shared" si="104"/>
        <v>4</v>
      </c>
      <c r="D969" s="7">
        <v>4.0</v>
      </c>
      <c r="E969" s="9">
        <v>2.0</v>
      </c>
      <c r="F969" s="7" t="s">
        <v>54</v>
      </c>
      <c r="G969" s="7" t="s">
        <v>618</v>
      </c>
      <c r="H969" s="9" t="s">
        <v>2979</v>
      </c>
      <c r="I969" t="s">
        <v>3250</v>
      </c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 t="str">
        <f t="shared" si="1"/>
        <v>Built-up :</v>
      </c>
      <c r="AE969" s="7" t="str">
        <f t="shared" si="2"/>
        <v> sq. ft.</v>
      </c>
      <c r="AF969">
        <f>IFERROR(__xludf.DUMMYFUNCTION("VALUE(REGEXREPLACE(G969,""[^[:digit:]]"", """"))"),3082.0)</f>
        <v>3082</v>
      </c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 t="s">
        <v>27</v>
      </c>
    </row>
    <row r="970">
      <c r="A970" s="7" t="s">
        <v>77</v>
      </c>
      <c r="B970" s="7" t="s">
        <v>243</v>
      </c>
      <c r="C970" s="7">
        <f t="shared" si="104"/>
        <v>4</v>
      </c>
      <c r="D970" s="7">
        <v>3.0</v>
      </c>
      <c r="E970" s="7">
        <v>3.0</v>
      </c>
      <c r="F970" s="7" t="s">
        <v>93</v>
      </c>
      <c r="G970" s="7" t="s">
        <v>594</v>
      </c>
      <c r="H970" s="9" t="s">
        <v>2979</v>
      </c>
      <c r="I970" t="s">
        <v>3240</v>
      </c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 t="str">
        <f t="shared" si="1"/>
        <v>Built-up :</v>
      </c>
      <c r="AE970" s="7" t="str">
        <f t="shared" si="2"/>
        <v> sq. ft.</v>
      </c>
      <c r="AF970">
        <f>IFERROR(__xludf.DUMMYFUNCTION("VALUE(REGEXREPLACE(G970,""[^[:digit:]]"", """"))"),1701.0)</f>
        <v>1701</v>
      </c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 t="s">
        <v>27</v>
      </c>
    </row>
    <row r="971">
      <c r="A971" s="7" t="s">
        <v>77</v>
      </c>
      <c r="B971" s="7" t="s">
        <v>243</v>
      </c>
      <c r="C971" s="7">
        <f t="shared" si="104"/>
        <v>4</v>
      </c>
      <c r="D971" s="7">
        <v>4.0</v>
      </c>
      <c r="E971" s="7">
        <v>2.0</v>
      </c>
      <c r="F971" s="7" t="s">
        <v>30</v>
      </c>
      <c r="G971" s="7" t="s">
        <v>1007</v>
      </c>
      <c r="H971" s="9" t="s">
        <v>2979</v>
      </c>
      <c r="I971" t="s">
        <v>3451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 t="str">
        <f t="shared" si="1"/>
        <v>Built-up :</v>
      </c>
      <c r="AE971" s="7" t="str">
        <f t="shared" si="2"/>
        <v> sq. ft.</v>
      </c>
      <c r="AF971">
        <f>IFERROR(__xludf.DUMMYFUNCTION("VALUE(REGEXREPLACE(G971,""[^[:digit:]]"", """"))"),1680.0)</f>
        <v>1680</v>
      </c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 t="s">
        <v>27</v>
      </c>
    </row>
    <row r="972">
      <c r="A972" s="7" t="s">
        <v>177</v>
      </c>
      <c r="B972" s="7" t="s">
        <v>599</v>
      </c>
      <c r="C972" s="7">
        <f>3</f>
        <v>3</v>
      </c>
      <c r="D972" s="7">
        <v>2.0</v>
      </c>
      <c r="E972" s="7">
        <v>1.0</v>
      </c>
      <c r="F972" s="7" t="s">
        <v>93</v>
      </c>
      <c r="G972" s="7" t="s">
        <v>1008</v>
      </c>
      <c r="H972" s="9" t="s">
        <v>2979</v>
      </c>
      <c r="I972" t="s">
        <v>3452</v>
      </c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 t="str">
        <f t="shared" si="1"/>
        <v>Built-up :</v>
      </c>
      <c r="AE972" s="7" t="str">
        <f t="shared" si="2"/>
        <v> sq. ft.</v>
      </c>
      <c r="AF972">
        <f>IFERROR(__xludf.DUMMYFUNCTION("VALUE(REGEXREPLACE(G972,""[^[:digit:]]"", """"))"),1518.0)</f>
        <v>1518</v>
      </c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 t="s">
        <v>27</v>
      </c>
    </row>
    <row r="973">
      <c r="A973" s="7" t="s">
        <v>23</v>
      </c>
      <c r="B973" s="7" t="s">
        <v>398</v>
      </c>
      <c r="C973" s="7">
        <f>4+1</f>
        <v>5</v>
      </c>
      <c r="D973" s="7">
        <v>5.0</v>
      </c>
      <c r="E973" s="7">
        <v>2.0</v>
      </c>
      <c r="F973" s="7" t="s">
        <v>378</v>
      </c>
      <c r="G973" s="7" t="s">
        <v>1009</v>
      </c>
      <c r="H973" s="9" t="s">
        <v>2979</v>
      </c>
      <c r="I973" t="s">
        <v>3453</v>
      </c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 t="str">
        <f t="shared" si="1"/>
        <v>Built-up :</v>
      </c>
      <c r="AE973" s="7" t="str">
        <f t="shared" si="2"/>
        <v> sq. ft.</v>
      </c>
      <c r="AF973">
        <f>IFERROR(__xludf.DUMMYFUNCTION("VALUE(REGEXREPLACE(G973,""[^[:digit:]]"", """"))"),3303.0)</f>
        <v>3303</v>
      </c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 t="s">
        <v>27</v>
      </c>
    </row>
    <row r="974">
      <c r="A974" s="7" t="s">
        <v>23</v>
      </c>
      <c r="B974" s="7" t="s">
        <v>134</v>
      </c>
      <c r="C974" s="7">
        <f>2+1</f>
        <v>3</v>
      </c>
      <c r="D974" s="7">
        <v>2.0</v>
      </c>
      <c r="E974" s="7">
        <v>1.0</v>
      </c>
      <c r="F974" s="7" t="s">
        <v>30</v>
      </c>
      <c r="G974" s="7" t="s">
        <v>1010</v>
      </c>
      <c r="H974" s="9" t="s">
        <v>2979</v>
      </c>
      <c r="I974" t="s">
        <v>3454</v>
      </c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 t="str">
        <f t="shared" si="1"/>
        <v>Built-up :</v>
      </c>
      <c r="AE974" s="7" t="str">
        <f t="shared" si="2"/>
        <v> sq. ft.</v>
      </c>
      <c r="AF974">
        <f>IFERROR(__xludf.DUMMYFUNCTION("VALUE(REGEXREPLACE(G974,""[^[:digit:]]"", """"))"),1205.0)</f>
        <v>1205</v>
      </c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 t="s">
        <v>27</v>
      </c>
    </row>
    <row r="975">
      <c r="A975" s="7" t="s">
        <v>23</v>
      </c>
      <c r="B975" s="7" t="s">
        <v>120</v>
      </c>
      <c r="C975" s="7">
        <f>3+1</f>
        <v>4</v>
      </c>
      <c r="D975" s="7">
        <v>4.0</v>
      </c>
      <c r="E975" s="7">
        <v>3.0</v>
      </c>
      <c r="F975" s="7" t="s">
        <v>20</v>
      </c>
      <c r="G975" s="7" t="s">
        <v>115</v>
      </c>
      <c r="H975" s="9" t="s">
        <v>2979</v>
      </c>
      <c r="I975" t="s">
        <v>3013</v>
      </c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 t="str">
        <f t="shared" si="1"/>
        <v>Built-up :</v>
      </c>
      <c r="AE975" s="7" t="str">
        <f t="shared" si="2"/>
        <v> sq. ft.</v>
      </c>
      <c r="AF975">
        <f>IFERROR(__xludf.DUMMYFUNCTION("VALUE(REGEXREPLACE(G975,""[^[:digit:]]"", """"))"),2702.0)</f>
        <v>2702</v>
      </c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 t="s">
        <v>27</v>
      </c>
    </row>
    <row r="976">
      <c r="A976" s="7" t="s">
        <v>23</v>
      </c>
      <c r="B976" s="7" t="s">
        <v>349</v>
      </c>
      <c r="C976" s="7">
        <f>1</f>
        <v>1</v>
      </c>
      <c r="D976" s="7">
        <v>1.0</v>
      </c>
      <c r="E976" s="7">
        <v>1.0</v>
      </c>
      <c r="F976" s="7" t="s">
        <v>20</v>
      </c>
      <c r="G976" s="7" t="s">
        <v>51</v>
      </c>
      <c r="H976" s="9" t="s">
        <v>2979</v>
      </c>
      <c r="I976" t="s">
        <v>2991</v>
      </c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 t="str">
        <f t="shared" si="1"/>
        <v>Built-up :</v>
      </c>
      <c r="AE976" s="7" t="str">
        <f t="shared" si="2"/>
        <v> sq. ft.</v>
      </c>
      <c r="AF976">
        <f>IFERROR(__xludf.DUMMYFUNCTION("VALUE(REGEXREPLACE(G976,""[^[:digit:]]"", """"))"),904.0)</f>
        <v>904</v>
      </c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 t="s">
        <v>27</v>
      </c>
    </row>
    <row r="977">
      <c r="A977" s="7" t="s">
        <v>104</v>
      </c>
      <c r="B977" s="7" t="s">
        <v>1011</v>
      </c>
      <c r="E977" s="7">
        <v>2.0</v>
      </c>
      <c r="F977" s="7" t="s">
        <v>30</v>
      </c>
      <c r="G977" s="7" t="s">
        <v>1012</v>
      </c>
      <c r="H977" s="9" t="s">
        <v>2979</v>
      </c>
      <c r="I977" t="s">
        <v>3455</v>
      </c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 t="str">
        <f t="shared" si="1"/>
        <v>Built-up :</v>
      </c>
      <c r="AE977" s="7" t="str">
        <f t="shared" si="2"/>
        <v> sq. ft.</v>
      </c>
      <c r="AF977">
        <f>IFERROR(__xludf.DUMMYFUNCTION("VALUE(REGEXREPLACE(G977,""[^[:digit:]]"", """"))"),1027.0)</f>
        <v>1027</v>
      </c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 t="s">
        <v>27</v>
      </c>
    </row>
    <row r="978">
      <c r="A978" s="7" t="s">
        <v>17</v>
      </c>
      <c r="B978" s="7" t="s">
        <v>613</v>
      </c>
      <c r="C978" s="7">
        <f>4+2</f>
        <v>6</v>
      </c>
      <c r="D978" s="7">
        <v>5.0</v>
      </c>
      <c r="E978" s="9">
        <v>2.0</v>
      </c>
      <c r="F978" s="7" t="s">
        <v>83</v>
      </c>
      <c r="G978" s="7" t="s">
        <v>1013</v>
      </c>
      <c r="H978" s="9" t="s">
        <v>2979</v>
      </c>
      <c r="I978" t="s">
        <v>3456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 t="str">
        <f t="shared" si="1"/>
        <v>Built-up :</v>
      </c>
      <c r="AE978" s="7" t="str">
        <f t="shared" si="2"/>
        <v> sq. ft.</v>
      </c>
      <c r="AF978">
        <f>IFERROR(__xludf.DUMMYFUNCTION("VALUE(REGEXREPLACE(G978,""[^[:digit:]]"", """"))"),3412.0)</f>
        <v>3412</v>
      </c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 t="s">
        <v>27</v>
      </c>
    </row>
    <row r="979">
      <c r="A979" s="7" t="s">
        <v>1014</v>
      </c>
      <c r="B979" s="7" t="s">
        <v>1015</v>
      </c>
      <c r="C979" s="7">
        <f>3+1</f>
        <v>4</v>
      </c>
      <c r="D979" s="7">
        <v>4.0</v>
      </c>
      <c r="E979" s="9">
        <v>2.0</v>
      </c>
      <c r="F979" s="7" t="s">
        <v>793</v>
      </c>
      <c r="G979" s="7" t="s">
        <v>1016</v>
      </c>
      <c r="H979" s="9" t="s">
        <v>2979</v>
      </c>
      <c r="I979" t="s">
        <v>3457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 t="str">
        <f t="shared" si="1"/>
        <v>Built-up :</v>
      </c>
      <c r="AE979" s="7" t="str">
        <f t="shared" si="2"/>
        <v> sq. ft.</v>
      </c>
      <c r="AF979">
        <f>IFERROR(__xludf.DUMMYFUNCTION("VALUE(REGEXREPLACE(G979,""[^[:digit:]]"", """"))"),1879.0)</f>
        <v>1879</v>
      </c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 t="s">
        <v>27</v>
      </c>
    </row>
    <row r="980">
      <c r="A980" s="7" t="s">
        <v>428</v>
      </c>
      <c r="B980" s="7" t="s">
        <v>1017</v>
      </c>
      <c r="C980" s="7">
        <f t="shared" ref="C980:C981" si="105">4</f>
        <v>4</v>
      </c>
      <c r="D980" s="7">
        <v>2.0</v>
      </c>
      <c r="E980" s="9">
        <v>2.0</v>
      </c>
      <c r="F980" s="7" t="s">
        <v>121</v>
      </c>
      <c r="G980" s="7" t="s">
        <v>318</v>
      </c>
      <c r="H980" s="9" t="s">
        <v>2979</v>
      </c>
      <c r="I980" t="s">
        <v>3105</v>
      </c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 t="str">
        <f t="shared" si="1"/>
        <v>Built-up :</v>
      </c>
      <c r="AE980" s="7" t="str">
        <f t="shared" si="2"/>
        <v> sq. ft.</v>
      </c>
      <c r="AF980">
        <f>IFERROR(__xludf.DUMMYFUNCTION("VALUE(REGEXREPLACE(G980,""[^[:digit:]]"", """"))"),1572.0)</f>
        <v>1572</v>
      </c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 t="s">
        <v>27</v>
      </c>
    </row>
    <row r="981">
      <c r="A981" s="7" t="s">
        <v>17</v>
      </c>
      <c r="B981" s="7" t="s">
        <v>1018</v>
      </c>
      <c r="C981" s="7">
        <f t="shared" si="105"/>
        <v>4</v>
      </c>
      <c r="D981" s="7">
        <v>3.0</v>
      </c>
      <c r="E981" s="9">
        <v>2.0</v>
      </c>
      <c r="F981" s="7" t="s">
        <v>83</v>
      </c>
      <c r="G981" s="7" t="s">
        <v>150</v>
      </c>
      <c r="H981" s="9" t="s">
        <v>2979</v>
      </c>
      <c r="I981" t="s">
        <v>3028</v>
      </c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 t="str">
        <f t="shared" si="1"/>
        <v>Built-up :</v>
      </c>
      <c r="AE981" s="7" t="str">
        <f t="shared" si="2"/>
        <v> sq. ft.</v>
      </c>
      <c r="AF981">
        <f>IFERROR(__xludf.DUMMYFUNCTION("VALUE(REGEXREPLACE(G981,""[^[:digit:]]"", """"))"),2250.0)</f>
        <v>2250</v>
      </c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 t="s">
        <v>27</v>
      </c>
    </row>
    <row r="982">
      <c r="A982" s="7" t="s">
        <v>267</v>
      </c>
      <c r="B982" s="7" t="s">
        <v>1019</v>
      </c>
      <c r="C982" s="7">
        <f>3</f>
        <v>3</v>
      </c>
      <c r="D982" s="7">
        <v>2.0</v>
      </c>
      <c r="E982" s="9">
        <v>2.0</v>
      </c>
      <c r="F982" s="7" t="s">
        <v>20</v>
      </c>
      <c r="G982" s="7" t="s">
        <v>1020</v>
      </c>
      <c r="H982" s="9" t="s">
        <v>2979</v>
      </c>
      <c r="I982" t="s">
        <v>3458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 t="str">
        <f t="shared" si="1"/>
        <v>Built-up :</v>
      </c>
      <c r="AE982" s="7" t="str">
        <f t="shared" si="2"/>
        <v> sq. ft.</v>
      </c>
      <c r="AF982">
        <f>IFERROR(__xludf.DUMMYFUNCTION("VALUE(REGEXREPLACE(G982,""[^[:digit:]]"", """"))"),945.0)</f>
        <v>945</v>
      </c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 t="s">
        <v>27</v>
      </c>
    </row>
    <row r="983">
      <c r="A983" s="7" t="s">
        <v>72</v>
      </c>
      <c r="B983" s="7" t="s">
        <v>1021</v>
      </c>
      <c r="C983" s="7">
        <f>5</f>
        <v>5</v>
      </c>
      <c r="D983" s="7">
        <v>5.0</v>
      </c>
      <c r="E983" s="9">
        <v>2.0</v>
      </c>
      <c r="F983" s="7" t="s">
        <v>83</v>
      </c>
      <c r="G983" s="7" t="s">
        <v>989</v>
      </c>
      <c r="H983" s="9" t="s">
        <v>2979</v>
      </c>
      <c r="I983" t="s">
        <v>3438</v>
      </c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 t="str">
        <f t="shared" si="1"/>
        <v>Built-up :</v>
      </c>
      <c r="AE983" s="7" t="str">
        <f t="shared" si="2"/>
        <v> sq. ft.</v>
      </c>
      <c r="AF983">
        <f>IFERROR(__xludf.DUMMYFUNCTION("VALUE(REGEXREPLACE(G983,""[^[:digit:]]"", """"))"),3729.0)</f>
        <v>3729</v>
      </c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 t="s">
        <v>27</v>
      </c>
    </row>
    <row r="984">
      <c r="A984" s="7" t="s">
        <v>608</v>
      </c>
      <c r="B984" s="7" t="s">
        <v>1022</v>
      </c>
      <c r="C984" s="7">
        <f>3</f>
        <v>3</v>
      </c>
      <c r="D984" s="7">
        <v>2.0</v>
      </c>
      <c r="E984" s="9">
        <v>2.0</v>
      </c>
      <c r="F984" s="7" t="s">
        <v>378</v>
      </c>
      <c r="G984" s="7" t="s">
        <v>1023</v>
      </c>
      <c r="H984" s="9" t="s">
        <v>2981</v>
      </c>
      <c r="I984" t="s">
        <v>3459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 t="str">
        <f t="shared" si="1"/>
        <v>Land area </v>
      </c>
      <c r="AE984" s="7" t="str">
        <f t="shared" si="2"/>
        <v> sq. ft.</v>
      </c>
      <c r="AF984">
        <f>IFERROR(__xludf.DUMMYFUNCTION("VALUE(REGEXREPLACE(G984,""[^[:digit:]]"", """"))"),1647.0)</f>
        <v>1647</v>
      </c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 t="s">
        <v>27</v>
      </c>
    </row>
    <row r="985">
      <c r="A985" s="7" t="s">
        <v>77</v>
      </c>
      <c r="B985" s="7" t="s">
        <v>42</v>
      </c>
      <c r="C985" s="7">
        <f>4+1</f>
        <v>5</v>
      </c>
      <c r="D985" s="7">
        <v>5.0</v>
      </c>
      <c r="E985" s="9">
        <v>2.0</v>
      </c>
      <c r="F985" s="7" t="s">
        <v>184</v>
      </c>
      <c r="G985" s="7" t="s">
        <v>1024</v>
      </c>
      <c r="H985" s="9" t="s">
        <v>2981</v>
      </c>
      <c r="I985" t="s">
        <v>3460</v>
      </c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 t="str">
        <f t="shared" si="1"/>
        <v>Land area </v>
      </c>
      <c r="AE985" s="7" t="str">
        <f t="shared" si="2"/>
        <v> sq. ft.</v>
      </c>
      <c r="AF985">
        <f>IFERROR(__xludf.DUMMYFUNCTION("VALUE(REGEXREPLACE(G985,""[^[:digit:]]"", """"))"),2000.0)</f>
        <v>2000</v>
      </c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 t="s">
        <v>27</v>
      </c>
    </row>
    <row r="986">
      <c r="A986" s="7" t="s">
        <v>77</v>
      </c>
      <c r="B986" s="7" t="s">
        <v>239</v>
      </c>
      <c r="C986" s="7">
        <f>3+1</f>
        <v>4</v>
      </c>
      <c r="D986" s="7">
        <v>3.0</v>
      </c>
      <c r="E986" s="9">
        <v>2.0</v>
      </c>
      <c r="F986" s="7" t="s">
        <v>83</v>
      </c>
      <c r="G986" s="7" t="s">
        <v>1025</v>
      </c>
      <c r="H986" s="9" t="s">
        <v>2979</v>
      </c>
      <c r="I986" t="s">
        <v>3461</v>
      </c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 t="str">
        <f t="shared" si="1"/>
        <v>Built-up :</v>
      </c>
      <c r="AE986" s="7" t="str">
        <f t="shared" si="2"/>
        <v> sq. ft.</v>
      </c>
      <c r="AF986">
        <f>IFERROR(__xludf.DUMMYFUNCTION("VALUE(REGEXREPLACE(G986,""[^[:digit:]]"", """"))"),1432.0)</f>
        <v>1432</v>
      </c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 t="s">
        <v>22</v>
      </c>
    </row>
    <row r="987">
      <c r="A987" s="7" t="s">
        <v>77</v>
      </c>
      <c r="B987" s="7" t="s">
        <v>156</v>
      </c>
      <c r="C987" s="7">
        <f>2</f>
        <v>2</v>
      </c>
      <c r="D987" s="7">
        <v>3.0</v>
      </c>
      <c r="E987" s="7">
        <v>1.0</v>
      </c>
      <c r="F987" s="7" t="s">
        <v>83</v>
      </c>
      <c r="G987" s="7" t="s">
        <v>1026</v>
      </c>
      <c r="H987" s="9" t="s">
        <v>2979</v>
      </c>
      <c r="I987" t="s">
        <v>3462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 t="str">
        <f t="shared" si="1"/>
        <v>Built-up :</v>
      </c>
      <c r="AE987" s="7" t="str">
        <f t="shared" si="2"/>
        <v> sq. ft.</v>
      </c>
      <c r="AF987">
        <f>IFERROR(__xludf.DUMMYFUNCTION("VALUE(REGEXREPLACE(G987,""[^[:digit:]]"", """"))"),1173.0)</f>
        <v>1173</v>
      </c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 t="s">
        <v>22</v>
      </c>
    </row>
    <row r="988">
      <c r="A988" s="7" t="s">
        <v>77</v>
      </c>
      <c r="B988" s="7" t="s">
        <v>101</v>
      </c>
      <c r="C988" s="7">
        <f t="shared" ref="C988:C990" si="106">4+1</f>
        <v>5</v>
      </c>
      <c r="D988" s="7">
        <v>5.0</v>
      </c>
      <c r="E988" s="9">
        <v>2.0</v>
      </c>
      <c r="F988" s="7" t="s">
        <v>169</v>
      </c>
      <c r="G988" s="7" t="s">
        <v>1027</v>
      </c>
      <c r="H988" s="9" t="s">
        <v>2979</v>
      </c>
      <c r="I988" t="s">
        <v>3463</v>
      </c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 t="str">
        <f t="shared" si="1"/>
        <v>Built-up :</v>
      </c>
      <c r="AE988" s="7" t="str">
        <f t="shared" si="2"/>
        <v> sq. ft.</v>
      </c>
      <c r="AF988">
        <f>IFERROR(__xludf.DUMMYFUNCTION("VALUE(REGEXREPLACE(G988,""[^[:digit:]]"", """"))"),3200.0)</f>
        <v>3200</v>
      </c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 t="s">
        <v>27</v>
      </c>
    </row>
    <row r="989">
      <c r="A989" s="7" t="s">
        <v>77</v>
      </c>
      <c r="B989" s="7" t="s">
        <v>292</v>
      </c>
      <c r="C989" s="7">
        <f t="shared" si="106"/>
        <v>5</v>
      </c>
      <c r="D989" s="7">
        <v>6.0</v>
      </c>
      <c r="E989" s="7">
        <v>2.0</v>
      </c>
      <c r="F989" s="7" t="s">
        <v>90</v>
      </c>
      <c r="G989" s="7" t="s">
        <v>1028</v>
      </c>
      <c r="H989" s="9" t="s">
        <v>2979</v>
      </c>
      <c r="I989" t="s">
        <v>3464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 t="str">
        <f t="shared" si="1"/>
        <v>Built-up :</v>
      </c>
      <c r="AE989" s="7" t="str">
        <f t="shared" si="2"/>
        <v> sq. ft.</v>
      </c>
      <c r="AF989">
        <f>IFERROR(__xludf.DUMMYFUNCTION("VALUE(REGEXREPLACE(G989,""[^[:digit:]]"", """"))"),4400.0)</f>
        <v>4400</v>
      </c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 t="s">
        <v>27</v>
      </c>
    </row>
    <row r="990">
      <c r="A990" s="7" t="s">
        <v>77</v>
      </c>
      <c r="B990" s="7" t="s">
        <v>386</v>
      </c>
      <c r="C990" s="7">
        <f t="shared" si="106"/>
        <v>5</v>
      </c>
      <c r="D990" s="7">
        <v>5.0</v>
      </c>
      <c r="E990" s="9">
        <v>2.0</v>
      </c>
      <c r="F990" s="7" t="s">
        <v>562</v>
      </c>
      <c r="G990" s="7" t="s">
        <v>283</v>
      </c>
      <c r="H990" s="9" t="s">
        <v>2981</v>
      </c>
      <c r="I990" t="s">
        <v>3091</v>
      </c>
      <c r="J990" s="7"/>
      <c r="K990" s="7"/>
      <c r="L990" s="7"/>
      <c r="M990" s="7"/>
      <c r="N990" s="7"/>
      <c r="O990" s="7"/>
      <c r="P990" s="7"/>
      <c r="Q990" s="7"/>
      <c r="R990" s="7"/>
      <c r="S990" s="7" t="s">
        <v>2990</v>
      </c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 t="str">
        <f t="shared" si="1"/>
        <v>Land area </v>
      </c>
      <c r="AE990" s="7" t="str">
        <f t="shared" si="2"/>
        <v> sq. ft.</v>
      </c>
      <c r="AF990">
        <f>IFERROR(__xludf.DUMMYFUNCTION("VALUE(REGEXREPLACE(G990,""[^[:digit:]]"", """"))"),2275.0)</f>
        <v>2275</v>
      </c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 t="s">
        <v>22</v>
      </c>
    </row>
    <row r="991">
      <c r="A991" s="7" t="s">
        <v>77</v>
      </c>
      <c r="B991" s="7" t="s">
        <v>81</v>
      </c>
      <c r="C991" s="7">
        <f t="shared" ref="C991:C992" si="107">3+1</f>
        <v>4</v>
      </c>
      <c r="D991" s="7">
        <v>4.0</v>
      </c>
      <c r="E991" s="9">
        <v>2.0</v>
      </c>
      <c r="F991" s="7" t="s">
        <v>562</v>
      </c>
      <c r="G991" s="7" t="s">
        <v>1029</v>
      </c>
      <c r="H991" s="9" t="s">
        <v>2979</v>
      </c>
      <c r="I991" t="s">
        <v>3465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 t="str">
        <f t="shared" si="1"/>
        <v>Built-up :</v>
      </c>
      <c r="AE991" s="7" t="str">
        <f t="shared" si="2"/>
        <v> sq. ft.</v>
      </c>
      <c r="AF991">
        <f>IFERROR(__xludf.DUMMYFUNCTION("VALUE(REGEXREPLACE(G991,""[^[:digit:]]"", """"))"),1800.0)</f>
        <v>1800</v>
      </c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 t="s">
        <v>27</v>
      </c>
    </row>
    <row r="992">
      <c r="A992" s="7" t="s">
        <v>77</v>
      </c>
      <c r="B992" s="7" t="s">
        <v>475</v>
      </c>
      <c r="C992" s="7">
        <f t="shared" si="107"/>
        <v>4</v>
      </c>
      <c r="D992" s="7">
        <v>4.0</v>
      </c>
      <c r="E992" s="9">
        <v>2.0</v>
      </c>
      <c r="F992" s="7" t="s">
        <v>562</v>
      </c>
      <c r="G992" s="7" t="s">
        <v>228</v>
      </c>
      <c r="H992" s="9" t="s">
        <v>2979</v>
      </c>
      <c r="I992" t="s">
        <v>3064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 t="str">
        <f t="shared" si="1"/>
        <v>Built-up :</v>
      </c>
      <c r="AE992" s="7" t="str">
        <f t="shared" si="2"/>
        <v> sq. ft.</v>
      </c>
      <c r="AF992">
        <f>IFERROR(__xludf.DUMMYFUNCTION("VALUE(REGEXREPLACE(G992,""[^[:digit:]]"", """"))"),3211.0)</f>
        <v>3211</v>
      </c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 t="s">
        <v>27</v>
      </c>
    </row>
    <row r="993">
      <c r="A993" s="7" t="s">
        <v>77</v>
      </c>
      <c r="B993" s="7" t="s">
        <v>165</v>
      </c>
      <c r="C993" s="7">
        <f>5+1</f>
        <v>6</v>
      </c>
      <c r="D993" s="7">
        <v>6.0</v>
      </c>
      <c r="E993" s="9">
        <v>2.0</v>
      </c>
      <c r="F993" s="7" t="s">
        <v>90</v>
      </c>
      <c r="G993" s="7" t="s">
        <v>293</v>
      </c>
      <c r="H993" s="9" t="s">
        <v>2979</v>
      </c>
      <c r="I993" t="s">
        <v>3095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 t="str">
        <f t="shared" si="1"/>
        <v>Built-up :</v>
      </c>
      <c r="AE993" s="7" t="str">
        <f t="shared" si="2"/>
        <v> sq. ft.</v>
      </c>
      <c r="AF993">
        <f>IFERROR(__xludf.DUMMYFUNCTION("VALUE(REGEXREPLACE(G993,""[^[:digit:]]"", """"))"),5448.0)</f>
        <v>5448</v>
      </c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 t="s">
        <v>27</v>
      </c>
    </row>
    <row r="994">
      <c r="A994" s="7" t="s">
        <v>77</v>
      </c>
      <c r="B994" s="7" t="s">
        <v>1030</v>
      </c>
      <c r="C994" s="7">
        <f>4</f>
        <v>4</v>
      </c>
      <c r="D994" s="7">
        <v>5.0</v>
      </c>
      <c r="E994" s="9">
        <v>2.0</v>
      </c>
      <c r="F994" s="7" t="s">
        <v>184</v>
      </c>
      <c r="G994" s="7" t="s">
        <v>176</v>
      </c>
      <c r="H994" s="9" t="s">
        <v>2979</v>
      </c>
      <c r="I994" t="s">
        <v>3039</v>
      </c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 t="str">
        <f t="shared" si="1"/>
        <v>Built-up :</v>
      </c>
      <c r="AE994" s="7" t="str">
        <f t="shared" si="2"/>
        <v> sq. ft.</v>
      </c>
      <c r="AF994">
        <f>IFERROR(__xludf.DUMMYFUNCTION("VALUE(REGEXREPLACE(G994,""[^[:digit:]]"", """"))"),3000.0)</f>
        <v>3000</v>
      </c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 t="s">
        <v>27</v>
      </c>
    </row>
    <row r="995">
      <c r="A995" s="7" t="s">
        <v>77</v>
      </c>
      <c r="B995" s="7" t="s">
        <v>313</v>
      </c>
      <c r="C995" s="7">
        <f t="shared" ref="C995:C996" si="108">4+1</f>
        <v>5</v>
      </c>
      <c r="D995" s="7">
        <v>5.0</v>
      </c>
      <c r="E995" s="9">
        <v>2.0</v>
      </c>
      <c r="F995" s="7" t="s">
        <v>562</v>
      </c>
      <c r="G995" s="7" t="s">
        <v>1031</v>
      </c>
      <c r="H995" s="9" t="s">
        <v>2979</v>
      </c>
      <c r="I995" t="s">
        <v>3466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 t="str">
        <f t="shared" si="1"/>
        <v>Built-up :</v>
      </c>
      <c r="AE995" s="7" t="str">
        <f t="shared" si="2"/>
        <v> sq. ft.</v>
      </c>
      <c r="AF995">
        <f>IFERROR(__xludf.DUMMYFUNCTION("VALUE(REGEXREPLACE(G995,""[^[:digit:]]"", """"))"),3650.0)</f>
        <v>3650</v>
      </c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 t="s">
        <v>27</v>
      </c>
    </row>
    <row r="996">
      <c r="A996" s="7" t="s">
        <v>77</v>
      </c>
      <c r="B996" s="7" t="s">
        <v>920</v>
      </c>
      <c r="C996" s="7">
        <f t="shared" si="108"/>
        <v>5</v>
      </c>
      <c r="D996" s="7">
        <v>6.0</v>
      </c>
      <c r="E996" s="9">
        <v>2.0</v>
      </c>
      <c r="F996" s="7" t="s">
        <v>562</v>
      </c>
      <c r="G996" s="7" t="s">
        <v>498</v>
      </c>
      <c r="H996" s="9" t="s">
        <v>2979</v>
      </c>
      <c r="I996" t="s">
        <v>3196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 t="str">
        <f t="shared" si="1"/>
        <v>Built-up :</v>
      </c>
      <c r="AE996" s="7" t="str">
        <f t="shared" si="2"/>
        <v> sq. ft.</v>
      </c>
      <c r="AF996">
        <f>IFERROR(__xludf.DUMMYFUNCTION("VALUE(REGEXREPLACE(G996,""[^[:digit:]]"", """"))"),4000.0)</f>
        <v>4000</v>
      </c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 t="s">
        <v>27</v>
      </c>
    </row>
    <row r="997">
      <c r="A997" s="7" t="s">
        <v>77</v>
      </c>
      <c r="B997" s="7" t="s">
        <v>120</v>
      </c>
      <c r="C997" s="7">
        <f>3+1</f>
        <v>4</v>
      </c>
      <c r="D997" s="7">
        <v>5.0</v>
      </c>
      <c r="E997" s="9">
        <v>2.0</v>
      </c>
      <c r="F997" s="7" t="s">
        <v>169</v>
      </c>
      <c r="G997" s="7" t="s">
        <v>631</v>
      </c>
      <c r="H997" s="9" t="s">
        <v>2981</v>
      </c>
      <c r="I997" t="s">
        <v>3258</v>
      </c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 t="str">
        <f t="shared" si="1"/>
        <v>Land area </v>
      </c>
      <c r="AE997" s="7" t="str">
        <f t="shared" si="2"/>
        <v> sq. ft.</v>
      </c>
      <c r="AF997">
        <f>IFERROR(__xludf.DUMMYFUNCTION("VALUE(REGEXREPLACE(G997,""[^[:digit:]]"", """"))"),5000.0)</f>
        <v>5000</v>
      </c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 t="s">
        <v>27</v>
      </c>
    </row>
    <row r="998">
      <c r="A998" s="7" t="s">
        <v>77</v>
      </c>
      <c r="B998" s="7" t="s">
        <v>1032</v>
      </c>
      <c r="C998" s="7">
        <f>5+1</f>
        <v>6</v>
      </c>
      <c r="D998" s="7">
        <v>6.0</v>
      </c>
      <c r="E998" s="9">
        <v>2.0</v>
      </c>
      <c r="F998" s="7" t="s">
        <v>562</v>
      </c>
      <c r="G998" s="7" t="s">
        <v>1033</v>
      </c>
      <c r="H998" s="9" t="s">
        <v>2981</v>
      </c>
      <c r="I998" t="s">
        <v>3467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 t="str">
        <f t="shared" si="1"/>
        <v>Land area </v>
      </c>
      <c r="AE998" s="7" t="str">
        <f t="shared" si="2"/>
        <v> sq. ft.</v>
      </c>
      <c r="AF998">
        <f>IFERROR(__xludf.DUMMYFUNCTION("VALUE(REGEXREPLACE(G998,""[^[:digit:]]"", """"))"),0.0)</f>
        <v>0</v>
      </c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 t="s">
        <v>27</v>
      </c>
    </row>
    <row r="999">
      <c r="A999" s="7" t="s">
        <v>77</v>
      </c>
      <c r="B999" s="7" t="s">
        <v>151</v>
      </c>
      <c r="C999" s="7">
        <f>4+1</f>
        <v>5</v>
      </c>
      <c r="D999" s="7">
        <v>6.0</v>
      </c>
      <c r="E999" s="9">
        <v>2.0</v>
      </c>
      <c r="F999" s="7" t="s">
        <v>562</v>
      </c>
      <c r="G999" s="7" t="s">
        <v>1028</v>
      </c>
      <c r="H999" s="9" t="s">
        <v>2979</v>
      </c>
      <c r="I999" t="s">
        <v>3464</v>
      </c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 t="str">
        <f t="shared" si="1"/>
        <v>Built-up :</v>
      </c>
      <c r="AE999" s="7" t="str">
        <f t="shared" si="2"/>
        <v> sq. ft.</v>
      </c>
      <c r="AF999">
        <f>IFERROR(__xludf.DUMMYFUNCTION("VALUE(REGEXREPLACE(G999,""[^[:digit:]]"", """"))"),4400.0)</f>
        <v>4400</v>
      </c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 t="s">
        <v>27</v>
      </c>
    </row>
    <row r="1000">
      <c r="A1000" s="7" t="s">
        <v>72</v>
      </c>
      <c r="B1000" s="7" t="s">
        <v>206</v>
      </c>
      <c r="C1000" s="7">
        <f t="shared" ref="C1000:C1001" si="109">3+1</f>
        <v>4</v>
      </c>
      <c r="D1000" s="7">
        <v>2.0</v>
      </c>
      <c r="E1000" s="7">
        <v>2.0</v>
      </c>
      <c r="F1000" s="7" t="s">
        <v>93</v>
      </c>
      <c r="G1000" s="7" t="s">
        <v>1034</v>
      </c>
      <c r="H1000" s="9" t="s">
        <v>2979</v>
      </c>
      <c r="I1000" t="s">
        <v>3468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 t="str">
        <f t="shared" si="1"/>
        <v>Built-up :</v>
      </c>
      <c r="AE1000" s="7" t="str">
        <f t="shared" si="2"/>
        <v> sq. ft.</v>
      </c>
      <c r="AF1000">
        <f>IFERROR(__xludf.DUMMYFUNCTION("VALUE(REGEXREPLACE(G1000,""[^[:digit:]]"", """"))"),1448.0)</f>
        <v>1448</v>
      </c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 t="s">
        <v>27</v>
      </c>
    </row>
    <row r="1001">
      <c r="A1001" s="7" t="s">
        <v>77</v>
      </c>
      <c r="B1001" s="7" t="s">
        <v>460</v>
      </c>
      <c r="C1001" s="7">
        <f t="shared" si="109"/>
        <v>4</v>
      </c>
      <c r="D1001" s="7">
        <v>3.0</v>
      </c>
      <c r="E1001" s="9">
        <v>2.0</v>
      </c>
      <c r="F1001" s="7" t="s">
        <v>562</v>
      </c>
      <c r="G1001" s="7" t="s">
        <v>461</v>
      </c>
      <c r="H1001" s="9" t="s">
        <v>2979</v>
      </c>
      <c r="I1001" t="s">
        <v>3172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 t="str">
        <f t="shared" si="1"/>
        <v>Built-up :</v>
      </c>
      <c r="AE1001" s="7" t="str">
        <f t="shared" si="2"/>
        <v> sq. ft.</v>
      </c>
      <c r="AF1001">
        <f>IFERROR(__xludf.DUMMYFUNCTION("VALUE(REGEXREPLACE(G1001,""[^[:digit:]]"", """"))"),1900.0)</f>
        <v>1900</v>
      </c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 t="s">
        <v>27</v>
      </c>
    </row>
    <row r="1002">
      <c r="A1002" s="7" t="s">
        <v>77</v>
      </c>
      <c r="B1002" s="7" t="s">
        <v>390</v>
      </c>
      <c r="C1002" s="7">
        <f>5+2</f>
        <v>7</v>
      </c>
      <c r="D1002" s="7">
        <v>7.0</v>
      </c>
      <c r="E1002" s="9">
        <v>2.0</v>
      </c>
      <c r="F1002" s="7" t="s">
        <v>25</v>
      </c>
      <c r="G1002" s="7" t="s">
        <v>1035</v>
      </c>
      <c r="H1002" s="9" t="s">
        <v>2981</v>
      </c>
      <c r="I1002" t="s">
        <v>3469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 t="str">
        <f t="shared" si="1"/>
        <v>Land area </v>
      </c>
      <c r="AE1002" s="7" t="str">
        <f t="shared" si="2"/>
        <v> sq. ft.</v>
      </c>
      <c r="AF1002">
        <f>IFERROR(__xludf.DUMMYFUNCTION("VALUE(REGEXREPLACE(G1002,""[^[:digit:]]"", """"))"),6800.0)</f>
        <v>6800</v>
      </c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 t="s">
        <v>27</v>
      </c>
    </row>
    <row r="1003">
      <c r="A1003" s="7" t="s">
        <v>77</v>
      </c>
      <c r="B1003" s="7" t="s">
        <v>460</v>
      </c>
      <c r="C1003" s="7">
        <f>3</f>
        <v>3</v>
      </c>
      <c r="D1003" s="7">
        <v>3.0</v>
      </c>
      <c r="E1003" s="9">
        <v>2.0</v>
      </c>
      <c r="F1003" s="7" t="s">
        <v>203</v>
      </c>
      <c r="G1003" s="7" t="s">
        <v>461</v>
      </c>
      <c r="H1003" s="9" t="s">
        <v>2979</v>
      </c>
      <c r="I1003" t="s">
        <v>3172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 t="str">
        <f t="shared" si="1"/>
        <v>Built-up :</v>
      </c>
      <c r="AE1003" s="7" t="str">
        <f t="shared" si="2"/>
        <v> sq. ft.</v>
      </c>
      <c r="AF1003">
        <f>IFERROR(__xludf.DUMMYFUNCTION("VALUE(REGEXREPLACE(G1003,""[^[:digit:]]"", """"))"),1900.0)</f>
        <v>1900</v>
      </c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 t="s">
        <v>27</v>
      </c>
    </row>
    <row r="1004">
      <c r="A1004" s="7" t="s">
        <v>77</v>
      </c>
      <c r="B1004" s="7" t="s">
        <v>311</v>
      </c>
      <c r="C1004" s="7">
        <f>2+1</f>
        <v>3</v>
      </c>
      <c r="D1004" s="7">
        <v>2.0</v>
      </c>
      <c r="E1004" s="9">
        <v>2.0</v>
      </c>
      <c r="F1004" s="7" t="s">
        <v>83</v>
      </c>
      <c r="G1004" s="7" t="s">
        <v>490</v>
      </c>
      <c r="H1004" s="9" t="s">
        <v>2979</v>
      </c>
      <c r="I1004" t="s">
        <v>3189</v>
      </c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 t="str">
        <f t="shared" si="1"/>
        <v>Built-up :</v>
      </c>
      <c r="AE1004" s="7" t="str">
        <f t="shared" si="2"/>
        <v> sq. ft.</v>
      </c>
      <c r="AF1004">
        <f>IFERROR(__xludf.DUMMYFUNCTION("VALUE(REGEXREPLACE(G1004,""[^[:digit:]]"", """"))"),1378.0)</f>
        <v>1378</v>
      </c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 t="s">
        <v>22</v>
      </c>
    </row>
    <row r="1005">
      <c r="A1005" s="7" t="s">
        <v>77</v>
      </c>
      <c r="B1005" s="7" t="s">
        <v>921</v>
      </c>
      <c r="C1005" s="7">
        <f>5+1</f>
        <v>6</v>
      </c>
      <c r="D1005" s="7">
        <v>6.0</v>
      </c>
      <c r="E1005" s="9">
        <v>2.0</v>
      </c>
      <c r="F1005" s="7" t="s">
        <v>1036</v>
      </c>
      <c r="G1005" s="7" t="s">
        <v>1037</v>
      </c>
      <c r="H1005" s="9" t="s">
        <v>2979</v>
      </c>
      <c r="I1005" t="s">
        <v>3470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 t="str">
        <f t="shared" si="1"/>
        <v>Built-up :</v>
      </c>
      <c r="AE1005" s="7" t="str">
        <f t="shared" si="2"/>
        <v> sq. ft.</v>
      </c>
      <c r="AF1005">
        <f>IFERROR(__xludf.DUMMYFUNCTION("VALUE(REGEXREPLACE(G1005,""[^[:digit:]]"", """"))"),3500.0)</f>
        <v>3500</v>
      </c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 t="s">
        <v>27</v>
      </c>
    </row>
    <row r="1006">
      <c r="A1006" s="7" t="s">
        <v>77</v>
      </c>
      <c r="B1006" s="7" t="s">
        <v>475</v>
      </c>
      <c r="C1006" s="7">
        <f>4+1</f>
        <v>5</v>
      </c>
      <c r="D1006" s="7">
        <v>4.0</v>
      </c>
      <c r="E1006" s="9">
        <v>2.0</v>
      </c>
      <c r="F1006" s="7" t="s">
        <v>46</v>
      </c>
      <c r="G1006" s="7" t="s">
        <v>274</v>
      </c>
      <c r="H1006" s="9" t="s">
        <v>2981</v>
      </c>
      <c r="I1006" t="s">
        <v>3086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 t="s">
        <v>2990</v>
      </c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 t="str">
        <f t="shared" si="1"/>
        <v>Land area </v>
      </c>
      <c r="AE1006" s="7" t="str">
        <f t="shared" si="2"/>
        <v> sq. ft.</v>
      </c>
      <c r="AF1006">
        <f>IFERROR(__xludf.DUMMYFUNCTION("VALUE(REGEXREPLACE(G1006,""[^[:digit:]]"", """"))"),3875.0)</f>
        <v>3875</v>
      </c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 t="s">
        <v>27</v>
      </c>
    </row>
    <row r="1007">
      <c r="A1007" s="7" t="s">
        <v>77</v>
      </c>
      <c r="B1007" s="7" t="s">
        <v>1038</v>
      </c>
      <c r="C1007" s="7">
        <f>6+1</f>
        <v>7</v>
      </c>
      <c r="D1007" s="7">
        <v>9.0</v>
      </c>
      <c r="E1007" s="9">
        <v>2.0</v>
      </c>
      <c r="F1007" s="7" t="s">
        <v>1039</v>
      </c>
      <c r="G1007" s="7" t="s">
        <v>1040</v>
      </c>
      <c r="H1007" s="9" t="s">
        <v>2979</v>
      </c>
      <c r="I1007" t="s">
        <v>3471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 t="str">
        <f t="shared" si="1"/>
        <v>Built-up :</v>
      </c>
      <c r="AE1007" s="7" t="str">
        <f t="shared" si="2"/>
        <v> sq. ft.</v>
      </c>
      <c r="AF1007">
        <f>IFERROR(__xludf.DUMMYFUNCTION("VALUE(REGEXREPLACE(G1007,""[^[:digit:]]"", """"))"),6938.0)</f>
        <v>6938</v>
      </c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 t="s">
        <v>27</v>
      </c>
    </row>
    <row r="1008">
      <c r="A1008" s="7" t="s">
        <v>77</v>
      </c>
      <c r="B1008" s="7" t="s">
        <v>144</v>
      </c>
      <c r="C1008" s="7">
        <f>3+1</f>
        <v>4</v>
      </c>
      <c r="D1008" s="7">
        <v>3.0</v>
      </c>
      <c r="E1008" s="9">
        <v>2.0</v>
      </c>
      <c r="F1008" s="7" t="s">
        <v>83</v>
      </c>
      <c r="G1008" s="7" t="s">
        <v>1033</v>
      </c>
      <c r="H1008" s="9" t="s">
        <v>2981</v>
      </c>
      <c r="I1008" t="s">
        <v>3467</v>
      </c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 t="str">
        <f t="shared" si="1"/>
        <v>Land area </v>
      </c>
      <c r="AE1008" s="7" t="str">
        <f t="shared" si="2"/>
        <v> sq. ft.</v>
      </c>
      <c r="AF1008">
        <f>IFERROR(__xludf.DUMMYFUNCTION("VALUE(REGEXREPLACE(G1008,""[^[:digit:]]"", """"))"),0.0)</f>
        <v>0</v>
      </c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 t="s">
        <v>27</v>
      </c>
    </row>
    <row r="1009">
      <c r="A1009" s="7" t="s">
        <v>77</v>
      </c>
      <c r="B1009" s="7" t="s">
        <v>327</v>
      </c>
      <c r="C1009" s="7">
        <f t="shared" ref="C1009:C1010" si="110">3</f>
        <v>3</v>
      </c>
      <c r="D1009" s="7">
        <v>2.0</v>
      </c>
      <c r="E1009" s="9">
        <v>2.0</v>
      </c>
      <c r="F1009" s="7" t="s">
        <v>83</v>
      </c>
      <c r="G1009" s="7" t="s">
        <v>1041</v>
      </c>
      <c r="H1009" s="9" t="s">
        <v>2979</v>
      </c>
      <c r="I1009" t="s">
        <v>3472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 t="str">
        <f t="shared" si="1"/>
        <v>Built-up :</v>
      </c>
      <c r="AE1009" s="7" t="str">
        <f t="shared" si="2"/>
        <v> sq. ft.</v>
      </c>
      <c r="AF1009">
        <f>IFERROR(__xludf.DUMMYFUNCTION("VALUE(REGEXREPLACE(G1009,""[^[:digit:]]"", """"))"),1324.0)</f>
        <v>1324</v>
      </c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 t="s">
        <v>27</v>
      </c>
    </row>
    <row r="1010">
      <c r="A1010" s="7" t="s">
        <v>77</v>
      </c>
      <c r="B1010" s="7" t="s">
        <v>807</v>
      </c>
      <c r="C1010" s="7">
        <f t="shared" si="110"/>
        <v>3</v>
      </c>
      <c r="D1010" s="7">
        <v>2.0</v>
      </c>
      <c r="E1010" s="9">
        <v>2.0</v>
      </c>
      <c r="F1010" s="7" t="s">
        <v>83</v>
      </c>
      <c r="G1010" s="7" t="s">
        <v>1042</v>
      </c>
      <c r="H1010" s="9" t="s">
        <v>2979</v>
      </c>
      <c r="I1010" t="s">
        <v>3473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 t="str">
        <f t="shared" si="1"/>
        <v>Built-up :</v>
      </c>
      <c r="AE1010" s="7" t="str">
        <f t="shared" si="2"/>
        <v> sq. ft.</v>
      </c>
      <c r="AF1010">
        <f>IFERROR(__xludf.DUMMYFUNCTION("VALUE(REGEXREPLACE(G1010,""[^[:digit:]]"", """"))"),1377.0)</f>
        <v>1377</v>
      </c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 t="s">
        <v>27</v>
      </c>
    </row>
    <row r="1011">
      <c r="A1011" s="7" t="s">
        <v>77</v>
      </c>
      <c r="B1011" s="7" t="s">
        <v>403</v>
      </c>
      <c r="C1011" s="7">
        <f>2+1</f>
        <v>3</v>
      </c>
      <c r="D1011" s="7">
        <v>2.0</v>
      </c>
      <c r="E1011" s="7">
        <v>2.0</v>
      </c>
      <c r="F1011" s="7" t="s">
        <v>30</v>
      </c>
      <c r="G1011" s="7" t="s">
        <v>471</v>
      </c>
      <c r="H1011" s="9" t="s">
        <v>2979</v>
      </c>
      <c r="I1011" t="s">
        <v>3179</v>
      </c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 t="str">
        <f t="shared" si="1"/>
        <v>Built-up :</v>
      </c>
      <c r="AE1011" s="7" t="str">
        <f t="shared" si="2"/>
        <v> sq. ft.</v>
      </c>
      <c r="AF1011">
        <f>IFERROR(__xludf.DUMMYFUNCTION("VALUE(REGEXREPLACE(G1011,""[^[:digit:]]"", """"))"),1400.0)</f>
        <v>1400</v>
      </c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 t="s">
        <v>27</v>
      </c>
    </row>
    <row r="1012">
      <c r="A1012" s="7" t="s">
        <v>77</v>
      </c>
      <c r="B1012" s="7" t="s">
        <v>165</v>
      </c>
      <c r="C1012" s="7">
        <f>6+1</f>
        <v>7</v>
      </c>
      <c r="D1012" s="7">
        <v>6.0</v>
      </c>
      <c r="E1012" s="9">
        <v>2.0</v>
      </c>
      <c r="F1012" s="7" t="s">
        <v>43</v>
      </c>
      <c r="G1012" s="7" t="s">
        <v>1027</v>
      </c>
      <c r="H1012" s="9" t="s">
        <v>2979</v>
      </c>
      <c r="I1012" t="s">
        <v>3463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 t="str">
        <f t="shared" si="1"/>
        <v>Built-up :</v>
      </c>
      <c r="AE1012" s="7" t="str">
        <f t="shared" si="2"/>
        <v> sq. ft.</v>
      </c>
      <c r="AF1012">
        <f>IFERROR(__xludf.DUMMYFUNCTION("VALUE(REGEXREPLACE(G1012,""[^[:digit:]]"", """"))"),3200.0)</f>
        <v>3200</v>
      </c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 t="s">
        <v>27</v>
      </c>
    </row>
    <row r="1013">
      <c r="A1013" s="7" t="s">
        <v>77</v>
      </c>
      <c r="B1013" s="7" t="s">
        <v>229</v>
      </c>
      <c r="C1013" s="7">
        <f>2+1</f>
        <v>3</v>
      </c>
      <c r="D1013" s="7">
        <v>2.0</v>
      </c>
      <c r="E1013" s="7">
        <v>2.0</v>
      </c>
      <c r="F1013" s="7" t="s">
        <v>83</v>
      </c>
      <c r="G1013" s="7" t="s">
        <v>230</v>
      </c>
      <c r="H1013" s="9" t="s">
        <v>2979</v>
      </c>
      <c r="I1013" t="s">
        <v>3065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 t="str">
        <f t="shared" si="1"/>
        <v>Built-up :</v>
      </c>
      <c r="AE1013" s="7" t="str">
        <f t="shared" si="2"/>
        <v> sq. ft.</v>
      </c>
      <c r="AF1013">
        <f>IFERROR(__xludf.DUMMYFUNCTION("VALUE(REGEXREPLACE(G1013,""[^[:digit:]]"", """"))"),1389.0)</f>
        <v>1389</v>
      </c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 t="s">
        <v>27</v>
      </c>
    </row>
    <row r="1014">
      <c r="A1014" s="7" t="s">
        <v>77</v>
      </c>
      <c r="B1014" s="7" t="s">
        <v>426</v>
      </c>
      <c r="C1014" s="7">
        <f t="shared" ref="C1014:C1015" si="111">3+1</f>
        <v>4</v>
      </c>
      <c r="D1014" s="7">
        <v>3.0</v>
      </c>
      <c r="E1014" s="9">
        <v>2.0</v>
      </c>
      <c r="F1014" s="7" t="s">
        <v>83</v>
      </c>
      <c r="G1014" s="7" t="s">
        <v>1043</v>
      </c>
      <c r="H1014" s="9" t="s">
        <v>2979</v>
      </c>
      <c r="I1014" t="s">
        <v>3474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 t="str">
        <f t="shared" si="1"/>
        <v>Built-up :</v>
      </c>
      <c r="AE1014" s="7" t="str">
        <f t="shared" si="2"/>
        <v> sq. ft.</v>
      </c>
      <c r="AF1014">
        <f>IFERROR(__xludf.DUMMYFUNCTION("VALUE(REGEXREPLACE(G1014,""[^[:digit:]]"", """"))"),1777.0)</f>
        <v>1777</v>
      </c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 t="s">
        <v>27</v>
      </c>
    </row>
    <row r="1015">
      <c r="A1015" s="7" t="s">
        <v>77</v>
      </c>
      <c r="B1015" s="7" t="s">
        <v>349</v>
      </c>
      <c r="C1015" s="7">
        <f t="shared" si="111"/>
        <v>4</v>
      </c>
      <c r="D1015" s="7">
        <v>3.0</v>
      </c>
      <c r="E1015" s="7">
        <v>2.0</v>
      </c>
      <c r="F1015" s="7" t="s">
        <v>83</v>
      </c>
      <c r="G1015" s="7" t="s">
        <v>318</v>
      </c>
      <c r="H1015" s="9" t="s">
        <v>2979</v>
      </c>
      <c r="I1015" t="s">
        <v>3105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 t="str">
        <f t="shared" si="1"/>
        <v>Built-up :</v>
      </c>
      <c r="AE1015" s="7" t="str">
        <f t="shared" si="2"/>
        <v> sq. ft.</v>
      </c>
      <c r="AF1015">
        <f>IFERROR(__xludf.DUMMYFUNCTION("VALUE(REGEXREPLACE(G1015,""[^[:digit:]]"", """"))"),1572.0)</f>
        <v>1572</v>
      </c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 t="s">
        <v>22</v>
      </c>
    </row>
    <row r="1016">
      <c r="A1016" s="7" t="s">
        <v>77</v>
      </c>
      <c r="B1016" s="7" t="s">
        <v>1044</v>
      </c>
      <c r="C1016" s="7">
        <f>3</f>
        <v>3</v>
      </c>
      <c r="D1016" s="7">
        <v>2.0</v>
      </c>
      <c r="E1016" s="7">
        <v>2.0</v>
      </c>
      <c r="F1016" s="7" t="s">
        <v>83</v>
      </c>
      <c r="G1016" s="7" t="s">
        <v>230</v>
      </c>
      <c r="H1016" s="9" t="s">
        <v>2979</v>
      </c>
      <c r="I1016" t="s">
        <v>3065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 t="str">
        <f t="shared" si="1"/>
        <v>Built-up :</v>
      </c>
      <c r="AE1016" s="7" t="str">
        <f t="shared" si="2"/>
        <v> sq. ft.</v>
      </c>
      <c r="AF1016">
        <f>IFERROR(__xludf.DUMMYFUNCTION("VALUE(REGEXREPLACE(G1016,""[^[:digit:]]"", """"))"),1389.0)</f>
        <v>1389</v>
      </c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 t="s">
        <v>22</v>
      </c>
    </row>
    <row r="1017">
      <c r="A1017" s="7" t="s">
        <v>72</v>
      </c>
      <c r="B1017" s="7" t="s">
        <v>1045</v>
      </c>
      <c r="C1017" s="7">
        <f>3+1</f>
        <v>4</v>
      </c>
      <c r="D1017" s="7">
        <v>4.0</v>
      </c>
      <c r="E1017" s="9">
        <v>2.0</v>
      </c>
      <c r="F1017" s="7" t="s">
        <v>83</v>
      </c>
      <c r="G1017" s="7" t="s">
        <v>404</v>
      </c>
      <c r="H1017" s="9" t="s">
        <v>2979</v>
      </c>
      <c r="I1017" t="s">
        <v>3147</v>
      </c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 t="str">
        <f t="shared" si="1"/>
        <v>Built-up :</v>
      </c>
      <c r="AE1017" s="7" t="str">
        <f t="shared" si="2"/>
        <v> sq. ft.</v>
      </c>
      <c r="AF1017">
        <f>IFERROR(__xludf.DUMMYFUNCTION("VALUE(REGEXREPLACE(G1017,""[^[:digit:]]"", """"))"),1878.0)</f>
        <v>1878</v>
      </c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 t="s">
        <v>22</v>
      </c>
    </row>
    <row r="1018">
      <c r="A1018" s="7" t="s">
        <v>77</v>
      </c>
      <c r="B1018" s="7" t="s">
        <v>34</v>
      </c>
      <c r="C1018" s="7">
        <f>1+1</f>
        <v>2</v>
      </c>
      <c r="D1018" s="7">
        <v>1.0</v>
      </c>
      <c r="E1018" s="9">
        <v>2.0</v>
      </c>
      <c r="F1018" s="7" t="s">
        <v>83</v>
      </c>
      <c r="G1018" s="7" t="s">
        <v>323</v>
      </c>
      <c r="H1018" s="9" t="s">
        <v>2979</v>
      </c>
      <c r="I1018" t="s">
        <v>3108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 t="str">
        <f t="shared" si="1"/>
        <v>Built-up :</v>
      </c>
      <c r="AE1018" s="7" t="str">
        <f t="shared" si="2"/>
        <v> sq. ft.</v>
      </c>
      <c r="AF1018">
        <f>IFERROR(__xludf.DUMMYFUNCTION("VALUE(REGEXREPLACE(G1018,""[^[:digit:]]"", """"))"),915.0)</f>
        <v>915</v>
      </c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 t="s">
        <v>22</v>
      </c>
    </row>
    <row r="1019">
      <c r="A1019" s="7" t="s">
        <v>77</v>
      </c>
      <c r="B1019" s="7" t="s">
        <v>403</v>
      </c>
      <c r="C1019" s="7">
        <f t="shared" ref="C1019:C1020" si="112">3+1</f>
        <v>4</v>
      </c>
      <c r="D1019" s="7">
        <v>3.0</v>
      </c>
      <c r="E1019" s="9">
        <v>2.0</v>
      </c>
      <c r="F1019" s="7" t="s">
        <v>90</v>
      </c>
      <c r="G1019" s="7" t="s">
        <v>461</v>
      </c>
      <c r="H1019" s="9" t="s">
        <v>2979</v>
      </c>
      <c r="I1019" t="s">
        <v>3172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 t="str">
        <f t="shared" si="1"/>
        <v>Built-up :</v>
      </c>
      <c r="AE1019" s="7" t="str">
        <f t="shared" si="2"/>
        <v> sq. ft.</v>
      </c>
      <c r="AF1019">
        <f>IFERROR(__xludf.DUMMYFUNCTION("VALUE(REGEXREPLACE(G1019,""[^[:digit:]]"", """"))"),1900.0)</f>
        <v>1900</v>
      </c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 t="s">
        <v>27</v>
      </c>
    </row>
    <row r="1020">
      <c r="A1020" s="7" t="s">
        <v>77</v>
      </c>
      <c r="B1020" s="7" t="s">
        <v>526</v>
      </c>
      <c r="C1020" s="7">
        <f t="shared" si="112"/>
        <v>4</v>
      </c>
      <c r="D1020" s="7">
        <v>4.0</v>
      </c>
      <c r="E1020" s="9">
        <v>2.0</v>
      </c>
      <c r="F1020" s="7" t="s">
        <v>83</v>
      </c>
      <c r="G1020" s="7" t="s">
        <v>1046</v>
      </c>
      <c r="H1020" s="9" t="s">
        <v>2979</v>
      </c>
      <c r="I1020" t="s">
        <v>3475</v>
      </c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 t="str">
        <f t="shared" si="1"/>
        <v>Built-up :</v>
      </c>
      <c r="AE1020" s="7" t="str">
        <f t="shared" si="2"/>
        <v> sq. ft.</v>
      </c>
      <c r="AF1020">
        <f>IFERROR(__xludf.DUMMYFUNCTION("VALUE(REGEXREPLACE(G1020,""[^[:digit:]]"", """"))"),1653.0)</f>
        <v>1653</v>
      </c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 t="s">
        <v>22</v>
      </c>
    </row>
    <row r="1021">
      <c r="A1021" s="7" t="s">
        <v>72</v>
      </c>
      <c r="B1021" s="7" t="s">
        <v>1047</v>
      </c>
      <c r="C1021" s="7">
        <f>4+1</f>
        <v>5</v>
      </c>
      <c r="D1021" s="7">
        <v>5.0</v>
      </c>
      <c r="E1021" s="7">
        <v>3.0</v>
      </c>
      <c r="F1021" s="7" t="s">
        <v>83</v>
      </c>
      <c r="G1021" s="7" t="s">
        <v>994</v>
      </c>
      <c r="H1021" s="9" t="s">
        <v>2979</v>
      </c>
      <c r="I1021" t="s">
        <v>3441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 t="str">
        <f t="shared" si="1"/>
        <v>Built-up :</v>
      </c>
      <c r="AE1021" s="7" t="str">
        <f t="shared" si="2"/>
        <v> sq. ft.</v>
      </c>
      <c r="AF1021">
        <f>IFERROR(__xludf.DUMMYFUNCTION("VALUE(REGEXREPLACE(G1021,""[^[:digit:]]"", """"))"),3668.0)</f>
        <v>3668</v>
      </c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 t="s">
        <v>27</v>
      </c>
    </row>
    <row r="1022">
      <c r="A1022" s="7" t="s">
        <v>28</v>
      </c>
      <c r="B1022" s="7" t="s">
        <v>1048</v>
      </c>
      <c r="C1022" s="7">
        <f>3+1</f>
        <v>4</v>
      </c>
      <c r="D1022" s="7">
        <v>5.0</v>
      </c>
      <c r="E1022" s="7">
        <v>2.0</v>
      </c>
      <c r="F1022" s="7" t="s">
        <v>83</v>
      </c>
      <c r="G1022" s="7" t="s">
        <v>215</v>
      </c>
      <c r="H1022" s="9" t="s">
        <v>2979</v>
      </c>
      <c r="I1022" t="s">
        <v>3056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 t="str">
        <f t="shared" si="1"/>
        <v>Built-up :</v>
      </c>
      <c r="AE1022" s="7" t="str">
        <f t="shared" si="2"/>
        <v> sq. ft.</v>
      </c>
      <c r="AF1022">
        <f>IFERROR(__xludf.DUMMYFUNCTION("VALUE(REGEXREPLACE(G1022,""[^[:digit:]]"", """"))"),1942.0)</f>
        <v>1942</v>
      </c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 t="s">
        <v>251</v>
      </c>
    </row>
    <row r="1023">
      <c r="A1023" s="7" t="s">
        <v>72</v>
      </c>
      <c r="B1023" s="7" t="s">
        <v>534</v>
      </c>
      <c r="C1023" s="7">
        <f t="shared" ref="C1023:C1026" si="113">4+1</f>
        <v>5</v>
      </c>
      <c r="D1023" s="7">
        <v>5.0</v>
      </c>
      <c r="E1023" s="7">
        <v>3.0</v>
      </c>
      <c r="F1023" s="7" t="s">
        <v>83</v>
      </c>
      <c r="G1023" s="7" t="s">
        <v>994</v>
      </c>
      <c r="H1023" s="9" t="s">
        <v>2979</v>
      </c>
      <c r="I1023" t="s">
        <v>3441</v>
      </c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 t="str">
        <f t="shared" si="1"/>
        <v>Built-up :</v>
      </c>
      <c r="AE1023" s="7" t="str">
        <f t="shared" si="2"/>
        <v> sq. ft.</v>
      </c>
      <c r="AF1023">
        <f>IFERROR(__xludf.DUMMYFUNCTION("VALUE(REGEXREPLACE(G1023,""[^[:digit:]]"", """"))"),3668.0)</f>
        <v>3668</v>
      </c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 t="s">
        <v>22</v>
      </c>
    </row>
    <row r="1024">
      <c r="A1024" s="7" t="s">
        <v>72</v>
      </c>
      <c r="B1024" s="7" t="s">
        <v>484</v>
      </c>
      <c r="C1024" s="7">
        <f t="shared" si="113"/>
        <v>5</v>
      </c>
      <c r="D1024" s="7">
        <v>6.0</v>
      </c>
      <c r="E1024" s="7">
        <v>3.0</v>
      </c>
      <c r="F1024" s="7" t="s">
        <v>83</v>
      </c>
      <c r="G1024" s="7" t="s">
        <v>994</v>
      </c>
      <c r="H1024" s="9" t="s">
        <v>2979</v>
      </c>
      <c r="I1024" t="s">
        <v>3441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 t="str">
        <f t="shared" si="1"/>
        <v>Built-up :</v>
      </c>
      <c r="AE1024" s="7" t="str">
        <f t="shared" si="2"/>
        <v> sq. ft.</v>
      </c>
      <c r="AF1024">
        <f>IFERROR(__xludf.DUMMYFUNCTION("VALUE(REGEXREPLACE(G1024,""[^[:digit:]]"", """"))"),3668.0)</f>
        <v>3668</v>
      </c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 t="s">
        <v>27</v>
      </c>
    </row>
    <row r="1025">
      <c r="A1025" s="7" t="s">
        <v>72</v>
      </c>
      <c r="B1025" s="7" t="s">
        <v>429</v>
      </c>
      <c r="C1025" s="7">
        <f t="shared" si="113"/>
        <v>5</v>
      </c>
      <c r="D1025" s="7">
        <v>6.0</v>
      </c>
      <c r="E1025" s="7">
        <v>3.0</v>
      </c>
      <c r="F1025" s="7" t="s">
        <v>83</v>
      </c>
      <c r="G1025" s="7" t="s">
        <v>147</v>
      </c>
      <c r="H1025" s="9" t="s">
        <v>2979</v>
      </c>
      <c r="I1025" t="s">
        <v>3027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 t="str">
        <f t="shared" si="1"/>
        <v>Built-up :</v>
      </c>
      <c r="AE1025" s="7" t="str">
        <f t="shared" si="2"/>
        <v> sq. ft.</v>
      </c>
      <c r="AF1025">
        <f>IFERROR(__xludf.DUMMYFUNCTION("VALUE(REGEXREPLACE(G1025,""[^[:digit:]]"", """"))"),4090.0)</f>
        <v>4090</v>
      </c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 t="s">
        <v>27</v>
      </c>
    </row>
    <row r="1026">
      <c r="A1026" s="7" t="s">
        <v>72</v>
      </c>
      <c r="B1026" s="7" t="s">
        <v>849</v>
      </c>
      <c r="C1026" s="7">
        <f t="shared" si="113"/>
        <v>5</v>
      </c>
      <c r="D1026" s="7">
        <v>6.0</v>
      </c>
      <c r="E1026" s="7">
        <v>3.0</v>
      </c>
      <c r="F1026" s="7" t="s">
        <v>83</v>
      </c>
      <c r="G1026" s="7" t="s">
        <v>622</v>
      </c>
      <c r="H1026" s="9" t="s">
        <v>2979</v>
      </c>
      <c r="I1026" t="s">
        <v>3252</v>
      </c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 t="str">
        <f t="shared" si="1"/>
        <v>Built-up :</v>
      </c>
      <c r="AE1026" s="7" t="str">
        <f t="shared" si="2"/>
        <v> sq. ft.</v>
      </c>
      <c r="AF1026">
        <f>IFERROR(__xludf.DUMMYFUNCTION("VALUE(REGEXREPLACE(G1026,""[^[:digit:]]"", """"))"),3478.0)</f>
        <v>3478</v>
      </c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 t="s">
        <v>22</v>
      </c>
    </row>
    <row r="1027">
      <c r="A1027" s="7" t="s">
        <v>28</v>
      </c>
      <c r="B1027" s="7" t="s">
        <v>1049</v>
      </c>
      <c r="C1027" s="7">
        <f>3+1</f>
        <v>4</v>
      </c>
      <c r="D1027" s="7">
        <v>5.0</v>
      </c>
      <c r="E1027" s="7">
        <v>2.0</v>
      </c>
      <c r="F1027" s="7" t="s">
        <v>83</v>
      </c>
      <c r="G1027" s="7" t="s">
        <v>1050</v>
      </c>
      <c r="H1027" s="9" t="s">
        <v>2979</v>
      </c>
      <c r="I1027" t="s">
        <v>3476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 t="str">
        <f t="shared" si="1"/>
        <v>Built-up :</v>
      </c>
      <c r="AE1027" s="7" t="str">
        <f t="shared" si="2"/>
        <v> sq. ft.</v>
      </c>
      <c r="AF1027">
        <f>IFERROR(__xludf.DUMMYFUNCTION("VALUE(REGEXREPLACE(G1027,""[^[:digit:]]"", """"))"),2081.0)</f>
        <v>2081</v>
      </c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 t="s">
        <v>251</v>
      </c>
    </row>
    <row r="1028">
      <c r="A1028" s="7" t="s">
        <v>77</v>
      </c>
      <c r="B1028" s="7" t="s">
        <v>42</v>
      </c>
      <c r="C1028" s="7">
        <f>4+1</f>
        <v>5</v>
      </c>
      <c r="D1028" s="7">
        <v>6.0</v>
      </c>
      <c r="E1028" s="7">
        <v>2.0</v>
      </c>
      <c r="F1028" s="7" t="s">
        <v>562</v>
      </c>
      <c r="G1028" s="7" t="s">
        <v>1051</v>
      </c>
      <c r="H1028" s="9" t="s">
        <v>2979</v>
      </c>
      <c r="I1028" t="s">
        <v>3477</v>
      </c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 t="str">
        <f t="shared" si="1"/>
        <v>Built-up :</v>
      </c>
      <c r="AE1028" s="7" t="str">
        <f t="shared" si="2"/>
        <v> sq. ft.</v>
      </c>
      <c r="AF1028">
        <f>IFERROR(__xludf.DUMMYFUNCTION("VALUE(REGEXREPLACE(G1028,""[^[:digit:]]"", """"))"),3197.0)</f>
        <v>3197</v>
      </c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 t="s">
        <v>27</v>
      </c>
    </row>
    <row r="1029">
      <c r="A1029" s="7" t="s">
        <v>77</v>
      </c>
      <c r="B1029" s="7" t="s">
        <v>132</v>
      </c>
      <c r="C1029" s="7">
        <f>2</f>
        <v>2</v>
      </c>
      <c r="D1029" s="7">
        <v>1.0</v>
      </c>
      <c r="E1029" s="7">
        <v>2.0</v>
      </c>
      <c r="F1029" s="7" t="s">
        <v>93</v>
      </c>
      <c r="G1029" s="7" t="s">
        <v>1052</v>
      </c>
      <c r="H1029" s="9" t="s">
        <v>2979</v>
      </c>
      <c r="I1029" t="s">
        <v>3478</v>
      </c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 t="str">
        <f t="shared" si="1"/>
        <v>Built-up :</v>
      </c>
      <c r="AE1029" s="7" t="str">
        <f t="shared" si="2"/>
        <v> sq. ft.</v>
      </c>
      <c r="AF1029">
        <f>IFERROR(__xludf.DUMMYFUNCTION("VALUE(REGEXREPLACE(G1029,""[^[:digit:]]"", """"))"),1034.0)</f>
        <v>1034</v>
      </c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 t="s">
        <v>27</v>
      </c>
    </row>
    <row r="1030">
      <c r="A1030" s="7" t="s">
        <v>77</v>
      </c>
      <c r="B1030" s="7" t="s">
        <v>1053</v>
      </c>
      <c r="E1030" s="9">
        <v>2.0</v>
      </c>
      <c r="F1030" s="7" t="s">
        <v>667</v>
      </c>
      <c r="G1030" s="7" t="s">
        <v>1054</v>
      </c>
      <c r="H1030" s="9" t="s">
        <v>2979</v>
      </c>
      <c r="I1030" t="s">
        <v>3479</v>
      </c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 t="str">
        <f t="shared" si="1"/>
        <v>Built-up :</v>
      </c>
      <c r="AE1030" s="7" t="str">
        <f t="shared" si="2"/>
        <v> sq. ft.</v>
      </c>
      <c r="AF1030">
        <f>IFERROR(__xludf.DUMMYFUNCTION("VALUE(REGEXREPLACE(G1030,""[^[:digit:]]"", """"))"),11000.0)</f>
        <v>11000</v>
      </c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</row>
    <row r="1031">
      <c r="A1031" s="7" t="s">
        <v>77</v>
      </c>
      <c r="B1031" s="7" t="s">
        <v>329</v>
      </c>
      <c r="C1031" s="7">
        <f>2+1</f>
        <v>3</v>
      </c>
      <c r="D1031" s="7">
        <v>3.0</v>
      </c>
      <c r="E1031" s="9">
        <v>2.0</v>
      </c>
      <c r="F1031" s="7" t="s">
        <v>93</v>
      </c>
      <c r="G1031" s="7" t="s">
        <v>481</v>
      </c>
      <c r="H1031" s="9" t="s">
        <v>2979</v>
      </c>
      <c r="I1031" t="s">
        <v>3184</v>
      </c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 t="str">
        <f t="shared" si="1"/>
        <v>Built-up :</v>
      </c>
      <c r="AE1031" s="7" t="str">
        <f t="shared" si="2"/>
        <v> sq. ft.</v>
      </c>
      <c r="AF1031">
        <f>IFERROR(__xludf.DUMMYFUNCTION("VALUE(REGEXREPLACE(G1031,""[^[:digit:]]"", """"))"),1507.0)</f>
        <v>1507</v>
      </c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 t="s">
        <v>22</v>
      </c>
    </row>
    <row r="1032">
      <c r="A1032" s="7" t="s">
        <v>77</v>
      </c>
      <c r="B1032" s="7" t="s">
        <v>1055</v>
      </c>
      <c r="C1032" s="7">
        <f>3+2</f>
        <v>5</v>
      </c>
      <c r="D1032" s="7">
        <v>6.0</v>
      </c>
      <c r="E1032" s="9">
        <v>2.0</v>
      </c>
      <c r="F1032" s="7" t="s">
        <v>203</v>
      </c>
      <c r="G1032" s="7" t="s">
        <v>1056</v>
      </c>
      <c r="H1032" s="9" t="s">
        <v>2979</v>
      </c>
      <c r="I1032" t="s">
        <v>3480</v>
      </c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 t="str">
        <f t="shared" si="1"/>
        <v>Built-up :</v>
      </c>
      <c r="AE1032" s="7" t="str">
        <f t="shared" si="2"/>
        <v> sq. ft.</v>
      </c>
      <c r="AF1032">
        <f>IFERROR(__xludf.DUMMYFUNCTION("VALUE(REGEXREPLACE(G1032,""[^[:digit:]]"", """"))"),4471.0)</f>
        <v>4471</v>
      </c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 t="s">
        <v>103</v>
      </c>
    </row>
    <row r="1033">
      <c r="A1033" s="7" t="s">
        <v>77</v>
      </c>
      <c r="B1033" s="7" t="s">
        <v>322</v>
      </c>
      <c r="C1033" s="7">
        <f>3+1</f>
        <v>4</v>
      </c>
      <c r="D1033" s="7">
        <v>4.0</v>
      </c>
      <c r="E1033" s="9">
        <v>2.0</v>
      </c>
      <c r="F1033" s="7" t="s">
        <v>83</v>
      </c>
      <c r="G1033" s="7" t="s">
        <v>1057</v>
      </c>
      <c r="H1033" s="9" t="s">
        <v>2979</v>
      </c>
      <c r="I1033" t="s">
        <v>3481</v>
      </c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 t="str">
        <f t="shared" si="1"/>
        <v>Built-up :</v>
      </c>
      <c r="AE1033" s="7" t="str">
        <f t="shared" si="2"/>
        <v> sq. ft.</v>
      </c>
      <c r="AF1033">
        <f>IFERROR(__xludf.DUMMYFUNCTION("VALUE(REGEXREPLACE(G1033,""[^[:digit:]]"", """"))"),2110.0)</f>
        <v>2110</v>
      </c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 t="s">
        <v>27</v>
      </c>
    </row>
    <row r="1034">
      <c r="A1034" s="7" t="s">
        <v>77</v>
      </c>
      <c r="B1034" s="7" t="s">
        <v>1058</v>
      </c>
      <c r="E1034" s="9">
        <v>2.0</v>
      </c>
      <c r="F1034" s="7" t="s">
        <v>667</v>
      </c>
      <c r="G1034" s="7" t="s">
        <v>1059</v>
      </c>
      <c r="H1034" s="9" t="s">
        <v>2981</v>
      </c>
      <c r="I1034" t="s">
        <v>3482</v>
      </c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 t="str">
        <f t="shared" si="1"/>
        <v>Land area </v>
      </c>
      <c r="AE1034" s="7" t="str">
        <f t="shared" si="2"/>
        <v> sq. ft.</v>
      </c>
      <c r="AF1034">
        <f>IFERROR(__xludf.DUMMYFUNCTION("VALUE(REGEXREPLACE(G1034,""[^[:digit:]]"", """"))"),19000.0)</f>
        <v>19000</v>
      </c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 t="s">
        <v>22</v>
      </c>
    </row>
    <row r="1035">
      <c r="A1035" s="7" t="s">
        <v>77</v>
      </c>
      <c r="B1035" s="7" t="s">
        <v>311</v>
      </c>
      <c r="C1035" s="7">
        <f>2+1</f>
        <v>3</v>
      </c>
      <c r="D1035" s="7">
        <v>2.0</v>
      </c>
      <c r="E1035" s="9">
        <v>2.0</v>
      </c>
      <c r="F1035" s="7" t="s">
        <v>83</v>
      </c>
      <c r="G1035" s="7" t="s">
        <v>490</v>
      </c>
      <c r="H1035" s="9" t="s">
        <v>2979</v>
      </c>
      <c r="I1035" t="s">
        <v>3189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 t="str">
        <f t="shared" si="1"/>
        <v>Built-up :</v>
      </c>
      <c r="AE1035" s="7" t="str">
        <f t="shared" si="2"/>
        <v> sq. ft.</v>
      </c>
      <c r="AF1035">
        <f>IFERROR(__xludf.DUMMYFUNCTION("VALUE(REGEXREPLACE(G1035,""[^[:digit:]]"", """"))"),1378.0)</f>
        <v>1378</v>
      </c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 t="s">
        <v>22</v>
      </c>
    </row>
    <row r="1036">
      <c r="A1036" s="7" t="s">
        <v>77</v>
      </c>
      <c r="B1036" s="7" t="s">
        <v>1060</v>
      </c>
      <c r="C1036" s="7">
        <f>5+1</f>
        <v>6</v>
      </c>
      <c r="D1036" s="7">
        <v>7.0</v>
      </c>
      <c r="E1036" s="7">
        <v>2.0</v>
      </c>
      <c r="F1036" s="7" t="s">
        <v>562</v>
      </c>
      <c r="G1036" s="7" t="s">
        <v>1061</v>
      </c>
      <c r="H1036" s="9" t="s">
        <v>2979</v>
      </c>
      <c r="I1036" t="s">
        <v>3483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 t="str">
        <f t="shared" si="1"/>
        <v>Built-up :</v>
      </c>
      <c r="AE1036" s="7" t="str">
        <f t="shared" si="2"/>
        <v> sq. ft.</v>
      </c>
      <c r="AF1036">
        <f>IFERROR(__xludf.DUMMYFUNCTION("VALUE(REGEXREPLACE(G1036,""[^[:digit:]]"", """"))"),6088.0)</f>
        <v>6088</v>
      </c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 t="s">
        <v>27</v>
      </c>
    </row>
    <row r="1037">
      <c r="A1037" s="7" t="s">
        <v>77</v>
      </c>
      <c r="B1037" s="7" t="s">
        <v>472</v>
      </c>
      <c r="C1037" s="7">
        <f>3+1</f>
        <v>4</v>
      </c>
      <c r="D1037" s="7">
        <v>3.0</v>
      </c>
      <c r="E1037" s="9">
        <v>2.0</v>
      </c>
      <c r="F1037" s="7" t="s">
        <v>83</v>
      </c>
      <c r="G1037" s="7" t="s">
        <v>473</v>
      </c>
      <c r="H1037" s="9" t="s">
        <v>2979</v>
      </c>
      <c r="I1037" t="s">
        <v>3180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 t="str">
        <f t="shared" si="1"/>
        <v>Built-up :</v>
      </c>
      <c r="AE1037" s="7" t="str">
        <f t="shared" si="2"/>
        <v> sq. ft.</v>
      </c>
      <c r="AF1037">
        <f>IFERROR(__xludf.DUMMYFUNCTION("VALUE(REGEXREPLACE(G1037,""[^[:digit:]]"", """"))"),1690.0)</f>
        <v>1690</v>
      </c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 t="s">
        <v>22</v>
      </c>
    </row>
    <row r="1038">
      <c r="A1038" s="7" t="s">
        <v>77</v>
      </c>
      <c r="B1038" s="7" t="s">
        <v>214</v>
      </c>
      <c r="C1038" s="7">
        <f>2</f>
        <v>2</v>
      </c>
      <c r="D1038" s="7">
        <v>2.0</v>
      </c>
      <c r="E1038" s="7">
        <v>2.0</v>
      </c>
      <c r="F1038" s="7" t="s">
        <v>83</v>
      </c>
      <c r="G1038" s="7" t="s">
        <v>237</v>
      </c>
      <c r="H1038" s="9" t="s">
        <v>2979</v>
      </c>
      <c r="I1038" t="s">
        <v>3069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 t="str">
        <f t="shared" si="1"/>
        <v>Built-up :</v>
      </c>
      <c r="AE1038" s="7" t="str">
        <f t="shared" si="2"/>
        <v> sq. ft.</v>
      </c>
      <c r="AF1038">
        <f>IFERROR(__xludf.DUMMYFUNCTION("VALUE(REGEXREPLACE(G1038,""[^[:digit:]]"", """"))"),1087.0)</f>
        <v>1087</v>
      </c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 t="s">
        <v>22</v>
      </c>
    </row>
    <row r="1039">
      <c r="A1039" s="7" t="s">
        <v>77</v>
      </c>
      <c r="B1039" s="7" t="s">
        <v>298</v>
      </c>
      <c r="C1039" s="7">
        <f>6+1</f>
        <v>7</v>
      </c>
      <c r="D1039" s="7">
        <v>9.0</v>
      </c>
      <c r="E1039" s="7">
        <v>2.0</v>
      </c>
      <c r="F1039" s="7" t="s">
        <v>1036</v>
      </c>
      <c r="G1039" s="7" t="s">
        <v>301</v>
      </c>
      <c r="H1039" s="9" t="s">
        <v>2979</v>
      </c>
      <c r="I1039" t="s">
        <v>3098</v>
      </c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 t="str">
        <f t="shared" si="1"/>
        <v>Built-up :</v>
      </c>
      <c r="AE1039" s="7" t="str">
        <f t="shared" si="2"/>
        <v> sq. ft.</v>
      </c>
      <c r="AF1039">
        <f>IFERROR(__xludf.DUMMYFUNCTION("VALUE(REGEXREPLACE(G1039,""[^[:digit:]]"", """"))"),7000.0)</f>
        <v>7000</v>
      </c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 t="s">
        <v>27</v>
      </c>
    </row>
    <row r="1040">
      <c r="A1040" s="7" t="s">
        <v>72</v>
      </c>
      <c r="B1040" s="7" t="s">
        <v>272</v>
      </c>
      <c r="C1040" s="7">
        <f>4+1</f>
        <v>5</v>
      </c>
      <c r="D1040" s="7">
        <v>5.0</v>
      </c>
      <c r="E1040" s="7">
        <v>3.0</v>
      </c>
      <c r="F1040" s="7" t="s">
        <v>83</v>
      </c>
      <c r="G1040" s="7" t="s">
        <v>76</v>
      </c>
      <c r="H1040" s="9" t="s">
        <v>2979</v>
      </c>
      <c r="I1040" t="s">
        <v>2999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 t="str">
        <f t="shared" si="1"/>
        <v>Built-up :</v>
      </c>
      <c r="AE1040" s="7" t="str">
        <f t="shared" si="2"/>
        <v> sq. ft.</v>
      </c>
      <c r="AF1040">
        <f>IFERROR(__xludf.DUMMYFUNCTION("VALUE(REGEXREPLACE(G1040,""[^[:digit:]]"", """"))"),3720.0)</f>
        <v>3720</v>
      </c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 t="s">
        <v>22</v>
      </c>
    </row>
    <row r="1041">
      <c r="A1041" s="7" t="s">
        <v>77</v>
      </c>
      <c r="B1041" s="7" t="s">
        <v>1062</v>
      </c>
      <c r="E1041" s="9">
        <v>2.0</v>
      </c>
      <c r="F1041" s="7" t="s">
        <v>667</v>
      </c>
      <c r="G1041" s="7" t="s">
        <v>1063</v>
      </c>
      <c r="H1041" s="9" t="s">
        <v>2981</v>
      </c>
      <c r="I1041" t="s">
        <v>3484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 t="str">
        <f t="shared" si="1"/>
        <v>Land area </v>
      </c>
      <c r="AE1041" s="7" t="str">
        <f t="shared" si="2"/>
        <v> sq. ft.</v>
      </c>
      <c r="AF1041">
        <f>IFERROR(__xludf.DUMMYFUNCTION("VALUE(REGEXREPLACE(G1041,""[^[:digit:]]"", """"))"),9000.0)</f>
        <v>9000</v>
      </c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 t="s">
        <v>22</v>
      </c>
    </row>
    <row r="1042">
      <c r="A1042" s="7" t="s">
        <v>77</v>
      </c>
      <c r="B1042" s="7" t="s">
        <v>422</v>
      </c>
      <c r="C1042" s="7">
        <f t="shared" ref="C1042:C1045" si="114">3+1</f>
        <v>4</v>
      </c>
      <c r="D1042" s="7">
        <v>4.0</v>
      </c>
      <c r="E1042" s="9">
        <v>2.0</v>
      </c>
      <c r="F1042" s="7" t="s">
        <v>169</v>
      </c>
      <c r="G1042" s="7" t="s">
        <v>1064</v>
      </c>
      <c r="H1042" s="9" t="s">
        <v>2979</v>
      </c>
      <c r="I1042" t="s">
        <v>3485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 t="str">
        <f t="shared" si="1"/>
        <v>Built-up :</v>
      </c>
      <c r="AE1042" s="7" t="str">
        <f t="shared" si="2"/>
        <v> sq. ft.</v>
      </c>
      <c r="AF1042">
        <f>IFERROR(__xludf.DUMMYFUNCTION("VALUE(REGEXREPLACE(G1042,""[^[:digit:]]"", """"))"),2541.0)</f>
        <v>2541</v>
      </c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 t="s">
        <v>27</v>
      </c>
    </row>
    <row r="1043">
      <c r="A1043" s="7" t="s">
        <v>77</v>
      </c>
      <c r="B1043" s="7" t="s">
        <v>1065</v>
      </c>
      <c r="C1043" s="7">
        <f t="shared" si="114"/>
        <v>4</v>
      </c>
      <c r="D1043" s="7">
        <v>3.0</v>
      </c>
      <c r="E1043" s="9">
        <v>2.0</v>
      </c>
      <c r="F1043" s="7" t="s">
        <v>562</v>
      </c>
      <c r="G1043" s="7" t="s">
        <v>461</v>
      </c>
      <c r="H1043" s="9" t="s">
        <v>2979</v>
      </c>
      <c r="I1043" t="s">
        <v>3172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 t="str">
        <f t="shared" si="1"/>
        <v>Built-up :</v>
      </c>
      <c r="AE1043" s="7" t="str">
        <f t="shared" si="2"/>
        <v> sq. ft.</v>
      </c>
      <c r="AF1043">
        <f>IFERROR(__xludf.DUMMYFUNCTION("VALUE(REGEXREPLACE(G1043,""[^[:digit:]]"", """"))"),1900.0)</f>
        <v>1900</v>
      </c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 t="s">
        <v>27</v>
      </c>
    </row>
    <row r="1044">
      <c r="A1044" s="7" t="s">
        <v>77</v>
      </c>
      <c r="B1044" s="7" t="s">
        <v>247</v>
      </c>
      <c r="C1044" s="7">
        <f t="shared" si="114"/>
        <v>4</v>
      </c>
      <c r="D1044" s="7">
        <v>3.0</v>
      </c>
      <c r="E1044" s="9">
        <v>2.0</v>
      </c>
      <c r="F1044" s="7" t="s">
        <v>169</v>
      </c>
      <c r="G1044" s="7" t="s">
        <v>1066</v>
      </c>
      <c r="H1044" s="9" t="s">
        <v>2979</v>
      </c>
      <c r="I1044" t="s">
        <v>3486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 t="str">
        <f t="shared" si="1"/>
        <v>Built-up :</v>
      </c>
      <c r="AE1044" s="7" t="str">
        <f t="shared" si="2"/>
        <v> sq. ft.</v>
      </c>
      <c r="AF1044">
        <f>IFERROR(__xludf.DUMMYFUNCTION("VALUE(REGEXREPLACE(G1044,""[^[:digit:]]"", """"))"),2390.0)</f>
        <v>2390</v>
      </c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 t="s">
        <v>22</v>
      </c>
    </row>
    <row r="1045">
      <c r="A1045" s="7" t="s">
        <v>77</v>
      </c>
      <c r="B1045" s="7" t="s">
        <v>1067</v>
      </c>
      <c r="C1045" s="7">
        <f t="shared" si="114"/>
        <v>4</v>
      </c>
      <c r="D1045" s="7">
        <v>2.0</v>
      </c>
      <c r="E1045" s="7">
        <v>2.0</v>
      </c>
      <c r="F1045" s="7" t="s">
        <v>83</v>
      </c>
      <c r="G1045" s="7" t="s">
        <v>1068</v>
      </c>
      <c r="H1045" s="9" t="s">
        <v>2979</v>
      </c>
      <c r="I1045" t="s">
        <v>3487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 t="str">
        <f t="shared" si="1"/>
        <v>Built-up :</v>
      </c>
      <c r="AE1045" s="7" t="str">
        <f t="shared" si="2"/>
        <v> sq. ft.</v>
      </c>
      <c r="AF1045">
        <f>IFERROR(__xludf.DUMMYFUNCTION("VALUE(REGEXREPLACE(G1045,""[^[:digit:]]"", """"))"),1333.0)</f>
        <v>1333</v>
      </c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 t="s">
        <v>251</v>
      </c>
    </row>
    <row r="1046">
      <c r="A1046" s="7" t="s">
        <v>77</v>
      </c>
      <c r="B1046" s="7" t="s">
        <v>1069</v>
      </c>
      <c r="C1046" s="7">
        <f>2+1</f>
        <v>3</v>
      </c>
      <c r="D1046" s="7">
        <v>2.0</v>
      </c>
      <c r="E1046" s="7">
        <v>2.0</v>
      </c>
      <c r="F1046" s="7" t="s">
        <v>83</v>
      </c>
      <c r="G1046" s="7" t="s">
        <v>1070</v>
      </c>
      <c r="H1046" s="9" t="s">
        <v>2979</v>
      </c>
      <c r="I1046" t="s">
        <v>3488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 t="str">
        <f t="shared" si="1"/>
        <v>Built-up :</v>
      </c>
      <c r="AE1046" s="7" t="str">
        <f t="shared" si="2"/>
        <v> sq. ft.</v>
      </c>
      <c r="AF1046">
        <f>IFERROR(__xludf.DUMMYFUNCTION("VALUE(REGEXREPLACE(G1046,""[^[:digit:]]"", """"))"),1093.0)</f>
        <v>1093</v>
      </c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 t="s">
        <v>103</v>
      </c>
    </row>
    <row r="1047">
      <c r="A1047" s="7" t="s">
        <v>77</v>
      </c>
      <c r="B1047" s="7" t="s">
        <v>1071</v>
      </c>
      <c r="C1047" s="7">
        <f>3+1</f>
        <v>4</v>
      </c>
      <c r="D1047" s="7">
        <v>2.0</v>
      </c>
      <c r="E1047" s="9">
        <v>2.0</v>
      </c>
      <c r="F1047" s="7" t="s">
        <v>83</v>
      </c>
      <c r="G1047" s="7" t="s">
        <v>1072</v>
      </c>
      <c r="H1047" s="9" t="s">
        <v>2979</v>
      </c>
      <c r="I1047" t="s">
        <v>3489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 t="str">
        <f t="shared" si="1"/>
        <v>Built-up :</v>
      </c>
      <c r="AE1047" s="7" t="str">
        <f t="shared" si="2"/>
        <v> sq. ft.</v>
      </c>
      <c r="AF1047">
        <f>IFERROR(__xludf.DUMMYFUNCTION("VALUE(REGEXREPLACE(G1047,""[^[:digit:]]"", """"))"),1535.0)</f>
        <v>1535</v>
      </c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 t="s">
        <v>103</v>
      </c>
    </row>
    <row r="1048">
      <c r="A1048" s="7" t="s">
        <v>77</v>
      </c>
      <c r="B1048" s="7" t="s">
        <v>1073</v>
      </c>
      <c r="C1048" s="7">
        <f>1</f>
        <v>1</v>
      </c>
      <c r="D1048" s="7">
        <v>1.0</v>
      </c>
      <c r="E1048" s="9">
        <v>2.0</v>
      </c>
      <c r="F1048" s="7" t="s">
        <v>83</v>
      </c>
      <c r="G1048" s="7" t="s">
        <v>200</v>
      </c>
      <c r="H1048" s="9" t="s">
        <v>2979</v>
      </c>
      <c r="I1048" t="s">
        <v>3049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 t="str">
        <f t="shared" si="1"/>
        <v>Built-up :</v>
      </c>
      <c r="AE1048" s="7" t="str">
        <f t="shared" si="2"/>
        <v> sq. ft.</v>
      </c>
      <c r="AF1048">
        <f>IFERROR(__xludf.DUMMYFUNCTION("VALUE(REGEXREPLACE(G1048,""[^[:digit:]]"", """"))"),700.0)</f>
        <v>700</v>
      </c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 t="s">
        <v>22</v>
      </c>
    </row>
    <row r="1049">
      <c r="A1049" s="7" t="s">
        <v>77</v>
      </c>
      <c r="B1049" s="7" t="s">
        <v>1074</v>
      </c>
      <c r="C1049" s="7">
        <f>2+1</f>
        <v>3</v>
      </c>
      <c r="D1049" s="7">
        <v>2.0</v>
      </c>
      <c r="E1049" s="9">
        <v>2.0</v>
      </c>
      <c r="F1049" s="7" t="s">
        <v>83</v>
      </c>
      <c r="G1049" s="7" t="s">
        <v>490</v>
      </c>
      <c r="H1049" s="9" t="s">
        <v>2979</v>
      </c>
      <c r="I1049" t="s">
        <v>3189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 t="str">
        <f t="shared" si="1"/>
        <v>Built-up :</v>
      </c>
      <c r="AE1049" s="7" t="str">
        <f t="shared" si="2"/>
        <v> sq. ft.</v>
      </c>
      <c r="AF1049">
        <f>IFERROR(__xludf.DUMMYFUNCTION("VALUE(REGEXREPLACE(G1049,""[^[:digit:]]"", """"))"),1378.0)</f>
        <v>1378</v>
      </c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 t="s">
        <v>22</v>
      </c>
    </row>
    <row r="1050">
      <c r="A1050" s="7" t="s">
        <v>77</v>
      </c>
      <c r="B1050" s="7" t="s">
        <v>1075</v>
      </c>
      <c r="C1050" s="7">
        <f>1+1</f>
        <v>2</v>
      </c>
      <c r="D1050" s="7">
        <v>1.0</v>
      </c>
      <c r="E1050" s="9">
        <v>2.0</v>
      </c>
      <c r="F1050" s="7" t="s">
        <v>83</v>
      </c>
      <c r="G1050" s="7" t="s">
        <v>609</v>
      </c>
      <c r="H1050" s="9" t="s">
        <v>2979</v>
      </c>
      <c r="I1050" t="s">
        <v>3246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 t="str">
        <f t="shared" si="1"/>
        <v>Built-up :</v>
      </c>
      <c r="AE1050" s="7" t="str">
        <f t="shared" si="2"/>
        <v> sq. ft.</v>
      </c>
      <c r="AF1050">
        <f>IFERROR(__xludf.DUMMYFUNCTION("VALUE(REGEXREPLACE(G1050,""[^[:digit:]]"", """"))"),969.0)</f>
        <v>969</v>
      </c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 t="s">
        <v>22</v>
      </c>
    </row>
    <row r="1051">
      <c r="A1051" s="7" t="s">
        <v>77</v>
      </c>
      <c r="B1051" s="7" t="s">
        <v>243</v>
      </c>
      <c r="C1051" s="7">
        <f>2+2</f>
        <v>4</v>
      </c>
      <c r="D1051" s="7">
        <v>3.0</v>
      </c>
      <c r="E1051" s="9">
        <v>2.0</v>
      </c>
      <c r="F1051" s="7" t="s">
        <v>83</v>
      </c>
      <c r="G1051" s="7" t="s">
        <v>594</v>
      </c>
      <c r="H1051" s="9" t="s">
        <v>2979</v>
      </c>
      <c r="I1051" t="s">
        <v>3240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 t="str">
        <f t="shared" si="1"/>
        <v>Built-up :</v>
      </c>
      <c r="AE1051" s="7" t="str">
        <f t="shared" si="2"/>
        <v> sq. ft.</v>
      </c>
      <c r="AF1051">
        <f>IFERROR(__xludf.DUMMYFUNCTION("VALUE(REGEXREPLACE(G1051,""[^[:digit:]]"", """"))"),1701.0)</f>
        <v>1701</v>
      </c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 t="s">
        <v>22</v>
      </c>
    </row>
    <row r="1052">
      <c r="A1052" s="7" t="s">
        <v>77</v>
      </c>
      <c r="B1052" s="7" t="s">
        <v>426</v>
      </c>
      <c r="C1052" s="7">
        <f t="shared" ref="C1052:C1054" si="115">3+1</f>
        <v>4</v>
      </c>
      <c r="D1052" s="7">
        <v>4.0</v>
      </c>
      <c r="E1052" s="7">
        <v>2.0</v>
      </c>
      <c r="F1052" s="7" t="s">
        <v>83</v>
      </c>
      <c r="G1052" s="7" t="s">
        <v>142</v>
      </c>
      <c r="H1052" s="9" t="s">
        <v>2979</v>
      </c>
      <c r="I1052" t="s">
        <v>3025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 t="str">
        <f t="shared" si="1"/>
        <v>Built-up :</v>
      </c>
      <c r="AE1052" s="7" t="str">
        <f t="shared" si="2"/>
        <v> sq. ft.</v>
      </c>
      <c r="AF1052">
        <f>IFERROR(__xludf.DUMMYFUNCTION("VALUE(REGEXREPLACE(G1052,""[^[:digit:]]"", """"))"),2066.0)</f>
        <v>2066</v>
      </c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 t="s">
        <v>27</v>
      </c>
    </row>
    <row r="1053">
      <c r="A1053" s="7" t="s">
        <v>77</v>
      </c>
      <c r="B1053" s="7" t="s">
        <v>81</v>
      </c>
      <c r="C1053" s="7">
        <f t="shared" si="115"/>
        <v>4</v>
      </c>
      <c r="D1053" s="7">
        <v>3.0</v>
      </c>
      <c r="E1053" s="9">
        <v>2.0</v>
      </c>
      <c r="F1053" s="7" t="s">
        <v>93</v>
      </c>
      <c r="G1053" s="7" t="s">
        <v>1076</v>
      </c>
      <c r="H1053" s="9" t="s">
        <v>2979</v>
      </c>
      <c r="I1053" t="s">
        <v>3490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 t="str">
        <f t="shared" si="1"/>
        <v>Built-up :</v>
      </c>
      <c r="AE1053" s="7" t="str">
        <f t="shared" si="2"/>
        <v> sq. ft.</v>
      </c>
      <c r="AF1053">
        <f>IFERROR(__xludf.DUMMYFUNCTION("VALUE(REGEXREPLACE(G1053,""[^[:digit:]]"", """"))"),1852.0)</f>
        <v>1852</v>
      </c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 t="s">
        <v>22</v>
      </c>
    </row>
    <row r="1054">
      <c r="A1054" s="7" t="s">
        <v>77</v>
      </c>
      <c r="B1054" s="7" t="s">
        <v>125</v>
      </c>
      <c r="C1054" s="7">
        <f t="shared" si="115"/>
        <v>4</v>
      </c>
      <c r="D1054" s="7">
        <v>4.0</v>
      </c>
      <c r="E1054" s="7">
        <v>2.0</v>
      </c>
      <c r="F1054" s="7" t="s">
        <v>54</v>
      </c>
      <c r="G1054" s="7" t="s">
        <v>1077</v>
      </c>
      <c r="H1054" s="9" t="s">
        <v>2979</v>
      </c>
      <c r="I1054" t="s">
        <v>3491</v>
      </c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 t="str">
        <f t="shared" si="1"/>
        <v>Built-up :</v>
      </c>
      <c r="AE1054" s="7" t="str">
        <f t="shared" si="2"/>
        <v> sq. ft.</v>
      </c>
      <c r="AF1054">
        <f>IFERROR(__xludf.DUMMYFUNCTION("VALUE(REGEXREPLACE(G1054,""[^[:digit:]]"", """"))"),2600.0)</f>
        <v>2600</v>
      </c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 t="s">
        <v>27</v>
      </c>
    </row>
    <row r="1055">
      <c r="A1055" s="7" t="s">
        <v>180</v>
      </c>
      <c r="B1055" s="7" t="s">
        <v>81</v>
      </c>
      <c r="C1055" s="7">
        <f>2+1</f>
        <v>3</v>
      </c>
      <c r="D1055" s="7">
        <v>3.0</v>
      </c>
      <c r="E1055" s="7">
        <v>1.0</v>
      </c>
      <c r="F1055" s="7" t="s">
        <v>20</v>
      </c>
      <c r="G1055" s="7" t="s">
        <v>1078</v>
      </c>
      <c r="H1055" s="9" t="s">
        <v>2979</v>
      </c>
      <c r="I1055" t="s">
        <v>3492</v>
      </c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 t="str">
        <f t="shared" si="1"/>
        <v>Built-up :</v>
      </c>
      <c r="AE1055" s="7" t="str">
        <f t="shared" si="2"/>
        <v> sq. ft.</v>
      </c>
      <c r="AF1055">
        <f>IFERROR(__xludf.DUMMYFUNCTION("VALUE(REGEXREPLACE(G1055,""[^[:digit:]]"", """"))"),1453.0)</f>
        <v>1453</v>
      </c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 t="s">
        <v>22</v>
      </c>
    </row>
    <row r="1056">
      <c r="A1056" s="7" t="s">
        <v>77</v>
      </c>
      <c r="B1056" s="7" t="s">
        <v>1079</v>
      </c>
      <c r="C1056" s="7">
        <f>3+1</f>
        <v>4</v>
      </c>
      <c r="D1056" s="7">
        <v>3.0</v>
      </c>
      <c r="E1056" s="7">
        <v>2.0</v>
      </c>
      <c r="F1056" s="7" t="s">
        <v>169</v>
      </c>
      <c r="G1056" s="7" t="s">
        <v>307</v>
      </c>
      <c r="H1056" s="9" t="s">
        <v>2979</v>
      </c>
      <c r="I1056" t="s">
        <v>3102</v>
      </c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 t="str">
        <f t="shared" si="1"/>
        <v>Built-up :</v>
      </c>
      <c r="AE1056" s="7" t="str">
        <f t="shared" si="2"/>
        <v> sq. ft.</v>
      </c>
      <c r="AF1056">
        <f>IFERROR(__xludf.DUMMYFUNCTION("VALUE(REGEXREPLACE(G1056,""[^[:digit:]]"", """"))"),2500.0)</f>
        <v>2500</v>
      </c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 t="s">
        <v>27</v>
      </c>
    </row>
    <row r="1057">
      <c r="A1057" s="7" t="s">
        <v>77</v>
      </c>
      <c r="B1057" s="7" t="s">
        <v>1080</v>
      </c>
      <c r="C1057" s="7">
        <f>5+2</f>
        <v>7</v>
      </c>
      <c r="D1057" s="7">
        <v>6.0</v>
      </c>
      <c r="E1057" s="9">
        <v>2.0</v>
      </c>
      <c r="F1057" s="7" t="s">
        <v>25</v>
      </c>
      <c r="G1057" s="7" t="s">
        <v>26</v>
      </c>
      <c r="H1057" s="9" t="s">
        <v>2981</v>
      </c>
      <c r="I1057" t="s">
        <v>2982</v>
      </c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 t="str">
        <f t="shared" si="1"/>
        <v>Land area </v>
      </c>
      <c r="AE1057" s="7" t="str">
        <f t="shared" si="2"/>
        <v> sq. ft.</v>
      </c>
      <c r="AF1057">
        <f>IFERROR(__xludf.DUMMYFUNCTION("VALUE(REGEXREPLACE(G1057,""[^[:digit:]]"", """"))"),6900.0)</f>
        <v>6900</v>
      </c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 t="s">
        <v>27</v>
      </c>
    </row>
    <row r="1058">
      <c r="A1058" s="7" t="s">
        <v>77</v>
      </c>
      <c r="B1058" s="7" t="s">
        <v>610</v>
      </c>
      <c r="C1058" s="7">
        <f>3</f>
        <v>3</v>
      </c>
      <c r="D1058" s="7">
        <v>2.0</v>
      </c>
      <c r="E1058" s="9">
        <v>2.0</v>
      </c>
      <c r="F1058" s="7" t="s">
        <v>169</v>
      </c>
      <c r="G1058" s="7" t="s">
        <v>1077</v>
      </c>
      <c r="H1058" s="9" t="s">
        <v>2979</v>
      </c>
      <c r="I1058" t="s">
        <v>3491</v>
      </c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 t="str">
        <f t="shared" si="1"/>
        <v>Built-up :</v>
      </c>
      <c r="AE1058" s="7" t="str">
        <f t="shared" si="2"/>
        <v> sq. ft.</v>
      </c>
      <c r="AF1058">
        <f>IFERROR(__xludf.DUMMYFUNCTION("VALUE(REGEXREPLACE(G1058,""[^[:digit:]]"", """"))"),2600.0)</f>
        <v>2600</v>
      </c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 t="s">
        <v>27</v>
      </c>
    </row>
    <row r="1059">
      <c r="A1059" s="7" t="s">
        <v>77</v>
      </c>
      <c r="B1059" s="7" t="s">
        <v>110</v>
      </c>
      <c r="C1059" s="7">
        <f>5+1</f>
        <v>6</v>
      </c>
      <c r="D1059" s="7">
        <v>6.0</v>
      </c>
      <c r="E1059" s="9">
        <v>2.0</v>
      </c>
      <c r="F1059" s="7" t="s">
        <v>90</v>
      </c>
      <c r="G1059" s="7" t="s">
        <v>211</v>
      </c>
      <c r="H1059" s="9" t="s">
        <v>2981</v>
      </c>
      <c r="I1059" t="s">
        <v>2992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 t="s">
        <v>2993</v>
      </c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 t="str">
        <f t="shared" si="1"/>
        <v>Land area </v>
      </c>
      <c r="AE1059" s="7" t="str">
        <f t="shared" si="2"/>
        <v> sq. ft.</v>
      </c>
      <c r="AF1059">
        <f>IFERROR(__xludf.DUMMYFUNCTION("VALUE(REGEXREPLACE(G1059,""[^[:digit:]]"", """"))"),2280.0)</f>
        <v>2280</v>
      </c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 t="s">
        <v>27</v>
      </c>
    </row>
    <row r="1060">
      <c r="A1060" s="7" t="s">
        <v>77</v>
      </c>
      <c r="B1060" s="7" t="s">
        <v>227</v>
      </c>
      <c r="C1060" s="7">
        <f t="shared" ref="C1060:C1061" si="116">3+1</f>
        <v>4</v>
      </c>
      <c r="D1060" s="7">
        <v>4.0</v>
      </c>
      <c r="E1060" s="9">
        <v>2.0</v>
      </c>
      <c r="F1060" s="7" t="s">
        <v>169</v>
      </c>
      <c r="G1060" s="7" t="s">
        <v>176</v>
      </c>
      <c r="H1060" s="9" t="s">
        <v>2979</v>
      </c>
      <c r="I1060" t="s">
        <v>3039</v>
      </c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 t="str">
        <f t="shared" si="1"/>
        <v>Built-up :</v>
      </c>
      <c r="AE1060" s="7" t="str">
        <f t="shared" si="2"/>
        <v> sq. ft.</v>
      </c>
      <c r="AF1060">
        <f>IFERROR(__xludf.DUMMYFUNCTION("VALUE(REGEXREPLACE(G1060,""[^[:digit:]]"", """"))"),3000.0)</f>
        <v>3000</v>
      </c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 t="s">
        <v>22</v>
      </c>
    </row>
    <row r="1061">
      <c r="A1061" s="7" t="s">
        <v>77</v>
      </c>
      <c r="B1061" s="7" t="s">
        <v>1081</v>
      </c>
      <c r="C1061" s="7">
        <f t="shared" si="116"/>
        <v>4</v>
      </c>
      <c r="D1061" s="7">
        <v>5.0</v>
      </c>
      <c r="E1061" s="9">
        <v>2.0</v>
      </c>
      <c r="F1061" s="7" t="s">
        <v>169</v>
      </c>
      <c r="G1061" s="7" t="s">
        <v>176</v>
      </c>
      <c r="H1061" s="9" t="s">
        <v>2979</v>
      </c>
      <c r="I1061" t="s">
        <v>3039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 t="str">
        <f t="shared" si="1"/>
        <v>Built-up :</v>
      </c>
      <c r="AE1061" s="7" t="str">
        <f t="shared" si="2"/>
        <v> sq. ft.</v>
      </c>
      <c r="AF1061">
        <f>IFERROR(__xludf.DUMMYFUNCTION("VALUE(REGEXREPLACE(G1061,""[^[:digit:]]"", """"))"),3000.0)</f>
        <v>3000</v>
      </c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 t="s">
        <v>27</v>
      </c>
    </row>
    <row r="1062">
      <c r="A1062" s="7" t="s">
        <v>77</v>
      </c>
      <c r="B1062" s="7" t="s">
        <v>1082</v>
      </c>
      <c r="C1062" s="7">
        <f>2</f>
        <v>2</v>
      </c>
      <c r="D1062" s="7">
        <v>2.0</v>
      </c>
      <c r="E1062" s="9">
        <v>2.0</v>
      </c>
      <c r="F1062" s="7" t="s">
        <v>83</v>
      </c>
      <c r="G1062" s="7" t="s">
        <v>734</v>
      </c>
      <c r="H1062" s="9" t="s">
        <v>2979</v>
      </c>
      <c r="I1062" t="s">
        <v>3308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 t="str">
        <f t="shared" si="1"/>
        <v>Built-up :</v>
      </c>
      <c r="AE1062" s="7" t="str">
        <f t="shared" si="2"/>
        <v> sq. ft.</v>
      </c>
      <c r="AF1062">
        <f>IFERROR(__xludf.DUMMYFUNCTION("VALUE(REGEXREPLACE(G1062,""[^[:digit:]]"", """"))"),1100.0)</f>
        <v>1100</v>
      </c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 t="s">
        <v>22</v>
      </c>
    </row>
    <row r="1063">
      <c r="A1063" s="7" t="s">
        <v>77</v>
      </c>
      <c r="B1063" s="7" t="s">
        <v>149</v>
      </c>
      <c r="C1063" s="7">
        <f t="shared" ref="C1063:C1064" si="117">4+1</f>
        <v>5</v>
      </c>
      <c r="D1063" s="7">
        <v>5.0</v>
      </c>
      <c r="E1063" s="9">
        <v>2.0</v>
      </c>
      <c r="F1063" s="7" t="s">
        <v>562</v>
      </c>
      <c r="G1063" s="7" t="s">
        <v>1083</v>
      </c>
      <c r="H1063" s="9" t="s">
        <v>2979</v>
      </c>
      <c r="I1063" t="s">
        <v>3493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 t="str">
        <f t="shared" si="1"/>
        <v>Built-up :</v>
      </c>
      <c r="AE1063" s="7" t="str">
        <f t="shared" si="2"/>
        <v> sq. ft.</v>
      </c>
      <c r="AF1063">
        <f>IFERROR(__xludf.DUMMYFUNCTION("VALUE(REGEXREPLACE(G1063,""[^[:digit:]]"", """"))"),4500.0)</f>
        <v>4500</v>
      </c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 t="s">
        <v>27</v>
      </c>
    </row>
    <row r="1064">
      <c r="A1064" s="7" t="s">
        <v>77</v>
      </c>
      <c r="B1064" s="7" t="s">
        <v>290</v>
      </c>
      <c r="C1064" s="7">
        <f t="shared" si="117"/>
        <v>5</v>
      </c>
      <c r="D1064" s="7">
        <v>5.0</v>
      </c>
      <c r="E1064" s="9">
        <v>2.0</v>
      </c>
      <c r="F1064" s="7" t="s">
        <v>90</v>
      </c>
      <c r="G1064" s="7" t="s">
        <v>291</v>
      </c>
      <c r="H1064" s="9" t="s">
        <v>2979</v>
      </c>
      <c r="I1064" t="s">
        <v>3094</v>
      </c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 t="str">
        <f t="shared" si="1"/>
        <v>Built-up :</v>
      </c>
      <c r="AE1064" s="7" t="str">
        <f t="shared" si="2"/>
        <v> sq. ft.</v>
      </c>
      <c r="AF1064">
        <f>IFERROR(__xludf.DUMMYFUNCTION("VALUE(REGEXREPLACE(G1064,""[^[:digit:]]"", """"))"),4306.0)</f>
        <v>4306</v>
      </c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 t="s">
        <v>27</v>
      </c>
    </row>
    <row r="1065">
      <c r="A1065" s="7" t="s">
        <v>77</v>
      </c>
      <c r="B1065" s="7" t="s">
        <v>322</v>
      </c>
      <c r="C1065" s="7">
        <f>3+1</f>
        <v>4</v>
      </c>
      <c r="D1065" s="7">
        <v>3.0</v>
      </c>
      <c r="E1065" s="9">
        <v>2.0</v>
      </c>
      <c r="F1065" s="7" t="s">
        <v>83</v>
      </c>
      <c r="G1065" s="7" t="s">
        <v>1029</v>
      </c>
      <c r="H1065" s="9" t="s">
        <v>2979</v>
      </c>
      <c r="I1065" t="s">
        <v>3465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 t="str">
        <f t="shared" si="1"/>
        <v>Built-up :</v>
      </c>
      <c r="AE1065" s="7" t="str">
        <f t="shared" si="2"/>
        <v> sq. ft.</v>
      </c>
      <c r="AF1065">
        <f>IFERROR(__xludf.DUMMYFUNCTION("VALUE(REGEXREPLACE(G1065,""[^[:digit:]]"", """"))"),1800.0)</f>
        <v>1800</v>
      </c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 t="s">
        <v>22</v>
      </c>
    </row>
    <row r="1066">
      <c r="A1066" s="7" t="s">
        <v>77</v>
      </c>
      <c r="B1066" s="7" t="s">
        <v>349</v>
      </c>
      <c r="C1066" s="7">
        <f>2</f>
        <v>2</v>
      </c>
      <c r="D1066" s="7">
        <v>2.0</v>
      </c>
      <c r="E1066" s="9">
        <v>2.0</v>
      </c>
      <c r="F1066" s="7" t="s">
        <v>83</v>
      </c>
      <c r="G1066" s="7" t="s">
        <v>321</v>
      </c>
      <c r="H1066" s="9" t="s">
        <v>2979</v>
      </c>
      <c r="I1066" t="s">
        <v>3107</v>
      </c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 t="str">
        <f t="shared" si="1"/>
        <v>Built-up :</v>
      </c>
      <c r="AE1066" s="7" t="str">
        <f t="shared" si="2"/>
        <v> sq. ft.</v>
      </c>
      <c r="AF1066">
        <f>IFERROR(__xludf.DUMMYFUNCTION("VALUE(REGEXREPLACE(G1066,""[^[:digit:]]"", """"))"),1292.0)</f>
        <v>1292</v>
      </c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 t="s">
        <v>251</v>
      </c>
    </row>
    <row r="1067">
      <c r="A1067" s="7" t="s">
        <v>77</v>
      </c>
      <c r="B1067" s="7" t="s">
        <v>227</v>
      </c>
      <c r="C1067" s="7">
        <f>5+1</f>
        <v>6</v>
      </c>
      <c r="D1067" s="7">
        <v>6.0</v>
      </c>
      <c r="E1067" s="7">
        <v>5.0</v>
      </c>
      <c r="F1067" s="7" t="s">
        <v>1039</v>
      </c>
      <c r="G1067" s="7" t="s">
        <v>1037</v>
      </c>
      <c r="H1067" s="9" t="s">
        <v>2979</v>
      </c>
      <c r="I1067" t="s">
        <v>3470</v>
      </c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 t="str">
        <f t="shared" si="1"/>
        <v>Built-up :</v>
      </c>
      <c r="AE1067" s="7" t="str">
        <f t="shared" si="2"/>
        <v> sq. ft.</v>
      </c>
      <c r="AF1067">
        <f>IFERROR(__xludf.DUMMYFUNCTION("VALUE(REGEXREPLACE(G1067,""[^[:digit:]]"", """"))"),3500.0)</f>
        <v>3500</v>
      </c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 t="s">
        <v>27</v>
      </c>
    </row>
    <row r="1068">
      <c r="A1068" s="7" t="s">
        <v>77</v>
      </c>
      <c r="B1068" s="7" t="s">
        <v>349</v>
      </c>
      <c r="C1068" s="7">
        <f>2</f>
        <v>2</v>
      </c>
      <c r="D1068" s="7">
        <v>2.0</v>
      </c>
      <c r="E1068" s="9">
        <v>2.0</v>
      </c>
      <c r="F1068" s="7" t="s">
        <v>83</v>
      </c>
      <c r="G1068" s="7" t="s">
        <v>321</v>
      </c>
      <c r="H1068" s="9" t="s">
        <v>2979</v>
      </c>
      <c r="I1068" t="s">
        <v>3107</v>
      </c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 t="str">
        <f t="shared" si="1"/>
        <v>Built-up :</v>
      </c>
      <c r="AE1068" s="7" t="str">
        <f t="shared" si="2"/>
        <v> sq. ft.</v>
      </c>
      <c r="AF1068">
        <f>IFERROR(__xludf.DUMMYFUNCTION("VALUE(REGEXREPLACE(G1068,""[^[:digit:]]"", """"))"),1292.0)</f>
        <v>1292</v>
      </c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 t="s">
        <v>27</v>
      </c>
    </row>
    <row r="1069">
      <c r="A1069" s="7" t="s">
        <v>77</v>
      </c>
      <c r="B1069" s="7" t="s">
        <v>921</v>
      </c>
      <c r="C1069" s="7">
        <f>5+1</f>
        <v>6</v>
      </c>
      <c r="D1069" s="7">
        <v>5.0</v>
      </c>
      <c r="E1069" s="7">
        <v>5.0</v>
      </c>
      <c r="F1069" s="7" t="s">
        <v>1036</v>
      </c>
      <c r="G1069" s="7" t="s">
        <v>1084</v>
      </c>
      <c r="H1069" s="9" t="s">
        <v>2979</v>
      </c>
      <c r="I1069" t="s">
        <v>3494</v>
      </c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 t="str">
        <f t="shared" si="1"/>
        <v>Built-up :</v>
      </c>
      <c r="AE1069" s="7" t="str">
        <f t="shared" si="2"/>
        <v> sq. ft.</v>
      </c>
      <c r="AF1069">
        <f>IFERROR(__xludf.DUMMYFUNCTION("VALUE(REGEXREPLACE(G1069,""[^[:digit:]]"", """"))"),3600.0)</f>
        <v>3600</v>
      </c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 t="s">
        <v>27</v>
      </c>
    </row>
    <row r="1070">
      <c r="A1070" s="7" t="s">
        <v>77</v>
      </c>
      <c r="B1070" s="7" t="s">
        <v>322</v>
      </c>
      <c r="C1070" s="7">
        <f>3+1</f>
        <v>4</v>
      </c>
      <c r="D1070" s="7">
        <v>4.0</v>
      </c>
      <c r="E1070" s="7">
        <v>2.0</v>
      </c>
      <c r="F1070" s="7" t="s">
        <v>83</v>
      </c>
      <c r="G1070" s="7" t="s">
        <v>889</v>
      </c>
      <c r="H1070" s="9" t="s">
        <v>2979</v>
      </c>
      <c r="I1070" t="s">
        <v>3390</v>
      </c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 t="str">
        <f t="shared" si="1"/>
        <v>Built-up :</v>
      </c>
      <c r="AE1070" s="7" t="str">
        <f t="shared" si="2"/>
        <v> sq. ft.</v>
      </c>
      <c r="AF1070">
        <f>IFERROR(__xludf.DUMMYFUNCTION("VALUE(REGEXREPLACE(G1070,""[^[:digit:]]"", """"))"),1851.0)</f>
        <v>1851</v>
      </c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 t="s">
        <v>27</v>
      </c>
    </row>
    <row r="1071">
      <c r="A1071" s="7" t="s">
        <v>77</v>
      </c>
      <c r="B1071" s="7" t="s">
        <v>322</v>
      </c>
      <c r="C1071" s="7">
        <f t="shared" ref="C1071:C1072" si="118">4+1</f>
        <v>5</v>
      </c>
      <c r="D1071" s="7">
        <v>3.0</v>
      </c>
      <c r="E1071" s="9">
        <v>2.0</v>
      </c>
      <c r="F1071" s="7" t="s">
        <v>83</v>
      </c>
      <c r="G1071" s="7" t="s">
        <v>1029</v>
      </c>
      <c r="H1071" s="9" t="s">
        <v>2979</v>
      </c>
      <c r="I1071" t="s">
        <v>3465</v>
      </c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 t="str">
        <f t="shared" si="1"/>
        <v>Built-up :</v>
      </c>
      <c r="AE1071" s="7" t="str">
        <f t="shared" si="2"/>
        <v> sq. ft.</v>
      </c>
      <c r="AF1071">
        <f>IFERROR(__xludf.DUMMYFUNCTION("VALUE(REGEXREPLACE(G1071,""[^[:digit:]]"", """"))"),1800.0)</f>
        <v>1800</v>
      </c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 t="s">
        <v>22</v>
      </c>
    </row>
    <row r="1072">
      <c r="A1072" s="7" t="s">
        <v>77</v>
      </c>
      <c r="B1072" s="7" t="s">
        <v>610</v>
      </c>
      <c r="C1072" s="7">
        <f t="shared" si="118"/>
        <v>5</v>
      </c>
      <c r="D1072" s="7">
        <v>4.0</v>
      </c>
      <c r="E1072" s="9">
        <v>2.0</v>
      </c>
      <c r="F1072" s="7" t="s">
        <v>273</v>
      </c>
      <c r="G1072" s="7" t="s">
        <v>1085</v>
      </c>
      <c r="H1072" s="9" t="s">
        <v>2979</v>
      </c>
      <c r="I1072" t="s">
        <v>3495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 t="str">
        <f t="shared" si="1"/>
        <v>Built-up :</v>
      </c>
      <c r="AE1072" s="7" t="str">
        <f t="shared" si="2"/>
        <v> sq. ft.</v>
      </c>
      <c r="AF1072">
        <f>IFERROR(__xludf.DUMMYFUNCTION("VALUE(REGEXREPLACE(G1072,""[^[:digit:]]"", """"))"),2900.0)</f>
        <v>2900</v>
      </c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 t="s">
        <v>27</v>
      </c>
    </row>
    <row r="1073">
      <c r="A1073" s="7" t="s">
        <v>77</v>
      </c>
      <c r="B1073" s="7" t="s">
        <v>1086</v>
      </c>
      <c r="E1073" s="9">
        <v>2.0</v>
      </c>
      <c r="F1073" s="7" t="s">
        <v>667</v>
      </c>
      <c r="G1073" s="7" t="s">
        <v>1087</v>
      </c>
      <c r="H1073" s="9" t="s">
        <v>2981</v>
      </c>
      <c r="I1073" t="s">
        <v>3496</v>
      </c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 t="str">
        <f t="shared" si="1"/>
        <v>Land area </v>
      </c>
      <c r="AE1073" s="7" t="str">
        <f t="shared" si="2"/>
        <v> sq. ft.</v>
      </c>
      <c r="AF1073">
        <f>IFERROR(__xludf.DUMMYFUNCTION("VALUE(REGEXREPLACE(G1073,""[^[:digit:]]"", """"))"),6700.0)</f>
        <v>6700</v>
      </c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 t="s">
        <v>22</v>
      </c>
    </row>
    <row r="1074">
      <c r="A1074" s="7" t="s">
        <v>1088</v>
      </c>
      <c r="B1074" s="7" t="s">
        <v>239</v>
      </c>
      <c r="C1074" s="7">
        <f>2+1</f>
        <v>3</v>
      </c>
      <c r="D1074" s="7">
        <v>2.0</v>
      </c>
      <c r="E1074" s="9">
        <v>2.0</v>
      </c>
      <c r="F1074" s="7" t="s">
        <v>30</v>
      </c>
      <c r="G1074" s="7" t="s">
        <v>464</v>
      </c>
      <c r="H1074" s="9" t="s">
        <v>2979</v>
      </c>
      <c r="I1074" t="s">
        <v>3174</v>
      </c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 t="str">
        <f t="shared" si="1"/>
        <v>Built-up :</v>
      </c>
      <c r="AE1074" s="7" t="str">
        <f t="shared" si="2"/>
        <v> sq. ft.</v>
      </c>
      <c r="AF1074">
        <f>IFERROR(__xludf.DUMMYFUNCTION("VALUE(REGEXREPLACE(G1074,""[^[:digit:]]"", """"))"),1367.0)</f>
        <v>1367</v>
      </c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 t="s">
        <v>22</v>
      </c>
    </row>
    <row r="1075">
      <c r="A1075" s="7" t="s">
        <v>72</v>
      </c>
      <c r="B1075" s="7" t="s">
        <v>158</v>
      </c>
      <c r="C1075" s="7">
        <f>4+1</f>
        <v>5</v>
      </c>
      <c r="D1075" s="7">
        <v>4.0</v>
      </c>
      <c r="E1075" s="7">
        <v>2.0</v>
      </c>
      <c r="F1075" s="7" t="s">
        <v>83</v>
      </c>
      <c r="G1075" s="7" t="s">
        <v>74</v>
      </c>
      <c r="H1075" s="9" t="s">
        <v>2979</v>
      </c>
      <c r="I1075" t="s">
        <v>2998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 t="str">
        <f t="shared" si="1"/>
        <v>Built-up :</v>
      </c>
      <c r="AE1075" s="7" t="str">
        <f t="shared" si="2"/>
        <v> sq. ft.</v>
      </c>
      <c r="AF1075">
        <f>IFERROR(__xludf.DUMMYFUNCTION("VALUE(REGEXREPLACE(G1075,""[^[:digit:]]"", """"))"),1830.0)</f>
        <v>1830</v>
      </c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 t="s">
        <v>27</v>
      </c>
    </row>
    <row r="1076">
      <c r="A1076" s="7" t="s">
        <v>428</v>
      </c>
      <c r="B1076" s="7" t="s">
        <v>475</v>
      </c>
      <c r="C1076" s="7">
        <f>5</f>
        <v>5</v>
      </c>
      <c r="D1076" s="7">
        <v>5.0</v>
      </c>
      <c r="E1076" s="9">
        <v>2.0</v>
      </c>
      <c r="F1076" s="7" t="s">
        <v>25</v>
      </c>
      <c r="G1076" s="7" t="s">
        <v>1089</v>
      </c>
      <c r="H1076" s="9" t="s">
        <v>2981</v>
      </c>
      <c r="I1076" t="s">
        <v>3497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 t="str">
        <f t="shared" si="1"/>
        <v>Land area </v>
      </c>
      <c r="AE1076" s="7" t="str">
        <f t="shared" si="2"/>
        <v> sq. ft.</v>
      </c>
      <c r="AF1076">
        <f>IFERROR(__xludf.DUMMYFUNCTION("VALUE(REGEXREPLACE(G1076,""[^[:digit:]]"", """"))"),14000.0)</f>
        <v>14000</v>
      </c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 t="s">
        <v>27</v>
      </c>
    </row>
    <row r="1077">
      <c r="A1077" s="7" t="s">
        <v>17</v>
      </c>
      <c r="B1077" s="7" t="s">
        <v>78</v>
      </c>
      <c r="C1077" s="7">
        <f>3+1</f>
        <v>4</v>
      </c>
      <c r="D1077" s="7">
        <v>4.0</v>
      </c>
      <c r="E1077" s="9">
        <v>2.0</v>
      </c>
      <c r="F1077" s="7" t="s">
        <v>83</v>
      </c>
      <c r="G1077" s="7" t="s">
        <v>1090</v>
      </c>
      <c r="H1077" s="9" t="s">
        <v>2979</v>
      </c>
      <c r="I1077" t="s">
        <v>3498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 t="str">
        <f t="shared" si="1"/>
        <v>Built-up :</v>
      </c>
      <c r="AE1077" s="7" t="str">
        <f t="shared" si="2"/>
        <v> sq. ft.</v>
      </c>
      <c r="AF1077">
        <f>IFERROR(__xludf.DUMMYFUNCTION("VALUE(REGEXREPLACE(G1077,""[^[:digit:]]"", """"))"),2098.0)</f>
        <v>2098</v>
      </c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 t="s">
        <v>22</v>
      </c>
    </row>
    <row r="1078">
      <c r="A1078" s="7" t="s">
        <v>37</v>
      </c>
      <c r="B1078" s="7" t="s">
        <v>127</v>
      </c>
      <c r="C1078" s="7">
        <f>4+1</f>
        <v>5</v>
      </c>
      <c r="D1078" s="7">
        <v>5.0</v>
      </c>
      <c r="E1078" s="7">
        <v>3.0</v>
      </c>
      <c r="F1078" s="7" t="s">
        <v>20</v>
      </c>
      <c r="G1078" s="7" t="s">
        <v>1091</v>
      </c>
      <c r="H1078" s="9" t="s">
        <v>2979</v>
      </c>
      <c r="I1078" t="s">
        <v>3499</v>
      </c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 t="str">
        <f t="shared" si="1"/>
        <v>Built-up :</v>
      </c>
      <c r="AE1078" s="7" t="str">
        <f t="shared" si="2"/>
        <v> sq. ft.</v>
      </c>
      <c r="AF1078">
        <f>IFERROR(__xludf.DUMMYFUNCTION("VALUE(REGEXREPLACE(G1078,""[^[:digit:]]"", """"))"),3832.0)</f>
        <v>3832</v>
      </c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 t="s">
        <v>27</v>
      </c>
    </row>
    <row r="1079">
      <c r="A1079" s="7" t="s">
        <v>37</v>
      </c>
      <c r="B1079" s="7" t="s">
        <v>81</v>
      </c>
      <c r="C1079" s="7">
        <f>2+1</f>
        <v>3</v>
      </c>
      <c r="D1079" s="7">
        <v>3.0</v>
      </c>
      <c r="E1079" s="7">
        <v>2.0</v>
      </c>
      <c r="F1079" s="7" t="s">
        <v>121</v>
      </c>
      <c r="G1079" s="7" t="s">
        <v>1092</v>
      </c>
      <c r="H1079" s="9" t="s">
        <v>2979</v>
      </c>
      <c r="I1079" t="s">
        <v>3500</v>
      </c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 t="str">
        <f t="shared" si="1"/>
        <v>Built-up :</v>
      </c>
      <c r="AE1079" s="7" t="str">
        <f t="shared" si="2"/>
        <v> sq. ft.</v>
      </c>
      <c r="AF1079">
        <f>IFERROR(__xludf.DUMMYFUNCTION("VALUE(REGEXREPLACE(G1079,""[^[:digit:]]"", """"))"),1445.0)</f>
        <v>1445</v>
      </c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 t="s">
        <v>27</v>
      </c>
    </row>
    <row r="1080">
      <c r="A1080" s="7" t="s">
        <v>37</v>
      </c>
      <c r="B1080" s="7" t="s">
        <v>475</v>
      </c>
      <c r="C1080" s="7">
        <f>3+1</f>
        <v>4</v>
      </c>
      <c r="D1080" s="7">
        <v>5.0</v>
      </c>
      <c r="E1080" s="7">
        <v>2.0</v>
      </c>
      <c r="F1080" s="7" t="s">
        <v>121</v>
      </c>
      <c r="G1080" s="7" t="s">
        <v>624</v>
      </c>
      <c r="H1080" s="9" t="s">
        <v>2979</v>
      </c>
      <c r="I1080" t="s">
        <v>3254</v>
      </c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 t="str">
        <f t="shared" si="1"/>
        <v>Built-up :</v>
      </c>
      <c r="AE1080" s="7" t="str">
        <f t="shared" si="2"/>
        <v> sq. ft.</v>
      </c>
      <c r="AF1080">
        <f>IFERROR(__xludf.DUMMYFUNCTION("VALUE(REGEXREPLACE(G1080,""[^[:digit:]]"", """"))"),2426.0)</f>
        <v>2426</v>
      </c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 t="s">
        <v>103</v>
      </c>
    </row>
    <row r="1081">
      <c r="A1081" s="7" t="s">
        <v>37</v>
      </c>
      <c r="B1081" s="7" t="s">
        <v>260</v>
      </c>
      <c r="C1081" s="7">
        <f>2+1</f>
        <v>3</v>
      </c>
      <c r="D1081" s="7">
        <v>3.0</v>
      </c>
      <c r="E1081" s="7">
        <v>2.0</v>
      </c>
      <c r="F1081" s="7" t="s">
        <v>20</v>
      </c>
      <c r="G1081" s="7" t="s">
        <v>1093</v>
      </c>
      <c r="H1081" s="9" t="s">
        <v>2979</v>
      </c>
      <c r="I1081" t="s">
        <v>3501</v>
      </c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 t="str">
        <f t="shared" si="1"/>
        <v>Built-up :</v>
      </c>
      <c r="AE1081" s="7" t="str">
        <f t="shared" si="2"/>
        <v> sq. ft.</v>
      </c>
      <c r="AF1081">
        <f>IFERROR(__xludf.DUMMYFUNCTION("VALUE(REGEXREPLACE(G1081,""[^[:digit:]]"", """"))"),1691.0)</f>
        <v>1691</v>
      </c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 t="s">
        <v>27</v>
      </c>
    </row>
    <row r="1082">
      <c r="A1082" s="7" t="s">
        <v>37</v>
      </c>
      <c r="B1082" s="7" t="s">
        <v>1094</v>
      </c>
      <c r="C1082" s="7">
        <f>5+1</f>
        <v>6</v>
      </c>
      <c r="E1082" s="9">
        <v>2.0</v>
      </c>
      <c r="F1082" s="7" t="s">
        <v>25</v>
      </c>
      <c r="G1082" s="7" t="s">
        <v>430</v>
      </c>
      <c r="H1082" s="9" t="s">
        <v>2981</v>
      </c>
      <c r="I1082" t="s">
        <v>3158</v>
      </c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 t="str">
        <f t="shared" si="1"/>
        <v>Land area </v>
      </c>
      <c r="AE1082" s="7" t="str">
        <f t="shared" si="2"/>
        <v> sq. ft.</v>
      </c>
      <c r="AF1082">
        <f>IFERROR(__xludf.DUMMYFUNCTION("VALUE(REGEXREPLACE(G1082,""[^[:digit:]]"", """"))"),6300.0)</f>
        <v>6300</v>
      </c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 t="s">
        <v>27</v>
      </c>
    </row>
    <row r="1083">
      <c r="A1083" s="7" t="s">
        <v>37</v>
      </c>
      <c r="B1083" s="7" t="s">
        <v>671</v>
      </c>
      <c r="C1083" s="7">
        <f>5</f>
        <v>5</v>
      </c>
      <c r="D1083" s="7">
        <v>3.0</v>
      </c>
      <c r="E1083" s="9">
        <v>2.0</v>
      </c>
      <c r="F1083" s="7" t="s">
        <v>43</v>
      </c>
      <c r="G1083" s="7" t="s">
        <v>44</v>
      </c>
      <c r="H1083" s="9" t="s">
        <v>2981</v>
      </c>
      <c r="I1083" t="s">
        <v>2988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 t="str">
        <f t="shared" si="1"/>
        <v>Land area </v>
      </c>
      <c r="AE1083" s="7" t="str">
        <f t="shared" si="2"/>
        <v> sq. ft.</v>
      </c>
      <c r="AF1083">
        <f>IFERROR(__xludf.DUMMYFUNCTION("VALUE(REGEXREPLACE(G1083,""[^[:digit:]]"", """"))"),3600.0)</f>
        <v>3600</v>
      </c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 t="s">
        <v>27</v>
      </c>
    </row>
    <row r="1084">
      <c r="A1084" s="7" t="s">
        <v>23</v>
      </c>
      <c r="B1084" s="7" t="s">
        <v>970</v>
      </c>
      <c r="E1084" s="9">
        <v>2.0</v>
      </c>
      <c r="F1084" s="7" t="s">
        <v>25</v>
      </c>
      <c r="G1084" s="7" t="s">
        <v>1095</v>
      </c>
      <c r="H1084" s="9" t="s">
        <v>2981</v>
      </c>
      <c r="I1084" t="s">
        <v>3502</v>
      </c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 t="str">
        <f t="shared" si="1"/>
        <v>Land area </v>
      </c>
      <c r="AE1084" s="7" t="str">
        <f t="shared" si="2"/>
        <v> sq. ft.</v>
      </c>
      <c r="AF1084">
        <f>IFERROR(__xludf.DUMMYFUNCTION("VALUE(REGEXREPLACE(G1084,""[^[:digit:]]"", """"))"),7678.0)</f>
        <v>7678</v>
      </c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</row>
    <row r="1085">
      <c r="A1085" s="7" t="s">
        <v>37</v>
      </c>
      <c r="B1085" s="7" t="s">
        <v>208</v>
      </c>
      <c r="C1085" s="7">
        <f>5+1</f>
        <v>6</v>
      </c>
      <c r="D1085" s="7">
        <v>6.0</v>
      </c>
      <c r="E1085" s="9">
        <v>2.0</v>
      </c>
      <c r="F1085" s="7" t="s">
        <v>25</v>
      </c>
      <c r="G1085" s="7" t="s">
        <v>696</v>
      </c>
      <c r="H1085" s="9" t="s">
        <v>2981</v>
      </c>
      <c r="I1085" t="s">
        <v>3288</v>
      </c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 t="str">
        <f t="shared" si="1"/>
        <v>Land area </v>
      </c>
      <c r="AE1085" s="7" t="str">
        <f t="shared" si="2"/>
        <v> sq. ft.</v>
      </c>
      <c r="AF1085">
        <f>IFERROR(__xludf.DUMMYFUNCTION("VALUE(REGEXREPLACE(G1085,""[^[:digit:]]"", """"))"),8000.0)</f>
        <v>8000</v>
      </c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 t="s">
        <v>27</v>
      </c>
    </row>
    <row r="1086">
      <c r="A1086" s="7" t="s">
        <v>37</v>
      </c>
      <c r="B1086" s="7" t="s">
        <v>1096</v>
      </c>
      <c r="C1086" s="7">
        <f>6+1</f>
        <v>7</v>
      </c>
      <c r="D1086" s="7">
        <v>9.0</v>
      </c>
      <c r="E1086" s="9">
        <v>2.0</v>
      </c>
      <c r="F1086" s="7" t="s">
        <v>67</v>
      </c>
      <c r="G1086" s="7" t="s">
        <v>1097</v>
      </c>
      <c r="H1086" s="9" t="s">
        <v>2981</v>
      </c>
      <c r="I1086" t="s">
        <v>3503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 t="str">
        <f t="shared" si="1"/>
        <v>Land area </v>
      </c>
      <c r="AE1086" s="7" t="str">
        <f t="shared" si="2"/>
        <v> sq. ft.</v>
      </c>
      <c r="AF1086">
        <f>IFERROR(__xludf.DUMMYFUNCTION("VALUE(REGEXREPLACE(G1086,""[^[:digit:]]"", """"))"),16001.0)</f>
        <v>16001</v>
      </c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 t="s">
        <v>27</v>
      </c>
    </row>
    <row r="1087">
      <c r="A1087" s="7" t="s">
        <v>86</v>
      </c>
      <c r="B1087" s="7" t="s">
        <v>134</v>
      </c>
      <c r="C1087" s="7">
        <f t="shared" ref="C1087:C1089" si="119">3</f>
        <v>3</v>
      </c>
      <c r="D1087" s="7">
        <v>2.0</v>
      </c>
      <c r="E1087" s="9">
        <v>2.0</v>
      </c>
      <c r="F1087" s="7" t="s">
        <v>93</v>
      </c>
      <c r="G1087" s="7" t="s">
        <v>303</v>
      </c>
      <c r="H1087" s="9" t="s">
        <v>2979</v>
      </c>
      <c r="I1087" t="s">
        <v>3099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 t="str">
        <f t="shared" si="1"/>
        <v>Built-up :</v>
      </c>
      <c r="AE1087" s="7" t="str">
        <f t="shared" si="2"/>
        <v> sq. ft.</v>
      </c>
      <c r="AF1087">
        <f>IFERROR(__xludf.DUMMYFUNCTION("VALUE(REGEXREPLACE(G1087,""[^[:digit:]]"", """"))"),1485.0)</f>
        <v>1485</v>
      </c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 t="s">
        <v>22</v>
      </c>
    </row>
    <row r="1088">
      <c r="A1088" s="7" t="s">
        <v>155</v>
      </c>
      <c r="B1088" s="7" t="s">
        <v>1098</v>
      </c>
      <c r="C1088" s="7">
        <f t="shared" si="119"/>
        <v>3</v>
      </c>
      <c r="D1088" s="7">
        <v>3.0</v>
      </c>
      <c r="E1088" s="7">
        <v>2.0</v>
      </c>
      <c r="F1088" s="7" t="s">
        <v>93</v>
      </c>
      <c r="G1088" s="7" t="s">
        <v>630</v>
      </c>
      <c r="H1088" s="9" t="s">
        <v>2979</v>
      </c>
      <c r="I1088" t="s">
        <v>3257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 t="str">
        <f t="shared" si="1"/>
        <v>Built-up :</v>
      </c>
      <c r="AE1088" s="7" t="str">
        <f t="shared" si="2"/>
        <v> sq. ft.</v>
      </c>
      <c r="AF1088">
        <f>IFERROR(__xludf.DUMMYFUNCTION("VALUE(REGEXREPLACE(G1088,""[^[:digit:]]"", """"))"),1186.0)</f>
        <v>1186</v>
      </c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 t="s">
        <v>103</v>
      </c>
    </row>
    <row r="1089">
      <c r="A1089" s="7" t="s">
        <v>155</v>
      </c>
      <c r="B1089" s="7" t="s">
        <v>245</v>
      </c>
      <c r="C1089" s="7">
        <f t="shared" si="119"/>
        <v>3</v>
      </c>
      <c r="D1089" s="7">
        <v>3.0</v>
      </c>
      <c r="E1089" s="7">
        <v>1.0</v>
      </c>
      <c r="F1089" s="7" t="s">
        <v>93</v>
      </c>
      <c r="G1089" s="7" t="s">
        <v>1099</v>
      </c>
      <c r="H1089" s="9" t="s">
        <v>2979</v>
      </c>
      <c r="I1089" t="s">
        <v>3504</v>
      </c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 t="str">
        <f t="shared" si="1"/>
        <v>Built-up :</v>
      </c>
      <c r="AE1089" s="7" t="str">
        <f t="shared" si="2"/>
        <v> sq. ft.</v>
      </c>
      <c r="AF1089">
        <f>IFERROR(__xludf.DUMMYFUNCTION("VALUE(REGEXREPLACE(G1089,""[^[:digit:]]"", """"))"),1237.0)</f>
        <v>1237</v>
      </c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 t="s">
        <v>103</v>
      </c>
    </row>
    <row r="1090">
      <c r="A1090" s="7" t="s">
        <v>104</v>
      </c>
      <c r="B1090" s="7" t="s">
        <v>599</v>
      </c>
      <c r="C1090" s="7">
        <f>4</f>
        <v>4</v>
      </c>
      <c r="D1090" s="7">
        <v>3.0</v>
      </c>
      <c r="E1090" s="7">
        <v>2.0</v>
      </c>
      <c r="F1090" s="7" t="s">
        <v>169</v>
      </c>
      <c r="G1090" s="7" t="s">
        <v>1100</v>
      </c>
      <c r="H1090" s="9" t="s">
        <v>2981</v>
      </c>
      <c r="I1090" t="s">
        <v>3091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 t="str">
        <f t="shared" si="1"/>
        <v>Land area </v>
      </c>
      <c r="AE1090" s="7" t="str">
        <f t="shared" si="2"/>
        <v> sq. ft.</v>
      </c>
      <c r="AF1090">
        <f>IFERROR(__xludf.DUMMYFUNCTION("VALUE(REGEXREPLACE(G1090,""[^[:digit:]]"", """"))"),2275.0)</f>
        <v>2275</v>
      </c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 t="s">
        <v>27</v>
      </c>
    </row>
    <row r="1091">
      <c r="A1091" s="7" t="s">
        <v>72</v>
      </c>
      <c r="B1091" s="7" t="s">
        <v>484</v>
      </c>
      <c r="C1091" s="7">
        <f>4+1</f>
        <v>5</v>
      </c>
      <c r="D1091" s="7">
        <v>4.0</v>
      </c>
      <c r="E1091" s="7">
        <v>3.0</v>
      </c>
      <c r="F1091" s="7" t="s">
        <v>83</v>
      </c>
      <c r="G1091" s="7" t="s">
        <v>622</v>
      </c>
      <c r="H1091" s="9" t="s">
        <v>2979</v>
      </c>
      <c r="I1091" t="s">
        <v>3252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 t="str">
        <f t="shared" si="1"/>
        <v>Built-up :</v>
      </c>
      <c r="AE1091" s="7" t="str">
        <f t="shared" si="2"/>
        <v> sq. ft.</v>
      </c>
      <c r="AF1091">
        <f>IFERROR(__xludf.DUMMYFUNCTION("VALUE(REGEXREPLACE(G1091,""[^[:digit:]]"", """"))"),3478.0)</f>
        <v>3478</v>
      </c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 t="s">
        <v>22</v>
      </c>
    </row>
    <row r="1092">
      <c r="A1092" s="7" t="s">
        <v>155</v>
      </c>
      <c r="B1092" s="7" t="s">
        <v>1101</v>
      </c>
      <c r="E1092" s="7">
        <v>2.0</v>
      </c>
      <c r="F1092" s="7" t="s">
        <v>93</v>
      </c>
      <c r="G1092" s="7" t="s">
        <v>640</v>
      </c>
      <c r="H1092" s="9" t="s">
        <v>2979</v>
      </c>
      <c r="I1092" t="s">
        <v>3262</v>
      </c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 t="str">
        <f t="shared" si="1"/>
        <v>Built-up :</v>
      </c>
      <c r="AE1092" s="7" t="str">
        <f t="shared" si="2"/>
        <v> sq. ft.</v>
      </c>
      <c r="AF1092">
        <f>IFERROR(__xludf.DUMMYFUNCTION("VALUE(REGEXREPLACE(G1092,""[^[:digit:]]"", """"))"),1088.0)</f>
        <v>1088</v>
      </c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 t="s">
        <v>103</v>
      </c>
    </row>
    <row r="1093">
      <c r="A1093" s="7" t="s">
        <v>580</v>
      </c>
      <c r="B1093" s="7" t="s">
        <v>156</v>
      </c>
      <c r="C1093" s="7">
        <f>4</f>
        <v>4</v>
      </c>
      <c r="D1093" s="7">
        <v>3.0</v>
      </c>
      <c r="E1093" s="7">
        <v>2.0</v>
      </c>
      <c r="F1093" s="7" t="s">
        <v>169</v>
      </c>
      <c r="G1093" s="7" t="s">
        <v>1102</v>
      </c>
      <c r="H1093" s="9" t="s">
        <v>2981</v>
      </c>
      <c r="I1093" t="s">
        <v>2992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 t="str">
        <f t="shared" si="1"/>
        <v>Land area </v>
      </c>
      <c r="AE1093" s="7" t="str">
        <f t="shared" si="2"/>
        <v> sq. ft.</v>
      </c>
      <c r="AF1093" s="7">
        <v>1760.0</v>
      </c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 t="s">
        <v>27</v>
      </c>
    </row>
    <row r="1094">
      <c r="A1094" s="7" t="s">
        <v>580</v>
      </c>
      <c r="B1094" s="7" t="s">
        <v>105</v>
      </c>
      <c r="C1094" s="7">
        <f>3</f>
        <v>3</v>
      </c>
      <c r="D1094" s="7">
        <v>2.0</v>
      </c>
      <c r="E1094" s="7">
        <v>2.0</v>
      </c>
      <c r="F1094" s="7" t="s">
        <v>169</v>
      </c>
      <c r="G1094" s="7" t="s">
        <v>1103</v>
      </c>
      <c r="H1094" s="9" t="s">
        <v>2981</v>
      </c>
      <c r="I1094" t="s">
        <v>3505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 t="str">
        <f t="shared" si="1"/>
        <v>Land area </v>
      </c>
      <c r="AE1094" s="7" t="str">
        <f t="shared" si="2"/>
        <v> sq. ft.</v>
      </c>
      <c r="AF1094">
        <f>IFERROR(__xludf.DUMMYFUNCTION("VALUE(REGEXREPLACE(G1094,""[^[:digit:]]"", """"))"),770.0)</f>
        <v>770</v>
      </c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 t="s">
        <v>27</v>
      </c>
    </row>
    <row r="1095">
      <c r="A1095" s="7" t="s">
        <v>28</v>
      </c>
      <c r="B1095" s="7" t="s">
        <v>1104</v>
      </c>
      <c r="C1095" s="7">
        <f>4</f>
        <v>4</v>
      </c>
      <c r="D1095" s="7">
        <v>3.0</v>
      </c>
      <c r="E1095" s="7">
        <v>3.0</v>
      </c>
      <c r="F1095" s="7" t="s">
        <v>83</v>
      </c>
      <c r="G1095" s="7" t="s">
        <v>1105</v>
      </c>
      <c r="H1095" s="9" t="s">
        <v>2979</v>
      </c>
      <c r="I1095" t="s">
        <v>3506</v>
      </c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 t="str">
        <f t="shared" si="1"/>
        <v>Built-up :</v>
      </c>
      <c r="AE1095" s="7" t="str">
        <f t="shared" si="2"/>
        <v> sq. ft.</v>
      </c>
      <c r="AF1095">
        <f>IFERROR(__xludf.DUMMYFUNCTION("VALUE(REGEXREPLACE(G1095,""[^[:digit:]]"", """"))"),2100.0)</f>
        <v>2100</v>
      </c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 t="s">
        <v>27</v>
      </c>
    </row>
    <row r="1096">
      <c r="A1096" s="7" t="s">
        <v>77</v>
      </c>
      <c r="B1096" s="7" t="s">
        <v>189</v>
      </c>
      <c r="C1096" s="7">
        <f>3</f>
        <v>3</v>
      </c>
      <c r="D1096" s="7">
        <v>3.0</v>
      </c>
      <c r="E1096" s="7">
        <v>2.0</v>
      </c>
      <c r="F1096" s="7" t="s">
        <v>54</v>
      </c>
      <c r="G1096" s="7" t="s">
        <v>333</v>
      </c>
      <c r="H1096" s="9" t="s">
        <v>2981</v>
      </c>
      <c r="I1096" t="s">
        <v>3091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 t="str">
        <f t="shared" si="1"/>
        <v>Land area </v>
      </c>
      <c r="AE1096" s="7" t="str">
        <f t="shared" si="2"/>
        <v> sq. ft.</v>
      </c>
      <c r="AF1096">
        <f>IFERROR(__xludf.DUMMYFUNCTION("VALUE(REGEXREPLACE(G1096,""[^[:digit:]]"", """"))"),1650.0)</f>
        <v>1650</v>
      </c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</row>
    <row r="1097">
      <c r="A1097" s="7" t="s">
        <v>155</v>
      </c>
      <c r="B1097" s="7" t="s">
        <v>886</v>
      </c>
      <c r="C1097" s="7">
        <f>2+1</f>
        <v>3</v>
      </c>
      <c r="D1097" s="7">
        <v>2.0</v>
      </c>
      <c r="E1097" s="7">
        <v>1.0</v>
      </c>
      <c r="F1097" s="7" t="s">
        <v>93</v>
      </c>
      <c r="G1097" s="7" t="s">
        <v>1106</v>
      </c>
      <c r="H1097" s="9" t="s">
        <v>2979</v>
      </c>
      <c r="I1097" t="s">
        <v>3507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 t="str">
        <f t="shared" si="1"/>
        <v>Built-up :</v>
      </c>
      <c r="AE1097" s="7" t="str">
        <f t="shared" si="2"/>
        <v> sq. ft.</v>
      </c>
      <c r="AF1097">
        <f>IFERROR(__xludf.DUMMYFUNCTION("VALUE(REGEXREPLACE(G1097,""[^[:digit:]]"", """"))"),1180.0)</f>
        <v>1180</v>
      </c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 t="s">
        <v>103</v>
      </c>
    </row>
    <row r="1098">
      <c r="A1098" s="7" t="s">
        <v>100</v>
      </c>
      <c r="B1098" s="7" t="s">
        <v>1107</v>
      </c>
      <c r="C1098" s="7">
        <f t="shared" ref="C1098:C1099" si="120">3+1</f>
        <v>4</v>
      </c>
      <c r="D1098" s="7">
        <v>3.0</v>
      </c>
      <c r="E1098" s="9">
        <v>2.0</v>
      </c>
      <c r="F1098" s="7" t="s">
        <v>30</v>
      </c>
      <c r="G1098" s="7" t="s">
        <v>1108</v>
      </c>
      <c r="H1098" s="9" t="s">
        <v>2979</v>
      </c>
      <c r="I1098" t="s">
        <v>3508</v>
      </c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 t="str">
        <f t="shared" si="1"/>
        <v>Built-up :</v>
      </c>
      <c r="AE1098" s="7" t="str">
        <f t="shared" si="2"/>
        <v> sq. ft.</v>
      </c>
      <c r="AF1098">
        <f>IFERROR(__xludf.DUMMYFUNCTION("VALUE(REGEXREPLACE(G1098,""[^[:digit:]]"", """"))"),1663.0)</f>
        <v>1663</v>
      </c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 t="s">
        <v>103</v>
      </c>
    </row>
    <row r="1099">
      <c r="A1099" s="7" t="s">
        <v>155</v>
      </c>
      <c r="B1099" s="7" t="s">
        <v>755</v>
      </c>
      <c r="C1099" s="7">
        <f t="shared" si="120"/>
        <v>4</v>
      </c>
      <c r="D1099" s="7">
        <v>4.0</v>
      </c>
      <c r="E1099" s="7">
        <v>2.0</v>
      </c>
      <c r="F1099" s="7" t="s">
        <v>30</v>
      </c>
      <c r="G1099" s="7" t="s">
        <v>382</v>
      </c>
      <c r="H1099" s="9" t="s">
        <v>2979</v>
      </c>
      <c r="I1099" t="s">
        <v>3136</v>
      </c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 t="str">
        <f t="shared" si="1"/>
        <v>Built-up :</v>
      </c>
      <c r="AE1099" s="7" t="str">
        <f t="shared" si="2"/>
        <v> sq. ft.</v>
      </c>
      <c r="AF1099">
        <f>IFERROR(__xludf.DUMMYFUNCTION("VALUE(REGEXREPLACE(G1099,""[^[:digit:]]"", """"))"),1488.0)</f>
        <v>1488</v>
      </c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 t="s">
        <v>103</v>
      </c>
    </row>
    <row r="1100">
      <c r="A1100" s="7" t="s">
        <v>155</v>
      </c>
      <c r="B1100" s="7" t="s">
        <v>1109</v>
      </c>
      <c r="C1100" s="7">
        <f>3</f>
        <v>3</v>
      </c>
      <c r="D1100" s="7">
        <v>3.0</v>
      </c>
      <c r="E1100" s="7">
        <v>3.0</v>
      </c>
      <c r="F1100" s="7" t="s">
        <v>93</v>
      </c>
      <c r="G1100" s="7" t="s">
        <v>1110</v>
      </c>
      <c r="H1100" s="9" t="s">
        <v>2979</v>
      </c>
      <c r="I1100" t="s">
        <v>3509</v>
      </c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 t="str">
        <f t="shared" si="1"/>
        <v>Built-up :</v>
      </c>
      <c r="AE1100" s="7" t="str">
        <f t="shared" si="2"/>
        <v> sq. ft.</v>
      </c>
      <c r="AF1100">
        <f>IFERROR(__xludf.DUMMYFUNCTION("VALUE(REGEXREPLACE(G1100,""[^[:digit:]]"", """"))"),1373.0)</f>
        <v>1373</v>
      </c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 t="s">
        <v>27</v>
      </c>
    </row>
    <row r="1101">
      <c r="A1101" s="7" t="s">
        <v>72</v>
      </c>
      <c r="B1101" s="7" t="s">
        <v>144</v>
      </c>
      <c r="C1101" s="7">
        <f>4+1</f>
        <v>5</v>
      </c>
      <c r="D1101" s="7">
        <v>4.0</v>
      </c>
      <c r="E1101" s="7">
        <v>2.0</v>
      </c>
      <c r="F1101" s="7" t="s">
        <v>93</v>
      </c>
      <c r="G1101" s="7" t="s">
        <v>74</v>
      </c>
      <c r="H1101" s="9" t="s">
        <v>2979</v>
      </c>
      <c r="I1101" t="s">
        <v>2998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 t="str">
        <f t="shared" si="1"/>
        <v>Built-up :</v>
      </c>
      <c r="AE1101" s="7" t="str">
        <f t="shared" si="2"/>
        <v> sq. ft.</v>
      </c>
      <c r="AF1101">
        <f>IFERROR(__xludf.DUMMYFUNCTION("VALUE(REGEXREPLACE(G1101,""[^[:digit:]]"", """"))"),1830.0)</f>
        <v>1830</v>
      </c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 t="s">
        <v>27</v>
      </c>
    </row>
    <row r="1102">
      <c r="A1102" s="7" t="s">
        <v>100</v>
      </c>
      <c r="B1102" s="7" t="s">
        <v>1111</v>
      </c>
      <c r="C1102" s="7">
        <f>1</f>
        <v>1</v>
      </c>
      <c r="D1102" s="7">
        <v>2.0</v>
      </c>
      <c r="E1102" s="7">
        <v>1.0</v>
      </c>
      <c r="F1102" s="7" t="s">
        <v>145</v>
      </c>
      <c r="G1102" s="7" t="s">
        <v>786</v>
      </c>
      <c r="H1102" s="9" t="s">
        <v>2979</v>
      </c>
      <c r="I1102" t="s">
        <v>3339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 t="str">
        <f t="shared" si="1"/>
        <v>Built-up :</v>
      </c>
      <c r="AE1102" s="7" t="str">
        <f t="shared" si="2"/>
        <v> sq. ft.</v>
      </c>
      <c r="AF1102">
        <f>IFERROR(__xludf.DUMMYFUNCTION("VALUE(REGEXREPLACE(G1102,""[^[:digit:]]"", """"))"),775.0)</f>
        <v>775</v>
      </c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 t="s">
        <v>27</v>
      </c>
    </row>
    <row r="1103">
      <c r="A1103" s="7" t="s">
        <v>1088</v>
      </c>
      <c r="B1103" s="7" t="s">
        <v>243</v>
      </c>
      <c r="C1103" s="7">
        <f t="shared" ref="C1103:C1107" si="121">3</f>
        <v>3</v>
      </c>
      <c r="D1103" s="7">
        <v>2.0</v>
      </c>
      <c r="E1103" s="9">
        <v>2.0</v>
      </c>
      <c r="F1103" s="7" t="s">
        <v>30</v>
      </c>
      <c r="G1103" s="7" t="s">
        <v>464</v>
      </c>
      <c r="H1103" s="9" t="s">
        <v>2979</v>
      </c>
      <c r="I1103" t="s">
        <v>3174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 t="str">
        <f t="shared" si="1"/>
        <v>Built-up :</v>
      </c>
      <c r="AE1103" s="7" t="str">
        <f t="shared" si="2"/>
        <v> sq. ft.</v>
      </c>
      <c r="AF1103">
        <f>IFERROR(__xludf.DUMMYFUNCTION("VALUE(REGEXREPLACE(G1103,""[^[:digit:]]"", """"))"),1367.0)</f>
        <v>1367</v>
      </c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 t="s">
        <v>22</v>
      </c>
    </row>
    <row r="1104">
      <c r="A1104" s="7" t="s">
        <v>33</v>
      </c>
      <c r="B1104" s="7" t="s">
        <v>1104</v>
      </c>
      <c r="C1104" s="7">
        <f t="shared" si="121"/>
        <v>3</v>
      </c>
      <c r="D1104" s="7">
        <v>2.0</v>
      </c>
      <c r="E1104" s="7">
        <v>2.0</v>
      </c>
      <c r="F1104" s="7" t="s">
        <v>20</v>
      </c>
      <c r="G1104" s="7" t="s">
        <v>1112</v>
      </c>
      <c r="H1104" s="9" t="s">
        <v>2979</v>
      </c>
      <c r="I1104" t="s">
        <v>3510</v>
      </c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 t="str">
        <f t="shared" si="1"/>
        <v>Built-up :</v>
      </c>
      <c r="AE1104" s="7" t="str">
        <f t="shared" si="2"/>
        <v> sq. ft.</v>
      </c>
      <c r="AF1104">
        <f>IFERROR(__xludf.DUMMYFUNCTION("VALUE(REGEXREPLACE(G1104,""[^[:digit:]]"", """"))"),1218.0)</f>
        <v>1218</v>
      </c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 t="s">
        <v>22</v>
      </c>
    </row>
    <row r="1105">
      <c r="A1105" s="7" t="s">
        <v>33</v>
      </c>
      <c r="B1105" s="7" t="s">
        <v>34</v>
      </c>
      <c r="C1105" s="7">
        <f t="shared" si="121"/>
        <v>3</v>
      </c>
      <c r="D1105" s="7">
        <v>2.0</v>
      </c>
      <c r="E1105" s="7">
        <v>2.0</v>
      </c>
      <c r="F1105" s="7" t="s">
        <v>20</v>
      </c>
      <c r="G1105" s="7" t="s">
        <v>1112</v>
      </c>
      <c r="H1105" s="9" t="s">
        <v>2979</v>
      </c>
      <c r="I1105" t="s">
        <v>3510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 t="str">
        <f t="shared" si="1"/>
        <v>Built-up :</v>
      </c>
      <c r="AE1105" s="7" t="str">
        <f t="shared" si="2"/>
        <v> sq. ft.</v>
      </c>
      <c r="AF1105">
        <f>IFERROR(__xludf.DUMMYFUNCTION("VALUE(REGEXREPLACE(G1105,""[^[:digit:]]"", """"))"),1218.0)</f>
        <v>1218</v>
      </c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 t="s">
        <v>103</v>
      </c>
    </row>
    <row r="1106">
      <c r="A1106" s="7" t="s">
        <v>155</v>
      </c>
      <c r="B1106" s="7" t="s">
        <v>314</v>
      </c>
      <c r="C1106" s="7">
        <f t="shared" si="121"/>
        <v>3</v>
      </c>
      <c r="D1106" s="7">
        <v>2.0</v>
      </c>
      <c r="E1106" s="7">
        <v>1.0</v>
      </c>
      <c r="F1106" s="7" t="s">
        <v>30</v>
      </c>
      <c r="G1106" s="7" t="s">
        <v>135</v>
      </c>
      <c r="H1106" s="9" t="s">
        <v>2979</v>
      </c>
      <c r="I1106" t="s">
        <v>3023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 t="str">
        <f t="shared" si="1"/>
        <v>Built-up :</v>
      </c>
      <c r="AE1106" s="7" t="str">
        <f t="shared" si="2"/>
        <v> sq. ft.</v>
      </c>
      <c r="AF1106">
        <f>IFERROR(__xludf.DUMMYFUNCTION("VALUE(REGEXREPLACE(G1106,""[^[:digit:]]"", """"))"),1200.0)</f>
        <v>1200</v>
      </c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 t="s">
        <v>22</v>
      </c>
    </row>
    <row r="1107">
      <c r="A1107" s="7" t="s">
        <v>72</v>
      </c>
      <c r="B1107" s="7" t="s">
        <v>239</v>
      </c>
      <c r="C1107" s="7">
        <f t="shared" si="121"/>
        <v>3</v>
      </c>
      <c r="D1107" s="7">
        <v>2.0</v>
      </c>
      <c r="E1107" s="7">
        <v>2.0</v>
      </c>
      <c r="F1107" s="7" t="s">
        <v>30</v>
      </c>
      <c r="G1107" s="7" t="s">
        <v>135</v>
      </c>
      <c r="H1107" s="9" t="s">
        <v>2979</v>
      </c>
      <c r="I1107" t="s">
        <v>3023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 t="str">
        <f t="shared" si="1"/>
        <v>Built-up :</v>
      </c>
      <c r="AE1107" s="7" t="str">
        <f t="shared" si="2"/>
        <v> sq. ft.</v>
      </c>
      <c r="AF1107">
        <f>IFERROR(__xludf.DUMMYFUNCTION("VALUE(REGEXREPLACE(G1107,""[^[:digit:]]"", """"))"),1200.0)</f>
        <v>1200</v>
      </c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 t="s">
        <v>27</v>
      </c>
    </row>
    <row r="1108">
      <c r="A1108" s="7" t="s">
        <v>180</v>
      </c>
      <c r="B1108" s="7" t="s">
        <v>403</v>
      </c>
      <c r="C1108" s="7">
        <f t="shared" ref="C1108:C1109" si="122">2+1</f>
        <v>3</v>
      </c>
      <c r="D1108" s="7">
        <v>3.0</v>
      </c>
      <c r="E1108" s="7">
        <v>2.0</v>
      </c>
      <c r="F1108" s="7" t="s">
        <v>121</v>
      </c>
      <c r="G1108" s="7" t="s">
        <v>216</v>
      </c>
      <c r="H1108" s="9" t="s">
        <v>2979</v>
      </c>
      <c r="I1108" t="s">
        <v>3057</v>
      </c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 t="str">
        <f t="shared" si="1"/>
        <v>Built-up :</v>
      </c>
      <c r="AE1108" s="7" t="str">
        <f t="shared" si="2"/>
        <v> sq. ft.</v>
      </c>
      <c r="AF1108">
        <f>IFERROR(__xludf.DUMMYFUNCTION("VALUE(REGEXREPLACE(G1108,""[^[:digit:]]"", """"))"),1442.0)</f>
        <v>1442</v>
      </c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 t="s">
        <v>22</v>
      </c>
    </row>
    <row r="1109">
      <c r="A1109" s="7" t="s">
        <v>180</v>
      </c>
      <c r="B1109" s="7" t="s">
        <v>322</v>
      </c>
      <c r="C1109" s="7">
        <f t="shared" si="122"/>
        <v>3</v>
      </c>
      <c r="D1109" s="7">
        <v>3.0</v>
      </c>
      <c r="E1109" s="7">
        <v>2.0</v>
      </c>
      <c r="F1109" s="7" t="s">
        <v>20</v>
      </c>
      <c r="G1109" s="7" t="s">
        <v>1078</v>
      </c>
      <c r="H1109" s="9" t="s">
        <v>2979</v>
      </c>
      <c r="I1109" t="s">
        <v>3492</v>
      </c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 t="str">
        <f t="shared" si="1"/>
        <v>Built-up :</v>
      </c>
      <c r="AE1109" s="7" t="str">
        <f t="shared" si="2"/>
        <v> sq. ft.</v>
      </c>
      <c r="AF1109">
        <f>IFERROR(__xludf.DUMMYFUNCTION("VALUE(REGEXREPLACE(G1109,""[^[:digit:]]"", """"))"),1453.0)</f>
        <v>1453</v>
      </c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 t="s">
        <v>22</v>
      </c>
    </row>
    <row r="1110">
      <c r="A1110" s="7" t="s">
        <v>180</v>
      </c>
      <c r="B1110" s="7" t="s">
        <v>448</v>
      </c>
      <c r="C1110" s="7">
        <f>1</f>
        <v>1</v>
      </c>
      <c r="D1110" s="7">
        <v>1.0</v>
      </c>
      <c r="E1110" s="9">
        <v>2.0</v>
      </c>
      <c r="F1110" s="7" t="s">
        <v>121</v>
      </c>
      <c r="G1110" s="7" t="s">
        <v>1113</v>
      </c>
      <c r="H1110" s="9" t="s">
        <v>2979</v>
      </c>
      <c r="I1110" t="s">
        <v>3511</v>
      </c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 t="str">
        <f t="shared" si="1"/>
        <v>Built-up :</v>
      </c>
      <c r="AE1110" s="7" t="str">
        <f t="shared" si="2"/>
        <v> sq. ft.</v>
      </c>
      <c r="AF1110">
        <f>IFERROR(__xludf.DUMMYFUNCTION("VALUE(REGEXREPLACE(G1110,""[^[:digit:]]"", """"))"),1131.0)</f>
        <v>1131</v>
      </c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 t="s">
        <v>22</v>
      </c>
    </row>
    <row r="1111">
      <c r="A1111" s="7" t="s">
        <v>100</v>
      </c>
      <c r="B1111" s="7" t="s">
        <v>1114</v>
      </c>
      <c r="C1111" s="7">
        <f>3+1</f>
        <v>4</v>
      </c>
      <c r="D1111" s="7">
        <v>3.0</v>
      </c>
      <c r="E1111" s="7">
        <v>2.0</v>
      </c>
      <c r="F1111" s="7" t="s">
        <v>83</v>
      </c>
      <c r="G1111" s="7" t="s">
        <v>1115</v>
      </c>
      <c r="H1111" s="9" t="s">
        <v>2979</v>
      </c>
      <c r="I1111" t="s">
        <v>3512</v>
      </c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 t="str">
        <f t="shared" si="1"/>
        <v>Built-up :</v>
      </c>
      <c r="AE1111" s="7" t="str">
        <f t="shared" si="2"/>
        <v> sq. ft.</v>
      </c>
      <c r="AF1111">
        <f>IFERROR(__xludf.DUMMYFUNCTION("VALUE(REGEXREPLACE(G1111,""[^[:digit:]]"", """"))"),1578.0)</f>
        <v>1578</v>
      </c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 t="s">
        <v>27</v>
      </c>
    </row>
    <row r="1112">
      <c r="A1112" s="7" t="s">
        <v>180</v>
      </c>
      <c r="B1112" s="7" t="s">
        <v>125</v>
      </c>
      <c r="C1112" s="7">
        <f>2+1</f>
        <v>3</v>
      </c>
      <c r="D1112" s="7">
        <v>3.0</v>
      </c>
      <c r="E1112" s="7">
        <v>2.0</v>
      </c>
      <c r="F1112" s="7" t="s">
        <v>121</v>
      </c>
      <c r="G1112" s="7" t="s">
        <v>1116</v>
      </c>
      <c r="H1112" s="9" t="s">
        <v>2981</v>
      </c>
      <c r="I1112" t="s">
        <v>3513</v>
      </c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 t="str">
        <f t="shared" si="1"/>
        <v>Land area </v>
      </c>
      <c r="AE1112" s="7" t="str">
        <f t="shared" si="2"/>
        <v> sq. ft.</v>
      </c>
      <c r="AF1112">
        <f>IFERROR(__xludf.DUMMYFUNCTION("VALUE(REGEXREPLACE(G1112,""[^[:digit:]]"", """"))"),1614.0)</f>
        <v>1614</v>
      </c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 t="s">
        <v>27</v>
      </c>
    </row>
    <row r="1113">
      <c r="A1113" s="7" t="s">
        <v>104</v>
      </c>
      <c r="B1113" s="7" t="s">
        <v>327</v>
      </c>
      <c r="D1113" s="7">
        <v>3.0</v>
      </c>
      <c r="E1113" s="9">
        <v>2.0</v>
      </c>
      <c r="F1113" s="7" t="s">
        <v>184</v>
      </c>
      <c r="G1113" s="7" t="s">
        <v>1117</v>
      </c>
      <c r="H1113" s="9" t="s">
        <v>2981</v>
      </c>
      <c r="I1113" t="s">
        <v>3514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 t="s">
        <v>3101</v>
      </c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 t="str">
        <f t="shared" si="1"/>
        <v>Land area </v>
      </c>
      <c r="AE1113" s="7" t="str">
        <f t="shared" si="2"/>
        <v> sq. ft.</v>
      </c>
      <c r="AF1113">
        <f>IFERROR(__xludf.DUMMYFUNCTION("VALUE(REGEXREPLACE(G1113,""[^[:digit:]]"", """"))"),4285.0)</f>
        <v>4285</v>
      </c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 t="s">
        <v>27</v>
      </c>
    </row>
    <row r="1114">
      <c r="A1114" s="7" t="s">
        <v>104</v>
      </c>
      <c r="B1114" s="7" t="s">
        <v>327</v>
      </c>
      <c r="C1114" s="7">
        <f>6</f>
        <v>6</v>
      </c>
      <c r="D1114" s="7">
        <v>5.0</v>
      </c>
      <c r="E1114" s="9">
        <v>2.0</v>
      </c>
      <c r="F1114" s="7" t="s">
        <v>90</v>
      </c>
      <c r="G1114" s="7" t="s">
        <v>283</v>
      </c>
      <c r="H1114" s="9" t="s">
        <v>2981</v>
      </c>
      <c r="I1114" t="s">
        <v>3091</v>
      </c>
      <c r="J1114" s="7"/>
      <c r="K1114" s="7"/>
      <c r="L1114" s="7"/>
      <c r="M1114" s="7"/>
      <c r="N1114" s="7"/>
      <c r="O1114" s="7"/>
      <c r="P1114" s="7"/>
      <c r="Q1114" s="7"/>
      <c r="R1114" s="7"/>
      <c r="S1114" s="7" t="s">
        <v>2990</v>
      </c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 t="str">
        <f t="shared" si="1"/>
        <v>Land area </v>
      </c>
      <c r="AE1114" s="7" t="str">
        <f t="shared" si="2"/>
        <v> sq. ft.</v>
      </c>
      <c r="AF1114">
        <f>IFERROR(__xludf.DUMMYFUNCTION("VALUE(REGEXREPLACE(G1114,""[^[:digit:]]"", """"))"),2275.0)</f>
        <v>2275</v>
      </c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 t="s">
        <v>27</v>
      </c>
    </row>
    <row r="1115">
      <c r="A1115" s="7" t="s">
        <v>104</v>
      </c>
      <c r="B1115" s="7" t="s">
        <v>144</v>
      </c>
      <c r="C1115" s="7">
        <f>5+1</f>
        <v>6</v>
      </c>
      <c r="D1115" s="7">
        <v>6.0</v>
      </c>
      <c r="E1115" s="9">
        <v>2.0</v>
      </c>
      <c r="F1115" s="7" t="s">
        <v>64</v>
      </c>
      <c r="G1115" s="7" t="s">
        <v>1118</v>
      </c>
      <c r="H1115" s="9" t="s">
        <v>2981</v>
      </c>
      <c r="I1115" t="s">
        <v>3515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 t="s">
        <v>2990</v>
      </c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 t="str">
        <f t="shared" si="1"/>
        <v>Land area </v>
      </c>
      <c r="AE1115" s="7" t="str">
        <f t="shared" si="2"/>
        <v> sq. ft.</v>
      </c>
      <c r="AF1115">
        <f>IFERROR(__xludf.DUMMYFUNCTION("VALUE(REGEXREPLACE(G1115,""[^[:digit:]]"", """"))"),3475.0)</f>
        <v>3475</v>
      </c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 t="s">
        <v>103</v>
      </c>
    </row>
    <row r="1116">
      <c r="A1116" s="7" t="s">
        <v>104</v>
      </c>
      <c r="B1116" s="7" t="s">
        <v>599</v>
      </c>
      <c r="C1116" s="7">
        <f>4</f>
        <v>4</v>
      </c>
      <c r="D1116" s="7">
        <v>3.0</v>
      </c>
      <c r="E1116" s="9">
        <v>2.0</v>
      </c>
      <c r="F1116" s="7" t="s">
        <v>54</v>
      </c>
      <c r="G1116" s="7" t="s">
        <v>1119</v>
      </c>
      <c r="H1116" s="9" t="s">
        <v>2981</v>
      </c>
      <c r="I1116" t="s">
        <v>3516</v>
      </c>
      <c r="J1116" s="7"/>
      <c r="K1116" s="7"/>
      <c r="L1116" s="7"/>
      <c r="M1116" s="7"/>
      <c r="N1116" s="7"/>
      <c r="O1116" s="7"/>
      <c r="P1116" s="7"/>
      <c r="Q1116" s="7"/>
      <c r="R1116" s="7"/>
      <c r="S1116" s="7" t="s">
        <v>3121</v>
      </c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 t="str">
        <f t="shared" si="1"/>
        <v>Land area </v>
      </c>
      <c r="AE1116" s="7" t="str">
        <f t="shared" si="2"/>
        <v> sq. ft.</v>
      </c>
      <c r="AF1116">
        <f>IFERROR(__xludf.DUMMYFUNCTION("VALUE(REGEXREPLACE(G1116,""[^[:digit:]]"", """"))"),2070.0)</f>
        <v>2070</v>
      </c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 t="s">
        <v>27</v>
      </c>
    </row>
    <row r="1117">
      <c r="A1117" s="7" t="s">
        <v>171</v>
      </c>
      <c r="B1117" s="7" t="s">
        <v>391</v>
      </c>
      <c r="C1117" s="7">
        <f>3</f>
        <v>3</v>
      </c>
      <c r="D1117" s="7">
        <v>2.0</v>
      </c>
      <c r="E1117" s="7">
        <v>1.0</v>
      </c>
      <c r="F1117" s="7" t="s">
        <v>83</v>
      </c>
      <c r="G1117" s="7" t="s">
        <v>392</v>
      </c>
      <c r="H1117" s="9" t="s">
        <v>2979</v>
      </c>
      <c r="I1117" t="s">
        <v>3141</v>
      </c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 t="str">
        <f t="shared" si="1"/>
        <v>Built-up :</v>
      </c>
      <c r="AE1117" s="7" t="str">
        <f t="shared" si="2"/>
        <v> sq. ft.</v>
      </c>
      <c r="AF1117">
        <f>IFERROR(__xludf.DUMMYFUNCTION("VALUE(REGEXREPLACE(G1117,""[^[:digit:]]"", """"))"),850.0)</f>
        <v>850</v>
      </c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</row>
    <row r="1118">
      <c r="A1118" s="7" t="s">
        <v>72</v>
      </c>
      <c r="B1118" s="7" t="s">
        <v>468</v>
      </c>
      <c r="C1118" s="7">
        <f>3+1</f>
        <v>4</v>
      </c>
      <c r="D1118" s="7">
        <v>4.0</v>
      </c>
      <c r="E1118" s="9">
        <v>2.0</v>
      </c>
      <c r="F1118" s="7" t="s">
        <v>83</v>
      </c>
      <c r="G1118" s="7" t="s">
        <v>231</v>
      </c>
      <c r="H1118" s="9" t="s">
        <v>2979</v>
      </c>
      <c r="I1118" t="s">
        <v>3066</v>
      </c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 t="str">
        <f t="shared" si="1"/>
        <v>Built-up :</v>
      </c>
      <c r="AE1118" s="7" t="str">
        <f t="shared" si="2"/>
        <v> sq. ft.</v>
      </c>
      <c r="AF1118">
        <f>IFERROR(__xludf.DUMMYFUNCTION("VALUE(REGEXREPLACE(G1118,""[^[:digit:]]"", """"))"),3041.0)</f>
        <v>3041</v>
      </c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 t="s">
        <v>27</v>
      </c>
    </row>
    <row r="1119">
      <c r="A1119" s="7" t="s">
        <v>77</v>
      </c>
      <c r="B1119" s="7" t="s">
        <v>693</v>
      </c>
      <c r="C1119" s="7">
        <f>7+1</f>
        <v>8</v>
      </c>
      <c r="D1119" s="7">
        <v>7.0</v>
      </c>
      <c r="E1119" s="7">
        <v>4.0</v>
      </c>
      <c r="F1119" s="7" t="s">
        <v>67</v>
      </c>
      <c r="G1119" s="7" t="s">
        <v>1120</v>
      </c>
      <c r="H1119" s="9" t="s">
        <v>2981</v>
      </c>
      <c r="I1119" t="s">
        <v>3517</v>
      </c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 t="str">
        <f t="shared" si="1"/>
        <v>Land area </v>
      </c>
      <c r="AE1119" s="7" t="str">
        <f t="shared" si="2"/>
        <v> sq. ft.</v>
      </c>
      <c r="AF1119">
        <f>IFERROR(__xludf.DUMMYFUNCTION("VALUE(REGEXREPLACE(G1119,""[^[:digit:]]"", """"))"),6200.0)</f>
        <v>6200</v>
      </c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 t="s">
        <v>27</v>
      </c>
    </row>
    <row r="1120">
      <c r="A1120" s="7" t="s">
        <v>77</v>
      </c>
      <c r="B1120" s="7" t="s">
        <v>214</v>
      </c>
      <c r="C1120" s="7">
        <f t="shared" ref="C1120:C1121" si="123">3+1</f>
        <v>4</v>
      </c>
      <c r="D1120" s="7">
        <v>2.0</v>
      </c>
      <c r="E1120" s="7">
        <v>2.0</v>
      </c>
      <c r="F1120" s="7" t="s">
        <v>30</v>
      </c>
      <c r="G1120" s="7" t="s">
        <v>1025</v>
      </c>
      <c r="H1120" s="9" t="s">
        <v>2979</v>
      </c>
      <c r="I1120" t="s">
        <v>3461</v>
      </c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 t="str">
        <f t="shared" si="1"/>
        <v>Built-up :</v>
      </c>
      <c r="AE1120" s="7" t="str">
        <f t="shared" si="2"/>
        <v> sq. ft.</v>
      </c>
      <c r="AF1120">
        <f>IFERROR(__xludf.DUMMYFUNCTION("VALUE(REGEXREPLACE(G1120,""[^[:digit:]]"", """"))"),1432.0)</f>
        <v>1432</v>
      </c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 t="s">
        <v>27</v>
      </c>
    </row>
    <row r="1121">
      <c r="A1121" s="7" t="s">
        <v>77</v>
      </c>
      <c r="B1121" s="7" t="s">
        <v>309</v>
      </c>
      <c r="C1121" s="7">
        <f t="shared" si="123"/>
        <v>4</v>
      </c>
      <c r="D1121" s="7">
        <v>4.0</v>
      </c>
      <c r="E1121" s="7">
        <v>3.0</v>
      </c>
      <c r="F1121" s="7" t="s">
        <v>54</v>
      </c>
      <c r="G1121" s="7" t="s">
        <v>1121</v>
      </c>
      <c r="H1121" s="9" t="s">
        <v>2981</v>
      </c>
      <c r="I1121" t="s">
        <v>3518</v>
      </c>
      <c r="J1121" s="7"/>
      <c r="K1121" s="7"/>
      <c r="L1121" s="7"/>
      <c r="M1121" s="7"/>
      <c r="N1121" s="7"/>
      <c r="O1121" s="7"/>
      <c r="P1121" s="7"/>
      <c r="Q1121" s="7"/>
      <c r="R1121" s="7"/>
      <c r="S1121" s="7" t="s">
        <v>3121</v>
      </c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 t="str">
        <f t="shared" si="1"/>
        <v>Land area </v>
      </c>
      <c r="AE1121" s="7" t="str">
        <f t="shared" si="2"/>
        <v> sq. ft.</v>
      </c>
      <c r="AF1121">
        <f>IFERROR(__xludf.DUMMYFUNCTION("VALUE(REGEXREPLACE(G1121,""[^[:digit:]]"", """"))"),2270.0)</f>
        <v>2270</v>
      </c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 t="s">
        <v>27</v>
      </c>
    </row>
    <row r="1122">
      <c r="A1122" s="7" t="s">
        <v>77</v>
      </c>
      <c r="B1122" s="7" t="s">
        <v>390</v>
      </c>
      <c r="C1122" s="7">
        <f>7</f>
        <v>7</v>
      </c>
      <c r="D1122" s="7">
        <v>7.0</v>
      </c>
      <c r="E1122" s="7">
        <v>10.0</v>
      </c>
      <c r="F1122" s="7" t="s">
        <v>61</v>
      </c>
      <c r="G1122" s="7" t="s">
        <v>533</v>
      </c>
      <c r="H1122" s="9" t="s">
        <v>2981</v>
      </c>
      <c r="I1122" t="s">
        <v>3211</v>
      </c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 t="str">
        <f t="shared" si="1"/>
        <v>Land area </v>
      </c>
      <c r="AE1122" s="7" t="str">
        <f t="shared" si="2"/>
        <v> sq. ft.</v>
      </c>
      <c r="AF1122">
        <f>IFERROR(__xludf.DUMMYFUNCTION("VALUE(REGEXREPLACE(G1122,""[^[:digit:]]"", """"))"),7300.0)</f>
        <v>7300</v>
      </c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 t="s">
        <v>27</v>
      </c>
    </row>
    <row r="1123">
      <c r="A1123" s="7" t="s">
        <v>77</v>
      </c>
      <c r="B1123" s="7" t="s">
        <v>1122</v>
      </c>
      <c r="C1123" s="7">
        <f>2+1</f>
        <v>3</v>
      </c>
      <c r="D1123" s="7">
        <v>3.0</v>
      </c>
      <c r="E1123" s="7">
        <v>2.0</v>
      </c>
      <c r="F1123" s="7" t="s">
        <v>93</v>
      </c>
      <c r="G1123" s="7" t="s">
        <v>230</v>
      </c>
      <c r="H1123" s="9" t="s">
        <v>2979</v>
      </c>
      <c r="I1123" t="s">
        <v>3065</v>
      </c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 t="str">
        <f t="shared" si="1"/>
        <v>Built-up :</v>
      </c>
      <c r="AE1123" s="7" t="str">
        <f t="shared" si="2"/>
        <v> sq. ft.</v>
      </c>
      <c r="AF1123">
        <f>IFERROR(__xludf.DUMMYFUNCTION("VALUE(REGEXREPLACE(G1123,""[^[:digit:]]"", """"))"),1389.0)</f>
        <v>1389</v>
      </c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 t="s">
        <v>27</v>
      </c>
    </row>
    <row r="1124">
      <c r="A1124" s="7" t="s">
        <v>77</v>
      </c>
      <c r="B1124" s="7" t="s">
        <v>110</v>
      </c>
      <c r="C1124" s="7">
        <f>5+1</f>
        <v>6</v>
      </c>
      <c r="D1124" s="7">
        <v>4.0</v>
      </c>
      <c r="E1124" s="7">
        <v>3.0</v>
      </c>
      <c r="F1124" s="7" t="s">
        <v>54</v>
      </c>
      <c r="G1124" s="7" t="s">
        <v>911</v>
      </c>
      <c r="H1124" s="9" t="s">
        <v>2981</v>
      </c>
      <c r="I1124" t="s">
        <v>3300</v>
      </c>
      <c r="J1124" s="7"/>
      <c r="K1124" s="7"/>
      <c r="L1124" s="7"/>
      <c r="M1124" s="7"/>
      <c r="N1124" s="7"/>
      <c r="O1124" s="7"/>
      <c r="P1124" s="7"/>
      <c r="Q1124" s="7"/>
      <c r="R1124" s="7"/>
      <c r="S1124" s="7" t="s">
        <v>3382</v>
      </c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 t="str">
        <f t="shared" si="1"/>
        <v>Land area </v>
      </c>
      <c r="AE1124" s="7" t="str">
        <f t="shared" si="2"/>
        <v> sq. ft.</v>
      </c>
      <c r="AF1124">
        <f>IFERROR(__xludf.DUMMYFUNCTION("VALUE(REGEXREPLACE(G1124,""[^[:digit:]]"", """"))"),22100.0)</f>
        <v>22100</v>
      </c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 t="s">
        <v>27</v>
      </c>
    </row>
    <row r="1125">
      <c r="A1125" s="7" t="s">
        <v>77</v>
      </c>
      <c r="B1125" s="7" t="s">
        <v>81</v>
      </c>
      <c r="C1125" s="7">
        <f>3</f>
        <v>3</v>
      </c>
      <c r="E1125" s="7">
        <v>2.0</v>
      </c>
      <c r="F1125" s="7" t="s">
        <v>93</v>
      </c>
      <c r="G1125" s="7" t="s">
        <v>474</v>
      </c>
      <c r="H1125" s="9" t="s">
        <v>2979</v>
      </c>
      <c r="I1125" t="s">
        <v>3181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 t="str">
        <f t="shared" si="1"/>
        <v>Built-up :</v>
      </c>
      <c r="AE1125" s="7" t="str">
        <f t="shared" si="2"/>
        <v> sq. ft.</v>
      </c>
      <c r="AF1125">
        <f>IFERROR(__xludf.DUMMYFUNCTION("VALUE(REGEXREPLACE(G1125,""[^[:digit:]]"", """"))"),1346.0)</f>
        <v>1346</v>
      </c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 t="s">
        <v>22</v>
      </c>
    </row>
    <row r="1126">
      <c r="A1126" s="7" t="s">
        <v>77</v>
      </c>
      <c r="B1126" s="7" t="s">
        <v>125</v>
      </c>
      <c r="C1126" s="7">
        <f>4+1</f>
        <v>5</v>
      </c>
      <c r="D1126" s="7">
        <v>5.0</v>
      </c>
      <c r="E1126" s="9">
        <v>2.0</v>
      </c>
      <c r="F1126" s="7" t="s">
        <v>54</v>
      </c>
      <c r="G1126" s="7" t="s">
        <v>211</v>
      </c>
      <c r="H1126" s="9" t="s">
        <v>2981</v>
      </c>
      <c r="I1126" t="s">
        <v>2992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 t="s">
        <v>2993</v>
      </c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 t="str">
        <f t="shared" si="1"/>
        <v>Land area </v>
      </c>
      <c r="AE1126" s="7" t="str">
        <f t="shared" si="2"/>
        <v> sq. ft.</v>
      </c>
      <c r="AF1126">
        <f>IFERROR(__xludf.DUMMYFUNCTION("VALUE(REGEXREPLACE(G1126,""[^[:digit:]]"", """"))"),2280.0)</f>
        <v>2280</v>
      </c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 t="s">
        <v>27</v>
      </c>
    </row>
    <row r="1127">
      <c r="A1127" s="7" t="s">
        <v>77</v>
      </c>
      <c r="B1127" s="7" t="s">
        <v>329</v>
      </c>
      <c r="C1127" s="7">
        <f>2</f>
        <v>2</v>
      </c>
      <c r="D1127" s="7">
        <v>2.0</v>
      </c>
      <c r="E1127" s="7">
        <v>2.0</v>
      </c>
      <c r="F1127" s="7" t="s">
        <v>93</v>
      </c>
      <c r="G1127" s="7" t="s">
        <v>237</v>
      </c>
      <c r="H1127" s="9" t="s">
        <v>2979</v>
      </c>
      <c r="I1127" t="s">
        <v>3069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 t="str">
        <f t="shared" si="1"/>
        <v>Built-up :</v>
      </c>
      <c r="AE1127" s="7" t="str">
        <f t="shared" si="2"/>
        <v> sq. ft.</v>
      </c>
      <c r="AF1127">
        <f>IFERROR(__xludf.DUMMYFUNCTION("VALUE(REGEXREPLACE(G1127,""[^[:digit:]]"", """"))"),1087.0)</f>
        <v>1087</v>
      </c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 t="s">
        <v>27</v>
      </c>
    </row>
    <row r="1128">
      <c r="A1128" s="7" t="s">
        <v>77</v>
      </c>
      <c r="B1128" s="7" t="s">
        <v>1123</v>
      </c>
      <c r="C1128" s="7">
        <f>4+1</f>
        <v>5</v>
      </c>
      <c r="D1128" s="7">
        <v>5.0</v>
      </c>
      <c r="E1128" s="7">
        <v>3.0</v>
      </c>
      <c r="F1128" s="7" t="s">
        <v>90</v>
      </c>
      <c r="G1128" s="7" t="s">
        <v>283</v>
      </c>
      <c r="H1128" s="9" t="s">
        <v>2981</v>
      </c>
      <c r="I1128" t="s">
        <v>3091</v>
      </c>
      <c r="J1128" s="7"/>
      <c r="K1128" s="7"/>
      <c r="L1128" s="7"/>
      <c r="M1128" s="7"/>
      <c r="N1128" s="7"/>
      <c r="O1128" s="7"/>
      <c r="P1128" s="7"/>
      <c r="Q1128" s="7"/>
      <c r="R1128" s="7"/>
      <c r="S1128" s="7" t="s">
        <v>2990</v>
      </c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 t="str">
        <f t="shared" si="1"/>
        <v>Land area </v>
      </c>
      <c r="AE1128" s="7" t="str">
        <f t="shared" si="2"/>
        <v> sq. ft.</v>
      </c>
      <c r="AF1128">
        <f>IFERROR(__xludf.DUMMYFUNCTION("VALUE(REGEXREPLACE(G1128,""[^[:digit:]]"", """"))"),2275.0)</f>
        <v>2275</v>
      </c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 t="s">
        <v>22</v>
      </c>
    </row>
    <row r="1129">
      <c r="A1129" s="7" t="s">
        <v>77</v>
      </c>
      <c r="B1129" s="7" t="s">
        <v>479</v>
      </c>
      <c r="C1129" s="7">
        <f>7+1</f>
        <v>8</v>
      </c>
      <c r="D1129" s="7">
        <v>8.0</v>
      </c>
      <c r="E1129" s="9">
        <v>2.0</v>
      </c>
      <c r="F1129" s="7" t="s">
        <v>300</v>
      </c>
      <c r="G1129" s="7" t="s">
        <v>305</v>
      </c>
      <c r="H1129" s="9" t="s">
        <v>2981</v>
      </c>
      <c r="I1129" t="s">
        <v>3100</v>
      </c>
      <c r="J1129" s="7"/>
      <c r="K1129" s="7"/>
      <c r="L1129" s="7"/>
      <c r="M1129" s="7"/>
      <c r="N1129" s="7"/>
      <c r="O1129" s="7"/>
      <c r="P1129" s="7"/>
      <c r="Q1129" s="7"/>
      <c r="R1129" s="7"/>
      <c r="S1129" s="7" t="s">
        <v>3101</v>
      </c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 t="str">
        <f t="shared" si="1"/>
        <v>Land area </v>
      </c>
      <c r="AE1129" s="7" t="str">
        <f t="shared" si="2"/>
        <v> sq. ft.</v>
      </c>
      <c r="AF1129">
        <f>IFERROR(__xludf.DUMMYFUNCTION("VALUE(REGEXREPLACE(G1129,""[^[:digit:]]"", """"))"),3385.0)</f>
        <v>3385</v>
      </c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 t="s">
        <v>27</v>
      </c>
    </row>
    <row r="1130">
      <c r="A1130" s="7" t="s">
        <v>77</v>
      </c>
      <c r="B1130" s="7" t="s">
        <v>1124</v>
      </c>
      <c r="C1130" s="7">
        <f>3+1</f>
        <v>4</v>
      </c>
      <c r="D1130" s="7">
        <v>3.0</v>
      </c>
      <c r="E1130" s="7">
        <v>3.0</v>
      </c>
      <c r="F1130" s="7" t="s">
        <v>30</v>
      </c>
      <c r="G1130" s="7" t="s">
        <v>1125</v>
      </c>
      <c r="H1130" s="9" t="s">
        <v>2979</v>
      </c>
      <c r="I1130" t="s">
        <v>3519</v>
      </c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 t="str">
        <f t="shared" si="1"/>
        <v>Built-up :</v>
      </c>
      <c r="AE1130" s="7" t="str">
        <f t="shared" si="2"/>
        <v> sq. ft.</v>
      </c>
      <c r="AF1130">
        <f>IFERROR(__xludf.DUMMYFUNCTION("VALUE(REGEXREPLACE(G1130,""[^[:digit:]]"", """"))"),1948.0)</f>
        <v>1948</v>
      </c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 t="s">
        <v>22</v>
      </c>
    </row>
    <row r="1131">
      <c r="A1131" s="7" t="s">
        <v>77</v>
      </c>
      <c r="B1131" s="7" t="s">
        <v>134</v>
      </c>
      <c r="C1131" s="7">
        <f>2</f>
        <v>2</v>
      </c>
      <c r="D1131" s="7">
        <v>1.0</v>
      </c>
      <c r="E1131" s="7">
        <v>2.0</v>
      </c>
      <c r="F1131" s="7" t="s">
        <v>93</v>
      </c>
      <c r="G1131" s="7" t="s">
        <v>1052</v>
      </c>
      <c r="H1131" s="9" t="s">
        <v>2979</v>
      </c>
      <c r="I1131" t="s">
        <v>3478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 t="str">
        <f t="shared" si="1"/>
        <v>Built-up :</v>
      </c>
      <c r="AE1131" s="7" t="str">
        <f t="shared" si="2"/>
        <v> sq. ft.</v>
      </c>
      <c r="AF1131">
        <f>IFERROR(__xludf.DUMMYFUNCTION("VALUE(REGEXREPLACE(G1131,""[^[:digit:]]"", """"))"),1034.0)</f>
        <v>1034</v>
      </c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 t="s">
        <v>27</v>
      </c>
    </row>
    <row r="1132">
      <c r="A1132" s="7" t="s">
        <v>77</v>
      </c>
      <c r="B1132" s="7" t="s">
        <v>605</v>
      </c>
      <c r="C1132" s="7">
        <f>3</f>
        <v>3</v>
      </c>
      <c r="D1132" s="7">
        <v>3.0</v>
      </c>
      <c r="E1132" s="7">
        <v>2.0</v>
      </c>
      <c r="F1132" s="7" t="s">
        <v>90</v>
      </c>
      <c r="G1132" s="7" t="s">
        <v>461</v>
      </c>
      <c r="H1132" s="9" t="s">
        <v>2979</v>
      </c>
      <c r="I1132" t="s">
        <v>3172</v>
      </c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 t="str">
        <f t="shared" si="1"/>
        <v>Built-up :</v>
      </c>
      <c r="AE1132" s="7" t="str">
        <f t="shared" si="2"/>
        <v> sq. ft.</v>
      </c>
      <c r="AF1132">
        <f>IFERROR(__xludf.DUMMYFUNCTION("VALUE(REGEXREPLACE(G1132,""[^[:digit:]]"", """"))"),1900.0)</f>
        <v>1900</v>
      </c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 t="s">
        <v>27</v>
      </c>
    </row>
    <row r="1133">
      <c r="A1133" s="7" t="s">
        <v>77</v>
      </c>
      <c r="B1133" s="7" t="s">
        <v>963</v>
      </c>
      <c r="C1133" s="7">
        <f>1+1</f>
        <v>2</v>
      </c>
      <c r="D1133" s="7">
        <v>1.0</v>
      </c>
      <c r="E1133" s="7">
        <v>2.0</v>
      </c>
      <c r="F1133" s="7" t="s">
        <v>93</v>
      </c>
      <c r="G1133" s="7" t="s">
        <v>609</v>
      </c>
      <c r="H1133" s="9" t="s">
        <v>2979</v>
      </c>
      <c r="I1133" t="s">
        <v>3246</v>
      </c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 t="str">
        <f t="shared" si="1"/>
        <v>Built-up :</v>
      </c>
      <c r="AE1133" s="7" t="str">
        <f t="shared" si="2"/>
        <v> sq. ft.</v>
      </c>
      <c r="AF1133">
        <f>IFERROR(__xludf.DUMMYFUNCTION("VALUE(REGEXREPLACE(G1133,""[^[:digit:]]"", """"))"),969.0)</f>
        <v>969</v>
      </c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 t="s">
        <v>27</v>
      </c>
    </row>
    <row r="1134">
      <c r="A1134" s="7" t="s">
        <v>77</v>
      </c>
      <c r="B1134" s="7" t="s">
        <v>534</v>
      </c>
      <c r="C1134" s="7">
        <f>5</f>
        <v>5</v>
      </c>
      <c r="D1134" s="7">
        <v>6.0</v>
      </c>
      <c r="E1134" s="7">
        <v>5.0</v>
      </c>
      <c r="F1134" s="7" t="s">
        <v>273</v>
      </c>
      <c r="G1134" s="7" t="s">
        <v>1126</v>
      </c>
      <c r="H1134" s="9" t="s">
        <v>2981</v>
      </c>
      <c r="I1134" t="s">
        <v>3520</v>
      </c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 t="str">
        <f t="shared" si="1"/>
        <v>Land area </v>
      </c>
      <c r="AE1134" s="7" t="str">
        <f t="shared" si="2"/>
        <v> sq. ft.</v>
      </c>
      <c r="AF1134">
        <f>IFERROR(__xludf.DUMMYFUNCTION("VALUE(REGEXREPLACE(G1134,""[^[:digit:]]"", """"))"),1991.0)</f>
        <v>1991</v>
      </c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 t="s">
        <v>27</v>
      </c>
    </row>
    <row r="1135">
      <c r="A1135" s="7" t="s">
        <v>77</v>
      </c>
      <c r="B1135" s="7" t="s">
        <v>110</v>
      </c>
      <c r="C1135" s="7">
        <f>5+1</f>
        <v>6</v>
      </c>
      <c r="D1135" s="7">
        <v>6.0</v>
      </c>
      <c r="E1135" s="9">
        <v>2.0</v>
      </c>
      <c r="F1135" s="7" t="s">
        <v>90</v>
      </c>
      <c r="G1135" s="7" t="s">
        <v>211</v>
      </c>
      <c r="H1135" s="9" t="s">
        <v>2981</v>
      </c>
      <c r="I1135" t="s">
        <v>2992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 t="s">
        <v>2993</v>
      </c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 t="str">
        <f t="shared" si="1"/>
        <v>Land area </v>
      </c>
      <c r="AE1135" s="7" t="str">
        <f t="shared" si="2"/>
        <v> sq. ft.</v>
      </c>
      <c r="AF1135">
        <f>IFERROR(__xludf.DUMMYFUNCTION("VALUE(REGEXREPLACE(G1135,""[^[:digit:]]"", """"))"),2280.0)</f>
        <v>2280</v>
      </c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 t="s">
        <v>27</v>
      </c>
    </row>
    <row r="1136">
      <c r="A1136" s="7" t="s">
        <v>77</v>
      </c>
      <c r="B1136" s="7" t="s">
        <v>534</v>
      </c>
      <c r="C1136" s="7">
        <f>4+1</f>
        <v>5</v>
      </c>
      <c r="D1136" s="7">
        <v>5.0</v>
      </c>
      <c r="E1136" s="9">
        <v>2.0</v>
      </c>
      <c r="F1136" s="7" t="s">
        <v>90</v>
      </c>
      <c r="G1136" s="7" t="s">
        <v>291</v>
      </c>
      <c r="H1136" s="9" t="s">
        <v>2979</v>
      </c>
      <c r="I1136" t="s">
        <v>3094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 t="str">
        <f t="shared" si="1"/>
        <v>Built-up :</v>
      </c>
      <c r="AE1136" s="7" t="str">
        <f t="shared" si="2"/>
        <v> sq. ft.</v>
      </c>
      <c r="AF1136">
        <f>IFERROR(__xludf.DUMMYFUNCTION("VALUE(REGEXREPLACE(G1136,""[^[:digit:]]"", """"))"),4306.0)</f>
        <v>4306</v>
      </c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 t="s">
        <v>103</v>
      </c>
    </row>
    <row r="1137">
      <c r="A1137" s="7" t="s">
        <v>77</v>
      </c>
      <c r="B1137" s="7" t="s">
        <v>744</v>
      </c>
      <c r="C1137" s="7">
        <f>6+1</f>
        <v>7</v>
      </c>
      <c r="D1137" s="7">
        <v>6.0</v>
      </c>
      <c r="E1137" s="7">
        <v>10.0</v>
      </c>
      <c r="F1137" s="7" t="s">
        <v>61</v>
      </c>
      <c r="G1137" s="7" t="s">
        <v>26</v>
      </c>
      <c r="H1137" s="9" t="s">
        <v>2981</v>
      </c>
      <c r="I1137" t="s">
        <v>2982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 t="str">
        <f t="shared" si="1"/>
        <v>Land area </v>
      </c>
      <c r="AE1137" s="7" t="str">
        <f t="shared" si="2"/>
        <v> sq. ft.</v>
      </c>
      <c r="AF1137">
        <f>IFERROR(__xludf.DUMMYFUNCTION("VALUE(REGEXREPLACE(G1137,""[^[:digit:]]"", """"))"),6900.0)</f>
        <v>6900</v>
      </c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 t="s">
        <v>27</v>
      </c>
    </row>
    <row r="1138">
      <c r="A1138" s="7" t="s">
        <v>77</v>
      </c>
      <c r="B1138" s="7" t="s">
        <v>349</v>
      </c>
      <c r="C1138" s="7">
        <f>3+1</f>
        <v>4</v>
      </c>
      <c r="D1138" s="7">
        <v>3.0</v>
      </c>
      <c r="E1138" s="7">
        <v>2.0</v>
      </c>
      <c r="F1138" s="7" t="s">
        <v>93</v>
      </c>
      <c r="G1138" s="7" t="s">
        <v>318</v>
      </c>
      <c r="H1138" s="9" t="s">
        <v>2979</v>
      </c>
      <c r="I1138" t="s">
        <v>3105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 t="str">
        <f t="shared" si="1"/>
        <v>Built-up :</v>
      </c>
      <c r="AE1138" s="7" t="str">
        <f t="shared" si="2"/>
        <v> sq. ft.</v>
      </c>
      <c r="AF1138">
        <f>IFERROR(__xludf.DUMMYFUNCTION("VALUE(REGEXREPLACE(G1138,""[^[:digit:]]"", """"))"),1572.0)</f>
        <v>1572</v>
      </c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 t="s">
        <v>27</v>
      </c>
    </row>
    <row r="1139">
      <c r="A1139" s="7" t="s">
        <v>28</v>
      </c>
      <c r="B1139" s="7" t="s">
        <v>168</v>
      </c>
      <c r="C1139" s="7">
        <f>1</f>
        <v>1</v>
      </c>
      <c r="D1139" s="7">
        <v>1.0</v>
      </c>
      <c r="E1139" s="7">
        <v>3.0</v>
      </c>
      <c r="F1139" s="7" t="s">
        <v>82</v>
      </c>
      <c r="G1139" s="7" t="s">
        <v>1127</v>
      </c>
      <c r="H1139" s="9" t="s">
        <v>2979</v>
      </c>
      <c r="I1139" t="s">
        <v>3521</v>
      </c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 t="str">
        <f t="shared" si="1"/>
        <v>Built-up :</v>
      </c>
      <c r="AE1139" s="7" t="str">
        <f t="shared" si="2"/>
        <v> sq. ft.</v>
      </c>
      <c r="AF1139">
        <f>IFERROR(__xludf.DUMMYFUNCTION("VALUE(REGEXREPLACE(G1139,""[^[:digit:]]"", """"))"),672.0)</f>
        <v>672</v>
      </c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 t="s">
        <v>22</v>
      </c>
    </row>
    <row r="1140">
      <c r="A1140" s="7" t="s">
        <v>77</v>
      </c>
      <c r="B1140" s="7" t="s">
        <v>398</v>
      </c>
      <c r="C1140" s="7">
        <f>4+1</f>
        <v>5</v>
      </c>
      <c r="D1140" s="7">
        <v>4.0</v>
      </c>
      <c r="E1140" s="9">
        <v>2.0</v>
      </c>
      <c r="F1140" s="7" t="s">
        <v>90</v>
      </c>
      <c r="G1140" s="7" t="s">
        <v>283</v>
      </c>
      <c r="H1140" s="9" t="s">
        <v>2981</v>
      </c>
      <c r="I1140" t="s">
        <v>3091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 t="s">
        <v>2990</v>
      </c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 t="str">
        <f t="shared" si="1"/>
        <v>Land area </v>
      </c>
      <c r="AE1140" s="7" t="str">
        <f t="shared" si="2"/>
        <v> sq. ft.</v>
      </c>
      <c r="AF1140">
        <f>IFERROR(__xludf.DUMMYFUNCTION("VALUE(REGEXREPLACE(G1140,""[^[:digit:]]"", """"))"),2275.0)</f>
        <v>2275</v>
      </c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 t="s">
        <v>27</v>
      </c>
    </row>
    <row r="1141">
      <c r="A1141" s="7" t="s">
        <v>77</v>
      </c>
      <c r="B1141" s="7" t="s">
        <v>398</v>
      </c>
      <c r="C1141" s="7">
        <f>5+1</f>
        <v>6</v>
      </c>
      <c r="D1141" s="7">
        <v>6.0</v>
      </c>
      <c r="E1141" s="9">
        <v>2.0</v>
      </c>
      <c r="F1141" s="7" t="s">
        <v>90</v>
      </c>
      <c r="G1141" s="7" t="s">
        <v>211</v>
      </c>
      <c r="H1141" s="9" t="s">
        <v>2981</v>
      </c>
      <c r="I1141" t="s">
        <v>2992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 t="s">
        <v>2993</v>
      </c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 t="str">
        <f t="shared" si="1"/>
        <v>Land area </v>
      </c>
      <c r="AE1141" s="7" t="str">
        <f t="shared" si="2"/>
        <v> sq. ft.</v>
      </c>
      <c r="AF1141">
        <f>IFERROR(__xludf.DUMMYFUNCTION("VALUE(REGEXREPLACE(G1141,""[^[:digit:]]"", """"))"),2280.0)</f>
        <v>2280</v>
      </c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 t="s">
        <v>27</v>
      </c>
    </row>
    <row r="1142">
      <c r="A1142" s="7" t="s">
        <v>77</v>
      </c>
      <c r="B1142" s="7" t="s">
        <v>460</v>
      </c>
      <c r="C1142" s="7">
        <f t="shared" ref="C1142:C1143" si="124">3</f>
        <v>3</v>
      </c>
      <c r="D1142" s="7">
        <v>3.0</v>
      </c>
      <c r="E1142" s="7">
        <v>2.0</v>
      </c>
      <c r="F1142" s="7" t="s">
        <v>90</v>
      </c>
      <c r="G1142" s="7" t="s">
        <v>461</v>
      </c>
      <c r="H1142" s="9" t="s">
        <v>2979</v>
      </c>
      <c r="I1142" t="s">
        <v>3172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 t="str">
        <f t="shared" si="1"/>
        <v>Built-up :</v>
      </c>
      <c r="AE1142" s="7" t="str">
        <f t="shared" si="2"/>
        <v> sq. ft.</v>
      </c>
      <c r="AF1142">
        <f>IFERROR(__xludf.DUMMYFUNCTION("VALUE(REGEXREPLACE(G1142,""[^[:digit:]]"", """"))"),1900.0)</f>
        <v>1900</v>
      </c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 t="s">
        <v>27</v>
      </c>
    </row>
    <row r="1143">
      <c r="A1143" s="7" t="s">
        <v>77</v>
      </c>
      <c r="B1143" s="7" t="s">
        <v>144</v>
      </c>
      <c r="C1143" s="7">
        <f t="shared" si="124"/>
        <v>3</v>
      </c>
      <c r="D1143" s="7">
        <v>3.0</v>
      </c>
      <c r="E1143" s="7">
        <v>2.0</v>
      </c>
      <c r="F1143" s="7" t="s">
        <v>90</v>
      </c>
      <c r="G1143" s="7" t="s">
        <v>461</v>
      </c>
      <c r="H1143" s="9" t="s">
        <v>2979</v>
      </c>
      <c r="I1143" t="s">
        <v>3172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 t="str">
        <f t="shared" si="1"/>
        <v>Built-up :</v>
      </c>
      <c r="AE1143" s="7" t="str">
        <f t="shared" si="2"/>
        <v> sq. ft.</v>
      </c>
      <c r="AF1143">
        <f>IFERROR(__xludf.DUMMYFUNCTION("VALUE(REGEXREPLACE(G1143,""[^[:digit:]]"", """"))"),1900.0)</f>
        <v>1900</v>
      </c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 t="s">
        <v>27</v>
      </c>
    </row>
    <row r="1144">
      <c r="A1144" s="7" t="s">
        <v>692</v>
      </c>
      <c r="B1144" s="7" t="s">
        <v>120</v>
      </c>
      <c r="C1144" s="7">
        <f t="shared" ref="C1144:C1145" si="125">5+1</f>
        <v>6</v>
      </c>
      <c r="D1144" s="7">
        <v>5.0</v>
      </c>
      <c r="E1144" s="7">
        <v>6.0</v>
      </c>
      <c r="F1144" s="7" t="s">
        <v>64</v>
      </c>
      <c r="G1144" s="7" t="s">
        <v>1128</v>
      </c>
      <c r="H1144" s="9" t="s">
        <v>2981</v>
      </c>
      <c r="I1144" t="s">
        <v>3522</v>
      </c>
      <c r="J1144" s="7"/>
      <c r="K1144" s="7"/>
      <c r="L1144" s="7"/>
      <c r="M1144" s="7"/>
      <c r="N1144" s="7"/>
      <c r="O1144" s="7"/>
      <c r="P1144" s="7"/>
      <c r="Q1144" s="7"/>
      <c r="R1144" s="7"/>
      <c r="S1144" s="7" t="s">
        <v>3523</v>
      </c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 t="str">
        <f t="shared" si="1"/>
        <v>Land area </v>
      </c>
      <c r="AE1144" s="7" t="str">
        <f t="shared" si="2"/>
        <v> sq. ft.</v>
      </c>
      <c r="AF1144">
        <f>IFERROR(__xludf.DUMMYFUNCTION("VALUE(REGEXREPLACE(G1144,""[^[:digit:]]"", """"))"),45103.0)</f>
        <v>45103</v>
      </c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 t="s">
        <v>22</v>
      </c>
    </row>
    <row r="1145">
      <c r="A1145" s="7" t="s">
        <v>692</v>
      </c>
      <c r="B1145" s="7" t="s">
        <v>193</v>
      </c>
      <c r="C1145" s="7">
        <f t="shared" si="125"/>
        <v>6</v>
      </c>
      <c r="D1145" s="7">
        <v>5.0</v>
      </c>
      <c r="E1145" s="9">
        <v>2.0</v>
      </c>
      <c r="F1145" s="7" t="s">
        <v>203</v>
      </c>
      <c r="G1145" s="7" t="s">
        <v>283</v>
      </c>
      <c r="H1145" s="9" t="s">
        <v>2981</v>
      </c>
      <c r="I1145" t="s">
        <v>3091</v>
      </c>
      <c r="J1145" s="7"/>
      <c r="K1145" s="7"/>
      <c r="L1145" s="7"/>
      <c r="M1145" s="7"/>
      <c r="N1145" s="7"/>
      <c r="O1145" s="7"/>
      <c r="P1145" s="7"/>
      <c r="Q1145" s="7"/>
      <c r="R1145" s="7"/>
      <c r="S1145" s="7" t="s">
        <v>2990</v>
      </c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 t="str">
        <f t="shared" si="1"/>
        <v>Land area </v>
      </c>
      <c r="AE1145" s="7" t="str">
        <f t="shared" si="2"/>
        <v> sq. ft.</v>
      </c>
      <c r="AF1145">
        <f>IFERROR(__xludf.DUMMYFUNCTION("VALUE(REGEXREPLACE(G1145,""[^[:digit:]]"", """"))"),2275.0)</f>
        <v>2275</v>
      </c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 t="s">
        <v>27</v>
      </c>
    </row>
    <row r="1146">
      <c r="A1146" s="7" t="s">
        <v>72</v>
      </c>
      <c r="B1146" s="7" t="s">
        <v>281</v>
      </c>
      <c r="C1146" s="7">
        <f>4+1</f>
        <v>5</v>
      </c>
      <c r="D1146" s="7">
        <v>5.0</v>
      </c>
      <c r="E1146" s="9">
        <v>2.0</v>
      </c>
      <c r="F1146" s="7" t="s">
        <v>83</v>
      </c>
      <c r="G1146" s="7" t="s">
        <v>767</v>
      </c>
      <c r="H1146" s="9" t="s">
        <v>2979</v>
      </c>
      <c r="I1146" t="s">
        <v>3326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 t="str">
        <f t="shared" si="1"/>
        <v>Built-up :</v>
      </c>
      <c r="AE1146" s="7" t="str">
        <f t="shared" si="2"/>
        <v> sq. ft.</v>
      </c>
      <c r="AF1146">
        <f>IFERROR(__xludf.DUMMYFUNCTION("VALUE(REGEXREPLACE(G1146,""[^[:digit:]]"", """"))"),3043.0)</f>
        <v>3043</v>
      </c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 t="s">
        <v>27</v>
      </c>
    </row>
    <row r="1147">
      <c r="A1147" s="7" t="s">
        <v>692</v>
      </c>
      <c r="B1147" s="7" t="s">
        <v>422</v>
      </c>
      <c r="C1147" s="7">
        <f>5+1</f>
        <v>6</v>
      </c>
      <c r="D1147" s="7">
        <v>4.0</v>
      </c>
      <c r="E1147" s="7">
        <v>4.0</v>
      </c>
      <c r="F1147" s="7" t="s">
        <v>804</v>
      </c>
      <c r="G1147" s="7" t="s">
        <v>1129</v>
      </c>
      <c r="H1147" s="9" t="s">
        <v>2981</v>
      </c>
      <c r="I1147" t="s">
        <v>3062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 t="s">
        <v>2990</v>
      </c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 t="str">
        <f t="shared" si="1"/>
        <v>Land area </v>
      </c>
      <c r="AE1147" s="7" t="str">
        <f t="shared" si="2"/>
        <v> sq. ft.</v>
      </c>
      <c r="AF1147">
        <f>IFERROR(__xludf.DUMMYFUNCTION("VALUE(REGEXREPLACE(G1147,""[^[:digit:]]"", """"))"),3275.0)</f>
        <v>3275</v>
      </c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 t="s">
        <v>27</v>
      </c>
    </row>
    <row r="1148">
      <c r="A1148" s="7" t="s">
        <v>109</v>
      </c>
      <c r="B1148" s="7" t="s">
        <v>510</v>
      </c>
      <c r="C1148" s="7">
        <f>3</f>
        <v>3</v>
      </c>
      <c r="D1148" s="7">
        <v>2.0</v>
      </c>
      <c r="E1148" s="7">
        <v>1.0</v>
      </c>
      <c r="F1148" s="7" t="s">
        <v>50</v>
      </c>
      <c r="G1148" s="7" t="s">
        <v>1130</v>
      </c>
      <c r="H1148" s="9" t="s">
        <v>2979</v>
      </c>
      <c r="I1148" t="s">
        <v>3524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 t="str">
        <f t="shared" si="1"/>
        <v>Built-up :</v>
      </c>
      <c r="AE1148" s="7" t="str">
        <f t="shared" si="2"/>
        <v> sq. ft.</v>
      </c>
      <c r="AF1148">
        <f>IFERROR(__xludf.DUMMYFUNCTION("VALUE(REGEXREPLACE(G1148,""[^[:digit:]]"", """"))"),1216.0)</f>
        <v>1216</v>
      </c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 t="s">
        <v>27</v>
      </c>
    </row>
    <row r="1149">
      <c r="A1149" s="7" t="s">
        <v>171</v>
      </c>
      <c r="B1149" s="7" t="s">
        <v>1131</v>
      </c>
      <c r="C1149" s="7">
        <f>4</f>
        <v>4</v>
      </c>
      <c r="D1149" s="7">
        <v>2.0</v>
      </c>
      <c r="E1149" s="7">
        <v>3.0</v>
      </c>
      <c r="F1149" s="7" t="s">
        <v>83</v>
      </c>
      <c r="G1149" s="7" t="s">
        <v>1132</v>
      </c>
      <c r="H1149" s="9" t="s">
        <v>2979</v>
      </c>
      <c r="I1149" t="s">
        <v>3525</v>
      </c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 t="str">
        <f t="shared" si="1"/>
        <v>Built-up :</v>
      </c>
      <c r="AE1149" s="7" t="str">
        <f t="shared" si="2"/>
        <v> sq. ft.</v>
      </c>
      <c r="AF1149">
        <f>IFERROR(__xludf.DUMMYFUNCTION("VALUE(REGEXREPLACE(G1149,""[^[:digit:]]"", """"))"),1600.0)</f>
        <v>1600</v>
      </c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</row>
    <row r="1150">
      <c r="A1150" s="7" t="s">
        <v>33</v>
      </c>
      <c r="B1150" s="7" t="s">
        <v>105</v>
      </c>
      <c r="C1150" s="7">
        <f>3</f>
        <v>3</v>
      </c>
      <c r="D1150" s="7">
        <v>2.0</v>
      </c>
      <c r="E1150" s="7">
        <v>2.0</v>
      </c>
      <c r="F1150" s="7" t="s">
        <v>93</v>
      </c>
      <c r="G1150" s="7" t="s">
        <v>734</v>
      </c>
      <c r="H1150" s="9" t="s">
        <v>2979</v>
      </c>
      <c r="I1150" t="s">
        <v>3308</v>
      </c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 t="str">
        <f t="shared" si="1"/>
        <v>Built-up :</v>
      </c>
      <c r="AE1150" s="7" t="str">
        <f t="shared" si="2"/>
        <v> sq. ft.</v>
      </c>
      <c r="AF1150">
        <f>IFERROR(__xludf.DUMMYFUNCTION("VALUE(REGEXREPLACE(G1150,""[^[:digit:]]"", """"))"),1100.0)</f>
        <v>1100</v>
      </c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 t="s">
        <v>27</v>
      </c>
    </row>
    <row r="1151">
      <c r="A1151" s="7" t="s">
        <v>104</v>
      </c>
      <c r="B1151" s="7" t="s">
        <v>1133</v>
      </c>
      <c r="C1151" s="7">
        <f>2+1</f>
        <v>3</v>
      </c>
      <c r="D1151" s="7">
        <v>2.0</v>
      </c>
      <c r="E1151" s="7">
        <v>1.0</v>
      </c>
      <c r="F1151" s="7" t="s">
        <v>83</v>
      </c>
      <c r="G1151" s="7" t="s">
        <v>1134</v>
      </c>
      <c r="H1151" s="9" t="s">
        <v>2979</v>
      </c>
      <c r="I1151" t="s">
        <v>3526</v>
      </c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 t="str">
        <f t="shared" si="1"/>
        <v>Built-up :</v>
      </c>
      <c r="AE1151" s="7" t="str">
        <f t="shared" si="2"/>
        <v> sq. ft.</v>
      </c>
      <c r="AF1151">
        <f>IFERROR(__xludf.DUMMYFUNCTION("VALUE(REGEXREPLACE(G1151,""[^[:digit:]]"", """"))"),822.0)</f>
        <v>822</v>
      </c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 t="s">
        <v>27</v>
      </c>
    </row>
    <row r="1152">
      <c r="A1152" s="7" t="s">
        <v>692</v>
      </c>
      <c r="B1152" s="7" t="s">
        <v>399</v>
      </c>
      <c r="C1152" s="7">
        <f>5</f>
        <v>5</v>
      </c>
      <c r="D1152" s="7">
        <v>5.0</v>
      </c>
      <c r="E1152" s="7">
        <v>4.0</v>
      </c>
      <c r="F1152" s="7" t="s">
        <v>804</v>
      </c>
      <c r="G1152" s="7" t="s">
        <v>1129</v>
      </c>
      <c r="H1152" s="9" t="s">
        <v>2981</v>
      </c>
      <c r="I1152" t="s">
        <v>3062</v>
      </c>
      <c r="J1152" s="7"/>
      <c r="K1152" s="7"/>
      <c r="L1152" s="7"/>
      <c r="M1152" s="7"/>
      <c r="N1152" s="7"/>
      <c r="O1152" s="7"/>
      <c r="P1152" s="7"/>
      <c r="Q1152" s="7"/>
      <c r="R1152" s="7"/>
      <c r="S1152" s="7" t="s">
        <v>2990</v>
      </c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 t="str">
        <f t="shared" si="1"/>
        <v>Land area </v>
      </c>
      <c r="AE1152" s="7" t="str">
        <f t="shared" si="2"/>
        <v> sq. ft.</v>
      </c>
      <c r="AF1152">
        <f>IFERROR(__xludf.DUMMYFUNCTION("VALUE(REGEXREPLACE(G1152,""[^[:digit:]]"", """"))"),3275.0)</f>
        <v>3275</v>
      </c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 t="s">
        <v>27</v>
      </c>
    </row>
    <row r="1153">
      <c r="A1153" s="7" t="s">
        <v>72</v>
      </c>
      <c r="B1153" s="7" t="s">
        <v>1135</v>
      </c>
      <c r="C1153" s="7">
        <f>3</f>
        <v>3</v>
      </c>
      <c r="D1153" s="7">
        <v>2.0</v>
      </c>
      <c r="E1153" s="7">
        <v>2.0</v>
      </c>
      <c r="F1153" s="7" t="s">
        <v>30</v>
      </c>
      <c r="G1153" s="7" t="s">
        <v>135</v>
      </c>
      <c r="H1153" s="9" t="s">
        <v>2979</v>
      </c>
      <c r="I1153" t="s">
        <v>3023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 t="str">
        <f t="shared" si="1"/>
        <v>Built-up :</v>
      </c>
      <c r="AE1153" s="7" t="str">
        <f t="shared" si="2"/>
        <v> sq. ft.</v>
      </c>
      <c r="AF1153">
        <f>IFERROR(__xludf.DUMMYFUNCTION("VALUE(REGEXREPLACE(G1153,""[^[:digit:]]"", """"))"),1200.0)</f>
        <v>1200</v>
      </c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 t="s">
        <v>27</v>
      </c>
    </row>
    <row r="1154">
      <c r="A1154" s="7" t="s">
        <v>17</v>
      </c>
      <c r="B1154" s="7" t="s">
        <v>613</v>
      </c>
      <c r="C1154" s="7">
        <f>5</f>
        <v>5</v>
      </c>
      <c r="D1154" s="7">
        <v>6.0</v>
      </c>
      <c r="E1154" s="9">
        <v>2.0</v>
      </c>
      <c r="F1154" s="7" t="s">
        <v>30</v>
      </c>
      <c r="G1154" s="7" t="s">
        <v>1013</v>
      </c>
      <c r="H1154" s="9" t="s">
        <v>2979</v>
      </c>
      <c r="I1154" t="s">
        <v>3456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 t="str">
        <f t="shared" si="1"/>
        <v>Built-up :</v>
      </c>
      <c r="AE1154" s="7" t="str">
        <f t="shared" si="2"/>
        <v> sq. ft.</v>
      </c>
      <c r="AF1154">
        <f>IFERROR(__xludf.DUMMYFUNCTION("VALUE(REGEXREPLACE(G1154,""[^[:digit:]]"", """"))"),3412.0)</f>
        <v>3412</v>
      </c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 t="s">
        <v>251</v>
      </c>
    </row>
    <row r="1155">
      <c r="A1155" s="7" t="s">
        <v>1014</v>
      </c>
      <c r="B1155" s="7" t="s">
        <v>1015</v>
      </c>
      <c r="C1155" s="7">
        <f t="shared" ref="C1155:C1156" si="126">3+1</f>
        <v>4</v>
      </c>
      <c r="D1155" s="7">
        <v>4.0</v>
      </c>
      <c r="E1155" s="9">
        <v>2.0</v>
      </c>
      <c r="F1155" s="7" t="s">
        <v>793</v>
      </c>
      <c r="G1155" s="7" t="s">
        <v>1016</v>
      </c>
      <c r="H1155" s="9" t="s">
        <v>2979</v>
      </c>
      <c r="I1155" t="s">
        <v>3457</v>
      </c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 t="str">
        <f t="shared" si="1"/>
        <v>Built-up :</v>
      </c>
      <c r="AE1155" s="7" t="str">
        <f t="shared" si="2"/>
        <v> sq. ft.</v>
      </c>
      <c r="AF1155">
        <f>IFERROR(__xludf.DUMMYFUNCTION("VALUE(REGEXREPLACE(G1155,""[^[:digit:]]"", """"))"),1879.0)</f>
        <v>1879</v>
      </c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 t="s">
        <v>251</v>
      </c>
    </row>
    <row r="1156">
      <c r="A1156" s="7" t="s">
        <v>17</v>
      </c>
      <c r="B1156" s="7" t="s">
        <v>1094</v>
      </c>
      <c r="C1156" s="7">
        <f t="shared" si="126"/>
        <v>4</v>
      </c>
      <c r="D1156" s="7">
        <v>3.0</v>
      </c>
      <c r="E1156" s="7">
        <v>2.0</v>
      </c>
      <c r="F1156" s="7" t="s">
        <v>82</v>
      </c>
      <c r="G1156" s="7" t="s">
        <v>1136</v>
      </c>
      <c r="H1156" s="9" t="s">
        <v>2979</v>
      </c>
      <c r="I1156" t="s">
        <v>3527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 t="str">
        <f t="shared" si="1"/>
        <v>Built-up :</v>
      </c>
      <c r="AE1156" s="7" t="str">
        <f t="shared" si="2"/>
        <v> sq. ft.</v>
      </c>
      <c r="AF1156">
        <f>IFERROR(__xludf.DUMMYFUNCTION("VALUE(REGEXREPLACE(G1156,""[^[:digit:]]"", """"))"),1786.0)</f>
        <v>1786</v>
      </c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 t="s">
        <v>22</v>
      </c>
    </row>
    <row r="1157">
      <c r="A1157" s="7" t="s">
        <v>72</v>
      </c>
      <c r="B1157" s="7" t="s">
        <v>1021</v>
      </c>
      <c r="C1157" s="7">
        <f>4+1</f>
        <v>5</v>
      </c>
      <c r="D1157" s="7">
        <v>5.0</v>
      </c>
      <c r="E1157" s="9">
        <v>2.0</v>
      </c>
      <c r="F1157" s="7" t="s">
        <v>83</v>
      </c>
      <c r="G1157" s="7" t="s">
        <v>989</v>
      </c>
      <c r="H1157" s="9" t="s">
        <v>2979</v>
      </c>
      <c r="I1157" t="s">
        <v>3438</v>
      </c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 t="str">
        <f t="shared" si="1"/>
        <v>Built-up :</v>
      </c>
      <c r="AE1157" s="7" t="str">
        <f t="shared" si="2"/>
        <v> sq. ft.</v>
      </c>
      <c r="AF1157">
        <f>IFERROR(__xludf.DUMMYFUNCTION("VALUE(REGEXREPLACE(G1157,""[^[:digit:]]"", """"))"),3729.0)</f>
        <v>3729</v>
      </c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 t="s">
        <v>251</v>
      </c>
    </row>
    <row r="1158">
      <c r="A1158" s="7" t="s">
        <v>17</v>
      </c>
      <c r="B1158" s="7" t="s">
        <v>1018</v>
      </c>
      <c r="C1158" s="7">
        <f>3</f>
        <v>3</v>
      </c>
      <c r="D1158" s="7">
        <v>4.0</v>
      </c>
      <c r="E1158" s="9">
        <v>2.0</v>
      </c>
      <c r="F1158" s="7" t="s">
        <v>83</v>
      </c>
      <c r="G1158" s="7" t="s">
        <v>150</v>
      </c>
      <c r="H1158" s="9" t="s">
        <v>2979</v>
      </c>
      <c r="I1158" t="s">
        <v>3028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 t="str">
        <f t="shared" si="1"/>
        <v>Built-up :</v>
      </c>
      <c r="AE1158" s="7" t="str">
        <f t="shared" si="2"/>
        <v> sq. ft.</v>
      </c>
      <c r="AF1158">
        <f>IFERROR(__xludf.DUMMYFUNCTION("VALUE(REGEXREPLACE(G1158,""[^[:digit:]]"", """"))"),2250.0)</f>
        <v>2250</v>
      </c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 t="s">
        <v>251</v>
      </c>
    </row>
    <row r="1159">
      <c r="A1159" s="7" t="s">
        <v>428</v>
      </c>
      <c r="B1159" s="7" t="s">
        <v>53</v>
      </c>
      <c r="C1159" s="7">
        <f>4</f>
        <v>4</v>
      </c>
      <c r="D1159" s="7">
        <v>4.0</v>
      </c>
      <c r="E1159" s="9">
        <v>2.0</v>
      </c>
      <c r="F1159" s="7" t="s">
        <v>43</v>
      </c>
      <c r="G1159" s="7" t="s">
        <v>478</v>
      </c>
      <c r="H1159" s="9" t="s">
        <v>2981</v>
      </c>
      <c r="I1159" t="s">
        <v>3183</v>
      </c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 t="str">
        <f t="shared" si="1"/>
        <v>Land area </v>
      </c>
      <c r="AE1159" s="7" t="str">
        <f t="shared" si="2"/>
        <v> sq. ft.</v>
      </c>
      <c r="AF1159">
        <f>IFERROR(__xludf.DUMMYFUNCTION("VALUE(REGEXREPLACE(G1159,""[^[:digit:]]"", """"))"),3200.0)</f>
        <v>3200</v>
      </c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 t="s">
        <v>103</v>
      </c>
    </row>
    <row r="1160">
      <c r="A1160" s="7" t="s">
        <v>428</v>
      </c>
      <c r="B1160" s="7" t="s">
        <v>255</v>
      </c>
      <c r="C1160" s="7">
        <f>5+1</f>
        <v>6</v>
      </c>
      <c r="D1160" s="7">
        <v>7.0</v>
      </c>
      <c r="E1160" s="7">
        <v>6.0</v>
      </c>
      <c r="F1160" s="7" t="s">
        <v>25</v>
      </c>
      <c r="G1160" s="7" t="s">
        <v>1137</v>
      </c>
      <c r="H1160" s="9" t="s">
        <v>2981</v>
      </c>
      <c r="I1160" t="s">
        <v>3528</v>
      </c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 t="str">
        <f t="shared" si="1"/>
        <v>Land area </v>
      </c>
      <c r="AE1160" s="7" t="str">
        <f t="shared" si="2"/>
        <v> sq. ft.</v>
      </c>
      <c r="AF1160">
        <f>IFERROR(__xludf.DUMMYFUNCTION("VALUE(REGEXREPLACE(G1160,""[^[:digit:]]"", """"))"),10000.0)</f>
        <v>10000</v>
      </c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 t="s">
        <v>27</v>
      </c>
    </row>
    <row r="1161">
      <c r="A1161" s="7" t="s">
        <v>148</v>
      </c>
      <c r="B1161" s="7" t="s">
        <v>329</v>
      </c>
      <c r="C1161" s="7">
        <f>4</f>
        <v>4</v>
      </c>
      <c r="D1161" s="7">
        <v>3.0</v>
      </c>
      <c r="E1161" s="9">
        <v>2.0</v>
      </c>
      <c r="F1161" s="7" t="s">
        <v>184</v>
      </c>
      <c r="G1161" s="7" t="s">
        <v>1138</v>
      </c>
      <c r="H1161" s="9" t="s">
        <v>2981</v>
      </c>
      <c r="I1161" t="s">
        <v>3529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 t="s">
        <v>3121</v>
      </c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 t="str">
        <f t="shared" si="1"/>
        <v>Land area </v>
      </c>
      <c r="AE1161" s="7" t="str">
        <f t="shared" si="2"/>
        <v> sq. ft.</v>
      </c>
      <c r="AF1161">
        <f>IFERROR(__xludf.DUMMYFUNCTION("VALUE(REGEXREPLACE(G1161,""[^[:digit:]]"", """"))"),3870.0)</f>
        <v>3870</v>
      </c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 t="s">
        <v>27</v>
      </c>
    </row>
    <row r="1162">
      <c r="A1162" s="7" t="s">
        <v>428</v>
      </c>
      <c r="B1162" s="7" t="s">
        <v>534</v>
      </c>
      <c r="C1162" s="7">
        <f>5+2</f>
        <v>7</v>
      </c>
      <c r="D1162" s="7">
        <v>7.0</v>
      </c>
      <c r="E1162" s="9">
        <v>2.0</v>
      </c>
      <c r="F1162" s="7" t="s">
        <v>67</v>
      </c>
      <c r="G1162" s="7" t="s">
        <v>1139</v>
      </c>
      <c r="H1162" s="9" t="s">
        <v>2981</v>
      </c>
      <c r="I1162" t="s">
        <v>3530</v>
      </c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 t="str">
        <f t="shared" si="1"/>
        <v>Land area </v>
      </c>
      <c r="AE1162" s="7" t="str">
        <f t="shared" si="2"/>
        <v> sq. ft.</v>
      </c>
      <c r="AF1162">
        <f>IFERROR(__xludf.DUMMYFUNCTION("VALUE(REGEXREPLACE(G1162,""[^[:digit:]]"", """"))"),5500.0)</f>
        <v>5500</v>
      </c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 t="s">
        <v>251</v>
      </c>
    </row>
    <row r="1163">
      <c r="A1163" s="7" t="s">
        <v>358</v>
      </c>
      <c r="B1163" s="7" t="s">
        <v>1140</v>
      </c>
      <c r="C1163" s="7">
        <f>2</f>
        <v>2</v>
      </c>
      <c r="D1163" s="7">
        <v>2.0</v>
      </c>
      <c r="E1163" s="9">
        <v>2.0</v>
      </c>
      <c r="F1163" s="7" t="s">
        <v>169</v>
      </c>
      <c r="G1163" s="7" t="s">
        <v>1141</v>
      </c>
      <c r="H1163" s="9" t="s">
        <v>2981</v>
      </c>
      <c r="I1163" t="s">
        <v>3531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 t="s">
        <v>3532</v>
      </c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 t="str">
        <f t="shared" si="1"/>
        <v>Land area </v>
      </c>
      <c r="AE1163" s="7" t="str">
        <f t="shared" si="2"/>
        <v> sq. ft.</v>
      </c>
      <c r="AF1163">
        <f>IFERROR(__xludf.DUMMYFUNCTION("VALUE(REGEXREPLACE(G1163,""[^[:digit:]]"", """"))"),1443.0)</f>
        <v>1443</v>
      </c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</row>
    <row r="1164">
      <c r="A1164" s="7" t="s">
        <v>72</v>
      </c>
      <c r="B1164" s="7" t="s">
        <v>327</v>
      </c>
      <c r="C1164" s="7">
        <f>3+1</f>
        <v>4</v>
      </c>
      <c r="D1164" s="7">
        <v>2.0</v>
      </c>
      <c r="E1164" s="7">
        <v>2.0</v>
      </c>
      <c r="F1164" s="7" t="s">
        <v>83</v>
      </c>
      <c r="G1164" s="7" t="s">
        <v>1034</v>
      </c>
      <c r="H1164" s="9" t="s">
        <v>2979</v>
      </c>
      <c r="I1164" t="s">
        <v>3468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 t="str">
        <f t="shared" si="1"/>
        <v>Built-up :</v>
      </c>
      <c r="AE1164" s="7" t="str">
        <f t="shared" si="2"/>
        <v> sq. ft.</v>
      </c>
      <c r="AF1164">
        <f>IFERROR(__xludf.DUMMYFUNCTION("VALUE(REGEXREPLACE(G1164,""[^[:digit:]]"", """"))"),1448.0)</f>
        <v>1448</v>
      </c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 t="s">
        <v>22</v>
      </c>
    </row>
    <row r="1165">
      <c r="A1165" s="7" t="s">
        <v>72</v>
      </c>
      <c r="B1165" s="7" t="s">
        <v>306</v>
      </c>
      <c r="C1165" s="7">
        <f t="shared" ref="C1165:C1166" si="127">4+1</f>
        <v>5</v>
      </c>
      <c r="D1165" s="7">
        <v>3.0</v>
      </c>
      <c r="E1165" s="7">
        <v>4.0</v>
      </c>
      <c r="F1165" s="7" t="s">
        <v>83</v>
      </c>
      <c r="G1165" s="7" t="s">
        <v>1142</v>
      </c>
      <c r="H1165" s="9" t="s">
        <v>2979</v>
      </c>
      <c r="I1165" t="s">
        <v>3533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 t="str">
        <f t="shared" si="1"/>
        <v>Built-up :</v>
      </c>
      <c r="AE1165" s="7" t="str">
        <f t="shared" si="2"/>
        <v> sq. ft.</v>
      </c>
      <c r="AF1165">
        <f>IFERROR(__xludf.DUMMYFUNCTION("VALUE(REGEXREPLACE(G1165,""[^[:digit:]]"", """"))"),3152.0)</f>
        <v>3152</v>
      </c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 t="s">
        <v>22</v>
      </c>
    </row>
    <row r="1166">
      <c r="A1166" s="7" t="s">
        <v>72</v>
      </c>
      <c r="B1166" s="7" t="s">
        <v>322</v>
      </c>
      <c r="C1166" s="7">
        <f t="shared" si="127"/>
        <v>5</v>
      </c>
      <c r="D1166" s="7">
        <v>5.0</v>
      </c>
      <c r="E1166" s="7">
        <v>2.0</v>
      </c>
      <c r="F1166" s="7" t="s">
        <v>83</v>
      </c>
      <c r="G1166" s="7" t="s">
        <v>1143</v>
      </c>
      <c r="H1166" s="9" t="s">
        <v>2979</v>
      </c>
      <c r="I1166" t="s">
        <v>3534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 t="str">
        <f t="shared" si="1"/>
        <v>Built-up :</v>
      </c>
      <c r="AE1166" s="7" t="str">
        <f t="shared" si="2"/>
        <v> sq. ft.</v>
      </c>
      <c r="AF1166">
        <f>IFERROR(__xludf.DUMMYFUNCTION("VALUE(REGEXREPLACE(G1166,""[^[:digit:]]"", """"))"),2552.0)</f>
        <v>2552</v>
      </c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 t="s">
        <v>27</v>
      </c>
    </row>
    <row r="1167">
      <c r="A1167" s="7" t="s">
        <v>72</v>
      </c>
      <c r="B1167" s="7" t="s">
        <v>327</v>
      </c>
      <c r="C1167" s="7">
        <f>3+1</f>
        <v>4</v>
      </c>
      <c r="D1167" s="7">
        <v>3.0</v>
      </c>
      <c r="E1167" s="7">
        <v>2.0</v>
      </c>
      <c r="F1167" s="7" t="s">
        <v>83</v>
      </c>
      <c r="G1167" s="7" t="s">
        <v>1034</v>
      </c>
      <c r="H1167" s="9" t="s">
        <v>2979</v>
      </c>
      <c r="I1167" t="s">
        <v>3468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 t="str">
        <f t="shared" si="1"/>
        <v>Built-up :</v>
      </c>
      <c r="AE1167" s="7" t="str">
        <f t="shared" si="2"/>
        <v> sq. ft.</v>
      </c>
      <c r="AF1167">
        <f>IFERROR(__xludf.DUMMYFUNCTION("VALUE(REGEXREPLACE(G1167,""[^[:digit:]]"", """"))"),1448.0)</f>
        <v>1448</v>
      </c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 t="s">
        <v>27</v>
      </c>
    </row>
    <row r="1168">
      <c r="A1168" s="7" t="s">
        <v>77</v>
      </c>
      <c r="B1168" s="7" t="s">
        <v>641</v>
      </c>
      <c r="C1168" s="7">
        <f>1+1</f>
        <v>2</v>
      </c>
      <c r="D1168" s="7">
        <v>1.0</v>
      </c>
      <c r="E1168" s="7">
        <v>1.0</v>
      </c>
      <c r="F1168" s="7" t="s">
        <v>93</v>
      </c>
      <c r="G1168" s="7" t="s">
        <v>51</v>
      </c>
      <c r="H1168" s="9" t="s">
        <v>2979</v>
      </c>
      <c r="I1168" t="s">
        <v>2991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 t="str">
        <f t="shared" si="1"/>
        <v>Built-up :</v>
      </c>
      <c r="AE1168" s="7" t="str">
        <f t="shared" si="2"/>
        <v> sq. ft.</v>
      </c>
      <c r="AF1168">
        <f>IFERROR(__xludf.DUMMYFUNCTION("VALUE(REGEXREPLACE(G1168,""[^[:digit:]]"", """"))"),904.0)</f>
        <v>904</v>
      </c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 t="s">
        <v>22</v>
      </c>
    </row>
    <row r="1169">
      <c r="A1169" s="7" t="s">
        <v>77</v>
      </c>
      <c r="B1169" s="7" t="s">
        <v>712</v>
      </c>
      <c r="C1169" s="7">
        <f>3+1</f>
        <v>4</v>
      </c>
      <c r="D1169" s="7">
        <v>3.0</v>
      </c>
      <c r="E1169" s="9">
        <v>2.0</v>
      </c>
      <c r="F1169" s="7" t="s">
        <v>83</v>
      </c>
      <c r="G1169" s="7" t="s">
        <v>473</v>
      </c>
      <c r="H1169" s="9" t="s">
        <v>2979</v>
      </c>
      <c r="I1169" t="s">
        <v>3180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 t="str">
        <f t="shared" si="1"/>
        <v>Built-up :</v>
      </c>
      <c r="AE1169" s="7" t="str">
        <f t="shared" si="2"/>
        <v> sq. ft.</v>
      </c>
      <c r="AF1169">
        <f>IFERROR(__xludf.DUMMYFUNCTION("VALUE(REGEXREPLACE(G1169,""[^[:digit:]]"", """"))"),1690.0)</f>
        <v>1690</v>
      </c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 t="s">
        <v>27</v>
      </c>
    </row>
    <row r="1170">
      <c r="A1170" s="7" t="s">
        <v>77</v>
      </c>
      <c r="B1170" s="7" t="s">
        <v>497</v>
      </c>
      <c r="C1170" s="7">
        <f>5+1</f>
        <v>6</v>
      </c>
      <c r="D1170" s="7">
        <v>7.0</v>
      </c>
      <c r="E1170" s="7">
        <v>2.0</v>
      </c>
      <c r="F1170" s="7" t="s">
        <v>562</v>
      </c>
      <c r="G1170" s="7" t="s">
        <v>1144</v>
      </c>
      <c r="H1170" s="9" t="s">
        <v>2979</v>
      </c>
      <c r="I1170" t="s">
        <v>3535</v>
      </c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 t="str">
        <f t="shared" si="1"/>
        <v>Built-up :</v>
      </c>
      <c r="AE1170" s="7" t="str">
        <f t="shared" si="2"/>
        <v> sq. ft.</v>
      </c>
      <c r="AF1170">
        <f>IFERROR(__xludf.DUMMYFUNCTION("VALUE(REGEXREPLACE(G1170,""[^[:digit:]]"", """"))"),6207.0)</f>
        <v>6207</v>
      </c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 t="s">
        <v>27</v>
      </c>
    </row>
    <row r="1171">
      <c r="A1171" s="7" t="s">
        <v>77</v>
      </c>
      <c r="B1171" s="7" t="s">
        <v>85</v>
      </c>
      <c r="C1171" s="7">
        <f>3+1</f>
        <v>4</v>
      </c>
      <c r="D1171" s="7">
        <v>3.0</v>
      </c>
      <c r="E1171" s="7">
        <v>2.0</v>
      </c>
      <c r="F1171" s="7" t="s">
        <v>83</v>
      </c>
      <c r="G1171" s="7" t="s">
        <v>1007</v>
      </c>
      <c r="H1171" s="9" t="s">
        <v>2979</v>
      </c>
      <c r="I1171" t="s">
        <v>3451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 t="str">
        <f t="shared" si="1"/>
        <v>Built-up :</v>
      </c>
      <c r="AE1171" s="7" t="str">
        <f t="shared" si="2"/>
        <v> sq. ft.</v>
      </c>
      <c r="AF1171">
        <f>IFERROR(__xludf.DUMMYFUNCTION("VALUE(REGEXREPLACE(G1171,""[^[:digit:]]"", """"))"),1680.0)</f>
        <v>1680</v>
      </c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 t="s">
        <v>27</v>
      </c>
    </row>
    <row r="1172">
      <c r="A1172" s="7" t="s">
        <v>77</v>
      </c>
      <c r="B1172" s="7" t="s">
        <v>260</v>
      </c>
      <c r="C1172" s="7">
        <f>2+1</f>
        <v>3</v>
      </c>
      <c r="D1172" s="7">
        <v>3.0</v>
      </c>
      <c r="E1172" s="7">
        <v>1.0</v>
      </c>
      <c r="F1172" s="7" t="s">
        <v>93</v>
      </c>
      <c r="G1172" s="7" t="s">
        <v>1145</v>
      </c>
      <c r="H1172" s="9" t="s">
        <v>2979</v>
      </c>
      <c r="I1172" t="s">
        <v>3536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 t="str">
        <f t="shared" si="1"/>
        <v>Built-up :</v>
      </c>
      <c r="AE1172" s="7" t="str">
        <f t="shared" si="2"/>
        <v> sq. ft.</v>
      </c>
      <c r="AF1172">
        <f>IFERROR(__xludf.DUMMYFUNCTION("VALUE(REGEXREPLACE(G1172,""[^[:digit:]]"", """"))"),1458.0)</f>
        <v>1458</v>
      </c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 t="s">
        <v>22</v>
      </c>
    </row>
    <row r="1173">
      <c r="A1173" s="7" t="s">
        <v>77</v>
      </c>
      <c r="B1173" s="7" t="s">
        <v>298</v>
      </c>
      <c r="C1173" s="7">
        <f>5+1</f>
        <v>6</v>
      </c>
      <c r="D1173" s="7">
        <v>7.0</v>
      </c>
      <c r="E1173" s="9">
        <v>2.0</v>
      </c>
      <c r="F1173" s="7" t="s">
        <v>562</v>
      </c>
      <c r="G1173" s="7" t="s">
        <v>1061</v>
      </c>
      <c r="H1173" s="9" t="s">
        <v>2979</v>
      </c>
      <c r="I1173" t="s">
        <v>3483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 t="str">
        <f t="shared" si="1"/>
        <v>Built-up :</v>
      </c>
      <c r="AE1173" s="7" t="str">
        <f t="shared" si="2"/>
        <v> sq. ft.</v>
      </c>
      <c r="AF1173">
        <f>IFERROR(__xludf.DUMMYFUNCTION("VALUE(REGEXREPLACE(G1173,""[^[:digit:]]"", """"))"),6088.0)</f>
        <v>6088</v>
      </c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 t="s">
        <v>27</v>
      </c>
    </row>
    <row r="1174">
      <c r="A1174" s="7" t="s">
        <v>77</v>
      </c>
      <c r="B1174" s="7" t="s">
        <v>281</v>
      </c>
      <c r="C1174" s="7">
        <f>4+1</f>
        <v>5</v>
      </c>
      <c r="D1174" s="7">
        <v>6.0</v>
      </c>
      <c r="E1174" s="9">
        <v>2.0</v>
      </c>
      <c r="F1174" s="7" t="s">
        <v>562</v>
      </c>
      <c r="G1174" s="7" t="s">
        <v>1037</v>
      </c>
      <c r="H1174" s="9" t="s">
        <v>2979</v>
      </c>
      <c r="I1174" t="s">
        <v>3470</v>
      </c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 t="str">
        <f t="shared" si="1"/>
        <v>Built-up :</v>
      </c>
      <c r="AE1174" s="7" t="str">
        <f t="shared" si="2"/>
        <v> sq. ft.</v>
      </c>
      <c r="AF1174">
        <f>IFERROR(__xludf.DUMMYFUNCTION("VALUE(REGEXREPLACE(G1174,""[^[:digit:]]"", """"))"),3500.0)</f>
        <v>3500</v>
      </c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 t="s">
        <v>27</v>
      </c>
    </row>
    <row r="1175">
      <c r="A1175" s="7" t="s">
        <v>77</v>
      </c>
      <c r="B1175" s="7" t="s">
        <v>1075</v>
      </c>
      <c r="C1175" s="7">
        <f>1+1</f>
        <v>2</v>
      </c>
      <c r="D1175" s="7">
        <v>1.0</v>
      </c>
      <c r="E1175" s="9">
        <v>2.0</v>
      </c>
      <c r="F1175" s="7" t="s">
        <v>83</v>
      </c>
      <c r="G1175" s="7" t="s">
        <v>51</v>
      </c>
      <c r="H1175" s="9" t="s">
        <v>2979</v>
      </c>
      <c r="I1175" t="s">
        <v>2991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 t="str">
        <f t="shared" si="1"/>
        <v>Built-up :</v>
      </c>
      <c r="AE1175" s="7" t="str">
        <f t="shared" si="2"/>
        <v> sq. ft.</v>
      </c>
      <c r="AF1175">
        <f>IFERROR(__xludf.DUMMYFUNCTION("VALUE(REGEXREPLACE(G1175,""[^[:digit:]]"", """"))"),904.0)</f>
        <v>904</v>
      </c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 t="s">
        <v>27</v>
      </c>
    </row>
    <row r="1176">
      <c r="A1176" s="7" t="s">
        <v>77</v>
      </c>
      <c r="B1176" s="7" t="s">
        <v>1146</v>
      </c>
      <c r="C1176" s="7">
        <f>2</f>
        <v>2</v>
      </c>
      <c r="D1176" s="7">
        <v>2.0</v>
      </c>
      <c r="E1176" s="9">
        <v>2.0</v>
      </c>
      <c r="F1176" s="7" t="s">
        <v>83</v>
      </c>
      <c r="G1176" s="7" t="s">
        <v>1025</v>
      </c>
      <c r="H1176" s="9" t="s">
        <v>2979</v>
      </c>
      <c r="I1176" t="s">
        <v>3461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 t="str">
        <f t="shared" si="1"/>
        <v>Built-up :</v>
      </c>
      <c r="AE1176" s="7" t="str">
        <f t="shared" si="2"/>
        <v> sq. ft.</v>
      </c>
      <c r="AF1176">
        <f>IFERROR(__xludf.DUMMYFUNCTION("VALUE(REGEXREPLACE(G1176,""[^[:digit:]]"", """"))"),1432.0)</f>
        <v>1432</v>
      </c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 t="s">
        <v>27</v>
      </c>
    </row>
    <row r="1177">
      <c r="A1177" s="7" t="s">
        <v>77</v>
      </c>
      <c r="B1177" s="7" t="s">
        <v>45</v>
      </c>
      <c r="C1177" s="7">
        <f>3+1</f>
        <v>4</v>
      </c>
      <c r="D1177" s="7">
        <v>4.0</v>
      </c>
      <c r="E1177" s="9">
        <v>2.0</v>
      </c>
      <c r="F1177" s="7" t="s">
        <v>83</v>
      </c>
      <c r="G1177" s="7" t="s">
        <v>1125</v>
      </c>
      <c r="H1177" s="9" t="s">
        <v>2979</v>
      </c>
      <c r="I1177" t="s">
        <v>3519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 t="str">
        <f t="shared" si="1"/>
        <v>Built-up :</v>
      </c>
      <c r="AE1177" s="7" t="str">
        <f t="shared" si="2"/>
        <v> sq. ft.</v>
      </c>
      <c r="AF1177">
        <f>IFERROR(__xludf.DUMMYFUNCTION("VALUE(REGEXREPLACE(G1177,""[^[:digit:]]"", """"))"),1948.0)</f>
        <v>1948</v>
      </c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 t="s">
        <v>22</v>
      </c>
    </row>
    <row r="1178">
      <c r="A1178" s="7" t="s">
        <v>77</v>
      </c>
      <c r="B1178" s="7" t="s">
        <v>81</v>
      </c>
      <c r="C1178" s="7">
        <f>2+2</f>
        <v>4</v>
      </c>
      <c r="D1178" s="7">
        <v>3.0</v>
      </c>
      <c r="E1178" s="9">
        <v>2.0</v>
      </c>
      <c r="F1178" s="7" t="s">
        <v>83</v>
      </c>
      <c r="G1178" s="7" t="s">
        <v>1147</v>
      </c>
      <c r="H1178" s="9" t="s">
        <v>2979</v>
      </c>
      <c r="I1178" t="s">
        <v>3537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 t="str">
        <f t="shared" si="1"/>
        <v>Built-up :</v>
      </c>
      <c r="AE1178" s="7" t="str">
        <f t="shared" si="2"/>
        <v> sq. ft.</v>
      </c>
      <c r="AF1178">
        <f>IFERROR(__xludf.DUMMYFUNCTION("VALUE(REGEXREPLACE(G1178,""[^[:digit:]]"", """"))"),1357.0)</f>
        <v>1357</v>
      </c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 t="s">
        <v>27</v>
      </c>
    </row>
    <row r="1179">
      <c r="A1179" s="7" t="s">
        <v>77</v>
      </c>
      <c r="B1179" s="7" t="s">
        <v>281</v>
      </c>
      <c r="C1179" s="7">
        <f>4+1</f>
        <v>5</v>
      </c>
      <c r="D1179" s="7">
        <v>6.0</v>
      </c>
      <c r="E1179" s="7">
        <v>2.0</v>
      </c>
      <c r="F1179" s="7" t="s">
        <v>562</v>
      </c>
      <c r="G1179" s="7" t="s">
        <v>1148</v>
      </c>
      <c r="H1179" s="9" t="s">
        <v>2979</v>
      </c>
      <c r="I1179" t="s">
        <v>3538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 t="str">
        <f t="shared" si="1"/>
        <v>Built-up :</v>
      </c>
      <c r="AE1179" s="7" t="str">
        <f t="shared" si="2"/>
        <v> sq. ft.</v>
      </c>
      <c r="AF1179">
        <f>IFERROR(__xludf.DUMMYFUNCTION("VALUE(REGEXREPLACE(G1179,""[^[:digit:]]"", """"))"),3228.0)</f>
        <v>3228</v>
      </c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 t="s">
        <v>27</v>
      </c>
    </row>
    <row r="1180">
      <c r="A1180" s="7" t="s">
        <v>100</v>
      </c>
      <c r="B1180" s="7" t="s">
        <v>311</v>
      </c>
      <c r="C1180" s="7">
        <f>3+1</f>
        <v>4</v>
      </c>
      <c r="D1180" s="7">
        <v>4.0</v>
      </c>
      <c r="E1180" s="7">
        <v>3.0</v>
      </c>
      <c r="F1180" s="7" t="s">
        <v>30</v>
      </c>
      <c r="G1180" s="7" t="s">
        <v>1149</v>
      </c>
      <c r="H1180" s="9" t="s">
        <v>2979</v>
      </c>
      <c r="I1180" t="s">
        <v>3539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 t="str">
        <f t="shared" si="1"/>
        <v>Built-up :</v>
      </c>
      <c r="AE1180" s="7" t="str">
        <f t="shared" si="2"/>
        <v> sq. ft.</v>
      </c>
      <c r="AF1180">
        <f>IFERROR(__xludf.DUMMYFUNCTION("VALUE(REGEXREPLACE(G1180,""[^[:digit:]]"", """"))"),1782.0)</f>
        <v>1782</v>
      </c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 t="s">
        <v>27</v>
      </c>
    </row>
    <row r="1181">
      <c r="A1181" s="7" t="s">
        <v>77</v>
      </c>
      <c r="B1181" s="7" t="s">
        <v>281</v>
      </c>
      <c r="C1181" s="7">
        <f t="shared" ref="C1181:C1182" si="128">5+1</f>
        <v>6</v>
      </c>
      <c r="D1181" s="7">
        <v>6.0</v>
      </c>
      <c r="E1181" s="9">
        <v>2.0</v>
      </c>
      <c r="F1181" s="7" t="s">
        <v>54</v>
      </c>
      <c r="G1181" s="7" t="s">
        <v>911</v>
      </c>
      <c r="H1181" s="9" t="s">
        <v>2981</v>
      </c>
      <c r="I1181" t="s">
        <v>3300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 t="s">
        <v>3382</v>
      </c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 t="str">
        <f t="shared" si="1"/>
        <v>Land area </v>
      </c>
      <c r="AE1181" s="7" t="str">
        <f t="shared" si="2"/>
        <v> sq. ft.</v>
      </c>
      <c r="AF1181">
        <f>IFERROR(__xludf.DUMMYFUNCTION("VALUE(REGEXREPLACE(G1181,""[^[:digit:]]"", """"))"),22100.0)</f>
        <v>22100</v>
      </c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 t="s">
        <v>251</v>
      </c>
    </row>
    <row r="1182">
      <c r="A1182" s="7" t="s">
        <v>77</v>
      </c>
      <c r="B1182" s="7" t="s">
        <v>398</v>
      </c>
      <c r="C1182" s="7">
        <f t="shared" si="128"/>
        <v>6</v>
      </c>
      <c r="D1182" s="7">
        <v>6.0</v>
      </c>
      <c r="E1182" s="9">
        <v>2.0</v>
      </c>
      <c r="F1182" s="7" t="s">
        <v>681</v>
      </c>
      <c r="G1182" s="7" t="s">
        <v>1132</v>
      </c>
      <c r="H1182" s="9" t="s">
        <v>2979</v>
      </c>
      <c r="I1182" t="s">
        <v>3525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 t="str">
        <f t="shared" si="1"/>
        <v>Built-up :</v>
      </c>
      <c r="AE1182" s="7" t="str">
        <f t="shared" si="2"/>
        <v> sq. ft.</v>
      </c>
      <c r="AF1182">
        <f>IFERROR(__xludf.DUMMYFUNCTION("VALUE(REGEXREPLACE(G1182,""[^[:digit:]]"", """"))"),1600.0)</f>
        <v>1600</v>
      </c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 t="s">
        <v>27</v>
      </c>
    </row>
    <row r="1183">
      <c r="A1183" s="7" t="s">
        <v>72</v>
      </c>
      <c r="B1183" s="7" t="s">
        <v>18</v>
      </c>
      <c r="C1183" s="7">
        <f>3</f>
        <v>3</v>
      </c>
      <c r="D1183" s="7">
        <v>2.0</v>
      </c>
      <c r="E1183" s="9">
        <v>2.0</v>
      </c>
      <c r="F1183" s="7" t="s">
        <v>83</v>
      </c>
      <c r="G1183" s="7" t="s">
        <v>1034</v>
      </c>
      <c r="H1183" s="9" t="s">
        <v>2979</v>
      </c>
      <c r="I1183" t="s">
        <v>3468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 t="str">
        <f t="shared" si="1"/>
        <v>Built-up :</v>
      </c>
      <c r="AE1183" s="7" t="str">
        <f t="shared" si="2"/>
        <v> sq. ft.</v>
      </c>
      <c r="AF1183">
        <f>IFERROR(__xludf.DUMMYFUNCTION("VALUE(REGEXREPLACE(G1183,""[^[:digit:]]"", """"))"),1448.0)</f>
        <v>1448</v>
      </c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 t="s">
        <v>22</v>
      </c>
    </row>
    <row r="1184">
      <c r="A1184" s="7" t="s">
        <v>77</v>
      </c>
      <c r="B1184" s="7" t="s">
        <v>913</v>
      </c>
      <c r="C1184" s="7">
        <f>6</f>
        <v>6</v>
      </c>
      <c r="D1184" s="7">
        <v>6.0</v>
      </c>
      <c r="E1184" s="9">
        <v>2.0</v>
      </c>
      <c r="F1184" s="7" t="s">
        <v>487</v>
      </c>
      <c r="G1184" s="7" t="s">
        <v>1150</v>
      </c>
      <c r="H1184" s="9" t="s">
        <v>2979</v>
      </c>
      <c r="I1184" t="s">
        <v>3540</v>
      </c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 t="str">
        <f t="shared" si="1"/>
        <v>Built-up :</v>
      </c>
      <c r="AE1184" s="7" t="str">
        <f t="shared" si="2"/>
        <v> sq. ft.</v>
      </c>
      <c r="AF1184">
        <f>IFERROR(__xludf.DUMMYFUNCTION("VALUE(REGEXREPLACE(G1184,""[^[:digit:]]"", """"))"),4506.0)</f>
        <v>4506</v>
      </c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 t="s">
        <v>22</v>
      </c>
    </row>
    <row r="1185">
      <c r="A1185" s="7" t="s">
        <v>77</v>
      </c>
      <c r="B1185" s="7" t="s">
        <v>475</v>
      </c>
      <c r="C1185" s="7">
        <f>3+1</f>
        <v>4</v>
      </c>
      <c r="D1185" s="7">
        <v>4.0</v>
      </c>
      <c r="E1185" s="9">
        <v>2.0</v>
      </c>
      <c r="F1185" s="7" t="s">
        <v>90</v>
      </c>
      <c r="G1185" s="7" t="s">
        <v>1033</v>
      </c>
      <c r="H1185" s="9" t="s">
        <v>2981</v>
      </c>
      <c r="I1185" t="s">
        <v>3467</v>
      </c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 t="str">
        <f t="shared" si="1"/>
        <v>Land area </v>
      </c>
      <c r="AE1185" s="7" t="str">
        <f t="shared" si="2"/>
        <v> sq. ft.</v>
      </c>
      <c r="AF1185">
        <f>IFERROR(__xludf.DUMMYFUNCTION("VALUE(REGEXREPLACE(G1185,""[^[:digit:]]"", """"))"),0.0)</f>
        <v>0</v>
      </c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 t="s">
        <v>27</v>
      </c>
    </row>
    <row r="1186">
      <c r="A1186" s="7" t="s">
        <v>515</v>
      </c>
      <c r="B1186" s="7" t="s">
        <v>85</v>
      </c>
      <c r="C1186" s="7">
        <f>4+1</f>
        <v>5</v>
      </c>
      <c r="D1186" s="7">
        <v>5.0</v>
      </c>
      <c r="E1186" s="7">
        <v>2.0</v>
      </c>
      <c r="F1186" s="7" t="s">
        <v>64</v>
      </c>
      <c r="G1186" s="7" t="s">
        <v>1151</v>
      </c>
      <c r="H1186" s="9" t="s">
        <v>2981</v>
      </c>
      <c r="I1186" t="s">
        <v>3541</v>
      </c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 t="str">
        <f t="shared" si="1"/>
        <v>Land area </v>
      </c>
      <c r="AE1186" s="7" t="str">
        <f t="shared" si="2"/>
        <v> sq. ft.</v>
      </c>
      <c r="AF1186">
        <f>IFERROR(__xludf.DUMMYFUNCTION("VALUE(REGEXREPLACE(G1186,""[^[:digit:]]"", """"))"),2809.0)</f>
        <v>2809</v>
      </c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 t="s">
        <v>27</v>
      </c>
    </row>
    <row r="1187">
      <c r="A1187" s="7" t="s">
        <v>37</v>
      </c>
      <c r="B1187" s="7" t="s">
        <v>657</v>
      </c>
      <c r="C1187" s="7">
        <f>3</f>
        <v>3</v>
      </c>
      <c r="D1187" s="7">
        <v>2.0</v>
      </c>
      <c r="E1187" s="7">
        <v>1.0</v>
      </c>
      <c r="F1187" s="7" t="s">
        <v>83</v>
      </c>
      <c r="G1187" s="7" t="s">
        <v>1004</v>
      </c>
      <c r="H1187" s="9" t="s">
        <v>2979</v>
      </c>
      <c r="I1187" t="s">
        <v>3449</v>
      </c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 t="str">
        <f t="shared" si="1"/>
        <v>Built-up :</v>
      </c>
      <c r="AE1187" s="7" t="str">
        <f t="shared" si="2"/>
        <v> sq. ft.</v>
      </c>
      <c r="AF1187">
        <f>IFERROR(__xludf.DUMMYFUNCTION("VALUE(REGEXREPLACE(G1187,""[^[:digit:]]"", """"))"),1300.0)</f>
        <v>1300</v>
      </c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 t="s">
        <v>27</v>
      </c>
    </row>
    <row r="1188">
      <c r="A1188" s="7" t="s">
        <v>37</v>
      </c>
      <c r="B1188" s="7" t="s">
        <v>1152</v>
      </c>
      <c r="C1188" s="7">
        <f>3+1</f>
        <v>4</v>
      </c>
      <c r="D1188" s="7">
        <v>4.0</v>
      </c>
      <c r="E1188" s="7">
        <v>2.0</v>
      </c>
      <c r="F1188" s="7" t="s">
        <v>83</v>
      </c>
      <c r="G1188" s="7" t="s">
        <v>1029</v>
      </c>
      <c r="H1188" s="9" t="s">
        <v>2979</v>
      </c>
      <c r="I1188" t="s">
        <v>3465</v>
      </c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 t="str">
        <f t="shared" si="1"/>
        <v>Built-up :</v>
      </c>
      <c r="AE1188" s="7" t="str">
        <f t="shared" si="2"/>
        <v> sq. ft.</v>
      </c>
      <c r="AF1188">
        <f>IFERROR(__xludf.DUMMYFUNCTION("VALUE(REGEXREPLACE(G1188,""[^[:digit:]]"", """"))"),1800.0)</f>
        <v>1800</v>
      </c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 t="s">
        <v>27</v>
      </c>
    </row>
    <row r="1189">
      <c r="A1189" s="7" t="s">
        <v>37</v>
      </c>
      <c r="B1189" s="7" t="s">
        <v>657</v>
      </c>
      <c r="C1189" s="7">
        <f>3</f>
        <v>3</v>
      </c>
      <c r="D1189" s="7">
        <v>2.0</v>
      </c>
      <c r="E1189" s="7">
        <v>1.0</v>
      </c>
      <c r="F1189" s="7" t="s">
        <v>83</v>
      </c>
      <c r="G1189" s="7" t="s">
        <v>1153</v>
      </c>
      <c r="H1189" s="9" t="s">
        <v>2979</v>
      </c>
      <c r="I1189" t="s">
        <v>3542</v>
      </c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 t="str">
        <f t="shared" si="1"/>
        <v>Built-up :</v>
      </c>
      <c r="AE1189" s="7" t="str">
        <f t="shared" si="2"/>
        <v> sq. ft.</v>
      </c>
      <c r="AF1189">
        <f>IFERROR(__xludf.DUMMYFUNCTION("VALUE(REGEXREPLACE(G1189,""[^[:digit:]]"", """"))"),1356.0)</f>
        <v>1356</v>
      </c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</row>
    <row r="1190">
      <c r="A1190" s="7" t="s">
        <v>48</v>
      </c>
      <c r="B1190" s="7" t="s">
        <v>403</v>
      </c>
      <c r="C1190" s="7">
        <f>5+1</f>
        <v>6</v>
      </c>
      <c r="D1190" s="7">
        <v>4.0</v>
      </c>
      <c r="E1190" s="7">
        <v>4.0</v>
      </c>
      <c r="F1190" s="7" t="s">
        <v>184</v>
      </c>
      <c r="G1190" s="7" t="s">
        <v>1154</v>
      </c>
      <c r="H1190" s="9" t="s">
        <v>2981</v>
      </c>
      <c r="I1190" t="s">
        <v>3543</v>
      </c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 t="str">
        <f t="shared" si="1"/>
        <v>Land area </v>
      </c>
      <c r="AE1190" s="7" t="str">
        <f t="shared" si="2"/>
        <v> sq. ft.</v>
      </c>
      <c r="AF1190">
        <f>IFERROR(__xludf.DUMMYFUNCTION("VALUE(REGEXREPLACE(G1190,""[^[:digit:]]"", """"))"),4300.0)</f>
        <v>4300</v>
      </c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 t="s">
        <v>27</v>
      </c>
    </row>
    <row r="1191">
      <c r="A1191" s="7" t="s">
        <v>37</v>
      </c>
      <c r="B1191" s="7" t="s">
        <v>191</v>
      </c>
      <c r="C1191" s="7">
        <f>3</f>
        <v>3</v>
      </c>
      <c r="D1191" s="7">
        <v>2.0</v>
      </c>
      <c r="E1191" s="7">
        <v>1.0</v>
      </c>
      <c r="F1191" s="7" t="s">
        <v>83</v>
      </c>
      <c r="G1191" s="7" t="s">
        <v>276</v>
      </c>
      <c r="H1191" s="9" t="s">
        <v>2979</v>
      </c>
      <c r="I1191" t="s">
        <v>3089</v>
      </c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 t="str">
        <f t="shared" si="1"/>
        <v>Built-up :</v>
      </c>
      <c r="AE1191" s="7" t="str">
        <f t="shared" si="2"/>
        <v> sq. ft.</v>
      </c>
      <c r="AF1191">
        <f>IFERROR(__xludf.DUMMYFUNCTION("VALUE(REGEXREPLACE(G1191,""[^[:digit:]]"", """"))"),1560.0)</f>
        <v>1560</v>
      </c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 t="s">
        <v>27</v>
      </c>
    </row>
    <row r="1192">
      <c r="A1192" s="7" t="s">
        <v>37</v>
      </c>
      <c r="B1192" s="7" t="s">
        <v>349</v>
      </c>
      <c r="C1192" s="7">
        <f>3+1</f>
        <v>4</v>
      </c>
      <c r="D1192" s="7">
        <v>3.0</v>
      </c>
      <c r="E1192" s="7">
        <v>2.0</v>
      </c>
      <c r="F1192" s="7" t="s">
        <v>83</v>
      </c>
      <c r="G1192" s="7" t="s">
        <v>461</v>
      </c>
      <c r="H1192" s="9" t="s">
        <v>2979</v>
      </c>
      <c r="I1192" t="s">
        <v>3172</v>
      </c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 t="str">
        <f t="shared" si="1"/>
        <v>Built-up :</v>
      </c>
      <c r="AE1192" s="7" t="str">
        <f t="shared" si="2"/>
        <v> sq. ft.</v>
      </c>
      <c r="AF1192">
        <f>IFERROR(__xludf.DUMMYFUNCTION("VALUE(REGEXREPLACE(G1192,""[^[:digit:]]"", """"))"),1900.0)</f>
        <v>1900</v>
      </c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 t="s">
        <v>27</v>
      </c>
    </row>
    <row r="1193">
      <c r="A1193" s="7" t="s">
        <v>37</v>
      </c>
      <c r="B1193" s="7" t="s">
        <v>85</v>
      </c>
      <c r="C1193" s="7">
        <f>2+1</f>
        <v>3</v>
      </c>
      <c r="D1193" s="7">
        <v>2.0</v>
      </c>
      <c r="E1193" s="7">
        <v>2.0</v>
      </c>
      <c r="F1193" s="7" t="s">
        <v>20</v>
      </c>
      <c r="G1193" s="7" t="s">
        <v>1007</v>
      </c>
      <c r="H1193" s="9" t="s">
        <v>2979</v>
      </c>
      <c r="I1193" t="s">
        <v>3451</v>
      </c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 t="str">
        <f t="shared" si="1"/>
        <v>Built-up :</v>
      </c>
      <c r="AE1193" s="7" t="str">
        <f t="shared" si="2"/>
        <v> sq. ft.</v>
      </c>
      <c r="AF1193">
        <f>IFERROR(__xludf.DUMMYFUNCTION("VALUE(REGEXREPLACE(G1193,""[^[:digit:]]"", """"))"),1680.0)</f>
        <v>1680</v>
      </c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 t="s">
        <v>22</v>
      </c>
    </row>
    <row r="1194">
      <c r="A1194" s="7" t="s">
        <v>177</v>
      </c>
      <c r="B1194" s="7" t="s">
        <v>953</v>
      </c>
      <c r="C1194" s="7">
        <f>1</f>
        <v>1</v>
      </c>
      <c r="D1194" s="7">
        <v>1.0</v>
      </c>
      <c r="E1194" s="7">
        <v>1.0</v>
      </c>
      <c r="F1194" s="7" t="s">
        <v>20</v>
      </c>
      <c r="G1194" s="7" t="s">
        <v>1155</v>
      </c>
      <c r="H1194" s="9" t="s">
        <v>2979</v>
      </c>
      <c r="I1194" t="s">
        <v>3544</v>
      </c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 t="str">
        <f t="shared" si="1"/>
        <v>Built-up :</v>
      </c>
      <c r="AE1194" s="7" t="str">
        <f t="shared" si="2"/>
        <v> sq. ft.</v>
      </c>
      <c r="AF1194">
        <f>IFERROR(__xludf.DUMMYFUNCTION("VALUE(REGEXREPLACE(G1194,""[^[:digit:]]"", """"))"),783.0)</f>
        <v>783</v>
      </c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 t="s">
        <v>22</v>
      </c>
    </row>
    <row r="1195">
      <c r="A1195" s="7" t="s">
        <v>33</v>
      </c>
      <c r="B1195" s="7" t="s">
        <v>361</v>
      </c>
      <c r="E1195" s="7">
        <v>3.0</v>
      </c>
      <c r="F1195" s="7" t="s">
        <v>83</v>
      </c>
      <c r="G1195" s="7" t="s">
        <v>1156</v>
      </c>
      <c r="H1195" s="9" t="s">
        <v>2979</v>
      </c>
      <c r="I1195" t="s">
        <v>3545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 t="str">
        <f t="shared" si="1"/>
        <v>Built-up :</v>
      </c>
      <c r="AE1195" s="7" t="str">
        <f t="shared" si="2"/>
        <v> sq. ft.</v>
      </c>
      <c r="AF1195">
        <f>IFERROR(__xludf.DUMMYFUNCTION("VALUE(REGEXREPLACE(G1195,""[^[:digit:]]"", """"))"),1003.0)</f>
        <v>1003</v>
      </c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 t="s">
        <v>103</v>
      </c>
    </row>
    <row r="1196">
      <c r="A1196" s="7" t="s">
        <v>358</v>
      </c>
      <c r="B1196" s="7" t="s">
        <v>854</v>
      </c>
      <c r="C1196" s="7">
        <f>3+1</f>
        <v>4</v>
      </c>
      <c r="D1196" s="7">
        <v>3.0</v>
      </c>
      <c r="E1196" s="7">
        <v>2.0</v>
      </c>
      <c r="F1196" s="7" t="s">
        <v>93</v>
      </c>
      <c r="G1196" s="7" t="s">
        <v>1157</v>
      </c>
      <c r="H1196" s="9" t="s">
        <v>2981</v>
      </c>
      <c r="I1196" t="s">
        <v>3546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 t="str">
        <f t="shared" si="1"/>
        <v>Land area </v>
      </c>
      <c r="AE1196" s="7" t="str">
        <f t="shared" si="2"/>
        <v> sq. ft.</v>
      </c>
      <c r="AF1196">
        <f>IFERROR(__xludf.DUMMYFUNCTION("VALUE(REGEXREPLACE(G1196,""[^[:digit:]]"", """"))"),1298.0)</f>
        <v>1298</v>
      </c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 t="s">
        <v>103</v>
      </c>
    </row>
    <row r="1197">
      <c r="A1197" s="7" t="s">
        <v>1158</v>
      </c>
      <c r="B1197" s="7" t="s">
        <v>105</v>
      </c>
      <c r="C1197" s="7">
        <f>3</f>
        <v>3</v>
      </c>
      <c r="D1197" s="7">
        <v>2.0</v>
      </c>
      <c r="E1197" s="7">
        <v>1.0</v>
      </c>
      <c r="F1197" s="7" t="s">
        <v>83</v>
      </c>
      <c r="G1197" s="7" t="s">
        <v>1159</v>
      </c>
      <c r="H1197" s="9" t="s">
        <v>2979</v>
      </c>
      <c r="I1197" t="s">
        <v>3547</v>
      </c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 t="str">
        <f t="shared" si="1"/>
        <v>Built-up :</v>
      </c>
      <c r="AE1197" s="7" t="str">
        <f t="shared" si="2"/>
        <v> sq. ft.</v>
      </c>
      <c r="AF1197">
        <f>IFERROR(__xludf.DUMMYFUNCTION("VALUE(REGEXREPLACE(G1197,""[^[:digit:]]"", """"))"),1120.0)</f>
        <v>1120</v>
      </c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</row>
    <row r="1198">
      <c r="A1198" s="7" t="s">
        <v>17</v>
      </c>
      <c r="B1198" s="7" t="s">
        <v>1160</v>
      </c>
      <c r="C1198" s="7">
        <f t="shared" ref="C1198:C1199" si="129">2</f>
        <v>2</v>
      </c>
      <c r="D1198" s="7">
        <v>2.0</v>
      </c>
      <c r="E1198" s="7">
        <v>1.0</v>
      </c>
      <c r="F1198" s="7" t="s">
        <v>82</v>
      </c>
      <c r="G1198" s="7" t="s">
        <v>1161</v>
      </c>
      <c r="H1198" s="9" t="s">
        <v>2979</v>
      </c>
      <c r="I1198" t="s">
        <v>3548</v>
      </c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 t="str">
        <f t="shared" si="1"/>
        <v>Built-up :</v>
      </c>
      <c r="AE1198" s="7" t="str">
        <f t="shared" si="2"/>
        <v> sq. ft.</v>
      </c>
      <c r="AF1198">
        <f>IFERROR(__xludf.DUMMYFUNCTION("VALUE(REGEXREPLACE(G1198,""[^[:digit:]]"", """"))"),1078.0)</f>
        <v>1078</v>
      </c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 t="s">
        <v>22</v>
      </c>
    </row>
    <row r="1199">
      <c r="A1199" s="7" t="s">
        <v>155</v>
      </c>
      <c r="B1199" s="7" t="s">
        <v>1075</v>
      </c>
      <c r="C1199" s="7">
        <f t="shared" si="129"/>
        <v>2</v>
      </c>
      <c r="D1199" s="7">
        <v>2.0</v>
      </c>
      <c r="E1199" s="7">
        <v>1.0</v>
      </c>
      <c r="F1199" s="7" t="s">
        <v>83</v>
      </c>
      <c r="G1199" s="7" t="s">
        <v>1162</v>
      </c>
      <c r="H1199" s="9" t="s">
        <v>2979</v>
      </c>
      <c r="I1199" t="s">
        <v>3549</v>
      </c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 t="str">
        <f t="shared" si="1"/>
        <v>Built-up :</v>
      </c>
      <c r="AE1199" s="7" t="str">
        <f t="shared" si="2"/>
        <v> sq. ft.</v>
      </c>
      <c r="AF1199">
        <f>IFERROR(__xludf.DUMMYFUNCTION("VALUE(REGEXREPLACE(G1199,""[^[:digit:]]"", """"))"),1168.0)</f>
        <v>1168</v>
      </c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 t="s">
        <v>27</v>
      </c>
    </row>
    <row r="1200">
      <c r="A1200" s="7" t="s">
        <v>155</v>
      </c>
      <c r="B1200" s="7" t="s">
        <v>1163</v>
      </c>
      <c r="C1200" s="7">
        <f>3</f>
        <v>3</v>
      </c>
      <c r="D1200" s="7">
        <v>3.0</v>
      </c>
      <c r="E1200" s="7">
        <v>2.0</v>
      </c>
      <c r="F1200" s="7" t="s">
        <v>83</v>
      </c>
      <c r="G1200" s="7" t="s">
        <v>1164</v>
      </c>
      <c r="H1200" s="9" t="s">
        <v>2979</v>
      </c>
      <c r="I1200" t="s">
        <v>3550</v>
      </c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 t="str">
        <f t="shared" si="1"/>
        <v>Built-up :</v>
      </c>
      <c r="AE1200" s="7" t="str">
        <f t="shared" si="2"/>
        <v> sq. ft.</v>
      </c>
      <c r="AF1200">
        <f>IFERROR(__xludf.DUMMYFUNCTION("VALUE(REGEXREPLACE(G1200,""[^[:digit:]]"", """"))"),1330.0)</f>
        <v>1330</v>
      </c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 t="s">
        <v>27</v>
      </c>
    </row>
    <row r="1201">
      <c r="A1201" s="7" t="s">
        <v>371</v>
      </c>
      <c r="B1201" s="7" t="s">
        <v>229</v>
      </c>
      <c r="C1201" s="7">
        <f>3+1</f>
        <v>4</v>
      </c>
      <c r="D1201" s="7">
        <v>4.0</v>
      </c>
      <c r="E1201" s="7">
        <v>2.0</v>
      </c>
      <c r="F1201" s="7" t="s">
        <v>83</v>
      </c>
      <c r="G1201" s="7" t="s">
        <v>1165</v>
      </c>
      <c r="H1201" s="9" t="s">
        <v>2979</v>
      </c>
      <c r="I1201" t="s">
        <v>3551</v>
      </c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 t="str">
        <f t="shared" si="1"/>
        <v>Built-up :</v>
      </c>
      <c r="AE1201" s="7" t="str">
        <f t="shared" si="2"/>
        <v> sq. ft.</v>
      </c>
      <c r="AF1201">
        <f>IFERROR(__xludf.DUMMYFUNCTION("VALUE(REGEXREPLACE(G1201,""[^[:digit:]]"", """"))"),1759.0)</f>
        <v>1759</v>
      </c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</row>
    <row r="1202">
      <c r="A1202" s="7" t="s">
        <v>371</v>
      </c>
      <c r="B1202" s="7" t="s">
        <v>1166</v>
      </c>
      <c r="C1202" s="7">
        <f>3</f>
        <v>3</v>
      </c>
      <c r="D1202" s="7">
        <v>2.0</v>
      </c>
      <c r="E1202" s="7">
        <v>2.0</v>
      </c>
      <c r="F1202" s="7" t="s">
        <v>83</v>
      </c>
      <c r="G1202" s="7" t="s">
        <v>1167</v>
      </c>
      <c r="H1202" s="9" t="s">
        <v>2979</v>
      </c>
      <c r="I1202" t="s">
        <v>3552</v>
      </c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 t="str">
        <f t="shared" si="1"/>
        <v>Built-up :</v>
      </c>
      <c r="AE1202" s="7" t="str">
        <f t="shared" si="2"/>
        <v> sq. ft.</v>
      </c>
      <c r="AF1202">
        <f>IFERROR(__xludf.DUMMYFUNCTION("VALUE(REGEXREPLACE(G1202,""[^[:digit:]]"", """"))"),1382.0)</f>
        <v>1382</v>
      </c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 t="s">
        <v>103</v>
      </c>
    </row>
    <row r="1203">
      <c r="A1203" s="7" t="s">
        <v>371</v>
      </c>
      <c r="B1203" s="7" t="s">
        <v>755</v>
      </c>
      <c r="C1203" s="7">
        <f>3+1</f>
        <v>4</v>
      </c>
      <c r="D1203" s="7">
        <v>2.0</v>
      </c>
      <c r="E1203" s="7">
        <v>2.0</v>
      </c>
      <c r="F1203" s="7" t="s">
        <v>83</v>
      </c>
      <c r="G1203" s="7" t="s">
        <v>1168</v>
      </c>
      <c r="H1203" s="9" t="s">
        <v>2979</v>
      </c>
      <c r="I1203" t="s">
        <v>3553</v>
      </c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 t="str">
        <f t="shared" si="1"/>
        <v>Built-up :</v>
      </c>
      <c r="AE1203" s="7" t="str">
        <f t="shared" si="2"/>
        <v> sq. ft.</v>
      </c>
      <c r="AF1203">
        <f>IFERROR(__xludf.DUMMYFUNCTION("VALUE(REGEXREPLACE(G1203,""[^[:digit:]]"", """"))"),1909.0)</f>
        <v>1909</v>
      </c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 t="s">
        <v>27</v>
      </c>
    </row>
    <row r="1204">
      <c r="A1204" s="7" t="s">
        <v>72</v>
      </c>
      <c r="B1204" s="7" t="s">
        <v>635</v>
      </c>
      <c r="C1204" s="7">
        <f>1</f>
        <v>1</v>
      </c>
      <c r="D1204" s="7">
        <v>1.0</v>
      </c>
      <c r="E1204" s="7">
        <v>1.0</v>
      </c>
      <c r="F1204" s="7" t="s">
        <v>938</v>
      </c>
      <c r="G1204" s="7" t="s">
        <v>1169</v>
      </c>
      <c r="H1204" s="9" t="s">
        <v>2979</v>
      </c>
      <c r="I1204" t="s">
        <v>3554</v>
      </c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 t="str">
        <f t="shared" si="1"/>
        <v>Built-up :</v>
      </c>
      <c r="AE1204" s="7" t="str">
        <f t="shared" si="2"/>
        <v> sq. ft.</v>
      </c>
      <c r="AF1204">
        <f>IFERROR(__xludf.DUMMYFUNCTION("VALUE(REGEXREPLACE(G1204,""[^[:digit:]]"", """"))"),708.0)</f>
        <v>708</v>
      </c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 t="s">
        <v>27</v>
      </c>
    </row>
    <row r="1205">
      <c r="A1205" s="7" t="s">
        <v>89</v>
      </c>
      <c r="B1205" s="7" t="s">
        <v>966</v>
      </c>
      <c r="C1205" s="7">
        <f>3+1</f>
        <v>4</v>
      </c>
      <c r="D1205" s="7">
        <v>4.0</v>
      </c>
      <c r="E1205" s="7">
        <v>3.0</v>
      </c>
      <c r="F1205" s="7" t="s">
        <v>30</v>
      </c>
      <c r="G1205" s="7" t="s">
        <v>1170</v>
      </c>
      <c r="H1205" s="9" t="s">
        <v>2979</v>
      </c>
      <c r="I1205" t="s">
        <v>3555</v>
      </c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 t="str">
        <f t="shared" si="1"/>
        <v>Built-up :</v>
      </c>
      <c r="AE1205" s="7" t="str">
        <f t="shared" si="2"/>
        <v> sq. ft.</v>
      </c>
      <c r="AF1205">
        <f>IFERROR(__xludf.DUMMYFUNCTION("VALUE(REGEXREPLACE(G1205,""[^[:digit:]]"", """"))"),1449.0)</f>
        <v>1449</v>
      </c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 t="s">
        <v>27</v>
      </c>
    </row>
    <row r="1206">
      <c r="A1206" s="7" t="s">
        <v>17</v>
      </c>
      <c r="B1206" s="7" t="s">
        <v>268</v>
      </c>
      <c r="C1206" s="7" t="s">
        <v>325</v>
      </c>
      <c r="D1206" s="7">
        <v>1.0</v>
      </c>
      <c r="E1206" s="9">
        <v>2.0</v>
      </c>
      <c r="F1206" s="7" t="s">
        <v>20</v>
      </c>
      <c r="G1206" s="7" t="s">
        <v>1171</v>
      </c>
      <c r="H1206" s="9" t="s">
        <v>2979</v>
      </c>
      <c r="I1206" t="s">
        <v>3556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 t="str">
        <f t="shared" si="1"/>
        <v>Built-up :</v>
      </c>
      <c r="AE1206" s="7" t="str">
        <f t="shared" si="2"/>
        <v> sq. ft.</v>
      </c>
      <c r="AF1206">
        <f>IFERROR(__xludf.DUMMYFUNCTION("VALUE(REGEXREPLACE(G1206,""[^[:digit:]]"", """"))"),470.0)</f>
        <v>470</v>
      </c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 t="s">
        <v>22</v>
      </c>
    </row>
    <row r="1207">
      <c r="A1207" s="7" t="s">
        <v>72</v>
      </c>
      <c r="B1207" s="7" t="s">
        <v>403</v>
      </c>
      <c r="C1207" s="7">
        <f t="shared" ref="C1207:C1208" si="130">3</f>
        <v>3</v>
      </c>
      <c r="D1207" s="7">
        <v>4.0</v>
      </c>
      <c r="E1207" s="9">
        <v>2.0</v>
      </c>
      <c r="F1207" s="7" t="s">
        <v>30</v>
      </c>
      <c r="G1207" s="7" t="s">
        <v>1172</v>
      </c>
      <c r="H1207" s="9" t="s">
        <v>2979</v>
      </c>
      <c r="I1207" t="s">
        <v>3557</v>
      </c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 t="str">
        <f t="shared" si="1"/>
        <v>Built-up :</v>
      </c>
      <c r="AE1207" s="7" t="str">
        <f t="shared" si="2"/>
        <v> sq. ft.</v>
      </c>
      <c r="AF1207">
        <f>IFERROR(__xludf.DUMMYFUNCTION("VALUE(REGEXREPLACE(G1207,""[^[:digit:]]"", """"))"),1906.0)</f>
        <v>1906</v>
      </c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 t="s">
        <v>22</v>
      </c>
    </row>
    <row r="1208">
      <c r="A1208" s="7" t="s">
        <v>33</v>
      </c>
      <c r="B1208" s="7" t="s">
        <v>759</v>
      </c>
      <c r="C1208" s="7">
        <f t="shared" si="130"/>
        <v>3</v>
      </c>
      <c r="D1208" s="7">
        <v>3.0</v>
      </c>
      <c r="E1208" s="7">
        <v>2.0</v>
      </c>
      <c r="F1208" s="7" t="s">
        <v>93</v>
      </c>
      <c r="G1208" s="7" t="s">
        <v>1156</v>
      </c>
      <c r="H1208" s="9" t="s">
        <v>2979</v>
      </c>
      <c r="I1208" t="s">
        <v>3545</v>
      </c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 t="str">
        <f t="shared" si="1"/>
        <v>Built-up :</v>
      </c>
      <c r="AE1208" s="7" t="str">
        <f t="shared" si="2"/>
        <v> sq. ft.</v>
      </c>
      <c r="AF1208">
        <f>IFERROR(__xludf.DUMMYFUNCTION("VALUE(REGEXREPLACE(G1208,""[^[:digit:]]"", """"))"),1003.0)</f>
        <v>1003</v>
      </c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 t="s">
        <v>103</v>
      </c>
    </row>
    <row r="1209">
      <c r="A1209" s="7" t="s">
        <v>72</v>
      </c>
      <c r="B1209" s="7" t="s">
        <v>599</v>
      </c>
      <c r="C1209" s="7">
        <f>2</f>
        <v>2</v>
      </c>
      <c r="D1209" s="7">
        <v>2.0</v>
      </c>
      <c r="E1209" s="7">
        <v>1.0</v>
      </c>
      <c r="F1209" s="7" t="s">
        <v>938</v>
      </c>
      <c r="G1209" s="7" t="s">
        <v>1173</v>
      </c>
      <c r="H1209" s="9" t="s">
        <v>2979</v>
      </c>
      <c r="I1209" t="s">
        <v>3558</v>
      </c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 t="str">
        <f t="shared" si="1"/>
        <v>Built-up :</v>
      </c>
      <c r="AE1209" s="7" t="str">
        <f t="shared" si="2"/>
        <v> sq. ft.</v>
      </c>
      <c r="AF1209">
        <f>IFERROR(__xludf.DUMMYFUNCTION("VALUE(REGEXREPLACE(G1209,""[^[:digit:]]"", """"))"),903.0)</f>
        <v>903</v>
      </c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 t="s">
        <v>22</v>
      </c>
    </row>
    <row r="1210">
      <c r="A1210" s="7" t="s">
        <v>17</v>
      </c>
      <c r="B1210" s="7" t="s">
        <v>130</v>
      </c>
      <c r="C1210" s="7">
        <f t="shared" ref="C1210:C1211" si="131">4</f>
        <v>4</v>
      </c>
      <c r="D1210" s="7">
        <v>5.0</v>
      </c>
      <c r="E1210" s="7">
        <v>3.0</v>
      </c>
      <c r="F1210" s="7" t="s">
        <v>30</v>
      </c>
      <c r="G1210" s="7" t="s">
        <v>1174</v>
      </c>
      <c r="H1210" s="9" t="s">
        <v>2979</v>
      </c>
      <c r="I1210" t="s">
        <v>3559</v>
      </c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 t="str">
        <f t="shared" si="1"/>
        <v>Built-up :</v>
      </c>
      <c r="AE1210" s="7" t="str">
        <f t="shared" si="2"/>
        <v> sq. ft.</v>
      </c>
      <c r="AF1210">
        <f>IFERROR(__xludf.DUMMYFUNCTION("VALUE(REGEXREPLACE(G1210,""[^[:digit:]]"", """"))"),3800.0)</f>
        <v>3800</v>
      </c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 t="s">
        <v>27</v>
      </c>
    </row>
    <row r="1211">
      <c r="A1211" s="7" t="s">
        <v>17</v>
      </c>
      <c r="B1211" s="7" t="s">
        <v>174</v>
      </c>
      <c r="C1211" s="7">
        <f t="shared" si="131"/>
        <v>4</v>
      </c>
      <c r="D1211" s="7">
        <v>5.0</v>
      </c>
      <c r="E1211" s="7">
        <v>3.0</v>
      </c>
      <c r="F1211" s="7" t="s">
        <v>83</v>
      </c>
      <c r="G1211" s="7" t="s">
        <v>1174</v>
      </c>
      <c r="H1211" s="9" t="s">
        <v>2979</v>
      </c>
      <c r="I1211" t="s">
        <v>3559</v>
      </c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 t="str">
        <f t="shared" si="1"/>
        <v>Built-up :</v>
      </c>
      <c r="AE1211" s="7" t="str">
        <f t="shared" si="2"/>
        <v> sq. ft.</v>
      </c>
      <c r="AF1211">
        <f>IFERROR(__xludf.DUMMYFUNCTION("VALUE(REGEXREPLACE(G1211,""[^[:digit:]]"", """"))"),3800.0)</f>
        <v>3800</v>
      </c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 t="s">
        <v>27</v>
      </c>
    </row>
    <row r="1212">
      <c r="A1212" s="7" t="s">
        <v>17</v>
      </c>
      <c r="B1212" s="7" t="s">
        <v>78</v>
      </c>
      <c r="C1212" s="7">
        <f t="shared" ref="C1212:C1214" si="132">3+1</f>
        <v>4</v>
      </c>
      <c r="D1212" s="7">
        <v>4.0</v>
      </c>
      <c r="E1212" s="7">
        <v>2.0</v>
      </c>
      <c r="F1212" s="7" t="s">
        <v>30</v>
      </c>
      <c r="G1212" s="7" t="s">
        <v>1090</v>
      </c>
      <c r="H1212" s="9" t="s">
        <v>2979</v>
      </c>
      <c r="I1212" t="s">
        <v>3498</v>
      </c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 t="str">
        <f t="shared" si="1"/>
        <v>Built-up :</v>
      </c>
      <c r="AE1212" s="7" t="str">
        <f t="shared" si="2"/>
        <v> sq. ft.</v>
      </c>
      <c r="AF1212">
        <f>IFERROR(__xludf.DUMMYFUNCTION("VALUE(REGEXREPLACE(G1212,""[^[:digit:]]"", """"))"),2098.0)</f>
        <v>2098</v>
      </c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 t="s">
        <v>27</v>
      </c>
    </row>
    <row r="1213">
      <c r="A1213" s="7" t="s">
        <v>17</v>
      </c>
      <c r="B1213" s="7" t="s">
        <v>42</v>
      </c>
      <c r="C1213" s="7">
        <f t="shared" si="132"/>
        <v>4</v>
      </c>
      <c r="D1213" s="7">
        <v>4.0</v>
      </c>
      <c r="E1213" s="7">
        <v>2.0</v>
      </c>
      <c r="F1213" s="7" t="s">
        <v>121</v>
      </c>
      <c r="G1213" s="7" t="s">
        <v>205</v>
      </c>
      <c r="H1213" s="9" t="s">
        <v>2979</v>
      </c>
      <c r="I1213" t="s">
        <v>3052</v>
      </c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 t="str">
        <f t="shared" si="1"/>
        <v>Built-up :</v>
      </c>
      <c r="AE1213" s="7" t="str">
        <f t="shared" si="2"/>
        <v> sq. ft.</v>
      </c>
      <c r="AF1213">
        <f>IFERROR(__xludf.DUMMYFUNCTION("VALUE(REGEXREPLACE(G1213,""[^[:digit:]]"", """"))"),3282.0)</f>
        <v>3282</v>
      </c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 t="s">
        <v>27</v>
      </c>
    </row>
    <row r="1214">
      <c r="A1214" s="7" t="s">
        <v>72</v>
      </c>
      <c r="B1214" s="7" t="s">
        <v>214</v>
      </c>
      <c r="C1214" s="7">
        <f t="shared" si="132"/>
        <v>4</v>
      </c>
      <c r="D1214" s="7">
        <v>3.0</v>
      </c>
      <c r="E1214" s="7">
        <v>2.0</v>
      </c>
      <c r="F1214" s="7" t="s">
        <v>93</v>
      </c>
      <c r="G1214" s="7" t="s">
        <v>1175</v>
      </c>
      <c r="H1214" s="9" t="s">
        <v>2979</v>
      </c>
      <c r="I1214" t="s">
        <v>3560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 t="str">
        <f t="shared" si="1"/>
        <v>Built-up :</v>
      </c>
      <c r="AE1214" s="7" t="str">
        <f t="shared" si="2"/>
        <v> sq. ft.</v>
      </c>
      <c r="AF1214">
        <f>IFERROR(__xludf.DUMMYFUNCTION("VALUE(REGEXREPLACE(G1214,""[^[:digit:]]"", """"))"),1756.0)</f>
        <v>1756</v>
      </c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 t="s">
        <v>22</v>
      </c>
    </row>
    <row r="1215">
      <c r="A1215" s="7" t="s">
        <v>72</v>
      </c>
      <c r="B1215" s="7" t="s">
        <v>641</v>
      </c>
      <c r="C1215" s="7">
        <f>2</f>
        <v>2</v>
      </c>
      <c r="D1215" s="7">
        <v>1.0</v>
      </c>
      <c r="E1215" s="9">
        <v>2.0</v>
      </c>
      <c r="F1215" s="7" t="s">
        <v>83</v>
      </c>
      <c r="G1215" s="7" t="s">
        <v>392</v>
      </c>
      <c r="H1215" s="9" t="s">
        <v>2979</v>
      </c>
      <c r="I1215" t="s">
        <v>3141</v>
      </c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 t="str">
        <f t="shared" si="1"/>
        <v>Built-up :</v>
      </c>
      <c r="AE1215" s="7" t="str">
        <f t="shared" si="2"/>
        <v> sq. ft.</v>
      </c>
      <c r="AF1215">
        <f>IFERROR(__xludf.DUMMYFUNCTION("VALUE(REGEXREPLACE(G1215,""[^[:digit:]]"", """"))"),850.0)</f>
        <v>850</v>
      </c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 t="s">
        <v>22</v>
      </c>
    </row>
    <row r="1216">
      <c r="A1216" s="7" t="s">
        <v>37</v>
      </c>
      <c r="B1216" s="7" t="s">
        <v>988</v>
      </c>
      <c r="C1216" s="7">
        <f>2+1</f>
        <v>3</v>
      </c>
      <c r="D1216" s="7">
        <v>3.0</v>
      </c>
      <c r="E1216" s="7">
        <v>2.0</v>
      </c>
      <c r="F1216" s="7" t="s">
        <v>20</v>
      </c>
      <c r="G1216" s="7" t="s">
        <v>1092</v>
      </c>
      <c r="H1216" s="9" t="s">
        <v>2979</v>
      </c>
      <c r="I1216" t="s">
        <v>3500</v>
      </c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 t="str">
        <f t="shared" si="1"/>
        <v>Built-up :</v>
      </c>
      <c r="AE1216" s="7" t="str">
        <f t="shared" si="2"/>
        <v> sq. ft.</v>
      </c>
      <c r="AF1216">
        <f>IFERROR(__xludf.DUMMYFUNCTION("VALUE(REGEXREPLACE(G1216,""[^[:digit:]]"", """"))"),1445.0)</f>
        <v>1445</v>
      </c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 t="s">
        <v>22</v>
      </c>
    </row>
    <row r="1217">
      <c r="A1217" s="7" t="s">
        <v>37</v>
      </c>
      <c r="B1217" s="7" t="s">
        <v>1176</v>
      </c>
      <c r="C1217" s="7">
        <f>3+2</f>
        <v>5</v>
      </c>
      <c r="D1217" s="7">
        <v>4.0</v>
      </c>
      <c r="E1217" s="7">
        <v>2.0</v>
      </c>
      <c r="F1217" s="7" t="s">
        <v>121</v>
      </c>
      <c r="G1217" s="7" t="s">
        <v>624</v>
      </c>
      <c r="H1217" s="9" t="s">
        <v>2979</v>
      </c>
      <c r="I1217" t="s">
        <v>3254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 t="str">
        <f t="shared" si="1"/>
        <v>Built-up :</v>
      </c>
      <c r="AE1217" s="7" t="str">
        <f t="shared" si="2"/>
        <v> sq. ft.</v>
      </c>
      <c r="AF1217">
        <f>IFERROR(__xludf.DUMMYFUNCTION("VALUE(REGEXREPLACE(G1217,""[^[:digit:]]"", """"))"),2426.0)</f>
        <v>2426</v>
      </c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 t="s">
        <v>27</v>
      </c>
    </row>
    <row r="1218">
      <c r="A1218" s="7" t="s">
        <v>72</v>
      </c>
      <c r="B1218" s="7" t="s">
        <v>599</v>
      </c>
      <c r="C1218" s="7">
        <f>3+1</f>
        <v>4</v>
      </c>
      <c r="D1218" s="7">
        <v>3.0</v>
      </c>
      <c r="E1218" s="7">
        <v>2.0</v>
      </c>
      <c r="F1218" s="7" t="s">
        <v>20</v>
      </c>
      <c r="G1218" s="7" t="s">
        <v>173</v>
      </c>
      <c r="H1218" s="9" t="s">
        <v>2979</v>
      </c>
      <c r="I1218" t="s">
        <v>3038</v>
      </c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 t="str">
        <f t="shared" si="1"/>
        <v>Built-up :</v>
      </c>
      <c r="AE1218" s="7" t="str">
        <f t="shared" si="2"/>
        <v> sq. ft.</v>
      </c>
      <c r="AF1218">
        <f>IFERROR(__xludf.DUMMYFUNCTION("VALUE(REGEXREPLACE(G1218,""[^[:digit:]]"", """"))"),1550.0)</f>
        <v>1550</v>
      </c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 t="s">
        <v>22</v>
      </c>
    </row>
    <row r="1219">
      <c r="A1219" s="7" t="s">
        <v>100</v>
      </c>
      <c r="B1219" s="7" t="s">
        <v>245</v>
      </c>
      <c r="C1219" s="7">
        <f>3</f>
        <v>3</v>
      </c>
      <c r="D1219" s="7">
        <v>2.0</v>
      </c>
      <c r="E1219" s="9">
        <v>2.0</v>
      </c>
      <c r="F1219" s="7" t="s">
        <v>93</v>
      </c>
      <c r="G1219" s="7" t="s">
        <v>471</v>
      </c>
      <c r="H1219" s="9" t="s">
        <v>2979</v>
      </c>
      <c r="I1219" t="s">
        <v>3179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 t="str">
        <f t="shared" si="1"/>
        <v>Built-up :</v>
      </c>
      <c r="AE1219" s="7" t="str">
        <f t="shared" si="2"/>
        <v> sq. ft.</v>
      </c>
      <c r="AF1219">
        <f>IFERROR(__xludf.DUMMYFUNCTION("VALUE(REGEXREPLACE(G1219,""[^[:digit:]]"", """"))"),1400.0)</f>
        <v>1400</v>
      </c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 t="s">
        <v>27</v>
      </c>
    </row>
    <row r="1220">
      <c r="A1220" s="7" t="s">
        <v>72</v>
      </c>
      <c r="B1220" s="7" t="s">
        <v>1177</v>
      </c>
      <c r="C1220" s="7">
        <f>5+1</f>
        <v>6</v>
      </c>
      <c r="D1220" s="7">
        <v>5.0</v>
      </c>
      <c r="E1220" s="7">
        <v>3.0</v>
      </c>
      <c r="F1220" s="7" t="s">
        <v>83</v>
      </c>
      <c r="G1220" s="7" t="s">
        <v>987</v>
      </c>
      <c r="H1220" s="9" t="s">
        <v>2979</v>
      </c>
      <c r="I1220" t="s">
        <v>3437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 t="str">
        <f t="shared" si="1"/>
        <v>Built-up :</v>
      </c>
      <c r="AE1220" s="7" t="str">
        <f t="shared" si="2"/>
        <v> sq. ft.</v>
      </c>
      <c r="AF1220">
        <f>IFERROR(__xludf.DUMMYFUNCTION("VALUE(REGEXREPLACE(G1220,""[^[:digit:]]"", """"))"),3671.0)</f>
        <v>3671</v>
      </c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 t="s">
        <v>27</v>
      </c>
    </row>
    <row r="1221">
      <c r="A1221" s="7" t="s">
        <v>104</v>
      </c>
      <c r="B1221" s="7" t="s">
        <v>898</v>
      </c>
      <c r="C1221" s="7">
        <f>3</f>
        <v>3</v>
      </c>
      <c r="D1221" s="7">
        <v>2.0</v>
      </c>
      <c r="E1221" s="7">
        <v>1.0</v>
      </c>
      <c r="F1221" s="7" t="s">
        <v>93</v>
      </c>
      <c r="G1221" s="7" t="s">
        <v>1178</v>
      </c>
      <c r="H1221" s="9" t="s">
        <v>2979</v>
      </c>
      <c r="I1221" t="s">
        <v>3561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 t="str">
        <f t="shared" si="1"/>
        <v>Built-up :</v>
      </c>
      <c r="AE1221" s="7" t="str">
        <f t="shared" si="2"/>
        <v> sq. ft.</v>
      </c>
      <c r="AF1221">
        <f>IFERROR(__xludf.DUMMYFUNCTION("VALUE(REGEXREPLACE(G1221,""[^[:digit:]]"", """"))"),930.0)</f>
        <v>930</v>
      </c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 t="s">
        <v>27</v>
      </c>
    </row>
    <row r="1222">
      <c r="A1222" s="7" t="s">
        <v>1014</v>
      </c>
      <c r="B1222" s="7" t="s">
        <v>1015</v>
      </c>
      <c r="C1222" s="7">
        <f>4</f>
        <v>4</v>
      </c>
      <c r="D1222" s="7">
        <v>3.0</v>
      </c>
      <c r="E1222" s="9">
        <v>2.0</v>
      </c>
      <c r="F1222" s="7" t="s">
        <v>83</v>
      </c>
      <c r="G1222" s="7" t="s">
        <v>1016</v>
      </c>
      <c r="H1222" s="9" t="s">
        <v>2979</v>
      </c>
      <c r="I1222" t="s">
        <v>3457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 t="str">
        <f t="shared" si="1"/>
        <v>Built-up :</v>
      </c>
      <c r="AE1222" s="7" t="str">
        <f t="shared" si="2"/>
        <v> sq. ft.</v>
      </c>
      <c r="AF1222">
        <f>IFERROR(__xludf.DUMMYFUNCTION("VALUE(REGEXREPLACE(G1222,""[^[:digit:]]"", """"))"),1879.0)</f>
        <v>1879</v>
      </c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 t="s">
        <v>27</v>
      </c>
    </row>
    <row r="1223">
      <c r="A1223" s="7" t="s">
        <v>72</v>
      </c>
      <c r="B1223" s="7" t="s">
        <v>1021</v>
      </c>
      <c r="C1223" s="7">
        <f t="shared" ref="C1223:C1224" si="133">5</f>
        <v>5</v>
      </c>
      <c r="D1223" s="7">
        <v>4.0</v>
      </c>
      <c r="E1223" s="9">
        <v>2.0</v>
      </c>
      <c r="F1223" s="7" t="s">
        <v>83</v>
      </c>
      <c r="G1223" s="7" t="s">
        <v>989</v>
      </c>
      <c r="H1223" s="9" t="s">
        <v>2979</v>
      </c>
      <c r="I1223" t="s">
        <v>3438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 t="str">
        <f t="shared" si="1"/>
        <v>Built-up :</v>
      </c>
      <c r="AE1223" s="7" t="str">
        <f t="shared" si="2"/>
        <v> sq. ft.</v>
      </c>
      <c r="AF1223">
        <f>IFERROR(__xludf.DUMMYFUNCTION("VALUE(REGEXREPLACE(G1223,""[^[:digit:]]"", """"))"),3729.0)</f>
        <v>3729</v>
      </c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 t="s">
        <v>27</v>
      </c>
    </row>
    <row r="1224">
      <c r="A1224" s="7" t="s">
        <v>17</v>
      </c>
      <c r="B1224" s="7" t="s">
        <v>613</v>
      </c>
      <c r="C1224" s="7">
        <f t="shared" si="133"/>
        <v>5</v>
      </c>
      <c r="D1224" s="7">
        <v>4.0</v>
      </c>
      <c r="E1224" s="9">
        <v>2.0</v>
      </c>
      <c r="F1224" s="7" t="s">
        <v>83</v>
      </c>
      <c r="G1224" s="7" t="s">
        <v>1013</v>
      </c>
      <c r="H1224" s="9" t="s">
        <v>2979</v>
      </c>
      <c r="I1224" t="s">
        <v>3456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 t="str">
        <f t="shared" si="1"/>
        <v>Built-up :</v>
      </c>
      <c r="AE1224" s="7" t="str">
        <f t="shared" si="2"/>
        <v> sq. ft.</v>
      </c>
      <c r="AF1224">
        <f>IFERROR(__xludf.DUMMYFUNCTION("VALUE(REGEXREPLACE(G1224,""[^[:digit:]]"", """"))"),3412.0)</f>
        <v>3412</v>
      </c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 t="s">
        <v>27</v>
      </c>
    </row>
    <row r="1225">
      <c r="A1225" s="7" t="s">
        <v>17</v>
      </c>
      <c r="B1225" s="7" t="s">
        <v>1179</v>
      </c>
      <c r="C1225" s="7">
        <f>4</f>
        <v>4</v>
      </c>
      <c r="D1225" s="7">
        <v>3.0</v>
      </c>
      <c r="E1225" s="9">
        <v>2.0</v>
      </c>
      <c r="F1225" s="7" t="s">
        <v>83</v>
      </c>
      <c r="G1225" s="7" t="s">
        <v>150</v>
      </c>
      <c r="H1225" s="9" t="s">
        <v>2979</v>
      </c>
      <c r="I1225" t="s">
        <v>3028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 t="str">
        <f t="shared" si="1"/>
        <v>Built-up :</v>
      </c>
      <c r="AE1225" s="7" t="str">
        <f t="shared" si="2"/>
        <v> sq. ft.</v>
      </c>
      <c r="AF1225">
        <f>IFERROR(__xludf.DUMMYFUNCTION("VALUE(REGEXREPLACE(G1225,""[^[:digit:]]"", """"))"),2250.0)</f>
        <v>2250</v>
      </c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 t="s">
        <v>27</v>
      </c>
    </row>
    <row r="1226">
      <c r="A1226" s="7" t="s">
        <v>104</v>
      </c>
      <c r="B1226" s="7" t="s">
        <v>327</v>
      </c>
      <c r="C1226" s="7">
        <f>5</f>
        <v>5</v>
      </c>
      <c r="D1226" s="7">
        <v>6.0</v>
      </c>
      <c r="E1226" s="7">
        <v>5.0</v>
      </c>
      <c r="F1226" s="7" t="s">
        <v>203</v>
      </c>
      <c r="G1226" s="7" t="s">
        <v>283</v>
      </c>
      <c r="H1226" s="9" t="s">
        <v>2981</v>
      </c>
      <c r="I1226" t="s">
        <v>3091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 t="s">
        <v>2990</v>
      </c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 t="str">
        <f t="shared" si="1"/>
        <v>Land area </v>
      </c>
      <c r="AE1226" s="7" t="str">
        <f t="shared" si="2"/>
        <v> sq. ft.</v>
      </c>
      <c r="AF1226">
        <f>IFERROR(__xludf.DUMMYFUNCTION("VALUE(REGEXREPLACE(G1226,""[^[:digit:]]"", """"))"),2275.0)</f>
        <v>2275</v>
      </c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 t="s">
        <v>27</v>
      </c>
    </row>
    <row r="1227">
      <c r="A1227" s="7" t="s">
        <v>17</v>
      </c>
      <c r="B1227" s="7" t="s">
        <v>1180</v>
      </c>
      <c r="C1227" s="7">
        <f>5+1</f>
        <v>6</v>
      </c>
      <c r="D1227" s="7">
        <v>5.0</v>
      </c>
      <c r="E1227" s="9">
        <v>2.0</v>
      </c>
      <c r="F1227" s="7" t="s">
        <v>20</v>
      </c>
      <c r="G1227" s="7" t="s">
        <v>1181</v>
      </c>
      <c r="H1227" s="9" t="s">
        <v>2979</v>
      </c>
      <c r="I1227" t="s">
        <v>3562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 t="str">
        <f t="shared" si="1"/>
        <v>Built-up :</v>
      </c>
      <c r="AE1227" s="7" t="str">
        <f t="shared" si="2"/>
        <v> sq. ft.</v>
      </c>
      <c r="AF1227">
        <f>IFERROR(__xludf.DUMMYFUNCTION("VALUE(REGEXREPLACE(G1227,""[^[:digit:]]"", """"))"),5429.0)</f>
        <v>5429</v>
      </c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 t="s">
        <v>27</v>
      </c>
    </row>
    <row r="1228">
      <c r="A1228" s="7" t="s">
        <v>17</v>
      </c>
      <c r="B1228" s="7" t="s">
        <v>130</v>
      </c>
      <c r="C1228" s="7">
        <f>4+1</f>
        <v>5</v>
      </c>
      <c r="D1228" s="7">
        <v>4.0</v>
      </c>
      <c r="E1228" s="9">
        <v>2.0</v>
      </c>
      <c r="F1228" s="7" t="s">
        <v>83</v>
      </c>
      <c r="G1228" s="7" t="s">
        <v>1174</v>
      </c>
      <c r="H1228" s="9" t="s">
        <v>2979</v>
      </c>
      <c r="I1228" t="s">
        <v>3559</v>
      </c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 t="str">
        <f t="shared" si="1"/>
        <v>Built-up :</v>
      </c>
      <c r="AE1228" s="7" t="str">
        <f t="shared" si="2"/>
        <v> sq. ft.</v>
      </c>
      <c r="AF1228">
        <f>IFERROR(__xludf.DUMMYFUNCTION("VALUE(REGEXREPLACE(G1228,""[^[:digit:]]"", """"))"),3800.0)</f>
        <v>3800</v>
      </c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 t="s">
        <v>27</v>
      </c>
    </row>
    <row r="1229">
      <c r="A1229" s="7" t="s">
        <v>17</v>
      </c>
      <c r="B1229" s="7" t="s">
        <v>1180</v>
      </c>
      <c r="C1229" s="7">
        <f>5+1</f>
        <v>6</v>
      </c>
      <c r="D1229" s="7">
        <v>5.0</v>
      </c>
      <c r="E1229" s="9">
        <v>2.0</v>
      </c>
      <c r="F1229" s="7" t="s">
        <v>20</v>
      </c>
      <c r="G1229" s="7" t="s">
        <v>1182</v>
      </c>
      <c r="H1229" s="9" t="s">
        <v>2979</v>
      </c>
      <c r="I1229" t="s">
        <v>3563</v>
      </c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 t="str">
        <f t="shared" si="1"/>
        <v>Built-up :</v>
      </c>
      <c r="AE1229" s="7" t="str">
        <f t="shared" si="2"/>
        <v> sq. ft.</v>
      </c>
      <c r="AF1229">
        <f>IFERROR(__xludf.DUMMYFUNCTION("VALUE(REGEXREPLACE(G1229,""[^[:digit:]]"", """"))"),5421.0)</f>
        <v>5421</v>
      </c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 t="s">
        <v>103</v>
      </c>
    </row>
    <row r="1230">
      <c r="A1230" s="7" t="s">
        <v>17</v>
      </c>
      <c r="B1230" s="7" t="s">
        <v>759</v>
      </c>
      <c r="C1230" s="7" t="s">
        <v>325</v>
      </c>
      <c r="D1230" s="7">
        <v>1.0</v>
      </c>
      <c r="E1230" s="9">
        <v>2.0</v>
      </c>
      <c r="F1230" s="7" t="s">
        <v>20</v>
      </c>
      <c r="G1230" s="7" t="s">
        <v>1183</v>
      </c>
      <c r="H1230" s="9" t="s">
        <v>2979</v>
      </c>
      <c r="I1230" t="s">
        <v>3564</v>
      </c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 t="str">
        <f t="shared" si="1"/>
        <v>Built-up :</v>
      </c>
      <c r="AE1230" s="7" t="str">
        <f t="shared" si="2"/>
        <v> sq. ft.</v>
      </c>
      <c r="AF1230">
        <f>IFERROR(__xludf.DUMMYFUNCTION("VALUE(REGEXREPLACE(G1230,""[^[:digit:]]"", """"))"),453.0)</f>
        <v>453</v>
      </c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</row>
    <row r="1231">
      <c r="A1231" s="7" t="s">
        <v>17</v>
      </c>
      <c r="B1231" s="7" t="s">
        <v>165</v>
      </c>
      <c r="C1231" s="7">
        <f>4+1</f>
        <v>5</v>
      </c>
      <c r="D1231" s="7">
        <v>4.0</v>
      </c>
      <c r="E1231" s="7">
        <v>3.0</v>
      </c>
      <c r="F1231" s="7" t="s">
        <v>83</v>
      </c>
      <c r="G1231" s="7" t="s">
        <v>1174</v>
      </c>
      <c r="H1231" s="9" t="s">
        <v>2979</v>
      </c>
      <c r="I1231" t="s">
        <v>3559</v>
      </c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 t="str">
        <f t="shared" si="1"/>
        <v>Built-up :</v>
      </c>
      <c r="AE1231" s="7" t="str">
        <f t="shared" si="2"/>
        <v> sq. ft.</v>
      </c>
      <c r="AF1231">
        <f>IFERROR(__xludf.DUMMYFUNCTION("VALUE(REGEXREPLACE(G1231,""[^[:digit:]]"", """"))"),3800.0)</f>
        <v>3800</v>
      </c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 t="s">
        <v>27</v>
      </c>
    </row>
    <row r="1232">
      <c r="A1232" s="7" t="s">
        <v>17</v>
      </c>
      <c r="B1232" s="7" t="s">
        <v>475</v>
      </c>
      <c r="C1232" s="7">
        <f>3+1</f>
        <v>4</v>
      </c>
      <c r="D1232" s="7">
        <v>4.0</v>
      </c>
      <c r="E1232" s="7">
        <v>3.0</v>
      </c>
      <c r="F1232" s="7" t="s">
        <v>20</v>
      </c>
      <c r="G1232" s="7" t="s">
        <v>1009</v>
      </c>
      <c r="H1232" s="9" t="s">
        <v>2979</v>
      </c>
      <c r="I1232" t="s">
        <v>3453</v>
      </c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 t="str">
        <f t="shared" si="1"/>
        <v>Built-up :</v>
      </c>
      <c r="AE1232" s="7" t="str">
        <f t="shared" si="2"/>
        <v> sq. ft.</v>
      </c>
      <c r="AF1232">
        <f>IFERROR(__xludf.DUMMYFUNCTION("VALUE(REGEXREPLACE(G1232,""[^[:digit:]]"", """"))"),3303.0)</f>
        <v>3303</v>
      </c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 t="s">
        <v>27</v>
      </c>
    </row>
    <row r="1233">
      <c r="A1233" s="7" t="s">
        <v>17</v>
      </c>
      <c r="B1233" s="7" t="s">
        <v>156</v>
      </c>
      <c r="C1233" s="7">
        <f>1+1</f>
        <v>2</v>
      </c>
      <c r="D1233" s="7">
        <v>1.0</v>
      </c>
      <c r="E1233" s="7">
        <v>1.0</v>
      </c>
      <c r="F1233" s="7" t="s">
        <v>20</v>
      </c>
      <c r="G1233" s="7" t="s">
        <v>1184</v>
      </c>
      <c r="H1233" s="9" t="s">
        <v>2979</v>
      </c>
      <c r="I1233" t="s">
        <v>3565</v>
      </c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 t="str">
        <f t="shared" si="1"/>
        <v>Built-up :</v>
      </c>
      <c r="AE1233" s="7" t="str">
        <f t="shared" si="2"/>
        <v> sq. ft.</v>
      </c>
      <c r="AF1233">
        <f>IFERROR(__xludf.DUMMYFUNCTION("VALUE(REGEXREPLACE(G1233,""[^[:digit:]]"", """"))"),608.0)</f>
        <v>608</v>
      </c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 t="s">
        <v>22</v>
      </c>
    </row>
    <row r="1234">
      <c r="A1234" s="7" t="s">
        <v>17</v>
      </c>
      <c r="B1234" s="7" t="s">
        <v>229</v>
      </c>
      <c r="C1234" s="7">
        <f>2+1</f>
        <v>3</v>
      </c>
      <c r="D1234" s="7">
        <v>2.0</v>
      </c>
      <c r="E1234" s="9">
        <v>2.0</v>
      </c>
      <c r="F1234" s="7" t="s">
        <v>20</v>
      </c>
      <c r="G1234" s="7" t="s">
        <v>650</v>
      </c>
      <c r="H1234" s="9" t="s">
        <v>2979</v>
      </c>
      <c r="I1234" t="s">
        <v>3265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 t="str">
        <f t="shared" si="1"/>
        <v>Built-up :</v>
      </c>
      <c r="AE1234" s="7" t="str">
        <f t="shared" si="2"/>
        <v> sq. ft.</v>
      </c>
      <c r="AF1234">
        <f>IFERROR(__xludf.DUMMYFUNCTION("VALUE(REGEXREPLACE(G1234,""[^[:digit:]]"", """"))"),813.0)</f>
        <v>813</v>
      </c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 t="s">
        <v>22</v>
      </c>
    </row>
    <row r="1235">
      <c r="A1235" s="7" t="s">
        <v>104</v>
      </c>
      <c r="B1235" s="7" t="s">
        <v>536</v>
      </c>
      <c r="C1235" s="7">
        <f>3</f>
        <v>3</v>
      </c>
      <c r="D1235" s="7">
        <v>2.0</v>
      </c>
      <c r="E1235" s="9">
        <v>2.0</v>
      </c>
      <c r="F1235" s="7" t="s">
        <v>1185</v>
      </c>
      <c r="G1235" s="7" t="s">
        <v>1186</v>
      </c>
      <c r="H1235" s="9" t="s">
        <v>2981</v>
      </c>
      <c r="I1235" t="s">
        <v>3518</v>
      </c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 t="str">
        <f t="shared" si="1"/>
        <v>Land area </v>
      </c>
      <c r="AE1235" s="7" t="str">
        <f t="shared" si="2"/>
        <v> sq. ft.</v>
      </c>
      <c r="AF1235">
        <f>IFERROR(__xludf.DUMMYFUNCTION("VALUE(REGEXREPLACE(G1235,""[^[:digit:]]"", """"))"),2270.0)</f>
        <v>2270</v>
      </c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</row>
    <row r="1236">
      <c r="A1236" s="7" t="s">
        <v>177</v>
      </c>
      <c r="B1236" s="7" t="s">
        <v>361</v>
      </c>
      <c r="C1236" s="7">
        <f>1+1</f>
        <v>2</v>
      </c>
      <c r="D1236" s="7">
        <v>1.0</v>
      </c>
      <c r="E1236" s="7">
        <v>1.0</v>
      </c>
      <c r="F1236" s="7" t="s">
        <v>83</v>
      </c>
      <c r="G1236" s="7" t="s">
        <v>961</v>
      </c>
      <c r="H1236" s="9" t="s">
        <v>2979</v>
      </c>
      <c r="I1236" t="s">
        <v>3428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 t="str">
        <f t="shared" si="1"/>
        <v>Built-up :</v>
      </c>
      <c r="AE1236" s="7" t="str">
        <f t="shared" si="2"/>
        <v> sq. ft.</v>
      </c>
      <c r="AF1236">
        <f>IFERROR(__xludf.DUMMYFUNCTION("VALUE(REGEXREPLACE(G1236,""[^[:digit:]]"", """"))"),600.0)</f>
        <v>600</v>
      </c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 t="s">
        <v>22</v>
      </c>
    </row>
    <row r="1237">
      <c r="A1237" s="7" t="s">
        <v>188</v>
      </c>
      <c r="B1237" s="7" t="s">
        <v>1187</v>
      </c>
      <c r="C1237" s="7">
        <f>1</f>
        <v>1</v>
      </c>
      <c r="D1237" s="7">
        <v>1.0</v>
      </c>
      <c r="E1237" s="9">
        <v>2.0</v>
      </c>
      <c r="F1237" s="7" t="s">
        <v>20</v>
      </c>
      <c r="G1237" s="7" t="s">
        <v>978</v>
      </c>
      <c r="H1237" s="9" t="s">
        <v>2979</v>
      </c>
      <c r="I1237" t="s">
        <v>3433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 t="str">
        <f t="shared" si="1"/>
        <v>Built-up :</v>
      </c>
      <c r="AE1237" s="7" t="str">
        <f t="shared" si="2"/>
        <v> sq. ft.</v>
      </c>
      <c r="AF1237">
        <f>IFERROR(__xludf.DUMMYFUNCTION("VALUE(REGEXREPLACE(G1237,""[^[:digit:]]"", """"))"),667.0)</f>
        <v>667</v>
      </c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 t="s">
        <v>22</v>
      </c>
    </row>
    <row r="1238">
      <c r="A1238" s="7" t="s">
        <v>267</v>
      </c>
      <c r="B1238" s="7" t="s">
        <v>715</v>
      </c>
      <c r="C1238" s="7">
        <f>3</f>
        <v>3</v>
      </c>
      <c r="D1238" s="7">
        <v>2.0</v>
      </c>
      <c r="E1238" s="7">
        <v>1.0</v>
      </c>
      <c r="F1238" s="7" t="s">
        <v>83</v>
      </c>
      <c r="G1238" s="7" t="s">
        <v>135</v>
      </c>
      <c r="H1238" s="9" t="s">
        <v>2979</v>
      </c>
      <c r="I1238" t="s">
        <v>3023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 t="str">
        <f t="shared" si="1"/>
        <v>Built-up :</v>
      </c>
      <c r="AE1238" s="7" t="str">
        <f t="shared" si="2"/>
        <v> sq. ft.</v>
      </c>
      <c r="AF1238">
        <f>IFERROR(__xludf.DUMMYFUNCTION("VALUE(REGEXREPLACE(G1238,""[^[:digit:]]"", """"))"),1200.0)</f>
        <v>1200</v>
      </c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 t="s">
        <v>22</v>
      </c>
    </row>
    <row r="1239">
      <c r="A1239" s="7" t="s">
        <v>188</v>
      </c>
      <c r="B1239" s="7" t="s">
        <v>229</v>
      </c>
      <c r="C1239" s="7">
        <f>2</f>
        <v>2</v>
      </c>
      <c r="D1239" s="7">
        <v>1.0</v>
      </c>
      <c r="E1239" s="9">
        <v>2.0</v>
      </c>
      <c r="F1239" s="7" t="s">
        <v>20</v>
      </c>
      <c r="G1239" s="7" t="s">
        <v>1188</v>
      </c>
      <c r="H1239" s="9" t="s">
        <v>2979</v>
      </c>
      <c r="I1239" t="s">
        <v>3566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 t="str">
        <f t="shared" si="1"/>
        <v>Built-up :</v>
      </c>
      <c r="AE1239" s="7" t="str">
        <f t="shared" si="2"/>
        <v> sq. ft.</v>
      </c>
      <c r="AF1239">
        <f>IFERROR(__xludf.DUMMYFUNCTION("VALUE(REGEXREPLACE(G1239,""[^[:digit:]]"", """"))"),1067.0)</f>
        <v>1067</v>
      </c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 t="s">
        <v>22</v>
      </c>
    </row>
    <row r="1240">
      <c r="A1240" s="7" t="s">
        <v>358</v>
      </c>
      <c r="B1240" s="7" t="s">
        <v>284</v>
      </c>
      <c r="C1240" s="7">
        <f>4</f>
        <v>4</v>
      </c>
      <c r="D1240" s="7">
        <v>3.0</v>
      </c>
      <c r="E1240" s="9">
        <v>2.0</v>
      </c>
      <c r="F1240" s="7" t="s">
        <v>169</v>
      </c>
      <c r="G1240" s="7" t="s">
        <v>1189</v>
      </c>
      <c r="H1240" s="9" t="s">
        <v>2981</v>
      </c>
      <c r="I1240" t="s">
        <v>3518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 t="s">
        <v>3567</v>
      </c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 t="str">
        <f t="shared" si="1"/>
        <v>Land area </v>
      </c>
      <c r="AE1240" s="7" t="str">
        <f t="shared" si="2"/>
        <v> sq. ft.</v>
      </c>
      <c r="AF1240">
        <f>IFERROR(__xludf.DUMMYFUNCTION("VALUE(REGEXREPLACE(G1240,""[^[:digit:]]"", """"))"),2270.0)</f>
        <v>2270</v>
      </c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</row>
    <row r="1241">
      <c r="A1241" s="7" t="s">
        <v>33</v>
      </c>
      <c r="B1241" s="7" t="s">
        <v>346</v>
      </c>
      <c r="C1241" s="7">
        <f>3</f>
        <v>3</v>
      </c>
      <c r="D1241" s="7">
        <v>2.0</v>
      </c>
      <c r="E1241" s="7">
        <v>2.0</v>
      </c>
      <c r="F1241" s="7" t="s">
        <v>30</v>
      </c>
      <c r="G1241" s="7" t="s">
        <v>324</v>
      </c>
      <c r="H1241" s="9" t="s">
        <v>2979</v>
      </c>
      <c r="I1241" t="s">
        <v>3109</v>
      </c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 t="str">
        <f t="shared" si="1"/>
        <v>Built-up :</v>
      </c>
      <c r="AE1241" s="7" t="str">
        <f t="shared" si="2"/>
        <v> sq. ft.</v>
      </c>
      <c r="AF1241">
        <f>IFERROR(__xludf.DUMMYFUNCTION("VALUE(REGEXREPLACE(G1241,""[^[:digit:]]"", """"))"),1090.0)</f>
        <v>1090</v>
      </c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 t="s">
        <v>27</v>
      </c>
    </row>
    <row r="1242">
      <c r="A1242" s="7" t="s">
        <v>17</v>
      </c>
      <c r="B1242" s="7" t="s">
        <v>257</v>
      </c>
      <c r="C1242" s="7">
        <f>4+1</f>
        <v>5</v>
      </c>
      <c r="D1242" s="7">
        <v>5.0</v>
      </c>
      <c r="E1242" s="7">
        <v>3.0</v>
      </c>
      <c r="F1242" s="7" t="s">
        <v>96</v>
      </c>
      <c r="G1242" s="7" t="s">
        <v>1085</v>
      </c>
      <c r="H1242" s="9" t="s">
        <v>2979</v>
      </c>
      <c r="I1242" t="s">
        <v>3495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 t="str">
        <f t="shared" si="1"/>
        <v>Built-up :</v>
      </c>
      <c r="AE1242" s="7" t="str">
        <f t="shared" si="2"/>
        <v> sq. ft.</v>
      </c>
      <c r="AF1242">
        <f>IFERROR(__xludf.DUMMYFUNCTION("VALUE(REGEXREPLACE(G1242,""[^[:digit:]]"", """"))"),2900.0)</f>
        <v>2900</v>
      </c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 t="s">
        <v>22</v>
      </c>
    </row>
    <row r="1243">
      <c r="A1243" s="7" t="s">
        <v>100</v>
      </c>
      <c r="B1243" s="7" t="s">
        <v>206</v>
      </c>
      <c r="C1243" s="7">
        <f>3+1</f>
        <v>4</v>
      </c>
      <c r="D1243" s="7">
        <v>4.0</v>
      </c>
      <c r="E1243" s="9">
        <v>2.0</v>
      </c>
      <c r="F1243" s="7" t="s">
        <v>93</v>
      </c>
      <c r="G1243" s="7" t="s">
        <v>1190</v>
      </c>
      <c r="H1243" s="9" t="s">
        <v>2979</v>
      </c>
      <c r="I1243" t="s">
        <v>3568</v>
      </c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 t="str">
        <f t="shared" si="1"/>
        <v>Built-up :</v>
      </c>
      <c r="AE1243" s="7" t="str">
        <f t="shared" si="2"/>
        <v> sq. ft.</v>
      </c>
      <c r="AF1243">
        <f>IFERROR(__xludf.DUMMYFUNCTION("VALUE(REGEXREPLACE(G1243,""[^[:digit:]]"", """"))"),1710.0)</f>
        <v>1710</v>
      </c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 t="s">
        <v>22</v>
      </c>
    </row>
    <row r="1244">
      <c r="A1244" s="7" t="s">
        <v>177</v>
      </c>
      <c r="B1244" s="7" t="s">
        <v>1191</v>
      </c>
      <c r="C1244" s="7">
        <f>2</f>
        <v>2</v>
      </c>
      <c r="D1244" s="7">
        <v>1.0</v>
      </c>
      <c r="E1244" s="7">
        <v>1.0</v>
      </c>
      <c r="F1244" s="7" t="s">
        <v>121</v>
      </c>
      <c r="G1244" s="7" t="s">
        <v>1192</v>
      </c>
      <c r="H1244" s="9" t="s">
        <v>2979</v>
      </c>
      <c r="I1244" t="s">
        <v>3569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 t="str">
        <f t="shared" si="1"/>
        <v>Built-up :</v>
      </c>
      <c r="AE1244" s="7" t="str">
        <f t="shared" si="2"/>
        <v> sq. ft.</v>
      </c>
      <c r="AF1244">
        <f>IFERROR(__xludf.DUMMYFUNCTION("VALUE(REGEXREPLACE(G1244,""[^[:digit:]]"", """"))"),1223.0)</f>
        <v>1223</v>
      </c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 t="s">
        <v>22</v>
      </c>
    </row>
    <row r="1245">
      <c r="A1245" s="7" t="s">
        <v>33</v>
      </c>
      <c r="B1245" s="7" t="s">
        <v>472</v>
      </c>
      <c r="C1245" s="7">
        <f t="shared" ref="C1245:C1246" si="134">5</f>
        <v>5</v>
      </c>
      <c r="D1245" s="7">
        <v>4.0</v>
      </c>
      <c r="E1245" s="7">
        <v>2.0</v>
      </c>
      <c r="F1245" s="7" t="s">
        <v>203</v>
      </c>
      <c r="G1245" s="7" t="s">
        <v>1193</v>
      </c>
      <c r="H1245" s="9" t="s">
        <v>2981</v>
      </c>
      <c r="I1245" t="s">
        <v>3570</v>
      </c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 t="str">
        <f t="shared" si="1"/>
        <v>Land area </v>
      </c>
      <c r="AE1245" s="7" t="str">
        <f t="shared" si="2"/>
        <v> sq. ft.</v>
      </c>
      <c r="AF1245">
        <f>IFERROR(__xludf.DUMMYFUNCTION("VALUE(REGEXREPLACE(G1245,""[^[:digit:]]"", """"))"),1840.0)</f>
        <v>1840</v>
      </c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 t="s">
        <v>22</v>
      </c>
    </row>
    <row r="1246">
      <c r="A1246" s="7" t="s">
        <v>33</v>
      </c>
      <c r="B1246" s="7" t="s">
        <v>399</v>
      </c>
      <c r="C1246" s="7">
        <f t="shared" si="134"/>
        <v>5</v>
      </c>
      <c r="D1246" s="7">
        <v>4.0</v>
      </c>
      <c r="E1246" s="9">
        <v>2.0</v>
      </c>
      <c r="F1246" s="7" t="s">
        <v>203</v>
      </c>
      <c r="G1246" s="7" t="s">
        <v>1194</v>
      </c>
      <c r="H1246" s="9" t="s">
        <v>2981</v>
      </c>
      <c r="I1246" t="s">
        <v>3571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 t="str">
        <f t="shared" si="1"/>
        <v>Land area </v>
      </c>
      <c r="AE1246" s="7" t="str">
        <f t="shared" si="2"/>
        <v> sq. ft.</v>
      </c>
      <c r="AF1246">
        <f>IFERROR(__xludf.DUMMYFUNCTION("VALUE(REGEXREPLACE(G1246,""[^[:digit:]]"", """"))"),2160.0)</f>
        <v>2160</v>
      </c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 t="s">
        <v>27</v>
      </c>
    </row>
    <row r="1247">
      <c r="A1247" s="7" t="s">
        <v>100</v>
      </c>
      <c r="B1247" s="7" t="s">
        <v>245</v>
      </c>
      <c r="C1247" s="7">
        <f>3+1</f>
        <v>4</v>
      </c>
      <c r="D1247" s="7">
        <v>2.0</v>
      </c>
      <c r="E1247" s="7">
        <v>4.0</v>
      </c>
      <c r="F1247" s="7" t="s">
        <v>54</v>
      </c>
      <c r="G1247" s="7" t="s">
        <v>1195</v>
      </c>
      <c r="H1247" s="9" t="s">
        <v>2981</v>
      </c>
      <c r="I1247" t="s">
        <v>3020</v>
      </c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 t="str">
        <f t="shared" si="1"/>
        <v>Land area </v>
      </c>
      <c r="AE1247" s="7" t="str">
        <f t="shared" si="2"/>
        <v> sq. ft.</v>
      </c>
      <c r="AF1247">
        <f>IFERROR(__xludf.DUMMYFUNCTION("VALUE(REGEXREPLACE(G1247,""[^[:digit:]]"", """"))"),1600.0)</f>
        <v>1600</v>
      </c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 t="s">
        <v>103</v>
      </c>
    </row>
    <row r="1248">
      <c r="A1248" s="7" t="s">
        <v>33</v>
      </c>
      <c r="B1248" s="7" t="s">
        <v>967</v>
      </c>
      <c r="C1248" s="7">
        <f t="shared" ref="C1248:C1249" si="135">3</f>
        <v>3</v>
      </c>
      <c r="D1248" s="7">
        <v>2.0</v>
      </c>
      <c r="E1248" s="9">
        <v>2.0</v>
      </c>
      <c r="F1248" s="7" t="s">
        <v>93</v>
      </c>
      <c r="G1248" s="7" t="s">
        <v>1196</v>
      </c>
      <c r="H1248" s="9" t="s">
        <v>2979</v>
      </c>
      <c r="I1248" t="s">
        <v>3572</v>
      </c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 t="str">
        <f t="shared" si="1"/>
        <v>Built-up :</v>
      </c>
      <c r="AE1248" s="7" t="str">
        <f t="shared" si="2"/>
        <v> sq. ft.</v>
      </c>
      <c r="AF1248">
        <f>IFERROR(__xludf.DUMMYFUNCTION("VALUE(REGEXREPLACE(G1248,""[^[:digit:]]"", """"))"),1212.0)</f>
        <v>1212</v>
      </c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 t="s">
        <v>22</v>
      </c>
    </row>
    <row r="1249">
      <c r="A1249" s="7" t="s">
        <v>177</v>
      </c>
      <c r="B1249" s="7" t="s">
        <v>327</v>
      </c>
      <c r="C1249" s="7">
        <f t="shared" si="135"/>
        <v>3</v>
      </c>
      <c r="D1249" s="7">
        <v>2.0</v>
      </c>
      <c r="E1249" s="9">
        <v>2.0</v>
      </c>
      <c r="F1249" s="7" t="s">
        <v>343</v>
      </c>
      <c r="G1249" s="7" t="s">
        <v>1197</v>
      </c>
      <c r="H1249" s="9" t="s">
        <v>2981</v>
      </c>
      <c r="I1249" t="s">
        <v>3037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 t="str">
        <f t="shared" si="1"/>
        <v>Land area </v>
      </c>
      <c r="AE1249" s="7" t="str">
        <f t="shared" si="2"/>
        <v> sq. ft.</v>
      </c>
      <c r="AF1249">
        <f>IFERROR(__xludf.DUMMYFUNCTION("VALUE(REGEXREPLACE(G1249,""[^[:digit:]]"", """"))"),1800.0)</f>
        <v>1800</v>
      </c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 t="s">
        <v>103</v>
      </c>
    </row>
    <row r="1250">
      <c r="A1250" s="7" t="s">
        <v>371</v>
      </c>
      <c r="B1250" s="7" t="s">
        <v>984</v>
      </c>
      <c r="C1250" s="7">
        <f>3+1</f>
        <v>4</v>
      </c>
      <c r="D1250" s="7">
        <v>4.0</v>
      </c>
      <c r="E1250" s="7">
        <v>2.0</v>
      </c>
      <c r="F1250" s="7" t="s">
        <v>30</v>
      </c>
      <c r="G1250" s="7" t="s">
        <v>1198</v>
      </c>
      <c r="H1250" s="9" t="s">
        <v>2979</v>
      </c>
      <c r="I1250" t="s">
        <v>3573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 t="str">
        <f t="shared" si="1"/>
        <v>Built-up :</v>
      </c>
      <c r="AE1250" s="7" t="str">
        <f t="shared" si="2"/>
        <v> sq. ft.</v>
      </c>
      <c r="AF1250">
        <f>IFERROR(__xludf.DUMMYFUNCTION("VALUE(REGEXREPLACE(G1250,""[^[:digit:]]"", """"))"),1712.0)</f>
        <v>1712</v>
      </c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 t="s">
        <v>27</v>
      </c>
    </row>
    <row r="1251">
      <c r="A1251" s="7" t="s">
        <v>371</v>
      </c>
      <c r="B1251" s="7" t="s">
        <v>1166</v>
      </c>
      <c r="C1251" s="7">
        <f>3</f>
        <v>3</v>
      </c>
      <c r="D1251" s="7">
        <v>2.0</v>
      </c>
      <c r="E1251" s="7">
        <v>2.0</v>
      </c>
      <c r="F1251" s="7" t="s">
        <v>30</v>
      </c>
      <c r="G1251" s="7" t="s">
        <v>1167</v>
      </c>
      <c r="H1251" s="9" t="s">
        <v>2979</v>
      </c>
      <c r="I1251" t="s">
        <v>3552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 t="str">
        <f t="shared" si="1"/>
        <v>Built-up :</v>
      </c>
      <c r="AE1251" s="7" t="str">
        <f t="shared" si="2"/>
        <v> sq. ft.</v>
      </c>
      <c r="AF1251">
        <f>IFERROR(__xludf.DUMMYFUNCTION("VALUE(REGEXREPLACE(G1251,""[^[:digit:]]"", """"))"),1382.0)</f>
        <v>1382</v>
      </c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 t="s">
        <v>27</v>
      </c>
    </row>
    <row r="1252">
      <c r="A1252" s="7" t="s">
        <v>33</v>
      </c>
      <c r="B1252" s="7" t="s">
        <v>1199</v>
      </c>
      <c r="C1252" s="7">
        <f>4+1</f>
        <v>5</v>
      </c>
      <c r="D1252" s="7">
        <v>3.0</v>
      </c>
      <c r="E1252" s="9">
        <v>2.0</v>
      </c>
      <c r="F1252" s="7" t="s">
        <v>83</v>
      </c>
      <c r="G1252" s="7" t="s">
        <v>36</v>
      </c>
      <c r="H1252" s="9" t="s">
        <v>2979</v>
      </c>
      <c r="I1252" t="s">
        <v>2986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 t="str">
        <f t="shared" si="1"/>
        <v>Built-up :</v>
      </c>
      <c r="AE1252" s="7" t="str">
        <f t="shared" si="2"/>
        <v> sq. ft.</v>
      </c>
      <c r="AF1252">
        <f>IFERROR(__xludf.DUMMYFUNCTION("VALUE(REGEXREPLACE(G1252,""[^[:digit:]]"", """"))"),1513.0)</f>
        <v>1513</v>
      </c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 t="s">
        <v>251</v>
      </c>
    </row>
    <row r="1253">
      <c r="A1253" s="7" t="s">
        <v>104</v>
      </c>
      <c r="B1253" s="7" t="s">
        <v>1200</v>
      </c>
      <c r="C1253" s="7">
        <f>4</f>
        <v>4</v>
      </c>
      <c r="D1253" s="7">
        <v>2.0</v>
      </c>
      <c r="E1253" s="9">
        <v>2.0</v>
      </c>
      <c r="F1253" s="7" t="s">
        <v>343</v>
      </c>
      <c r="G1253" s="7" t="s">
        <v>1201</v>
      </c>
      <c r="H1253" s="9" t="s">
        <v>2981</v>
      </c>
      <c r="I1253" t="s">
        <v>3299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 t="str">
        <f t="shared" si="1"/>
        <v>Land area </v>
      </c>
      <c r="AE1253" s="7" t="str">
        <f t="shared" si="2"/>
        <v> sq. ft.</v>
      </c>
      <c r="AF1253">
        <f>IFERROR(__xludf.DUMMYFUNCTION("VALUE(REGEXREPLACE(G1253,""[^[:digit:]]"", """"))"),2285.0)</f>
        <v>2285</v>
      </c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 t="s">
        <v>27</v>
      </c>
    </row>
    <row r="1254">
      <c r="A1254" s="7" t="s">
        <v>428</v>
      </c>
      <c r="B1254" s="7" t="s">
        <v>42</v>
      </c>
      <c r="C1254" s="7">
        <f>6+1</f>
        <v>7</v>
      </c>
      <c r="D1254" s="7">
        <v>7.0</v>
      </c>
      <c r="E1254" s="7">
        <v>2.0</v>
      </c>
      <c r="F1254" s="7" t="s">
        <v>487</v>
      </c>
      <c r="G1254" s="7" t="s">
        <v>1202</v>
      </c>
      <c r="H1254" s="9" t="s">
        <v>2981</v>
      </c>
      <c r="I1254" t="s">
        <v>3574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 t="str">
        <f t="shared" si="1"/>
        <v>Land area </v>
      </c>
      <c r="AE1254" s="7" t="str">
        <f t="shared" si="2"/>
        <v> sq. ft.</v>
      </c>
      <c r="AF1254">
        <f>IFERROR(__xludf.DUMMYFUNCTION("VALUE(REGEXREPLACE(G1254,""[^[:digit:]]"", """"))"),4500.0)</f>
        <v>4500</v>
      </c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 t="s">
        <v>27</v>
      </c>
    </row>
    <row r="1255">
      <c r="A1255" s="7" t="s">
        <v>177</v>
      </c>
      <c r="B1255" s="7" t="s">
        <v>1203</v>
      </c>
      <c r="E1255" s="9">
        <v>2.0</v>
      </c>
      <c r="F1255" s="7" t="s">
        <v>1204</v>
      </c>
      <c r="G1255" s="7" t="s">
        <v>1205</v>
      </c>
      <c r="H1255" s="9" t="s">
        <v>2981</v>
      </c>
      <c r="I1255" t="s">
        <v>3575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 t="str">
        <f t="shared" si="1"/>
        <v>Land area </v>
      </c>
      <c r="AE1255" s="7" t="str">
        <f t="shared" si="2"/>
        <v> sq. ft.</v>
      </c>
      <c r="AF1255">
        <f>IFERROR(__xludf.DUMMYFUNCTION("VALUE(REGEXREPLACE(G1255,""[^[:digit:]]"", """"))"),34928.0)</f>
        <v>34928</v>
      </c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</row>
    <row r="1256">
      <c r="A1256" s="7" t="s">
        <v>104</v>
      </c>
      <c r="B1256" s="7" t="s">
        <v>966</v>
      </c>
      <c r="C1256" s="7">
        <f>3</f>
        <v>3</v>
      </c>
      <c r="D1256" s="7">
        <v>2.0</v>
      </c>
      <c r="E1256" s="9">
        <v>2.0</v>
      </c>
      <c r="F1256" s="7" t="s">
        <v>343</v>
      </c>
      <c r="G1256" s="7" t="s">
        <v>1121</v>
      </c>
      <c r="H1256" s="9" t="s">
        <v>2981</v>
      </c>
      <c r="I1256" t="s">
        <v>3518</v>
      </c>
      <c r="J1256" s="7"/>
      <c r="K1256" s="7"/>
      <c r="L1256" s="7"/>
      <c r="M1256" s="7"/>
      <c r="N1256" s="7"/>
      <c r="O1256" s="7"/>
      <c r="P1256" s="7"/>
      <c r="Q1256" s="7"/>
      <c r="R1256" s="7"/>
      <c r="S1256" s="7" t="s">
        <v>3121</v>
      </c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 t="str">
        <f t="shared" si="1"/>
        <v>Land area </v>
      </c>
      <c r="AE1256" s="7" t="str">
        <f t="shared" si="2"/>
        <v> sq. ft.</v>
      </c>
      <c r="AF1256">
        <f>IFERROR(__xludf.DUMMYFUNCTION("VALUE(REGEXREPLACE(G1256,""[^[:digit:]]"", """"))"),2270.0)</f>
        <v>2270</v>
      </c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 t="s">
        <v>103</v>
      </c>
    </row>
    <row r="1257">
      <c r="A1257" s="7" t="s">
        <v>358</v>
      </c>
      <c r="B1257" s="7" t="s">
        <v>967</v>
      </c>
      <c r="C1257" s="7">
        <f>3+1</f>
        <v>4</v>
      </c>
      <c r="D1257" s="7">
        <v>4.0</v>
      </c>
      <c r="E1257" s="9">
        <v>2.0</v>
      </c>
      <c r="F1257" s="7" t="s">
        <v>93</v>
      </c>
      <c r="G1257" s="7" t="s">
        <v>360</v>
      </c>
      <c r="H1257" s="9" t="s">
        <v>2979</v>
      </c>
      <c r="I1257" t="s">
        <v>3126</v>
      </c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 t="str">
        <f t="shared" si="1"/>
        <v>Built-up :</v>
      </c>
      <c r="AE1257" s="7" t="str">
        <f t="shared" si="2"/>
        <v> sq. ft.</v>
      </c>
      <c r="AF1257">
        <f>IFERROR(__xludf.DUMMYFUNCTION("VALUE(REGEXREPLACE(G1257,""[^[:digit:]]"", """"))"),1643.0)</f>
        <v>1643</v>
      </c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 t="s">
        <v>27</v>
      </c>
    </row>
    <row r="1258">
      <c r="A1258" s="7" t="s">
        <v>104</v>
      </c>
      <c r="B1258" s="7" t="s">
        <v>967</v>
      </c>
      <c r="C1258" s="7">
        <f>3</f>
        <v>3</v>
      </c>
      <c r="D1258" s="7">
        <v>2.0</v>
      </c>
      <c r="E1258" s="7">
        <v>2.0</v>
      </c>
      <c r="F1258" s="7" t="s">
        <v>343</v>
      </c>
      <c r="G1258" s="7" t="s">
        <v>1121</v>
      </c>
      <c r="H1258" s="9" t="s">
        <v>2981</v>
      </c>
      <c r="I1258" t="s">
        <v>3518</v>
      </c>
      <c r="J1258" s="7"/>
      <c r="K1258" s="7"/>
      <c r="L1258" s="7"/>
      <c r="M1258" s="7"/>
      <c r="N1258" s="7"/>
      <c r="O1258" s="7"/>
      <c r="P1258" s="7"/>
      <c r="Q1258" s="7"/>
      <c r="R1258" s="7"/>
      <c r="S1258" s="7" t="s">
        <v>3121</v>
      </c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 t="str">
        <f t="shared" si="1"/>
        <v>Land area </v>
      </c>
      <c r="AE1258" s="7" t="str">
        <f t="shared" si="2"/>
        <v> sq. ft.</v>
      </c>
      <c r="AF1258">
        <f>IFERROR(__xludf.DUMMYFUNCTION("VALUE(REGEXREPLACE(G1258,""[^[:digit:]]"", """"))"),2270.0)</f>
        <v>2270</v>
      </c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 t="s">
        <v>27</v>
      </c>
    </row>
    <row r="1259">
      <c r="A1259" s="7" t="s">
        <v>104</v>
      </c>
      <c r="B1259" s="7" t="s">
        <v>18</v>
      </c>
      <c r="C1259" s="7">
        <f>4</f>
        <v>4</v>
      </c>
      <c r="D1259" s="7">
        <v>4.0</v>
      </c>
      <c r="E1259" s="9">
        <v>2.0</v>
      </c>
      <c r="F1259" s="7" t="s">
        <v>90</v>
      </c>
      <c r="G1259" s="7" t="s">
        <v>719</v>
      </c>
      <c r="H1259" s="9" t="s">
        <v>2981</v>
      </c>
      <c r="I1259" t="s">
        <v>3299</v>
      </c>
      <c r="J1259" s="7"/>
      <c r="K1259" s="7"/>
      <c r="L1259" s="7"/>
      <c r="M1259" s="7"/>
      <c r="N1259" s="7"/>
      <c r="O1259" s="7"/>
      <c r="P1259" s="7"/>
      <c r="Q1259" s="7"/>
      <c r="R1259" s="7"/>
      <c r="S1259" s="7" t="s">
        <v>3101</v>
      </c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 t="str">
        <f t="shared" si="1"/>
        <v>Land area </v>
      </c>
      <c r="AE1259" s="7" t="str">
        <f t="shared" si="2"/>
        <v> sq. ft.</v>
      </c>
      <c r="AF1259">
        <f>IFERROR(__xludf.DUMMYFUNCTION("VALUE(REGEXREPLACE(G1259,""[^[:digit:]]"", """"))"),2285.0)</f>
        <v>2285</v>
      </c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 t="s">
        <v>22</v>
      </c>
    </row>
    <row r="1260">
      <c r="A1260" s="7" t="s">
        <v>358</v>
      </c>
      <c r="B1260" s="7" t="s">
        <v>286</v>
      </c>
      <c r="C1260" s="7">
        <f>3</f>
        <v>3</v>
      </c>
      <c r="D1260" s="7">
        <v>3.0</v>
      </c>
      <c r="E1260" s="9">
        <v>2.0</v>
      </c>
      <c r="F1260" s="7" t="s">
        <v>54</v>
      </c>
      <c r="G1260" s="7" t="s">
        <v>106</v>
      </c>
      <c r="H1260" s="9" t="s">
        <v>2981</v>
      </c>
      <c r="I1260" t="s">
        <v>3008</v>
      </c>
      <c r="J1260" s="7"/>
      <c r="K1260" s="7"/>
      <c r="L1260" s="7"/>
      <c r="M1260" s="7"/>
      <c r="N1260" s="7"/>
      <c r="O1260" s="7"/>
      <c r="P1260" s="7"/>
      <c r="Q1260" s="7"/>
      <c r="R1260" s="7"/>
      <c r="S1260" s="7" t="s">
        <v>3009</v>
      </c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 t="str">
        <f t="shared" si="1"/>
        <v>Land area </v>
      </c>
      <c r="AE1260" s="7" t="str">
        <f t="shared" si="2"/>
        <v> sq. ft.</v>
      </c>
      <c r="AF1260">
        <f>IFERROR(__xludf.DUMMYFUNCTION("VALUE(REGEXREPLACE(G1260,""[^[:digit:]]"", """"))"),1655.0)</f>
        <v>1655</v>
      </c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 t="s">
        <v>22</v>
      </c>
    </row>
    <row r="1261">
      <c r="A1261" s="7" t="s">
        <v>17</v>
      </c>
      <c r="B1261" s="7" t="s">
        <v>1206</v>
      </c>
      <c r="C1261" s="7" t="s">
        <v>325</v>
      </c>
      <c r="D1261" s="7">
        <v>1.0</v>
      </c>
      <c r="E1261" s="9">
        <v>2.0</v>
      </c>
      <c r="F1261" s="7" t="s">
        <v>82</v>
      </c>
      <c r="G1261" s="7" t="s">
        <v>1207</v>
      </c>
      <c r="H1261" s="9" t="s">
        <v>2979</v>
      </c>
      <c r="I1261" t="s">
        <v>3576</v>
      </c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 t="str">
        <f t="shared" si="1"/>
        <v>Built-up :</v>
      </c>
      <c r="AE1261" s="7" t="str">
        <f t="shared" si="2"/>
        <v> sq. ft.</v>
      </c>
      <c r="AF1261">
        <f>IFERROR(__xludf.DUMMYFUNCTION("VALUE(REGEXREPLACE(G1261,""[^[:digit:]]"", """"))"),578.0)</f>
        <v>578</v>
      </c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 t="s">
        <v>27</v>
      </c>
    </row>
    <row r="1262">
      <c r="A1262" s="7" t="s">
        <v>148</v>
      </c>
      <c r="B1262" s="7" t="s">
        <v>309</v>
      </c>
      <c r="C1262" s="7">
        <f>4+1</f>
        <v>5</v>
      </c>
      <c r="D1262" s="7">
        <v>5.0</v>
      </c>
      <c r="E1262" s="7">
        <v>3.0</v>
      </c>
      <c r="F1262" s="7" t="s">
        <v>90</v>
      </c>
      <c r="G1262" s="7" t="s">
        <v>1208</v>
      </c>
      <c r="H1262" s="9" t="s">
        <v>2981</v>
      </c>
      <c r="I1262" t="s">
        <v>3577</v>
      </c>
      <c r="J1262" s="7"/>
      <c r="K1262" s="7"/>
      <c r="L1262" s="7"/>
      <c r="M1262" s="7"/>
      <c r="N1262" s="7"/>
      <c r="O1262" s="7"/>
      <c r="P1262" s="7"/>
      <c r="Q1262" s="7"/>
      <c r="R1262" s="7"/>
      <c r="S1262" s="7" t="s">
        <v>3351</v>
      </c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 t="str">
        <f t="shared" si="1"/>
        <v>Land area </v>
      </c>
      <c r="AE1262" s="7" t="str">
        <f t="shared" si="2"/>
        <v> sq. ft.</v>
      </c>
      <c r="AF1262">
        <f>IFERROR(__xludf.DUMMYFUNCTION("VALUE(REGEXREPLACE(G1262,""[^[:digit:]]"", """"))"),2482.0)</f>
        <v>2482</v>
      </c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 t="s">
        <v>27</v>
      </c>
    </row>
    <row r="1263">
      <c r="A1263" s="7" t="s">
        <v>100</v>
      </c>
      <c r="B1263" s="7" t="s">
        <v>407</v>
      </c>
      <c r="C1263" s="7">
        <f>3+1</f>
        <v>4</v>
      </c>
      <c r="D1263" s="7">
        <v>4.0</v>
      </c>
      <c r="E1263" s="7">
        <v>2.0</v>
      </c>
      <c r="F1263" s="7" t="s">
        <v>30</v>
      </c>
      <c r="G1263" s="7" t="s">
        <v>1072</v>
      </c>
      <c r="H1263" s="9" t="s">
        <v>2979</v>
      </c>
      <c r="I1263" t="s">
        <v>3489</v>
      </c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 t="str">
        <f t="shared" si="1"/>
        <v>Built-up :</v>
      </c>
      <c r="AE1263" s="7" t="str">
        <f t="shared" si="2"/>
        <v> sq. ft.</v>
      </c>
      <c r="AF1263">
        <f>IFERROR(__xludf.DUMMYFUNCTION("VALUE(REGEXREPLACE(G1263,""[^[:digit:]]"", """"))"),1535.0)</f>
        <v>1535</v>
      </c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 t="s">
        <v>22</v>
      </c>
    </row>
    <row r="1264">
      <c r="A1264" s="7" t="s">
        <v>17</v>
      </c>
      <c r="B1264" s="7" t="s">
        <v>599</v>
      </c>
      <c r="C1264" s="7">
        <f>2</f>
        <v>2</v>
      </c>
      <c r="D1264" s="7">
        <v>2.0</v>
      </c>
      <c r="E1264" s="7">
        <v>1.0</v>
      </c>
      <c r="F1264" s="7" t="s">
        <v>96</v>
      </c>
      <c r="G1264" s="7" t="s">
        <v>1209</v>
      </c>
      <c r="H1264" s="9" t="s">
        <v>2979</v>
      </c>
      <c r="I1264" t="s">
        <v>3578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 t="str">
        <f t="shared" si="1"/>
        <v>Built-up :</v>
      </c>
      <c r="AE1264" s="7" t="str">
        <f t="shared" si="2"/>
        <v> sq. ft.</v>
      </c>
      <c r="AF1264">
        <f>IFERROR(__xludf.DUMMYFUNCTION("VALUE(REGEXREPLACE(G1264,""[^[:digit:]]"", """"))"),1429.0)</f>
        <v>1429</v>
      </c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 t="s">
        <v>22</v>
      </c>
    </row>
    <row r="1265">
      <c r="A1265" s="7" t="s">
        <v>33</v>
      </c>
      <c r="B1265" s="7" t="s">
        <v>172</v>
      </c>
      <c r="C1265" s="7">
        <f>3</f>
        <v>3</v>
      </c>
      <c r="D1265" s="7">
        <v>2.0</v>
      </c>
      <c r="E1265" s="7">
        <v>2.0</v>
      </c>
      <c r="F1265" s="7" t="s">
        <v>30</v>
      </c>
      <c r="G1265" s="7" t="s">
        <v>716</v>
      </c>
      <c r="H1265" s="9" t="s">
        <v>2979</v>
      </c>
      <c r="I1265" t="s">
        <v>3296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 t="str">
        <f t="shared" si="1"/>
        <v>Built-up :</v>
      </c>
      <c r="AE1265" s="7" t="str">
        <f t="shared" si="2"/>
        <v> sq. ft.</v>
      </c>
      <c r="AF1265">
        <f>IFERROR(__xludf.DUMMYFUNCTION("VALUE(REGEXREPLACE(G1265,""[^[:digit:]]"", """"))"),1073.0)</f>
        <v>1073</v>
      </c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 t="s">
        <v>27</v>
      </c>
    </row>
    <row r="1266">
      <c r="A1266" s="7" t="s">
        <v>100</v>
      </c>
      <c r="B1266" s="7" t="s">
        <v>648</v>
      </c>
      <c r="C1266" s="7">
        <f>2</f>
        <v>2</v>
      </c>
      <c r="D1266" s="7">
        <v>2.0</v>
      </c>
      <c r="E1266" s="7">
        <v>1.0</v>
      </c>
      <c r="F1266" s="7" t="s">
        <v>121</v>
      </c>
      <c r="G1266" s="7" t="s">
        <v>1210</v>
      </c>
      <c r="H1266" s="9" t="s">
        <v>2979</v>
      </c>
      <c r="I1266" t="s">
        <v>3579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 t="str">
        <f t="shared" si="1"/>
        <v>Built-up :</v>
      </c>
      <c r="AE1266" s="7" t="str">
        <f t="shared" si="2"/>
        <v> sq. ft.</v>
      </c>
      <c r="AF1266">
        <f>IFERROR(__xludf.DUMMYFUNCTION("VALUE(REGEXREPLACE(G1266,""[^[:digit:]]"", """"))"),680.0)</f>
        <v>680</v>
      </c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 t="s">
        <v>22</v>
      </c>
    </row>
    <row r="1267">
      <c r="A1267" s="7" t="s">
        <v>72</v>
      </c>
      <c r="B1267" s="7" t="s">
        <v>311</v>
      </c>
      <c r="C1267" s="7">
        <f>1</f>
        <v>1</v>
      </c>
      <c r="D1267" s="7">
        <v>1.0</v>
      </c>
      <c r="E1267" s="7">
        <v>1.0</v>
      </c>
      <c r="F1267" s="7" t="s">
        <v>938</v>
      </c>
      <c r="G1267" s="7" t="s">
        <v>1211</v>
      </c>
      <c r="H1267" s="9" t="s">
        <v>2979</v>
      </c>
      <c r="I1267" t="s">
        <v>3580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 t="str">
        <f t="shared" si="1"/>
        <v>Built-up :</v>
      </c>
      <c r="AE1267" s="7" t="str">
        <f t="shared" si="2"/>
        <v> sq. ft.</v>
      </c>
      <c r="AF1267">
        <f>IFERROR(__xludf.DUMMYFUNCTION("VALUE(REGEXREPLACE(G1267,""[^[:digit:]]"", """"))"),1431.0)</f>
        <v>1431</v>
      </c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 t="s">
        <v>22</v>
      </c>
    </row>
    <row r="1268">
      <c r="A1268" s="7" t="s">
        <v>37</v>
      </c>
      <c r="B1268" s="7" t="s">
        <v>641</v>
      </c>
      <c r="C1268" s="7">
        <f>2</f>
        <v>2</v>
      </c>
      <c r="D1268" s="7">
        <v>2.0</v>
      </c>
      <c r="E1268" s="7">
        <v>1.0</v>
      </c>
      <c r="F1268" s="7" t="s">
        <v>82</v>
      </c>
      <c r="H1268" s="9" t="s">
        <v>2984</v>
      </c>
      <c r="I1268" t="s">
        <v>2985</v>
      </c>
      <c r="AD1268" s="7" t="str">
        <f t="shared" si="1"/>
        <v/>
      </c>
      <c r="AE1268" s="7" t="str">
        <f t="shared" si="2"/>
        <v/>
      </c>
      <c r="AF1268">
        <f>IFERROR(__xludf.DUMMYFUNCTION("VALUE(REGEXREPLACE(G1268,""[^[:digit:]]"", """"))"),0.0)</f>
        <v>0</v>
      </c>
      <c r="AS1268" s="7" t="s">
        <v>27</v>
      </c>
    </row>
    <row r="1269">
      <c r="A1269" s="7" t="s">
        <v>37</v>
      </c>
      <c r="B1269" s="7" t="s">
        <v>311</v>
      </c>
      <c r="C1269" s="7">
        <f t="shared" ref="C1269:C1270" si="136">3</f>
        <v>3</v>
      </c>
      <c r="D1269" s="7">
        <v>2.0</v>
      </c>
      <c r="E1269" s="9">
        <v>2.0</v>
      </c>
      <c r="F1269" s="7" t="s">
        <v>82</v>
      </c>
      <c r="G1269" s="7" t="s">
        <v>1212</v>
      </c>
      <c r="H1269" s="9" t="s">
        <v>2979</v>
      </c>
      <c r="I1269" t="s">
        <v>3581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 t="str">
        <f t="shared" si="1"/>
        <v>Built-up :</v>
      </c>
      <c r="AE1269" s="7" t="str">
        <f t="shared" si="2"/>
        <v> sq. ft.</v>
      </c>
      <c r="AF1269">
        <f>IFERROR(__xludf.DUMMYFUNCTION("VALUE(REGEXREPLACE(G1269,""[^[:digit:]]"", """"))"),1102.0)</f>
        <v>1102</v>
      </c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 t="s">
        <v>22</v>
      </c>
    </row>
    <row r="1270">
      <c r="A1270" s="7" t="s">
        <v>33</v>
      </c>
      <c r="B1270" s="7" t="s">
        <v>1199</v>
      </c>
      <c r="C1270" s="7">
        <f t="shared" si="136"/>
        <v>3</v>
      </c>
      <c r="D1270" s="7">
        <v>2.0</v>
      </c>
      <c r="E1270" s="9">
        <v>2.0</v>
      </c>
      <c r="F1270" s="7" t="s">
        <v>83</v>
      </c>
      <c r="G1270" s="7" t="s">
        <v>36</v>
      </c>
      <c r="H1270" s="9" t="s">
        <v>2979</v>
      </c>
      <c r="I1270" t="s">
        <v>2986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 t="str">
        <f t="shared" si="1"/>
        <v>Built-up :</v>
      </c>
      <c r="AE1270" s="7" t="str">
        <f t="shared" si="2"/>
        <v> sq. ft.</v>
      </c>
      <c r="AF1270">
        <f>IFERROR(__xludf.DUMMYFUNCTION("VALUE(REGEXREPLACE(G1270,""[^[:digit:]]"", """"))"),1513.0)</f>
        <v>1513</v>
      </c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 t="s">
        <v>27</v>
      </c>
    </row>
    <row r="1271">
      <c r="A1271" s="7" t="s">
        <v>1014</v>
      </c>
      <c r="B1271" s="7" t="s">
        <v>1213</v>
      </c>
      <c r="C1271" s="7">
        <f>2</f>
        <v>2</v>
      </c>
      <c r="D1271" s="7">
        <v>1.0</v>
      </c>
      <c r="E1271" s="7">
        <v>1.0</v>
      </c>
      <c r="F1271" s="7" t="s">
        <v>30</v>
      </c>
      <c r="G1271" s="7" t="s">
        <v>200</v>
      </c>
      <c r="H1271" s="9" t="s">
        <v>2979</v>
      </c>
      <c r="I1271" t="s">
        <v>3049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 t="str">
        <f t="shared" si="1"/>
        <v>Built-up :</v>
      </c>
      <c r="AE1271" s="7" t="str">
        <f t="shared" si="2"/>
        <v> sq. ft.</v>
      </c>
      <c r="AF1271">
        <f>IFERROR(__xludf.DUMMYFUNCTION("VALUE(REGEXREPLACE(G1271,""[^[:digit:]]"", """"))"),700.0)</f>
        <v>700</v>
      </c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 t="s">
        <v>22</v>
      </c>
    </row>
    <row r="1272">
      <c r="A1272" s="7" t="s">
        <v>28</v>
      </c>
      <c r="B1272" s="7" t="s">
        <v>1214</v>
      </c>
      <c r="C1272" s="7">
        <f>1+1</f>
        <v>2</v>
      </c>
      <c r="D1272" s="7">
        <v>1.0</v>
      </c>
      <c r="E1272" s="7">
        <v>1.0</v>
      </c>
      <c r="F1272" s="7" t="s">
        <v>82</v>
      </c>
      <c r="G1272" s="7" t="s">
        <v>1215</v>
      </c>
      <c r="H1272" s="9" t="s">
        <v>2981</v>
      </c>
      <c r="I1272" t="s">
        <v>3582</v>
      </c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 t="str">
        <f t="shared" si="1"/>
        <v>Land area </v>
      </c>
      <c r="AE1272" s="7" t="str">
        <f t="shared" si="2"/>
        <v> sq. ft.</v>
      </c>
      <c r="AF1272">
        <f>IFERROR(__xludf.DUMMYFUNCTION("VALUE(REGEXREPLACE(G1272,""[^[:digit:]]"", """"))"),6462928.0)</f>
        <v>6462928</v>
      </c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 t="s">
        <v>27</v>
      </c>
    </row>
    <row r="1273">
      <c r="A1273" s="7" t="s">
        <v>100</v>
      </c>
      <c r="B1273" s="7" t="s">
        <v>890</v>
      </c>
      <c r="C1273" s="7">
        <f>3</f>
        <v>3</v>
      </c>
      <c r="D1273" s="7">
        <v>2.0</v>
      </c>
      <c r="E1273" s="9">
        <v>2.0</v>
      </c>
      <c r="F1273" s="7" t="s">
        <v>83</v>
      </c>
      <c r="G1273" s="7" t="s">
        <v>1216</v>
      </c>
      <c r="H1273" s="9" t="s">
        <v>2979</v>
      </c>
      <c r="I1273" t="s">
        <v>3583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 t="str">
        <f t="shared" si="1"/>
        <v>Built-up :</v>
      </c>
      <c r="AE1273" s="7" t="str">
        <f t="shared" si="2"/>
        <v> sq. ft.</v>
      </c>
      <c r="AF1273">
        <f>IFERROR(__xludf.DUMMYFUNCTION("VALUE(REGEXREPLACE(G1273,""[^[:digit:]]"", """"))"),1336.0)</f>
        <v>1336</v>
      </c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 t="s">
        <v>27</v>
      </c>
    </row>
    <row r="1274">
      <c r="A1274" s="7" t="s">
        <v>33</v>
      </c>
      <c r="B1274" s="7" t="s">
        <v>940</v>
      </c>
      <c r="C1274" s="7">
        <f>7+1</f>
        <v>8</v>
      </c>
      <c r="D1274" s="7">
        <v>8.0</v>
      </c>
      <c r="E1274" s="9">
        <v>2.0</v>
      </c>
      <c r="F1274" s="7" t="s">
        <v>25</v>
      </c>
      <c r="G1274" s="7" t="s">
        <v>1217</v>
      </c>
      <c r="H1274" s="9" t="s">
        <v>2981</v>
      </c>
      <c r="I1274" t="s">
        <v>3130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 t="str">
        <f t="shared" si="1"/>
        <v>Land area </v>
      </c>
      <c r="AE1274" s="7" t="str">
        <f t="shared" si="2"/>
        <v> sq. ft.</v>
      </c>
      <c r="AF1274">
        <f>IFERROR(__xludf.DUMMYFUNCTION("VALUE(REGEXREPLACE(G1274,""[^[:digit:]]"", """"))"),5700.0)</f>
        <v>5700</v>
      </c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 t="s">
        <v>22</v>
      </c>
    </row>
    <row r="1275">
      <c r="A1275" s="7" t="s">
        <v>32</v>
      </c>
      <c r="B1275" s="7" t="s">
        <v>1218</v>
      </c>
      <c r="C1275" s="7">
        <f>3</f>
        <v>3</v>
      </c>
      <c r="D1275" s="7">
        <v>2.0</v>
      </c>
      <c r="E1275" s="7">
        <v>1.0</v>
      </c>
      <c r="F1275" s="7" t="s">
        <v>354</v>
      </c>
      <c r="G1275" s="7" t="s">
        <v>924</v>
      </c>
      <c r="H1275" s="9" t="s">
        <v>2979</v>
      </c>
      <c r="I1275" t="s">
        <v>3406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 t="str">
        <f t="shared" si="1"/>
        <v>Built-up :</v>
      </c>
      <c r="AE1275" s="7" t="str">
        <f t="shared" si="2"/>
        <v> sq. ft.</v>
      </c>
      <c r="AF1275">
        <f>IFERROR(__xludf.DUMMYFUNCTION("VALUE(REGEXREPLACE(G1275,""[^[:digit:]]"", """"))"),750.0)</f>
        <v>750</v>
      </c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 t="s">
        <v>27</v>
      </c>
    </row>
    <row r="1276">
      <c r="A1276" s="7" t="s">
        <v>32</v>
      </c>
      <c r="B1276" s="7" t="s">
        <v>1219</v>
      </c>
      <c r="C1276" s="7">
        <f>2</f>
        <v>2</v>
      </c>
      <c r="D1276" s="7">
        <v>2.0</v>
      </c>
      <c r="E1276" s="7">
        <v>2.0</v>
      </c>
      <c r="F1276" s="7" t="s">
        <v>93</v>
      </c>
      <c r="G1276" s="7" t="s">
        <v>1220</v>
      </c>
      <c r="H1276" s="9" t="s">
        <v>2981</v>
      </c>
      <c r="I1276" t="s">
        <v>3584</v>
      </c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 t="str">
        <f t="shared" si="1"/>
        <v>Land area </v>
      </c>
      <c r="AE1276" s="7" t="str">
        <f t="shared" si="2"/>
        <v> sq. ft.</v>
      </c>
      <c r="AF1276">
        <f>IFERROR(__xludf.DUMMYFUNCTION("VALUE(REGEXREPLACE(G1276,""[^[:digit:]]"", """"))"),8401193.0)</f>
        <v>8401193</v>
      </c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 t="s">
        <v>103</v>
      </c>
    </row>
    <row r="1277">
      <c r="A1277" s="7" t="s">
        <v>33</v>
      </c>
      <c r="B1277" s="7" t="s">
        <v>361</v>
      </c>
      <c r="C1277" s="7">
        <f>3</f>
        <v>3</v>
      </c>
      <c r="D1277" s="7">
        <v>2.0</v>
      </c>
      <c r="E1277" s="7">
        <v>2.0</v>
      </c>
      <c r="F1277" s="7" t="s">
        <v>93</v>
      </c>
      <c r="G1277" s="7" t="s">
        <v>1221</v>
      </c>
      <c r="H1277" s="9" t="s">
        <v>2981</v>
      </c>
      <c r="I1277" t="s">
        <v>3585</v>
      </c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 t="str">
        <f t="shared" si="1"/>
        <v>Land area </v>
      </c>
      <c r="AE1277" s="7" t="str">
        <f t="shared" si="2"/>
        <v> sq. ft.</v>
      </c>
      <c r="AF1277">
        <f>IFERROR(__xludf.DUMMYFUNCTION("VALUE(REGEXREPLACE(G1277,""[^[:digit:]]"", """"))"),1003.0)</f>
        <v>1003</v>
      </c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 t="s">
        <v>103</v>
      </c>
    </row>
    <row r="1278">
      <c r="A1278" s="7" t="s">
        <v>164</v>
      </c>
      <c r="B1278" s="7" t="s">
        <v>1222</v>
      </c>
      <c r="C1278" s="7">
        <f>4+1</f>
        <v>5</v>
      </c>
      <c r="D1278" s="7">
        <v>5.0</v>
      </c>
      <c r="E1278" s="7">
        <v>3.0</v>
      </c>
      <c r="F1278" s="7" t="s">
        <v>312</v>
      </c>
      <c r="G1278" s="7" t="s">
        <v>1223</v>
      </c>
      <c r="H1278" s="9" t="s">
        <v>2979</v>
      </c>
      <c r="I1278" t="s">
        <v>3586</v>
      </c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 t="str">
        <f t="shared" si="1"/>
        <v>Built-up :</v>
      </c>
      <c r="AE1278" s="7" t="str">
        <f t="shared" si="2"/>
        <v> sq. ft.</v>
      </c>
      <c r="AF1278">
        <f>IFERROR(__xludf.DUMMYFUNCTION("VALUE(REGEXREPLACE(G1278,""[^[:digit:]]"", """"))"),4058.0)</f>
        <v>4058</v>
      </c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 t="s">
        <v>27</v>
      </c>
    </row>
    <row r="1279">
      <c r="A1279" s="7" t="s">
        <v>164</v>
      </c>
      <c r="B1279" s="7" t="s">
        <v>567</v>
      </c>
      <c r="C1279" s="7">
        <f>4</f>
        <v>4</v>
      </c>
      <c r="D1279" s="7">
        <v>4.0</v>
      </c>
      <c r="E1279" s="7">
        <v>3.0</v>
      </c>
      <c r="F1279" s="7" t="s">
        <v>312</v>
      </c>
      <c r="G1279" s="7" t="s">
        <v>568</v>
      </c>
      <c r="H1279" s="9" t="s">
        <v>2979</v>
      </c>
      <c r="I1279" t="s">
        <v>3229</v>
      </c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 t="str">
        <f t="shared" si="1"/>
        <v>Built-up :</v>
      </c>
      <c r="AE1279" s="7" t="str">
        <f t="shared" si="2"/>
        <v> sq. ft.</v>
      </c>
      <c r="AF1279">
        <f>IFERROR(__xludf.DUMMYFUNCTION("VALUE(REGEXREPLACE(G1279,""[^[:digit:]]"", """"))"),2982.0)</f>
        <v>2982</v>
      </c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 t="s">
        <v>22</v>
      </c>
    </row>
    <row r="1280">
      <c r="A1280" s="7" t="s">
        <v>100</v>
      </c>
      <c r="B1280" s="7" t="s">
        <v>1124</v>
      </c>
      <c r="C1280" s="7">
        <f>5</f>
        <v>5</v>
      </c>
      <c r="D1280" s="7">
        <v>3.0</v>
      </c>
      <c r="E1280" s="9">
        <v>2.0</v>
      </c>
      <c r="F1280" s="7" t="s">
        <v>61</v>
      </c>
      <c r="G1280" s="7" t="s">
        <v>798</v>
      </c>
      <c r="H1280" s="9" t="s">
        <v>2981</v>
      </c>
      <c r="I1280" t="s">
        <v>3346</v>
      </c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 t="str">
        <f t="shared" si="1"/>
        <v>Land area </v>
      </c>
      <c r="AE1280" s="7" t="str">
        <f t="shared" si="2"/>
        <v> sq. ft.</v>
      </c>
      <c r="AF1280">
        <f>IFERROR(__xludf.DUMMYFUNCTION("VALUE(REGEXREPLACE(G1280,""[^[:digit:]]"", """"))"),7600.0)</f>
        <v>7600</v>
      </c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 t="s">
        <v>27</v>
      </c>
    </row>
    <row r="1281">
      <c r="A1281" s="7" t="s">
        <v>33</v>
      </c>
      <c r="B1281" s="7" t="s">
        <v>1079</v>
      </c>
      <c r="C1281" s="7">
        <f>6+1</f>
        <v>7</v>
      </c>
      <c r="D1281" s="7">
        <v>5.0</v>
      </c>
      <c r="E1281" s="9">
        <v>2.0</v>
      </c>
      <c r="F1281" s="7" t="s">
        <v>282</v>
      </c>
      <c r="G1281" s="7" t="s">
        <v>1224</v>
      </c>
      <c r="H1281" s="9" t="s">
        <v>2981</v>
      </c>
      <c r="I1281" t="s">
        <v>3587</v>
      </c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 t="str">
        <f t="shared" si="1"/>
        <v>Land area </v>
      </c>
      <c r="AE1281" s="7" t="str">
        <f t="shared" si="2"/>
        <v> sq. ft.</v>
      </c>
      <c r="AF1281">
        <f>IFERROR(__xludf.DUMMYFUNCTION("VALUE(REGEXREPLACE(G1281,""[^[:digit:]]"", """"))"),3542.0)</f>
        <v>3542</v>
      </c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 t="s">
        <v>27</v>
      </c>
    </row>
    <row r="1282">
      <c r="A1282" s="7" t="s">
        <v>41</v>
      </c>
      <c r="B1282" s="7" t="s">
        <v>1225</v>
      </c>
      <c r="C1282" s="7">
        <f>5</f>
        <v>5</v>
      </c>
      <c r="D1282" s="7">
        <v>4.0</v>
      </c>
      <c r="E1282" s="9">
        <v>2.0</v>
      </c>
      <c r="F1282" s="7" t="s">
        <v>203</v>
      </c>
      <c r="G1282" s="7" t="s">
        <v>1226</v>
      </c>
      <c r="H1282" s="9" t="s">
        <v>2981</v>
      </c>
      <c r="I1282" t="s">
        <v>3588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 t="s">
        <v>3589</v>
      </c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 t="str">
        <f t="shared" si="1"/>
        <v>Land area </v>
      </c>
      <c r="AE1282" s="7" t="str">
        <f t="shared" si="2"/>
        <v> sq. ft.</v>
      </c>
      <c r="AF1282">
        <f>IFERROR(__xludf.DUMMYFUNCTION("VALUE(REGEXREPLACE(G1282,""[^[:digit:]]"", """"))"),2078.0)</f>
        <v>2078</v>
      </c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 t="s">
        <v>27</v>
      </c>
    </row>
    <row r="1283">
      <c r="A1283" s="7" t="s">
        <v>33</v>
      </c>
      <c r="B1283" s="7" t="s">
        <v>193</v>
      </c>
      <c r="C1283" s="7">
        <f>6</f>
        <v>6</v>
      </c>
      <c r="D1283" s="7">
        <v>5.0</v>
      </c>
      <c r="E1283" s="9">
        <v>2.0</v>
      </c>
      <c r="F1283" s="7" t="s">
        <v>282</v>
      </c>
      <c r="G1283" s="7" t="s">
        <v>1129</v>
      </c>
      <c r="H1283" s="9" t="s">
        <v>2981</v>
      </c>
      <c r="I1283" t="s">
        <v>3062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 t="s">
        <v>2990</v>
      </c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 t="str">
        <f t="shared" si="1"/>
        <v>Land area </v>
      </c>
      <c r="AE1283" s="7" t="str">
        <f t="shared" si="2"/>
        <v> sq. ft.</v>
      </c>
      <c r="AF1283">
        <f>IFERROR(__xludf.DUMMYFUNCTION("VALUE(REGEXREPLACE(G1283,""[^[:digit:]]"", """"))"),3275.0)</f>
        <v>3275</v>
      </c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 t="s">
        <v>27</v>
      </c>
    </row>
    <row r="1284">
      <c r="A1284" s="7" t="s">
        <v>33</v>
      </c>
      <c r="B1284" s="7" t="s">
        <v>144</v>
      </c>
      <c r="C1284" s="7">
        <f>5</f>
        <v>5</v>
      </c>
      <c r="D1284" s="7">
        <v>4.0</v>
      </c>
      <c r="E1284" s="9">
        <v>2.0</v>
      </c>
      <c r="F1284" s="7" t="s">
        <v>203</v>
      </c>
      <c r="G1284" s="7" t="s">
        <v>1227</v>
      </c>
      <c r="H1284" s="9" t="s">
        <v>2981</v>
      </c>
      <c r="I1284" t="s">
        <v>3590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 t="s">
        <v>3591</v>
      </c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 t="str">
        <f t="shared" si="1"/>
        <v>Land area </v>
      </c>
      <c r="AE1284" s="7" t="str">
        <f t="shared" si="2"/>
        <v> sq. ft.</v>
      </c>
      <c r="AF1284">
        <f>IFERROR(__xludf.DUMMYFUNCTION("VALUE(REGEXREPLACE(G1284,""[^[:digit:]]"", """"))"),24104.0)</f>
        <v>24104</v>
      </c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 t="s">
        <v>27</v>
      </c>
    </row>
    <row r="1285">
      <c r="A1285" s="7" t="s">
        <v>33</v>
      </c>
      <c r="B1285" s="7" t="s">
        <v>381</v>
      </c>
      <c r="C1285" s="7">
        <f>3</f>
        <v>3</v>
      </c>
      <c r="D1285" s="7">
        <v>2.0</v>
      </c>
      <c r="E1285" s="7">
        <v>2.0</v>
      </c>
      <c r="F1285" s="7" t="s">
        <v>121</v>
      </c>
      <c r="G1285" s="7" t="s">
        <v>1112</v>
      </c>
      <c r="H1285" s="9" t="s">
        <v>2979</v>
      </c>
      <c r="I1285" t="s">
        <v>3510</v>
      </c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 t="str">
        <f t="shared" si="1"/>
        <v>Built-up :</v>
      </c>
      <c r="AE1285" s="7" t="str">
        <f t="shared" si="2"/>
        <v> sq. ft.</v>
      </c>
      <c r="AF1285">
        <f>IFERROR(__xludf.DUMMYFUNCTION("VALUE(REGEXREPLACE(G1285,""[^[:digit:]]"", """"))"),1218.0)</f>
        <v>1218</v>
      </c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 t="s">
        <v>103</v>
      </c>
    </row>
    <row r="1286">
      <c r="A1286" s="7" t="s">
        <v>48</v>
      </c>
      <c r="B1286" s="7" t="s">
        <v>346</v>
      </c>
      <c r="C1286" s="7">
        <f>3+1</f>
        <v>4</v>
      </c>
      <c r="D1286" s="7">
        <v>3.0</v>
      </c>
      <c r="E1286" s="7">
        <v>1.0</v>
      </c>
      <c r="F1286" s="7" t="s">
        <v>20</v>
      </c>
      <c r="G1286" s="7" t="s">
        <v>1228</v>
      </c>
      <c r="H1286" s="9" t="s">
        <v>2979</v>
      </c>
      <c r="I1286" t="s">
        <v>3592</v>
      </c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 t="str">
        <f t="shared" si="1"/>
        <v>Built-up :</v>
      </c>
      <c r="AE1286" s="7" t="str">
        <f t="shared" si="2"/>
        <v> sq. ft.</v>
      </c>
      <c r="AF1286">
        <f>IFERROR(__xludf.DUMMYFUNCTION("VALUE(REGEXREPLACE(G1286,""[^[:digit:]]"", """"))"),1278.0)</f>
        <v>1278</v>
      </c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 t="s">
        <v>22</v>
      </c>
    </row>
    <row r="1287">
      <c r="A1287" s="7" t="s">
        <v>72</v>
      </c>
      <c r="B1287" s="7" t="s">
        <v>1229</v>
      </c>
      <c r="C1287" s="7">
        <f>4+1</f>
        <v>5</v>
      </c>
      <c r="D1287" s="7">
        <v>6.0</v>
      </c>
      <c r="E1287" s="7">
        <v>3.0</v>
      </c>
      <c r="F1287" s="7" t="s">
        <v>30</v>
      </c>
      <c r="G1287" s="7" t="s">
        <v>1230</v>
      </c>
      <c r="H1287" s="9" t="s">
        <v>2979</v>
      </c>
      <c r="I1287" t="s">
        <v>3593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 t="str">
        <f t="shared" si="1"/>
        <v>Built-up :</v>
      </c>
      <c r="AE1287" s="7" t="str">
        <f t="shared" si="2"/>
        <v> sq. ft.</v>
      </c>
      <c r="AF1287">
        <f>IFERROR(__xludf.DUMMYFUNCTION("VALUE(REGEXREPLACE(G1287,""[^[:digit:]]"", """"))"),3317.0)</f>
        <v>3317</v>
      </c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 t="s">
        <v>27</v>
      </c>
    </row>
    <row r="1288">
      <c r="A1288" s="7" t="s">
        <v>267</v>
      </c>
      <c r="B1288" s="7" t="s">
        <v>1019</v>
      </c>
      <c r="C1288" s="7">
        <f t="shared" ref="C1288:C1289" si="137">3</f>
        <v>3</v>
      </c>
      <c r="D1288" s="7">
        <v>2.0</v>
      </c>
      <c r="E1288" s="9">
        <v>2.0</v>
      </c>
      <c r="F1288" s="7" t="s">
        <v>121</v>
      </c>
      <c r="G1288" s="7" t="s">
        <v>1020</v>
      </c>
      <c r="H1288" s="9" t="s">
        <v>2979</v>
      </c>
      <c r="I1288" t="s">
        <v>3458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 t="str">
        <f t="shared" si="1"/>
        <v>Built-up :</v>
      </c>
      <c r="AE1288" s="7" t="str">
        <f t="shared" si="2"/>
        <v> sq. ft.</v>
      </c>
      <c r="AF1288">
        <f>IFERROR(__xludf.DUMMYFUNCTION("VALUE(REGEXREPLACE(G1288,""[^[:digit:]]"", """"))"),945.0)</f>
        <v>945</v>
      </c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 t="s">
        <v>251</v>
      </c>
    </row>
    <row r="1289">
      <c r="A1289" s="7" t="s">
        <v>28</v>
      </c>
      <c r="B1289" s="7" t="s">
        <v>329</v>
      </c>
      <c r="C1289" s="7">
        <f t="shared" si="137"/>
        <v>3</v>
      </c>
      <c r="D1289" s="7">
        <v>3.0</v>
      </c>
      <c r="E1289" s="7">
        <v>2.0</v>
      </c>
      <c r="F1289" s="7" t="s">
        <v>83</v>
      </c>
      <c r="G1289" s="7" t="s">
        <v>1231</v>
      </c>
      <c r="H1289" s="9" t="s">
        <v>2979</v>
      </c>
      <c r="I1289" t="s">
        <v>3594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 t="str">
        <f t="shared" si="1"/>
        <v>Built-up :</v>
      </c>
      <c r="AE1289" s="7" t="str">
        <f t="shared" si="2"/>
        <v> sq. ft.</v>
      </c>
      <c r="AF1289">
        <f>IFERROR(__xludf.DUMMYFUNCTION("VALUE(REGEXREPLACE(G1289,""[^[:digit:]]"", """"))"),1395.0)</f>
        <v>1395</v>
      </c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 t="s">
        <v>27</v>
      </c>
    </row>
    <row r="1290">
      <c r="A1290" s="7" t="s">
        <v>177</v>
      </c>
      <c r="B1290" s="7" t="s">
        <v>298</v>
      </c>
      <c r="C1290" s="7">
        <f>6</f>
        <v>6</v>
      </c>
      <c r="D1290" s="7">
        <v>5.0</v>
      </c>
      <c r="E1290" s="9">
        <v>2.0</v>
      </c>
      <c r="F1290" s="7" t="s">
        <v>25</v>
      </c>
      <c r="G1290" s="7" t="s">
        <v>1232</v>
      </c>
      <c r="H1290" s="9" t="s">
        <v>2981</v>
      </c>
      <c r="I1290" t="s">
        <v>3595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 t="str">
        <f t="shared" si="1"/>
        <v>Land area </v>
      </c>
      <c r="AE1290" s="7" t="str">
        <f t="shared" si="2"/>
        <v> sq. ft.</v>
      </c>
      <c r="AF1290">
        <f>IFERROR(__xludf.DUMMYFUNCTION("VALUE(REGEXREPLACE(G1290,""[^[:digit:]]"", """"))"),6568.0)</f>
        <v>6568</v>
      </c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</row>
    <row r="1291">
      <c r="A1291" s="7" t="s">
        <v>72</v>
      </c>
      <c r="B1291" s="7" t="s">
        <v>967</v>
      </c>
      <c r="C1291" s="7">
        <f>3</f>
        <v>3</v>
      </c>
      <c r="D1291" s="7">
        <v>2.0</v>
      </c>
      <c r="E1291" s="7">
        <v>1.0</v>
      </c>
      <c r="F1291" s="7" t="s">
        <v>83</v>
      </c>
      <c r="G1291" s="7" t="s">
        <v>690</v>
      </c>
      <c r="H1291" s="9" t="s">
        <v>2979</v>
      </c>
      <c r="I1291" t="s">
        <v>3287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 t="str">
        <f t="shared" si="1"/>
        <v>Built-up :</v>
      </c>
      <c r="AE1291" s="7" t="str">
        <f t="shared" si="2"/>
        <v> sq. ft.</v>
      </c>
      <c r="AF1291">
        <f>IFERROR(__xludf.DUMMYFUNCTION("VALUE(REGEXREPLACE(G1291,""[^[:digit:]]"", """"))"),1423.0)</f>
        <v>1423</v>
      </c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 t="s">
        <v>22</v>
      </c>
    </row>
    <row r="1292">
      <c r="A1292" s="7" t="s">
        <v>65</v>
      </c>
      <c r="B1292" s="7" t="s">
        <v>277</v>
      </c>
      <c r="C1292" s="7">
        <f>4+1</f>
        <v>5</v>
      </c>
      <c r="D1292" s="7">
        <v>5.0</v>
      </c>
      <c r="E1292" s="7">
        <v>3.0</v>
      </c>
      <c r="F1292" s="7" t="s">
        <v>30</v>
      </c>
      <c r="G1292" s="7" t="s">
        <v>1233</v>
      </c>
      <c r="H1292" s="9" t="s">
        <v>2979</v>
      </c>
      <c r="I1292" t="s">
        <v>3596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 t="str">
        <f t="shared" si="1"/>
        <v>Built-up :</v>
      </c>
      <c r="AE1292" s="7" t="str">
        <f t="shared" si="2"/>
        <v> sq. ft.</v>
      </c>
      <c r="AF1292">
        <f>IFERROR(__xludf.DUMMYFUNCTION("VALUE(REGEXREPLACE(G1292,""[^[:digit:]]"", """"))"),3287.0)</f>
        <v>3287</v>
      </c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 t="s">
        <v>22</v>
      </c>
    </row>
    <row r="1293">
      <c r="A1293" s="7" t="s">
        <v>155</v>
      </c>
      <c r="B1293" s="7" t="s">
        <v>353</v>
      </c>
      <c r="C1293" s="7">
        <f>1+2</f>
        <v>3</v>
      </c>
      <c r="D1293" s="7">
        <v>2.0</v>
      </c>
      <c r="E1293" s="9">
        <v>2.0</v>
      </c>
      <c r="F1293" s="7" t="s">
        <v>20</v>
      </c>
      <c r="G1293" s="7" t="s">
        <v>1235</v>
      </c>
      <c r="H1293" s="9" t="s">
        <v>2979</v>
      </c>
      <c r="I1293" t="s">
        <v>3597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 t="str">
        <f t="shared" si="1"/>
        <v>Built-up :</v>
      </c>
      <c r="AE1293" s="7" t="str">
        <f t="shared" si="2"/>
        <v> sq. ft.</v>
      </c>
      <c r="AF1293">
        <f>IFERROR(__xludf.DUMMYFUNCTION("VALUE(REGEXREPLACE(G1293,""[^[:digit:]]"", """"))"),646.0)</f>
        <v>646</v>
      </c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</row>
    <row r="1294">
      <c r="A1294" s="7" t="s">
        <v>32</v>
      </c>
      <c r="B1294" s="7" t="s">
        <v>1236</v>
      </c>
      <c r="C1294" s="7">
        <f>2</f>
        <v>2</v>
      </c>
      <c r="D1294" s="7">
        <v>2.0</v>
      </c>
      <c r="E1294" s="7">
        <v>2.0</v>
      </c>
      <c r="F1294" s="7" t="s">
        <v>93</v>
      </c>
      <c r="G1294" s="7" t="s">
        <v>1237</v>
      </c>
      <c r="H1294" s="9" t="s">
        <v>2981</v>
      </c>
      <c r="I1294" t="s">
        <v>3598</v>
      </c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 t="str">
        <f t="shared" si="1"/>
        <v>Land area </v>
      </c>
      <c r="AE1294" s="7" t="str">
        <f t="shared" si="2"/>
        <v> sq. ft.</v>
      </c>
      <c r="AF1294">
        <f>IFERROR(__xludf.DUMMYFUNCTION("VALUE(REGEXREPLACE(G1294,""[^[:digit:]]"", """"))"),8401195.0)</f>
        <v>8401195</v>
      </c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 t="s">
        <v>103</v>
      </c>
    </row>
    <row r="1295">
      <c r="A1295" s="7" t="s">
        <v>23</v>
      </c>
      <c r="B1295" s="7" t="s">
        <v>1238</v>
      </c>
      <c r="C1295" s="7">
        <f>8</f>
        <v>8</v>
      </c>
      <c r="D1295" s="7">
        <v>12.0</v>
      </c>
      <c r="E1295" s="7">
        <v>13.0</v>
      </c>
      <c r="F1295" s="7" t="s">
        <v>25</v>
      </c>
      <c r="G1295" s="7" t="s">
        <v>1239</v>
      </c>
      <c r="H1295" s="9" t="s">
        <v>2981</v>
      </c>
      <c r="I1295" t="s">
        <v>3599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 t="str">
        <f t="shared" si="1"/>
        <v>Land area </v>
      </c>
      <c r="AE1295" s="7" t="str">
        <f t="shared" si="2"/>
        <v> sq. ft.</v>
      </c>
      <c r="AF1295">
        <f>IFERROR(__xludf.DUMMYFUNCTION("VALUE(REGEXREPLACE(G1295,""[^[:digit:]]"", """"))"),17000.0)</f>
        <v>17000</v>
      </c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</row>
    <row r="1296">
      <c r="A1296" s="7" t="s">
        <v>23</v>
      </c>
      <c r="B1296" s="7" t="s">
        <v>1240</v>
      </c>
      <c r="C1296" s="7">
        <f>5+2</f>
        <v>7</v>
      </c>
      <c r="D1296" s="7">
        <v>9.0</v>
      </c>
      <c r="E1296" s="7">
        <v>8.0</v>
      </c>
      <c r="F1296" s="7" t="s">
        <v>25</v>
      </c>
      <c r="G1296" s="7" t="s">
        <v>696</v>
      </c>
      <c r="H1296" s="9" t="s">
        <v>2981</v>
      </c>
      <c r="I1296" t="s">
        <v>3288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 t="str">
        <f t="shared" si="1"/>
        <v>Land area </v>
      </c>
      <c r="AE1296" s="7" t="str">
        <f t="shared" si="2"/>
        <v> sq. ft.</v>
      </c>
      <c r="AF1296">
        <f>IFERROR(__xludf.DUMMYFUNCTION("VALUE(REGEXREPLACE(G1296,""[^[:digit:]]"", """"))"),8000.0)</f>
        <v>8000</v>
      </c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 t="s">
        <v>22</v>
      </c>
    </row>
    <row r="1297">
      <c r="A1297" s="7" t="s">
        <v>188</v>
      </c>
      <c r="B1297" s="7" t="s">
        <v>34</v>
      </c>
      <c r="C1297" s="7">
        <f>3</f>
        <v>3</v>
      </c>
      <c r="D1297" s="7">
        <v>3.0</v>
      </c>
      <c r="E1297" s="9">
        <v>2.0</v>
      </c>
      <c r="F1297" s="7" t="s">
        <v>20</v>
      </c>
      <c r="G1297" s="7" t="s">
        <v>819</v>
      </c>
      <c r="H1297" s="9" t="s">
        <v>2979</v>
      </c>
      <c r="I1297" t="s">
        <v>3355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 t="str">
        <f t="shared" si="1"/>
        <v>Built-up :</v>
      </c>
      <c r="AE1297" s="7" t="str">
        <f t="shared" si="2"/>
        <v> sq. ft.</v>
      </c>
      <c r="AF1297">
        <f>IFERROR(__xludf.DUMMYFUNCTION("VALUE(REGEXREPLACE(G1297,""[^[:digit:]]"", """"))"),1063.0)</f>
        <v>1063</v>
      </c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</row>
    <row r="1298">
      <c r="A1298" s="7" t="s">
        <v>77</v>
      </c>
      <c r="B1298" s="7" t="s">
        <v>475</v>
      </c>
      <c r="C1298" s="7">
        <f>4+1</f>
        <v>5</v>
      </c>
      <c r="D1298" s="7">
        <v>4.0</v>
      </c>
      <c r="E1298" s="7">
        <v>2.0</v>
      </c>
      <c r="F1298" s="7" t="s">
        <v>46</v>
      </c>
      <c r="G1298" s="7" t="s">
        <v>274</v>
      </c>
      <c r="H1298" s="9" t="s">
        <v>2981</v>
      </c>
      <c r="I1298" t="s">
        <v>3086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 t="s">
        <v>2990</v>
      </c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 t="str">
        <f t="shared" si="1"/>
        <v>Land area </v>
      </c>
      <c r="AE1298" s="7" t="str">
        <f t="shared" si="2"/>
        <v> sq. ft.</v>
      </c>
      <c r="AF1298">
        <f>IFERROR(__xludf.DUMMYFUNCTION("VALUE(REGEXREPLACE(G1298,""[^[:digit:]]"", """"))"),3875.0)</f>
        <v>3875</v>
      </c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 t="s">
        <v>27</v>
      </c>
    </row>
    <row r="1299">
      <c r="A1299" s="7" t="s">
        <v>1241</v>
      </c>
      <c r="B1299" s="7" t="s">
        <v>327</v>
      </c>
      <c r="C1299" s="7">
        <f>3+1</f>
        <v>4</v>
      </c>
      <c r="D1299" s="7">
        <v>2.0</v>
      </c>
      <c r="E1299" s="7">
        <v>2.0</v>
      </c>
      <c r="F1299" s="7" t="s">
        <v>20</v>
      </c>
      <c r="G1299" s="7" t="s">
        <v>1242</v>
      </c>
      <c r="H1299" s="9" t="s">
        <v>2979</v>
      </c>
      <c r="I1299" t="s">
        <v>3600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 t="str">
        <f t="shared" si="1"/>
        <v>Built-up :</v>
      </c>
      <c r="AE1299" s="7" t="str">
        <f t="shared" si="2"/>
        <v> sq. ft.</v>
      </c>
      <c r="AF1299">
        <f>IFERROR(__xludf.DUMMYFUNCTION("VALUE(REGEXREPLACE(G1299,""[^[:digit:]]"", """"))"),1538.0)</f>
        <v>1538</v>
      </c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 t="s">
        <v>27</v>
      </c>
    </row>
    <row r="1300">
      <c r="A1300" s="7" t="s">
        <v>1241</v>
      </c>
      <c r="B1300" s="7" t="s">
        <v>1166</v>
      </c>
      <c r="C1300" s="7">
        <f t="shared" ref="C1300:C1303" si="138">2</f>
        <v>2</v>
      </c>
      <c r="D1300" s="7">
        <v>2.0</v>
      </c>
      <c r="E1300" s="7">
        <v>2.0</v>
      </c>
      <c r="F1300" s="7" t="s">
        <v>121</v>
      </c>
      <c r="G1300" s="7" t="s">
        <v>237</v>
      </c>
      <c r="H1300" s="9" t="s">
        <v>2979</v>
      </c>
      <c r="I1300" t="s">
        <v>3069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 t="str">
        <f t="shared" si="1"/>
        <v>Built-up :</v>
      </c>
      <c r="AE1300" s="7" t="str">
        <f t="shared" si="2"/>
        <v> sq. ft.</v>
      </c>
      <c r="AF1300">
        <f>IFERROR(__xludf.DUMMYFUNCTION("VALUE(REGEXREPLACE(G1300,""[^[:digit:]]"", """"))"),1087.0)</f>
        <v>1087</v>
      </c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 t="s">
        <v>27</v>
      </c>
    </row>
    <row r="1301">
      <c r="A1301" s="7" t="s">
        <v>1241</v>
      </c>
      <c r="B1301" s="7" t="s">
        <v>168</v>
      </c>
      <c r="C1301" s="7">
        <f t="shared" si="138"/>
        <v>2</v>
      </c>
      <c r="D1301" s="7">
        <v>2.0</v>
      </c>
      <c r="E1301" s="7">
        <v>2.0</v>
      </c>
      <c r="F1301" s="7" t="s">
        <v>20</v>
      </c>
      <c r="H1301" s="9" t="s">
        <v>2984</v>
      </c>
      <c r="I1301" t="s">
        <v>2985</v>
      </c>
      <c r="AD1301" s="7" t="str">
        <f t="shared" si="1"/>
        <v/>
      </c>
      <c r="AE1301" s="7" t="str">
        <f t="shared" si="2"/>
        <v/>
      </c>
      <c r="AF1301">
        <f>IFERROR(__xludf.DUMMYFUNCTION("VALUE(REGEXREPLACE(G1301,""[^[:digit:]]"", """"))"),0.0)</f>
        <v>0</v>
      </c>
      <c r="AS1301" s="7" t="s">
        <v>22</v>
      </c>
    </row>
    <row r="1302">
      <c r="A1302" s="7" t="s">
        <v>1241</v>
      </c>
      <c r="B1302" s="7" t="s">
        <v>229</v>
      </c>
      <c r="C1302" s="7">
        <f t="shared" si="138"/>
        <v>2</v>
      </c>
      <c r="D1302" s="7">
        <v>2.0</v>
      </c>
      <c r="E1302" s="7">
        <v>2.0</v>
      </c>
      <c r="F1302" s="7" t="s">
        <v>82</v>
      </c>
      <c r="G1302" s="7" t="s">
        <v>1243</v>
      </c>
      <c r="H1302" s="9" t="s">
        <v>2979</v>
      </c>
      <c r="I1302" t="s">
        <v>3601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 t="str">
        <f t="shared" si="1"/>
        <v>Built-up :</v>
      </c>
      <c r="AE1302" s="7" t="str">
        <f t="shared" si="2"/>
        <v> sq. ft.</v>
      </c>
      <c r="AF1302">
        <f>IFERROR(__xludf.DUMMYFUNCTION("VALUE(REGEXREPLACE(G1302,""[^[:digit:]]"", """"))"),1410.0)</f>
        <v>1410</v>
      </c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 t="s">
        <v>27</v>
      </c>
    </row>
    <row r="1303">
      <c r="A1303" s="7" t="s">
        <v>428</v>
      </c>
      <c r="B1303" s="7" t="s">
        <v>221</v>
      </c>
      <c r="C1303" s="7">
        <f t="shared" si="138"/>
        <v>2</v>
      </c>
      <c r="D1303" s="7">
        <v>2.0</v>
      </c>
      <c r="E1303" s="7">
        <v>1.0</v>
      </c>
      <c r="F1303" s="7" t="s">
        <v>20</v>
      </c>
      <c r="G1303" s="7" t="s">
        <v>1244</v>
      </c>
      <c r="H1303" s="9" t="s">
        <v>2979</v>
      </c>
      <c r="I1303" t="s">
        <v>3602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 t="str">
        <f t="shared" si="1"/>
        <v>Built-up :</v>
      </c>
      <c r="AE1303" s="7" t="str">
        <f t="shared" si="2"/>
        <v> sq. ft.</v>
      </c>
      <c r="AF1303">
        <f>IFERROR(__xludf.DUMMYFUNCTION("VALUE(REGEXREPLACE(G1303,""[^[:digit:]]"", """"))"),856.0)</f>
        <v>856</v>
      </c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 t="s">
        <v>27</v>
      </c>
    </row>
    <row r="1304">
      <c r="A1304" s="7" t="s">
        <v>72</v>
      </c>
      <c r="B1304" s="7" t="s">
        <v>118</v>
      </c>
      <c r="C1304" s="7">
        <f>3+1</f>
        <v>4</v>
      </c>
      <c r="D1304" s="7">
        <v>3.0</v>
      </c>
      <c r="E1304" s="9">
        <v>2.0</v>
      </c>
      <c r="F1304" s="7" t="s">
        <v>83</v>
      </c>
      <c r="G1304" s="7" t="s">
        <v>404</v>
      </c>
      <c r="H1304" s="9" t="s">
        <v>2979</v>
      </c>
      <c r="I1304" t="s">
        <v>3147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 t="str">
        <f t="shared" si="1"/>
        <v>Built-up :</v>
      </c>
      <c r="AE1304" s="7" t="str">
        <f t="shared" si="2"/>
        <v> sq. ft.</v>
      </c>
      <c r="AF1304">
        <f>IFERROR(__xludf.DUMMYFUNCTION("VALUE(REGEXREPLACE(G1304,""[^[:digit:]]"", """"))"),1878.0)</f>
        <v>1878</v>
      </c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 t="s">
        <v>22</v>
      </c>
    </row>
    <row r="1305">
      <c r="A1305" s="7" t="s">
        <v>17</v>
      </c>
      <c r="B1305" s="7" t="s">
        <v>311</v>
      </c>
      <c r="C1305" s="7">
        <f>2+2</f>
        <v>4</v>
      </c>
      <c r="D1305" s="7">
        <v>4.0</v>
      </c>
      <c r="E1305" s="9">
        <v>2.0</v>
      </c>
      <c r="F1305" s="7" t="s">
        <v>121</v>
      </c>
      <c r="G1305" s="7" t="s">
        <v>192</v>
      </c>
      <c r="H1305" s="9" t="s">
        <v>2979</v>
      </c>
      <c r="I1305" t="s">
        <v>3045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 t="str">
        <f t="shared" si="1"/>
        <v>Built-up :</v>
      </c>
      <c r="AE1305" s="7" t="str">
        <f t="shared" si="2"/>
        <v> sq. ft.</v>
      </c>
      <c r="AF1305">
        <f>IFERROR(__xludf.DUMMYFUNCTION("VALUE(REGEXREPLACE(G1305,""[^[:digit:]]"", """"))"),1313.0)</f>
        <v>1313</v>
      </c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 t="s">
        <v>22</v>
      </c>
    </row>
    <row r="1306">
      <c r="A1306" s="7" t="s">
        <v>17</v>
      </c>
      <c r="B1306" s="7" t="s">
        <v>302</v>
      </c>
      <c r="C1306" s="7">
        <f>3+1</f>
        <v>4</v>
      </c>
      <c r="D1306" s="7">
        <v>4.0</v>
      </c>
      <c r="E1306" s="9">
        <v>2.0</v>
      </c>
      <c r="F1306" s="7" t="s">
        <v>121</v>
      </c>
      <c r="G1306" s="7" t="s">
        <v>490</v>
      </c>
      <c r="H1306" s="9" t="s">
        <v>2979</v>
      </c>
      <c r="I1306" t="s">
        <v>3189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 t="str">
        <f t="shared" si="1"/>
        <v>Built-up :</v>
      </c>
      <c r="AE1306" s="7" t="str">
        <f t="shared" si="2"/>
        <v> sq. ft.</v>
      </c>
      <c r="AF1306">
        <f>IFERROR(__xludf.DUMMYFUNCTION("VALUE(REGEXREPLACE(G1306,""[^[:digit:]]"", """"))"),1378.0)</f>
        <v>1378</v>
      </c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 t="s">
        <v>27</v>
      </c>
    </row>
    <row r="1307">
      <c r="A1307" s="7" t="s">
        <v>17</v>
      </c>
      <c r="B1307" s="7" t="s">
        <v>245</v>
      </c>
      <c r="C1307" s="7">
        <f>1</f>
        <v>1</v>
      </c>
      <c r="D1307" s="7">
        <v>2.0</v>
      </c>
      <c r="E1307" s="9">
        <v>2.0</v>
      </c>
      <c r="F1307" s="7" t="s">
        <v>82</v>
      </c>
      <c r="G1307" s="7" t="s">
        <v>1245</v>
      </c>
      <c r="H1307" s="9" t="s">
        <v>2979</v>
      </c>
      <c r="I1307" t="s">
        <v>3603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 t="str">
        <f t="shared" si="1"/>
        <v>Built-up :</v>
      </c>
      <c r="AE1307" s="7" t="str">
        <f t="shared" si="2"/>
        <v> sq. ft.</v>
      </c>
      <c r="AF1307">
        <f>IFERROR(__xludf.DUMMYFUNCTION("VALUE(REGEXREPLACE(G1307,""[^[:digit:]]"", """"))"),807.0)</f>
        <v>807</v>
      </c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 t="s">
        <v>27</v>
      </c>
    </row>
    <row r="1308">
      <c r="A1308" s="7" t="s">
        <v>17</v>
      </c>
      <c r="B1308" s="7" t="s">
        <v>1114</v>
      </c>
      <c r="C1308" s="7">
        <f>2+1</f>
        <v>3</v>
      </c>
      <c r="D1308" s="7">
        <v>3.0</v>
      </c>
      <c r="E1308" s="9">
        <v>2.0</v>
      </c>
      <c r="F1308" s="7" t="s">
        <v>20</v>
      </c>
      <c r="G1308" s="7" t="s">
        <v>519</v>
      </c>
      <c r="H1308" s="9" t="s">
        <v>2979</v>
      </c>
      <c r="I1308" t="s">
        <v>3205</v>
      </c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 t="str">
        <f t="shared" si="1"/>
        <v>Built-up :</v>
      </c>
      <c r="AE1308" s="7" t="str">
        <f t="shared" si="2"/>
        <v> sq. ft.</v>
      </c>
      <c r="AF1308">
        <f>IFERROR(__xludf.DUMMYFUNCTION("VALUE(REGEXREPLACE(G1308,""[^[:digit:]]"", """"))"),1055.0)</f>
        <v>1055</v>
      </c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 t="s">
        <v>103</v>
      </c>
    </row>
    <row r="1309">
      <c r="A1309" s="7" t="s">
        <v>17</v>
      </c>
      <c r="B1309" s="7" t="s">
        <v>134</v>
      </c>
      <c r="C1309" s="7">
        <f>3+1</f>
        <v>4</v>
      </c>
      <c r="D1309" s="7">
        <v>4.0</v>
      </c>
      <c r="E1309" s="7">
        <v>2.0</v>
      </c>
      <c r="F1309" s="7" t="s">
        <v>82</v>
      </c>
      <c r="G1309" s="7" t="s">
        <v>594</v>
      </c>
      <c r="H1309" s="9" t="s">
        <v>2979</v>
      </c>
      <c r="I1309" t="s">
        <v>3240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 t="str">
        <f t="shared" si="1"/>
        <v>Built-up :</v>
      </c>
      <c r="AE1309" s="7" t="str">
        <f t="shared" si="2"/>
        <v> sq. ft.</v>
      </c>
      <c r="AF1309">
        <f>IFERROR(__xludf.DUMMYFUNCTION("VALUE(REGEXREPLACE(G1309,""[^[:digit:]]"", """"))"),1701.0)</f>
        <v>1701</v>
      </c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 t="s">
        <v>27</v>
      </c>
    </row>
    <row r="1310">
      <c r="A1310" s="7" t="s">
        <v>155</v>
      </c>
      <c r="B1310" s="7" t="s">
        <v>1098</v>
      </c>
      <c r="C1310" s="7">
        <f>3</f>
        <v>3</v>
      </c>
      <c r="D1310" s="7">
        <v>3.0</v>
      </c>
      <c r="E1310" s="7">
        <v>2.0</v>
      </c>
      <c r="F1310" s="7" t="s">
        <v>83</v>
      </c>
      <c r="G1310" s="7" t="s">
        <v>630</v>
      </c>
      <c r="H1310" s="9" t="s">
        <v>2979</v>
      </c>
      <c r="I1310" t="s">
        <v>3257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 t="str">
        <f t="shared" si="1"/>
        <v>Built-up :</v>
      </c>
      <c r="AE1310" s="7" t="str">
        <f t="shared" si="2"/>
        <v> sq. ft.</v>
      </c>
      <c r="AF1310">
        <f>IFERROR(__xludf.DUMMYFUNCTION("VALUE(REGEXREPLACE(G1310,""[^[:digit:]]"", """"))"),1186.0)</f>
        <v>1186</v>
      </c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 t="s">
        <v>27</v>
      </c>
    </row>
    <row r="1311">
      <c r="A1311" s="7" t="s">
        <v>155</v>
      </c>
      <c r="B1311" s="7" t="s">
        <v>156</v>
      </c>
      <c r="C1311" s="7">
        <f>3+1</f>
        <v>4</v>
      </c>
      <c r="D1311" s="7">
        <v>4.0</v>
      </c>
      <c r="E1311" s="7">
        <v>2.0</v>
      </c>
      <c r="F1311" s="7" t="s">
        <v>83</v>
      </c>
      <c r="G1311" s="7" t="s">
        <v>345</v>
      </c>
      <c r="H1311" s="9" t="s">
        <v>2979</v>
      </c>
      <c r="I1311" t="s">
        <v>3119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 t="str">
        <f t="shared" si="1"/>
        <v>Built-up :</v>
      </c>
      <c r="AE1311" s="7" t="str">
        <f t="shared" si="2"/>
        <v> sq. ft.</v>
      </c>
      <c r="AF1311">
        <f>IFERROR(__xludf.DUMMYFUNCTION("VALUE(REGEXREPLACE(G1311,""[^[:digit:]]"", """"))"),1381.0)</f>
        <v>1381</v>
      </c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 t="s">
        <v>27</v>
      </c>
    </row>
    <row r="1312">
      <c r="A1312" s="7" t="s">
        <v>155</v>
      </c>
      <c r="B1312" s="7" t="s">
        <v>967</v>
      </c>
      <c r="C1312" s="7">
        <f>2+1</f>
        <v>3</v>
      </c>
      <c r="D1312" s="7">
        <v>3.0</v>
      </c>
      <c r="E1312" s="7">
        <v>1.0</v>
      </c>
      <c r="F1312" s="7" t="s">
        <v>83</v>
      </c>
      <c r="G1312" s="7" t="s">
        <v>952</v>
      </c>
      <c r="H1312" s="9" t="s">
        <v>2979</v>
      </c>
      <c r="I1312" t="s">
        <v>3423</v>
      </c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 t="str">
        <f t="shared" si="1"/>
        <v>Built-up :</v>
      </c>
      <c r="AE1312" s="7" t="str">
        <f t="shared" si="2"/>
        <v> sq. ft.</v>
      </c>
      <c r="AF1312">
        <f>IFERROR(__xludf.DUMMYFUNCTION("VALUE(REGEXREPLACE(G1312,""[^[:digit:]]"", """"))"),999.0)</f>
        <v>999</v>
      </c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 t="s">
        <v>27</v>
      </c>
    </row>
    <row r="1313">
      <c r="A1313" s="7" t="s">
        <v>155</v>
      </c>
      <c r="B1313" s="7" t="s">
        <v>229</v>
      </c>
      <c r="C1313" s="7">
        <f t="shared" ref="C1313:C1314" si="139">3+1</f>
        <v>4</v>
      </c>
      <c r="D1313" s="7">
        <v>4.0</v>
      </c>
      <c r="E1313" s="7">
        <v>2.0</v>
      </c>
      <c r="F1313" s="7" t="s">
        <v>83</v>
      </c>
      <c r="G1313" s="7" t="s">
        <v>1246</v>
      </c>
      <c r="H1313" s="9" t="s">
        <v>2979</v>
      </c>
      <c r="I1313" t="s">
        <v>3604</v>
      </c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 t="str">
        <f t="shared" si="1"/>
        <v>Built-up :</v>
      </c>
      <c r="AE1313" s="7" t="str">
        <f t="shared" si="2"/>
        <v> sq. ft.</v>
      </c>
      <c r="AF1313">
        <f>IFERROR(__xludf.DUMMYFUNCTION("VALUE(REGEXREPLACE(G1313,""[^[:digit:]]"", """"))"),1567.0)</f>
        <v>1567</v>
      </c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 t="s">
        <v>27</v>
      </c>
    </row>
    <row r="1314">
      <c r="A1314" s="7" t="s">
        <v>155</v>
      </c>
      <c r="B1314" s="7" t="s">
        <v>191</v>
      </c>
      <c r="C1314" s="7">
        <f t="shared" si="139"/>
        <v>4</v>
      </c>
      <c r="D1314" s="7">
        <v>4.0</v>
      </c>
      <c r="E1314" s="7">
        <v>2.0</v>
      </c>
      <c r="F1314" s="7" t="s">
        <v>83</v>
      </c>
      <c r="G1314" s="7" t="s">
        <v>382</v>
      </c>
      <c r="H1314" s="9" t="s">
        <v>2979</v>
      </c>
      <c r="I1314" t="s">
        <v>3136</v>
      </c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 t="str">
        <f t="shared" si="1"/>
        <v>Built-up :</v>
      </c>
      <c r="AE1314" s="7" t="str">
        <f t="shared" si="2"/>
        <v> sq. ft.</v>
      </c>
      <c r="AF1314">
        <f>IFERROR(__xludf.DUMMYFUNCTION("VALUE(REGEXREPLACE(G1314,""[^[:digit:]]"", """"))"),1488.0)</f>
        <v>1488</v>
      </c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 t="s">
        <v>27</v>
      </c>
    </row>
    <row r="1315">
      <c r="A1315" s="7" t="s">
        <v>100</v>
      </c>
      <c r="B1315" s="7" t="s">
        <v>854</v>
      </c>
      <c r="C1315" s="7">
        <f>4</f>
        <v>4</v>
      </c>
      <c r="D1315" s="7">
        <v>4.0</v>
      </c>
      <c r="E1315" s="7">
        <v>2.0</v>
      </c>
      <c r="F1315" s="7" t="s">
        <v>96</v>
      </c>
      <c r="G1315" s="7" t="s">
        <v>1247</v>
      </c>
      <c r="H1315" s="9" t="s">
        <v>2979</v>
      </c>
      <c r="I1315" t="s">
        <v>3605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 t="str">
        <f t="shared" si="1"/>
        <v>Built-up :</v>
      </c>
      <c r="AE1315" s="7" t="str">
        <f t="shared" si="2"/>
        <v> sq. ft.</v>
      </c>
      <c r="AF1315">
        <f>IFERROR(__xludf.DUMMYFUNCTION("VALUE(REGEXREPLACE(G1315,""[^[:digit:]]"", """"))"),1615.0)</f>
        <v>1615</v>
      </c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 t="s">
        <v>22</v>
      </c>
    </row>
    <row r="1316">
      <c r="A1316" s="7" t="s">
        <v>371</v>
      </c>
      <c r="B1316" s="7" t="s">
        <v>419</v>
      </c>
      <c r="C1316" s="7">
        <f>3+1</f>
        <v>4</v>
      </c>
      <c r="D1316" s="7">
        <v>4.0</v>
      </c>
      <c r="E1316" s="7">
        <v>2.0</v>
      </c>
      <c r="F1316" s="7" t="s">
        <v>96</v>
      </c>
      <c r="G1316" s="7" t="s">
        <v>1198</v>
      </c>
      <c r="H1316" s="9" t="s">
        <v>2979</v>
      </c>
      <c r="I1316" t="s">
        <v>3573</v>
      </c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 t="str">
        <f t="shared" si="1"/>
        <v>Built-up :</v>
      </c>
      <c r="AE1316" s="7" t="str">
        <f t="shared" si="2"/>
        <v> sq. ft.</v>
      </c>
      <c r="AF1316">
        <f>IFERROR(__xludf.DUMMYFUNCTION("VALUE(REGEXREPLACE(G1316,""[^[:digit:]]"", """"))"),1712.0)</f>
        <v>1712</v>
      </c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 t="s">
        <v>27</v>
      </c>
    </row>
    <row r="1317">
      <c r="A1317" s="7" t="s">
        <v>188</v>
      </c>
      <c r="B1317" s="7" t="s">
        <v>1248</v>
      </c>
      <c r="C1317" s="7">
        <f>3</f>
        <v>3</v>
      </c>
      <c r="D1317" s="7">
        <v>2.0</v>
      </c>
      <c r="E1317" s="7">
        <v>2.0</v>
      </c>
      <c r="F1317" s="7" t="s">
        <v>20</v>
      </c>
      <c r="G1317" s="7" t="s">
        <v>1249</v>
      </c>
      <c r="H1317" s="9" t="s">
        <v>2979</v>
      </c>
      <c r="I1317" t="s">
        <v>3606</v>
      </c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 t="str">
        <f t="shared" si="1"/>
        <v>Built-up :</v>
      </c>
      <c r="AE1317" s="7" t="str">
        <f t="shared" si="2"/>
        <v> sq. ft.</v>
      </c>
      <c r="AF1317">
        <f>IFERROR(__xludf.DUMMYFUNCTION("VALUE(REGEXREPLACE(G1317,""[^[:digit:]]"", """"))"),1555.0)</f>
        <v>1555</v>
      </c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 t="s">
        <v>22</v>
      </c>
    </row>
    <row r="1318">
      <c r="A1318" s="7" t="s">
        <v>371</v>
      </c>
      <c r="B1318" s="7" t="s">
        <v>311</v>
      </c>
      <c r="C1318" s="7">
        <f t="shared" ref="C1318:C1319" si="140">3+1</f>
        <v>4</v>
      </c>
      <c r="D1318" s="7">
        <v>4.0</v>
      </c>
      <c r="E1318" s="7">
        <v>2.0</v>
      </c>
      <c r="F1318" s="7" t="s">
        <v>96</v>
      </c>
      <c r="G1318" s="7" t="s">
        <v>1165</v>
      </c>
      <c r="H1318" s="9" t="s">
        <v>2979</v>
      </c>
      <c r="I1318" t="s">
        <v>3551</v>
      </c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 t="str">
        <f t="shared" si="1"/>
        <v>Built-up :</v>
      </c>
      <c r="AE1318" s="7" t="str">
        <f t="shared" si="2"/>
        <v> sq. ft.</v>
      </c>
      <c r="AF1318">
        <f>IFERROR(__xludf.DUMMYFUNCTION("VALUE(REGEXREPLACE(G1318,""[^[:digit:]]"", """"))"),1759.0)</f>
        <v>1759</v>
      </c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 t="s">
        <v>27</v>
      </c>
    </row>
    <row r="1319">
      <c r="A1319" s="7" t="s">
        <v>100</v>
      </c>
      <c r="B1319" s="7" t="s">
        <v>229</v>
      </c>
      <c r="C1319" s="7">
        <f t="shared" si="140"/>
        <v>4</v>
      </c>
      <c r="D1319" s="7">
        <v>4.0</v>
      </c>
      <c r="E1319" s="7">
        <v>2.0</v>
      </c>
      <c r="F1319" s="7" t="s">
        <v>83</v>
      </c>
      <c r="G1319" s="7" t="s">
        <v>31</v>
      </c>
      <c r="H1319" s="9" t="s">
        <v>2979</v>
      </c>
      <c r="I1319" t="s">
        <v>2983</v>
      </c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 t="str">
        <f t="shared" si="1"/>
        <v>Built-up :</v>
      </c>
      <c r="AE1319" s="7" t="str">
        <f t="shared" si="2"/>
        <v> sq. ft.</v>
      </c>
      <c r="AF1319">
        <f>IFERROR(__xludf.DUMMYFUNCTION("VALUE(REGEXREPLACE(G1319,""[^[:digit:]]"", """"))"),1875.0)</f>
        <v>1875</v>
      </c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 t="s">
        <v>103</v>
      </c>
    </row>
    <row r="1320">
      <c r="A1320" s="7" t="s">
        <v>89</v>
      </c>
      <c r="B1320" s="7" t="s">
        <v>1250</v>
      </c>
      <c r="C1320" s="7">
        <f>4+1</f>
        <v>5</v>
      </c>
      <c r="D1320" s="7">
        <v>5.0</v>
      </c>
      <c r="E1320" s="7">
        <v>4.0</v>
      </c>
      <c r="F1320" s="7" t="s">
        <v>487</v>
      </c>
      <c r="G1320" s="7" t="s">
        <v>1251</v>
      </c>
      <c r="H1320" s="9" t="s">
        <v>2981</v>
      </c>
      <c r="I1320" t="s">
        <v>3607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 t="str">
        <f t="shared" si="1"/>
        <v>Land area </v>
      </c>
      <c r="AE1320" s="7" t="str">
        <f t="shared" si="2"/>
        <v> sq. ft.</v>
      </c>
      <c r="AF1320">
        <f>IFERROR(__xludf.DUMMYFUNCTION("VALUE(REGEXREPLACE(G1320,""[^[:digit:]]"", """"))"),4065.0)</f>
        <v>4065</v>
      </c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 t="s">
        <v>27</v>
      </c>
    </row>
    <row r="1321">
      <c r="A1321" s="7" t="s">
        <v>100</v>
      </c>
      <c r="B1321" s="7" t="s">
        <v>134</v>
      </c>
      <c r="C1321" s="7">
        <f>2+2</f>
        <v>4</v>
      </c>
      <c r="D1321" s="7">
        <v>2.0</v>
      </c>
      <c r="E1321" s="7">
        <v>2.0</v>
      </c>
      <c r="F1321" s="7" t="s">
        <v>96</v>
      </c>
      <c r="G1321" s="7" t="s">
        <v>1252</v>
      </c>
      <c r="H1321" s="9" t="s">
        <v>2979</v>
      </c>
      <c r="I1321" t="s">
        <v>3608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 t="str">
        <f t="shared" si="1"/>
        <v>Built-up :</v>
      </c>
      <c r="AE1321" s="7" t="str">
        <f t="shared" si="2"/>
        <v> sq. ft.</v>
      </c>
      <c r="AF1321">
        <f>IFERROR(__xludf.DUMMYFUNCTION("VALUE(REGEXREPLACE(G1321,""[^[:digit:]]"", """"))"),1707.0)</f>
        <v>1707</v>
      </c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 t="s">
        <v>103</v>
      </c>
    </row>
    <row r="1322">
      <c r="A1322" s="7" t="s">
        <v>104</v>
      </c>
      <c r="B1322" s="7" t="s">
        <v>18</v>
      </c>
      <c r="C1322" s="7">
        <f>6</f>
        <v>6</v>
      </c>
      <c r="D1322" s="7">
        <v>4.0</v>
      </c>
      <c r="E1322" s="9">
        <v>2.0</v>
      </c>
      <c r="F1322" s="7" t="s">
        <v>184</v>
      </c>
      <c r="G1322" s="7" t="s">
        <v>1253</v>
      </c>
      <c r="H1322" s="9" t="s">
        <v>2981</v>
      </c>
      <c r="I1322" t="s">
        <v>3609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 t="str">
        <f t="shared" si="1"/>
        <v>Land area </v>
      </c>
      <c r="AE1322" s="7" t="str">
        <f t="shared" si="2"/>
        <v> sq. ft.</v>
      </c>
      <c r="AF1322">
        <f>IFERROR(__xludf.DUMMYFUNCTION("VALUE(REGEXREPLACE(G1322,""[^[:digit:]]"", """"))"),3458.0)</f>
        <v>3458</v>
      </c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</row>
    <row r="1323">
      <c r="A1323" s="7" t="s">
        <v>267</v>
      </c>
      <c r="B1323" s="7" t="s">
        <v>221</v>
      </c>
      <c r="C1323" s="7">
        <f>3</f>
        <v>3</v>
      </c>
      <c r="D1323" s="7">
        <v>2.0</v>
      </c>
      <c r="E1323" s="7">
        <v>1.0</v>
      </c>
      <c r="F1323" s="7" t="s">
        <v>20</v>
      </c>
      <c r="G1323" s="7" t="s">
        <v>954</v>
      </c>
      <c r="H1323" s="9" t="s">
        <v>2979</v>
      </c>
      <c r="I1323" t="s">
        <v>3424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 t="str">
        <f t="shared" si="1"/>
        <v>Built-up :</v>
      </c>
      <c r="AE1323" s="7" t="str">
        <f t="shared" si="2"/>
        <v> sq. ft.</v>
      </c>
      <c r="AF1323">
        <f>IFERROR(__xludf.DUMMYFUNCTION("VALUE(REGEXREPLACE(G1323,""[^[:digit:]]"", """"))"),935.0)</f>
        <v>935</v>
      </c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 t="s">
        <v>27</v>
      </c>
    </row>
    <row r="1324">
      <c r="A1324" s="7" t="s">
        <v>32</v>
      </c>
      <c r="B1324" s="7" t="s">
        <v>807</v>
      </c>
      <c r="C1324" s="7">
        <f>5</f>
        <v>5</v>
      </c>
      <c r="D1324" s="7">
        <v>5.0</v>
      </c>
      <c r="E1324" s="7">
        <v>4.0</v>
      </c>
      <c r="F1324" s="7" t="s">
        <v>90</v>
      </c>
      <c r="G1324" s="7" t="s">
        <v>170</v>
      </c>
      <c r="H1324" s="9" t="s">
        <v>2981</v>
      </c>
      <c r="I1324" t="s">
        <v>3037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 t="str">
        <f t="shared" si="1"/>
        <v>Land area </v>
      </c>
      <c r="AE1324" s="7" t="str">
        <f t="shared" si="2"/>
        <v> sq. ft.</v>
      </c>
      <c r="AF1324" s="7">
        <v>1800.0</v>
      </c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 t="s">
        <v>27</v>
      </c>
    </row>
    <row r="1325">
      <c r="A1325" s="7" t="s">
        <v>177</v>
      </c>
      <c r="B1325" s="7" t="s">
        <v>1254</v>
      </c>
      <c r="C1325" s="7">
        <f>4+1</f>
        <v>5</v>
      </c>
      <c r="D1325" s="7">
        <v>6.0</v>
      </c>
      <c r="E1325" s="7">
        <v>3.0</v>
      </c>
      <c r="F1325" s="7" t="s">
        <v>30</v>
      </c>
      <c r="G1325" s="7" t="s">
        <v>574</v>
      </c>
      <c r="H1325" s="9" t="s">
        <v>2979</v>
      </c>
      <c r="I1325" t="s">
        <v>3232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 t="str">
        <f t="shared" si="1"/>
        <v>Built-up :</v>
      </c>
      <c r="AE1325" s="7" t="str">
        <f t="shared" si="2"/>
        <v> sq. ft.</v>
      </c>
      <c r="AF1325">
        <f>IFERROR(__xludf.DUMMYFUNCTION("VALUE(REGEXREPLACE(G1325,""[^[:digit:]]"", """"))"),4945.0)</f>
        <v>4945</v>
      </c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 t="s">
        <v>27</v>
      </c>
    </row>
    <row r="1326">
      <c r="A1326" s="7" t="s">
        <v>177</v>
      </c>
      <c r="B1326" s="7" t="s">
        <v>1255</v>
      </c>
      <c r="C1326" s="7">
        <f>3+1</f>
        <v>4</v>
      </c>
      <c r="D1326" s="7">
        <v>5.0</v>
      </c>
      <c r="E1326" s="7">
        <v>3.0</v>
      </c>
      <c r="F1326" s="7" t="s">
        <v>30</v>
      </c>
      <c r="G1326" s="7" t="s">
        <v>572</v>
      </c>
      <c r="H1326" s="9" t="s">
        <v>2979</v>
      </c>
      <c r="I1326" t="s">
        <v>3231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 t="str">
        <f t="shared" si="1"/>
        <v>Built-up :</v>
      </c>
      <c r="AE1326" s="7" t="str">
        <f t="shared" si="2"/>
        <v> sq. ft.</v>
      </c>
      <c r="AF1326">
        <f>IFERROR(__xludf.DUMMYFUNCTION("VALUE(REGEXREPLACE(G1326,""[^[:digit:]]"", """"))"),4025.0)</f>
        <v>4025</v>
      </c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 t="s">
        <v>27</v>
      </c>
    </row>
    <row r="1327">
      <c r="A1327" s="7" t="s">
        <v>177</v>
      </c>
      <c r="B1327" s="7" t="s">
        <v>1256</v>
      </c>
      <c r="C1327" s="7">
        <f t="shared" ref="C1327:C1328" si="141">4+1</f>
        <v>5</v>
      </c>
      <c r="D1327" s="7">
        <v>6.0</v>
      </c>
      <c r="E1327" s="7">
        <v>3.0</v>
      </c>
      <c r="F1327" s="7" t="s">
        <v>30</v>
      </c>
      <c r="G1327" s="7" t="s">
        <v>550</v>
      </c>
      <c r="H1327" s="9" t="s">
        <v>2979</v>
      </c>
      <c r="I1327" t="s">
        <v>3220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 t="str">
        <f t="shared" si="1"/>
        <v>Built-up :</v>
      </c>
      <c r="AE1327" s="7" t="str">
        <f t="shared" si="2"/>
        <v> sq. ft.</v>
      </c>
      <c r="AF1327">
        <f>IFERROR(__xludf.DUMMYFUNCTION("VALUE(REGEXREPLACE(G1327,""[^[:digit:]]"", """"))"),4771.0)</f>
        <v>4771</v>
      </c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 t="s">
        <v>27</v>
      </c>
    </row>
    <row r="1328">
      <c r="A1328" s="7" t="s">
        <v>177</v>
      </c>
      <c r="B1328" s="7" t="s">
        <v>1257</v>
      </c>
      <c r="C1328" s="7">
        <f t="shared" si="141"/>
        <v>5</v>
      </c>
      <c r="D1328" s="7">
        <v>6.0</v>
      </c>
      <c r="E1328" s="7">
        <v>4.0</v>
      </c>
      <c r="F1328" s="7" t="s">
        <v>30</v>
      </c>
      <c r="G1328" s="7" t="s">
        <v>586</v>
      </c>
      <c r="H1328" s="9" t="s">
        <v>2979</v>
      </c>
      <c r="I1328" t="s">
        <v>3236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 t="str">
        <f t="shared" si="1"/>
        <v>Built-up :</v>
      </c>
      <c r="AE1328" s="7" t="str">
        <f t="shared" si="2"/>
        <v> sq. ft.</v>
      </c>
      <c r="AF1328">
        <f>IFERROR(__xludf.DUMMYFUNCTION("VALUE(REGEXREPLACE(G1328,""[^[:digit:]]"", """"))"),5137.0)</f>
        <v>5137</v>
      </c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 t="s">
        <v>27</v>
      </c>
    </row>
    <row r="1329">
      <c r="A1329" s="7" t="s">
        <v>104</v>
      </c>
      <c r="B1329" s="7" t="s">
        <v>1258</v>
      </c>
      <c r="C1329" s="7">
        <f>3</f>
        <v>3</v>
      </c>
      <c r="D1329" s="7">
        <v>2.0</v>
      </c>
      <c r="E1329" s="7">
        <v>1.0</v>
      </c>
      <c r="F1329" s="7" t="s">
        <v>93</v>
      </c>
      <c r="G1329" s="7" t="s">
        <v>1178</v>
      </c>
      <c r="H1329" s="9" t="s">
        <v>2979</v>
      </c>
      <c r="I1329" t="s">
        <v>3561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 t="str">
        <f t="shared" si="1"/>
        <v>Built-up :</v>
      </c>
      <c r="AE1329" s="7" t="str">
        <f t="shared" si="2"/>
        <v> sq. ft.</v>
      </c>
      <c r="AF1329">
        <f>IFERROR(__xludf.DUMMYFUNCTION("VALUE(REGEXREPLACE(G1329,""[^[:digit:]]"", """"))"),930.0)</f>
        <v>930</v>
      </c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 t="s">
        <v>27</v>
      </c>
    </row>
    <row r="1330">
      <c r="A1330" s="7" t="s">
        <v>72</v>
      </c>
      <c r="B1330" s="7" t="s">
        <v>1259</v>
      </c>
      <c r="C1330" s="7">
        <f>6+1</f>
        <v>7</v>
      </c>
      <c r="D1330" s="7">
        <v>5.0</v>
      </c>
      <c r="E1330" s="7">
        <v>5.0</v>
      </c>
      <c r="F1330" s="7" t="s">
        <v>43</v>
      </c>
      <c r="G1330" s="7" t="s">
        <v>1260</v>
      </c>
      <c r="H1330" s="9" t="s">
        <v>2981</v>
      </c>
      <c r="I1330" t="s">
        <v>2988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 t="str">
        <f t="shared" si="1"/>
        <v>Land area </v>
      </c>
      <c r="AE1330" s="7" t="str">
        <f t="shared" si="2"/>
        <v> sq. ft.</v>
      </c>
      <c r="AF1330">
        <f>IFERROR(__xludf.DUMMYFUNCTION("VALUE(REGEXREPLACE(G1330,""[^[:digit:]]"", """"))"),4090.0)</f>
        <v>4090</v>
      </c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 t="s">
        <v>22</v>
      </c>
    </row>
    <row r="1331">
      <c r="A1331" s="7" t="s">
        <v>72</v>
      </c>
      <c r="B1331" s="7" t="s">
        <v>120</v>
      </c>
      <c r="C1331" s="7">
        <f>4</f>
        <v>4</v>
      </c>
      <c r="D1331" s="7">
        <v>4.0</v>
      </c>
      <c r="E1331" s="7">
        <v>4.0</v>
      </c>
      <c r="F1331" s="7" t="s">
        <v>1036</v>
      </c>
      <c r="G1331" s="7" t="s">
        <v>1024</v>
      </c>
      <c r="H1331" s="9" t="s">
        <v>2981</v>
      </c>
      <c r="I1331" t="s">
        <v>3460</v>
      </c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 t="str">
        <f t="shared" si="1"/>
        <v>Land area </v>
      </c>
      <c r="AE1331" s="7" t="str">
        <f t="shared" si="2"/>
        <v> sq. ft.</v>
      </c>
      <c r="AF1331">
        <f>IFERROR(__xludf.DUMMYFUNCTION("VALUE(REGEXREPLACE(G1331,""[^[:digit:]]"", """"))"),2000.0)</f>
        <v>2000</v>
      </c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 t="s">
        <v>22</v>
      </c>
    </row>
    <row r="1332">
      <c r="A1332" s="7" t="s">
        <v>104</v>
      </c>
      <c r="B1332" s="7" t="s">
        <v>1261</v>
      </c>
      <c r="C1332" s="7">
        <f>6</f>
        <v>6</v>
      </c>
      <c r="D1332" s="7">
        <v>5.0</v>
      </c>
      <c r="E1332" s="7">
        <v>6.0</v>
      </c>
      <c r="F1332" s="7" t="s">
        <v>67</v>
      </c>
      <c r="G1332" s="7" t="s">
        <v>631</v>
      </c>
      <c r="H1332" s="9" t="s">
        <v>2981</v>
      </c>
      <c r="I1332" t="s">
        <v>3258</v>
      </c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 t="str">
        <f t="shared" si="1"/>
        <v>Land area </v>
      </c>
      <c r="AE1332" s="7" t="str">
        <f t="shared" si="2"/>
        <v> sq. ft.</v>
      </c>
      <c r="AF1332">
        <f>IFERROR(__xludf.DUMMYFUNCTION("VALUE(REGEXREPLACE(G1332,""[^[:digit:]]"", """"))"),5000.0)</f>
        <v>5000</v>
      </c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 t="s">
        <v>27</v>
      </c>
    </row>
    <row r="1333">
      <c r="A1333" s="7" t="s">
        <v>104</v>
      </c>
      <c r="B1333" s="7" t="s">
        <v>403</v>
      </c>
      <c r="C1333" s="7">
        <f>5</f>
        <v>5</v>
      </c>
      <c r="D1333" s="7">
        <v>4.0</v>
      </c>
      <c r="E1333" s="7">
        <v>5.0</v>
      </c>
      <c r="F1333" s="7" t="s">
        <v>184</v>
      </c>
      <c r="G1333" s="7" t="s">
        <v>1117</v>
      </c>
      <c r="H1333" s="9" t="s">
        <v>2981</v>
      </c>
      <c r="I1333" t="s">
        <v>3514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 t="s">
        <v>3101</v>
      </c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 t="str">
        <f t="shared" si="1"/>
        <v>Land area </v>
      </c>
      <c r="AE1333" s="7" t="str">
        <f t="shared" si="2"/>
        <v> sq. ft.</v>
      </c>
      <c r="AF1333">
        <f>IFERROR(__xludf.DUMMYFUNCTION("VALUE(REGEXREPLACE(G1333,""[^[:digit:]]"", """"))"),4285.0)</f>
        <v>4285</v>
      </c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 t="s">
        <v>27</v>
      </c>
    </row>
    <row r="1334">
      <c r="A1334" s="7" t="s">
        <v>104</v>
      </c>
      <c r="B1334" s="7" t="s">
        <v>45</v>
      </c>
      <c r="C1334" s="7">
        <f>5+1</f>
        <v>6</v>
      </c>
      <c r="D1334" s="7">
        <v>5.0</v>
      </c>
      <c r="E1334" s="7">
        <v>3.0</v>
      </c>
      <c r="F1334" s="7" t="s">
        <v>43</v>
      </c>
      <c r="G1334" s="7" t="s">
        <v>1262</v>
      </c>
      <c r="H1334" s="9" t="s">
        <v>2981</v>
      </c>
      <c r="I1334" t="s">
        <v>3610</v>
      </c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 t="str">
        <f t="shared" si="1"/>
        <v>Land area </v>
      </c>
      <c r="AE1334" s="7" t="str">
        <f t="shared" si="2"/>
        <v> sq. ft.</v>
      </c>
      <c r="AF1334" s="7">
        <v>2625.0</v>
      </c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 t="s">
        <v>27</v>
      </c>
    </row>
    <row r="1335">
      <c r="A1335" s="7" t="s">
        <v>358</v>
      </c>
      <c r="B1335" s="7" t="s">
        <v>210</v>
      </c>
      <c r="C1335" s="7">
        <f t="shared" ref="C1335:C1336" si="142">5</f>
        <v>5</v>
      </c>
      <c r="D1335" s="7">
        <v>5.0</v>
      </c>
      <c r="E1335" s="7">
        <v>2.0</v>
      </c>
      <c r="F1335" s="7" t="s">
        <v>90</v>
      </c>
      <c r="G1335" s="7" t="s">
        <v>211</v>
      </c>
      <c r="H1335" s="9" t="s">
        <v>2981</v>
      </c>
      <c r="I1335" t="s">
        <v>2992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 t="s">
        <v>2993</v>
      </c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 t="str">
        <f t="shared" si="1"/>
        <v>Land area </v>
      </c>
      <c r="AE1335" s="7" t="str">
        <f t="shared" si="2"/>
        <v> sq. ft.</v>
      </c>
      <c r="AF1335">
        <f>IFERROR(__xludf.DUMMYFUNCTION("VALUE(REGEXREPLACE(G1335,""[^[:digit:]]"", """"))"),2280.0)</f>
        <v>2280</v>
      </c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 t="s">
        <v>27</v>
      </c>
    </row>
    <row r="1336">
      <c r="A1336" s="7" t="s">
        <v>72</v>
      </c>
      <c r="B1336" s="7" t="s">
        <v>130</v>
      </c>
      <c r="C1336" s="7">
        <f t="shared" si="142"/>
        <v>5</v>
      </c>
      <c r="D1336" s="7">
        <v>5.0</v>
      </c>
      <c r="E1336" s="7">
        <v>3.0</v>
      </c>
      <c r="F1336" s="7" t="s">
        <v>43</v>
      </c>
      <c r="G1336" s="7" t="s">
        <v>1263</v>
      </c>
      <c r="H1336" s="9" t="s">
        <v>2981</v>
      </c>
      <c r="I1336" t="s">
        <v>3611</v>
      </c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 t="str">
        <f t="shared" si="1"/>
        <v>Land area </v>
      </c>
      <c r="AE1336" s="7" t="str">
        <f t="shared" si="2"/>
        <v> sq. ft.</v>
      </c>
      <c r="AF1336">
        <f>IFERROR(__xludf.DUMMYFUNCTION("VALUE(REGEXREPLACE(G1336,""[^[:digit:]]"", """"))"),3220.0)</f>
        <v>3220</v>
      </c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 t="s">
        <v>22</v>
      </c>
    </row>
    <row r="1337">
      <c r="A1337" s="7" t="s">
        <v>580</v>
      </c>
      <c r="B1337" s="7" t="s">
        <v>53</v>
      </c>
      <c r="C1337" s="7">
        <f>6</f>
        <v>6</v>
      </c>
      <c r="D1337" s="7">
        <v>4.0</v>
      </c>
      <c r="E1337" s="7">
        <v>2.0</v>
      </c>
      <c r="F1337" s="7" t="s">
        <v>184</v>
      </c>
      <c r="G1337" s="7" t="s">
        <v>1264</v>
      </c>
      <c r="H1337" s="9" t="s">
        <v>2981</v>
      </c>
      <c r="I1337" t="s">
        <v>3514</v>
      </c>
      <c r="J1337" s="7"/>
      <c r="K1337" s="7"/>
      <c r="L1337" s="7"/>
      <c r="M1337" s="7"/>
      <c r="N1337" s="7"/>
      <c r="O1337" s="7"/>
      <c r="P1337" s="7"/>
      <c r="Q1337" s="7"/>
      <c r="R1337" s="7"/>
      <c r="S1337" s="7" t="s">
        <v>3101</v>
      </c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 t="str">
        <f t="shared" si="1"/>
        <v>Land area </v>
      </c>
      <c r="AE1337" s="7" t="str">
        <f t="shared" si="2"/>
        <v> sq. ft.</v>
      </c>
      <c r="AF1337" s="7">
        <v>3570.0</v>
      </c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 t="s">
        <v>27</v>
      </c>
    </row>
    <row r="1338">
      <c r="A1338" s="7" t="s">
        <v>177</v>
      </c>
      <c r="C1338" s="7">
        <f>3</f>
        <v>3</v>
      </c>
      <c r="D1338" s="7">
        <v>3.0</v>
      </c>
      <c r="E1338" s="7">
        <v>1.0</v>
      </c>
      <c r="F1338" s="7" t="s">
        <v>54</v>
      </c>
      <c r="G1338" s="7" t="s">
        <v>719</v>
      </c>
      <c r="H1338" s="9" t="s">
        <v>2981</v>
      </c>
      <c r="I1338" t="s">
        <v>3299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 t="s">
        <v>3101</v>
      </c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 t="str">
        <f t="shared" si="1"/>
        <v>Land area </v>
      </c>
      <c r="AE1338" s="7" t="str">
        <f t="shared" si="2"/>
        <v> sq. ft.</v>
      </c>
      <c r="AF1338">
        <f>IFERROR(__xludf.DUMMYFUNCTION("VALUE(REGEXREPLACE(G1338,""[^[:digit:]]"", """"))"),2285.0)</f>
        <v>2285</v>
      </c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 t="s">
        <v>27</v>
      </c>
    </row>
    <row r="1339">
      <c r="A1339" s="7" t="s">
        <v>100</v>
      </c>
      <c r="B1339" s="7" t="s">
        <v>1104</v>
      </c>
      <c r="C1339" s="7">
        <f>3+1</f>
        <v>4</v>
      </c>
      <c r="D1339" s="7">
        <v>3.0</v>
      </c>
      <c r="E1339" s="7">
        <v>2.0</v>
      </c>
      <c r="F1339" s="7" t="s">
        <v>93</v>
      </c>
      <c r="G1339" s="7" t="s">
        <v>1190</v>
      </c>
      <c r="H1339" s="9" t="s">
        <v>2979</v>
      </c>
      <c r="I1339" t="s">
        <v>3568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 t="str">
        <f t="shared" si="1"/>
        <v>Built-up :</v>
      </c>
      <c r="AE1339" s="7" t="str">
        <f t="shared" si="2"/>
        <v> sq. ft.</v>
      </c>
      <c r="AF1339">
        <f>IFERROR(__xludf.DUMMYFUNCTION("VALUE(REGEXREPLACE(G1339,""[^[:digit:]]"", """"))"),1710.0)</f>
        <v>1710</v>
      </c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 t="s">
        <v>27</v>
      </c>
    </row>
    <row r="1340">
      <c r="A1340" s="7" t="s">
        <v>358</v>
      </c>
      <c r="B1340" s="7" t="s">
        <v>1265</v>
      </c>
      <c r="C1340" s="7">
        <f>2</f>
        <v>2</v>
      </c>
      <c r="D1340" s="7">
        <v>2.0</v>
      </c>
      <c r="E1340" s="9">
        <v>2.0</v>
      </c>
      <c r="F1340" s="7" t="s">
        <v>54</v>
      </c>
      <c r="G1340" s="7" t="s">
        <v>1141</v>
      </c>
      <c r="H1340" s="9" t="s">
        <v>2981</v>
      </c>
      <c r="I1340" t="s">
        <v>3531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 t="s">
        <v>3532</v>
      </c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 t="str">
        <f t="shared" si="1"/>
        <v>Land area </v>
      </c>
      <c r="AE1340" s="7" t="str">
        <f t="shared" si="2"/>
        <v> sq. ft.</v>
      </c>
      <c r="AF1340">
        <f>IFERROR(__xludf.DUMMYFUNCTION("VALUE(REGEXREPLACE(G1340,""[^[:digit:]]"", """"))"),1443.0)</f>
        <v>1443</v>
      </c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 t="s">
        <v>27</v>
      </c>
    </row>
    <row r="1341">
      <c r="A1341" s="7" t="s">
        <v>28</v>
      </c>
      <c r="B1341" s="7" t="s">
        <v>139</v>
      </c>
      <c r="C1341" s="7">
        <f t="shared" ref="C1341:C1344" si="143">3</f>
        <v>3</v>
      </c>
      <c r="D1341" s="7">
        <v>2.0</v>
      </c>
      <c r="E1341" s="7">
        <v>2.0</v>
      </c>
      <c r="F1341" s="7" t="s">
        <v>30</v>
      </c>
      <c r="H1341" s="9" t="s">
        <v>2984</v>
      </c>
      <c r="I1341" t="s">
        <v>2985</v>
      </c>
      <c r="AD1341" s="7" t="str">
        <f t="shared" si="1"/>
        <v/>
      </c>
      <c r="AE1341" s="7" t="str">
        <f t="shared" si="2"/>
        <v/>
      </c>
      <c r="AF1341">
        <f>IFERROR(__xludf.DUMMYFUNCTION("VALUE(REGEXREPLACE(G1341,""[^[:digit:]]"", """"))"),0.0)</f>
        <v>0</v>
      </c>
      <c r="AS1341" s="7" t="s">
        <v>103</v>
      </c>
    </row>
    <row r="1342">
      <c r="A1342" s="7" t="s">
        <v>177</v>
      </c>
      <c r="B1342" s="7" t="s">
        <v>1124</v>
      </c>
      <c r="C1342" s="7">
        <f t="shared" si="143"/>
        <v>3</v>
      </c>
      <c r="D1342" s="7">
        <v>3.0</v>
      </c>
      <c r="E1342" s="7">
        <v>1.0</v>
      </c>
      <c r="F1342" s="7" t="s">
        <v>54</v>
      </c>
      <c r="G1342" s="7" t="s">
        <v>719</v>
      </c>
      <c r="H1342" s="9" t="s">
        <v>2981</v>
      </c>
      <c r="I1342" t="s">
        <v>3299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 t="s">
        <v>3101</v>
      </c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 t="str">
        <f t="shared" si="1"/>
        <v>Land area </v>
      </c>
      <c r="AE1342" s="7" t="str">
        <f t="shared" si="2"/>
        <v> sq. ft.</v>
      </c>
      <c r="AF1342">
        <f>IFERROR(__xludf.DUMMYFUNCTION("VALUE(REGEXREPLACE(G1342,""[^[:digit:]]"", """"))"),2285.0)</f>
        <v>2285</v>
      </c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 t="s">
        <v>27</v>
      </c>
    </row>
    <row r="1343">
      <c r="A1343" s="7" t="s">
        <v>33</v>
      </c>
      <c r="B1343" s="7" t="s">
        <v>206</v>
      </c>
      <c r="C1343" s="7">
        <f t="shared" si="143"/>
        <v>3</v>
      </c>
      <c r="D1343" s="7">
        <v>2.0</v>
      </c>
      <c r="E1343" s="7">
        <v>2.0</v>
      </c>
      <c r="F1343" s="7" t="s">
        <v>20</v>
      </c>
      <c r="G1343" s="7" t="s">
        <v>795</v>
      </c>
      <c r="H1343" s="9" t="s">
        <v>2979</v>
      </c>
      <c r="I1343" t="s">
        <v>3344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 t="str">
        <f t="shared" si="1"/>
        <v>Built-up :</v>
      </c>
      <c r="AE1343" s="7" t="str">
        <f t="shared" si="2"/>
        <v> sq. ft.</v>
      </c>
      <c r="AF1343">
        <f>IFERROR(__xludf.DUMMYFUNCTION("VALUE(REGEXREPLACE(G1343,""[^[:digit:]]"", """"))"),1170.0)</f>
        <v>1170</v>
      </c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 t="s">
        <v>27</v>
      </c>
    </row>
    <row r="1344">
      <c r="A1344" s="7" t="s">
        <v>33</v>
      </c>
      <c r="B1344" s="7" t="s">
        <v>245</v>
      </c>
      <c r="C1344" s="7">
        <f t="shared" si="143"/>
        <v>3</v>
      </c>
      <c r="D1344" s="7">
        <v>2.0</v>
      </c>
      <c r="E1344" s="7">
        <v>2.0</v>
      </c>
      <c r="F1344" s="7" t="s">
        <v>20</v>
      </c>
      <c r="G1344" s="7" t="s">
        <v>795</v>
      </c>
      <c r="H1344" s="9" t="s">
        <v>2979</v>
      </c>
      <c r="I1344" t="s">
        <v>3344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 t="str">
        <f t="shared" si="1"/>
        <v>Built-up :</v>
      </c>
      <c r="AE1344" s="7" t="str">
        <f t="shared" si="2"/>
        <v> sq. ft.</v>
      </c>
      <c r="AF1344">
        <f>IFERROR(__xludf.DUMMYFUNCTION("VALUE(REGEXREPLACE(G1344,""[^[:digit:]]"", """"))"),1170.0)</f>
        <v>1170</v>
      </c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 t="s">
        <v>27</v>
      </c>
    </row>
    <row r="1345">
      <c r="A1345" s="7" t="s">
        <v>33</v>
      </c>
      <c r="B1345" s="7" t="s">
        <v>1266</v>
      </c>
      <c r="C1345" s="7">
        <f>2</f>
        <v>2</v>
      </c>
      <c r="D1345" s="7">
        <v>2.0</v>
      </c>
      <c r="E1345" s="7">
        <v>1.0</v>
      </c>
      <c r="F1345" s="7" t="s">
        <v>20</v>
      </c>
      <c r="G1345" s="7" t="s">
        <v>976</v>
      </c>
      <c r="H1345" s="9" t="s">
        <v>2979</v>
      </c>
      <c r="I1345" t="s">
        <v>3432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 t="str">
        <f t="shared" si="1"/>
        <v>Built-up :</v>
      </c>
      <c r="AE1345" s="7" t="str">
        <f t="shared" si="2"/>
        <v> sq. ft.</v>
      </c>
      <c r="AF1345">
        <f>IFERROR(__xludf.DUMMYFUNCTION("VALUE(REGEXREPLACE(G1345,""[^[:digit:]]"", """"))"),920.0)</f>
        <v>920</v>
      </c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 t="s">
        <v>27</v>
      </c>
    </row>
    <row r="1346">
      <c r="A1346" s="7" t="s">
        <v>33</v>
      </c>
      <c r="B1346" s="7" t="s">
        <v>1267</v>
      </c>
      <c r="C1346" s="7">
        <f>1+1</f>
        <v>2</v>
      </c>
      <c r="D1346" s="7">
        <v>1.0</v>
      </c>
      <c r="E1346" s="7">
        <v>1.0</v>
      </c>
      <c r="F1346" s="7" t="s">
        <v>82</v>
      </c>
      <c r="G1346" s="7" t="s">
        <v>583</v>
      </c>
      <c r="H1346" s="9" t="s">
        <v>2979</v>
      </c>
      <c r="I1346" t="s">
        <v>3235</v>
      </c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 t="str">
        <f t="shared" si="1"/>
        <v>Built-up :</v>
      </c>
      <c r="AE1346" s="7" t="str">
        <f t="shared" si="2"/>
        <v> sq. ft.</v>
      </c>
      <c r="AF1346">
        <f>IFERROR(__xludf.DUMMYFUNCTION("VALUE(REGEXREPLACE(G1346,""[^[:digit:]]"", """"))"),721.0)</f>
        <v>721</v>
      </c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 t="s">
        <v>27</v>
      </c>
    </row>
    <row r="1347">
      <c r="A1347" s="7" t="s">
        <v>33</v>
      </c>
      <c r="B1347" s="7" t="s">
        <v>1268</v>
      </c>
      <c r="C1347" s="7">
        <f>4+1</f>
        <v>5</v>
      </c>
      <c r="D1347" s="7">
        <v>5.0</v>
      </c>
      <c r="E1347" s="7">
        <v>3.0</v>
      </c>
      <c r="F1347" s="7" t="s">
        <v>312</v>
      </c>
      <c r="G1347" s="7" t="s">
        <v>1269</v>
      </c>
      <c r="H1347" s="9" t="s">
        <v>2979</v>
      </c>
      <c r="I1347" t="s">
        <v>3612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 t="str">
        <f t="shared" si="1"/>
        <v>Built-up :</v>
      </c>
      <c r="AE1347" s="7" t="str">
        <f t="shared" si="2"/>
        <v> sq. ft.</v>
      </c>
      <c r="AF1347">
        <f>IFERROR(__xludf.DUMMYFUNCTION("VALUE(REGEXREPLACE(G1347,""[^[:digit:]]"", """"))"),2563.0)</f>
        <v>2563</v>
      </c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 t="s">
        <v>27</v>
      </c>
    </row>
    <row r="1348">
      <c r="A1348" s="7" t="s">
        <v>164</v>
      </c>
      <c r="B1348" s="7" t="s">
        <v>279</v>
      </c>
      <c r="C1348" s="7">
        <f>3</f>
        <v>3</v>
      </c>
      <c r="D1348" s="7">
        <v>2.0</v>
      </c>
      <c r="E1348" s="7">
        <v>1.0</v>
      </c>
      <c r="F1348" s="7" t="s">
        <v>83</v>
      </c>
      <c r="G1348" s="7" t="s">
        <v>845</v>
      </c>
      <c r="H1348" s="9" t="s">
        <v>2979</v>
      </c>
      <c r="I1348" t="s">
        <v>3367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 t="str">
        <f t="shared" si="1"/>
        <v>Built-up :</v>
      </c>
      <c r="AE1348" s="7" t="str">
        <f t="shared" si="2"/>
        <v> sq. ft.</v>
      </c>
      <c r="AF1348">
        <f>IFERROR(__xludf.DUMMYFUNCTION("VALUE(REGEXREPLACE(G1348,""[^[:digit:]]"", """"))"),1500.0)</f>
        <v>1500</v>
      </c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 t="s">
        <v>22</v>
      </c>
    </row>
    <row r="1349">
      <c r="A1349" s="7" t="s">
        <v>89</v>
      </c>
      <c r="B1349" s="7" t="s">
        <v>603</v>
      </c>
      <c r="C1349" s="7">
        <f>2+1</f>
        <v>3</v>
      </c>
      <c r="D1349" s="7">
        <v>2.0</v>
      </c>
      <c r="E1349" s="7">
        <v>2.0</v>
      </c>
      <c r="F1349" s="7" t="s">
        <v>82</v>
      </c>
      <c r="G1349" s="7" t="s">
        <v>764</v>
      </c>
      <c r="H1349" s="9" t="s">
        <v>2979</v>
      </c>
      <c r="I1349" t="s">
        <v>3325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 t="str">
        <f t="shared" si="1"/>
        <v>Built-up :</v>
      </c>
      <c r="AE1349" s="7" t="str">
        <f t="shared" si="2"/>
        <v> sq. ft.</v>
      </c>
      <c r="AF1349">
        <f>IFERROR(__xludf.DUMMYFUNCTION("VALUE(REGEXREPLACE(G1349,""[^[:digit:]]"", """"))"),1025.0)</f>
        <v>1025</v>
      </c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 t="s">
        <v>27</v>
      </c>
    </row>
    <row r="1350">
      <c r="A1350" s="7" t="s">
        <v>32</v>
      </c>
      <c r="B1350" s="7" t="s">
        <v>1218</v>
      </c>
      <c r="C1350" s="7">
        <f t="shared" ref="C1350:C1351" si="144">3</f>
        <v>3</v>
      </c>
      <c r="D1350" s="7">
        <v>2.0</v>
      </c>
      <c r="E1350" s="7">
        <v>1.0</v>
      </c>
      <c r="F1350" s="7" t="s">
        <v>354</v>
      </c>
      <c r="G1350" s="7" t="s">
        <v>1270</v>
      </c>
      <c r="H1350" s="9" t="s">
        <v>2979</v>
      </c>
      <c r="I1350" t="s">
        <v>3613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 t="str">
        <f t="shared" si="1"/>
        <v>Built-up :</v>
      </c>
      <c r="AE1350" s="7" t="str">
        <f t="shared" si="2"/>
        <v> sq. ft.</v>
      </c>
      <c r="AF1350">
        <f>IFERROR(__xludf.DUMMYFUNCTION("VALUE(REGEXREPLACE(G1350,""[^[:digit:]]"", """"))"),780.0)</f>
        <v>780</v>
      </c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 t="s">
        <v>27</v>
      </c>
    </row>
    <row r="1351">
      <c r="A1351" s="7" t="s">
        <v>89</v>
      </c>
      <c r="B1351" s="7" t="s">
        <v>105</v>
      </c>
      <c r="C1351" s="7">
        <f t="shared" si="144"/>
        <v>3</v>
      </c>
      <c r="D1351" s="7">
        <v>2.0</v>
      </c>
      <c r="E1351" s="7">
        <v>2.0</v>
      </c>
      <c r="F1351" s="7" t="s">
        <v>30</v>
      </c>
      <c r="G1351" s="7" t="s">
        <v>1271</v>
      </c>
      <c r="H1351" s="9" t="s">
        <v>2979</v>
      </c>
      <c r="I1351" t="s">
        <v>3614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 t="str">
        <f t="shared" si="1"/>
        <v>Built-up :</v>
      </c>
      <c r="AE1351" s="7" t="str">
        <f t="shared" si="2"/>
        <v> sq. ft.</v>
      </c>
      <c r="AF1351">
        <f>IFERROR(__xludf.DUMMYFUNCTION("VALUE(REGEXREPLACE(G1351,""[^[:digit:]]"", """"))"),1074.0)</f>
        <v>1074</v>
      </c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 t="s">
        <v>22</v>
      </c>
    </row>
    <row r="1352">
      <c r="A1352" s="7" t="s">
        <v>100</v>
      </c>
      <c r="B1352" s="7" t="s">
        <v>1272</v>
      </c>
      <c r="C1352" s="7">
        <f>3+2</f>
        <v>5</v>
      </c>
      <c r="D1352" s="7">
        <v>4.0</v>
      </c>
      <c r="E1352" s="7">
        <v>3.0</v>
      </c>
      <c r="F1352" s="7" t="s">
        <v>93</v>
      </c>
      <c r="G1352" s="7" t="s">
        <v>741</v>
      </c>
      <c r="H1352" s="9" t="s">
        <v>2979</v>
      </c>
      <c r="I1352" t="s">
        <v>3313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 t="str">
        <f t="shared" si="1"/>
        <v>Built-up :</v>
      </c>
      <c r="AE1352" s="7" t="str">
        <f t="shared" si="2"/>
        <v> sq. ft.</v>
      </c>
      <c r="AF1352">
        <f>IFERROR(__xludf.DUMMYFUNCTION("VALUE(REGEXREPLACE(G1352,""[^[:digit:]]"", """"))"),2128.0)</f>
        <v>2128</v>
      </c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 t="s">
        <v>27</v>
      </c>
    </row>
    <row r="1353">
      <c r="A1353" s="7" t="s">
        <v>155</v>
      </c>
      <c r="B1353" s="7" t="s">
        <v>967</v>
      </c>
      <c r="C1353" s="7">
        <f>2+1</f>
        <v>3</v>
      </c>
      <c r="D1353" s="7">
        <v>3.0</v>
      </c>
      <c r="E1353" s="7">
        <v>1.0</v>
      </c>
      <c r="F1353" s="7" t="s">
        <v>83</v>
      </c>
      <c r="G1353" s="7" t="s">
        <v>952</v>
      </c>
      <c r="H1353" s="9" t="s">
        <v>2979</v>
      </c>
      <c r="I1353" t="s">
        <v>3423</v>
      </c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 t="str">
        <f t="shared" si="1"/>
        <v>Built-up :</v>
      </c>
      <c r="AE1353" s="7" t="str">
        <f t="shared" si="2"/>
        <v> sq. ft.</v>
      </c>
      <c r="AF1353">
        <f>IFERROR(__xludf.DUMMYFUNCTION("VALUE(REGEXREPLACE(G1353,""[^[:digit:]]"", """"))"),999.0)</f>
        <v>999</v>
      </c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 t="s">
        <v>103</v>
      </c>
    </row>
    <row r="1354">
      <c r="A1354" s="7" t="s">
        <v>155</v>
      </c>
      <c r="B1354" s="7" t="s">
        <v>221</v>
      </c>
      <c r="C1354" s="7">
        <f>2</f>
        <v>2</v>
      </c>
      <c r="D1354" s="7">
        <v>2.0</v>
      </c>
      <c r="E1354" s="7">
        <v>1.0</v>
      </c>
      <c r="F1354" s="7" t="s">
        <v>83</v>
      </c>
      <c r="G1354" s="7" t="s">
        <v>1273</v>
      </c>
      <c r="H1354" s="9" t="s">
        <v>2979</v>
      </c>
      <c r="I1354" t="s">
        <v>3615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 t="str">
        <f t="shared" si="1"/>
        <v>Built-up :</v>
      </c>
      <c r="AE1354" s="7" t="str">
        <f t="shared" si="2"/>
        <v> sq. ft.</v>
      </c>
      <c r="AF1354">
        <f>IFERROR(__xludf.DUMMYFUNCTION("VALUE(REGEXREPLACE(G1354,""[^[:digit:]]"", """"))"),800.0)</f>
        <v>800</v>
      </c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 t="s">
        <v>27</v>
      </c>
    </row>
    <row r="1355">
      <c r="A1355" s="7" t="s">
        <v>33</v>
      </c>
      <c r="B1355" s="7" t="s">
        <v>372</v>
      </c>
      <c r="C1355" s="7">
        <f>3+1</f>
        <v>4</v>
      </c>
      <c r="D1355" s="7">
        <v>3.0</v>
      </c>
      <c r="E1355" s="7">
        <v>2.0</v>
      </c>
      <c r="F1355" s="7" t="s">
        <v>30</v>
      </c>
      <c r="G1355" s="7" t="s">
        <v>1274</v>
      </c>
      <c r="H1355" s="9" t="s">
        <v>2979</v>
      </c>
      <c r="I1355" t="s">
        <v>3616</v>
      </c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 t="str">
        <f t="shared" si="1"/>
        <v>Built-up :</v>
      </c>
      <c r="AE1355" s="7" t="str">
        <f t="shared" si="2"/>
        <v> sq. ft.</v>
      </c>
      <c r="AF1355">
        <f>IFERROR(__xludf.DUMMYFUNCTION("VALUE(REGEXREPLACE(G1355,""[^[:digit:]]"", """"))"),1457.0)</f>
        <v>1457</v>
      </c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 t="s">
        <v>103</v>
      </c>
    </row>
    <row r="1356">
      <c r="A1356" s="7" t="s">
        <v>17</v>
      </c>
      <c r="B1356" s="7" t="s">
        <v>277</v>
      </c>
      <c r="C1356" s="7">
        <f t="shared" ref="C1356:C1357" si="145">4+1</f>
        <v>5</v>
      </c>
      <c r="D1356" s="7">
        <v>6.0</v>
      </c>
      <c r="E1356" s="7">
        <v>2.0</v>
      </c>
      <c r="F1356" s="7" t="s">
        <v>30</v>
      </c>
      <c r="G1356" s="7" t="s">
        <v>1275</v>
      </c>
      <c r="H1356" s="9" t="s">
        <v>2979</v>
      </c>
      <c r="I1356" t="s">
        <v>3617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 t="str">
        <f t="shared" si="1"/>
        <v>Built-up :</v>
      </c>
      <c r="AE1356" s="7" t="str">
        <f t="shared" si="2"/>
        <v> sq. ft.</v>
      </c>
      <c r="AF1356">
        <f>IFERROR(__xludf.DUMMYFUNCTION("VALUE(REGEXREPLACE(G1356,""[^[:digit:]]"", """"))"),4520.0)</f>
        <v>4520</v>
      </c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 t="s">
        <v>27</v>
      </c>
    </row>
    <row r="1357">
      <c r="A1357" s="7" t="s">
        <v>17</v>
      </c>
      <c r="B1357" s="7" t="s">
        <v>281</v>
      </c>
      <c r="C1357" s="7">
        <f t="shared" si="145"/>
        <v>5</v>
      </c>
      <c r="D1357" s="7">
        <v>6.0</v>
      </c>
      <c r="E1357" s="7">
        <v>2.0</v>
      </c>
      <c r="F1357" s="7" t="s">
        <v>30</v>
      </c>
      <c r="G1357" s="7" t="s">
        <v>1275</v>
      </c>
      <c r="H1357" s="9" t="s">
        <v>2979</v>
      </c>
      <c r="I1357" t="s">
        <v>3617</v>
      </c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 t="str">
        <f t="shared" si="1"/>
        <v>Built-up :</v>
      </c>
      <c r="AE1357" s="7" t="str">
        <f t="shared" si="2"/>
        <v> sq. ft.</v>
      </c>
      <c r="AF1357">
        <f>IFERROR(__xludf.DUMMYFUNCTION("VALUE(REGEXREPLACE(G1357,""[^[:digit:]]"", """"))"),4520.0)</f>
        <v>4520</v>
      </c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 t="s">
        <v>27</v>
      </c>
    </row>
    <row r="1358">
      <c r="A1358" s="7" t="s">
        <v>72</v>
      </c>
      <c r="B1358" s="7" t="s">
        <v>1276</v>
      </c>
      <c r="C1358" s="7">
        <f>3+1</f>
        <v>4</v>
      </c>
      <c r="D1358" s="7">
        <v>4.0</v>
      </c>
      <c r="E1358" s="7">
        <v>3.0</v>
      </c>
      <c r="F1358" s="7" t="s">
        <v>83</v>
      </c>
      <c r="G1358" s="7" t="s">
        <v>334</v>
      </c>
      <c r="H1358" s="9" t="s">
        <v>2979</v>
      </c>
      <c r="I1358" t="s">
        <v>3112</v>
      </c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 t="str">
        <f t="shared" si="1"/>
        <v>Built-up :</v>
      </c>
      <c r="AE1358" s="7" t="str">
        <f t="shared" si="2"/>
        <v> sq. ft.</v>
      </c>
      <c r="AF1358">
        <f>IFERROR(__xludf.DUMMYFUNCTION("VALUE(REGEXREPLACE(G1358,""[^[:digit:]]"", """"))"),1496.0)</f>
        <v>1496</v>
      </c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 t="s">
        <v>27</v>
      </c>
    </row>
    <row r="1359">
      <c r="A1359" s="7" t="s">
        <v>17</v>
      </c>
      <c r="B1359" s="7" t="s">
        <v>1277</v>
      </c>
      <c r="C1359" s="7">
        <f>2</f>
        <v>2</v>
      </c>
      <c r="D1359" s="7">
        <v>2.0</v>
      </c>
      <c r="E1359" s="7">
        <v>2.0</v>
      </c>
      <c r="F1359" s="7" t="s">
        <v>30</v>
      </c>
      <c r="G1359" s="7" t="s">
        <v>1243</v>
      </c>
      <c r="H1359" s="9" t="s">
        <v>2979</v>
      </c>
      <c r="I1359" t="s">
        <v>3601</v>
      </c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 t="str">
        <f t="shared" si="1"/>
        <v>Built-up :</v>
      </c>
      <c r="AE1359" s="7" t="str">
        <f t="shared" si="2"/>
        <v> sq. ft.</v>
      </c>
      <c r="AF1359">
        <f>IFERROR(__xludf.DUMMYFUNCTION("VALUE(REGEXREPLACE(G1359,""[^[:digit:]]"", """"))"),1410.0)</f>
        <v>1410</v>
      </c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 t="s">
        <v>22</v>
      </c>
    </row>
    <row r="1360">
      <c r="A1360" s="7" t="s">
        <v>32</v>
      </c>
      <c r="B1360" s="7" t="s">
        <v>73</v>
      </c>
      <c r="C1360" s="7">
        <f>6</f>
        <v>6</v>
      </c>
      <c r="D1360" s="7">
        <v>6.0</v>
      </c>
      <c r="E1360" s="7">
        <v>4.0</v>
      </c>
      <c r="F1360" s="7" t="s">
        <v>487</v>
      </c>
      <c r="G1360" s="7" t="s">
        <v>1278</v>
      </c>
      <c r="H1360" s="9" t="s">
        <v>2981</v>
      </c>
      <c r="I1360" t="s">
        <v>3183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 t="str">
        <f t="shared" si="1"/>
        <v>Land area </v>
      </c>
      <c r="AE1360" s="7" t="str">
        <f t="shared" si="2"/>
        <v> sq. ft.</v>
      </c>
      <c r="AF1360">
        <f>IFERROR(__xludf.DUMMYFUNCTION("VALUE(REGEXREPLACE(G1360,""[^[:digit:]]"", """"))"),4080.0)</f>
        <v>4080</v>
      </c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 t="s">
        <v>103</v>
      </c>
    </row>
    <row r="1361">
      <c r="A1361" s="7" t="s">
        <v>371</v>
      </c>
      <c r="B1361" s="7" t="s">
        <v>511</v>
      </c>
      <c r="C1361" s="7">
        <f>5</f>
        <v>5</v>
      </c>
      <c r="D1361" s="7">
        <v>3.0</v>
      </c>
      <c r="E1361" s="7">
        <v>3.0</v>
      </c>
      <c r="F1361" s="7" t="s">
        <v>30</v>
      </c>
      <c r="G1361" s="7" t="s">
        <v>905</v>
      </c>
      <c r="H1361" s="9" t="s">
        <v>2979</v>
      </c>
      <c r="I1361" t="s">
        <v>3397</v>
      </c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 t="str">
        <f t="shared" si="1"/>
        <v>Built-up :</v>
      </c>
      <c r="AE1361" s="7" t="str">
        <f t="shared" si="2"/>
        <v> sq. ft.</v>
      </c>
      <c r="AF1361">
        <f>IFERROR(__xludf.DUMMYFUNCTION("VALUE(REGEXREPLACE(G1361,""[^[:digit:]]"", """"))"),2266.0)</f>
        <v>2266</v>
      </c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 t="s">
        <v>27</v>
      </c>
    </row>
    <row r="1362">
      <c r="A1362" s="7" t="s">
        <v>1158</v>
      </c>
      <c r="B1362" s="7" t="s">
        <v>346</v>
      </c>
      <c r="C1362" s="7" t="s">
        <v>325</v>
      </c>
      <c r="D1362" s="7">
        <v>1.0</v>
      </c>
      <c r="E1362" s="9">
        <v>2.0</v>
      </c>
      <c r="F1362" s="7" t="s">
        <v>82</v>
      </c>
      <c r="G1362" s="7" t="s">
        <v>1279</v>
      </c>
      <c r="H1362" s="9" t="s">
        <v>2979</v>
      </c>
      <c r="I1362" t="s">
        <v>3618</v>
      </c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 t="str">
        <f t="shared" si="1"/>
        <v>Built-up :</v>
      </c>
      <c r="AE1362" s="7" t="str">
        <f t="shared" si="2"/>
        <v> sq. ft.</v>
      </c>
      <c r="AF1362">
        <f>IFERROR(__xludf.DUMMYFUNCTION("VALUE(REGEXREPLACE(G1362,""[^[:digit:]]"", """"))"),468.0)</f>
        <v>468</v>
      </c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 t="s">
        <v>22</v>
      </c>
    </row>
    <row r="1363">
      <c r="A1363" s="7" t="s">
        <v>72</v>
      </c>
      <c r="B1363" s="7" t="s">
        <v>401</v>
      </c>
      <c r="C1363" s="7">
        <f>5+2</f>
        <v>7</v>
      </c>
      <c r="D1363" s="7">
        <v>7.0</v>
      </c>
      <c r="E1363" s="9">
        <v>2.0</v>
      </c>
      <c r="F1363" s="7" t="s">
        <v>378</v>
      </c>
      <c r="G1363" s="7" t="s">
        <v>987</v>
      </c>
      <c r="H1363" s="9" t="s">
        <v>2979</v>
      </c>
      <c r="I1363" t="s">
        <v>3437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 t="str">
        <f t="shared" si="1"/>
        <v>Built-up :</v>
      </c>
      <c r="AE1363" s="7" t="str">
        <f t="shared" si="2"/>
        <v> sq. ft.</v>
      </c>
      <c r="AF1363">
        <f>IFERROR(__xludf.DUMMYFUNCTION("VALUE(REGEXREPLACE(G1363,""[^[:digit:]]"", """"))"),3671.0)</f>
        <v>3671</v>
      </c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 t="s">
        <v>27</v>
      </c>
    </row>
    <row r="1364">
      <c r="A1364" s="7" t="s">
        <v>17</v>
      </c>
      <c r="B1364" s="7" t="s">
        <v>174</v>
      </c>
      <c r="C1364" s="7">
        <f t="shared" ref="C1364:C1365" si="146">4+2</f>
        <v>6</v>
      </c>
      <c r="D1364" s="7">
        <v>6.0</v>
      </c>
      <c r="E1364" s="9">
        <v>2.0</v>
      </c>
      <c r="F1364" s="7" t="s">
        <v>30</v>
      </c>
      <c r="G1364" s="7" t="s">
        <v>1174</v>
      </c>
      <c r="H1364" s="9" t="s">
        <v>2979</v>
      </c>
      <c r="I1364" t="s">
        <v>3559</v>
      </c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 t="str">
        <f t="shared" si="1"/>
        <v>Built-up :</v>
      </c>
      <c r="AE1364" s="7" t="str">
        <f t="shared" si="2"/>
        <v> sq. ft.</v>
      </c>
      <c r="AF1364">
        <f>IFERROR(__xludf.DUMMYFUNCTION("VALUE(REGEXREPLACE(G1364,""[^[:digit:]]"", """"))"),3800.0)</f>
        <v>3800</v>
      </c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 t="s">
        <v>27</v>
      </c>
    </row>
    <row r="1365">
      <c r="A1365" s="7" t="s">
        <v>72</v>
      </c>
      <c r="B1365" s="7" t="s">
        <v>174</v>
      </c>
      <c r="C1365" s="7">
        <f t="shared" si="146"/>
        <v>6</v>
      </c>
      <c r="D1365" s="7">
        <v>6.0</v>
      </c>
      <c r="E1365" s="7">
        <v>3.0</v>
      </c>
      <c r="F1365" s="7" t="s">
        <v>30</v>
      </c>
      <c r="G1365" s="7" t="s">
        <v>933</v>
      </c>
      <c r="H1365" s="9" t="s">
        <v>2979</v>
      </c>
      <c r="I1365" t="s">
        <v>3414</v>
      </c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 t="str">
        <f t="shared" si="1"/>
        <v>Built-up :</v>
      </c>
      <c r="AE1365" s="7" t="str">
        <f t="shared" si="2"/>
        <v> sq. ft.</v>
      </c>
      <c r="AF1365">
        <f>IFERROR(__xludf.DUMMYFUNCTION("VALUE(REGEXREPLACE(G1365,""[^[:digit:]]"", """"))"),3541.0)</f>
        <v>3541</v>
      </c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 t="s">
        <v>27</v>
      </c>
    </row>
    <row r="1366">
      <c r="A1366" s="7" t="s">
        <v>180</v>
      </c>
      <c r="B1366" s="7" t="s">
        <v>292</v>
      </c>
      <c r="C1366" s="7">
        <f t="shared" ref="C1366:C1367" si="147">3+1</f>
        <v>4</v>
      </c>
      <c r="D1366" s="7">
        <v>4.0</v>
      </c>
      <c r="E1366" s="9">
        <v>2.0</v>
      </c>
      <c r="F1366" s="7" t="s">
        <v>30</v>
      </c>
      <c r="G1366" s="7" t="s">
        <v>1280</v>
      </c>
      <c r="H1366" s="9" t="s">
        <v>2979</v>
      </c>
      <c r="I1366" t="s">
        <v>3619</v>
      </c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 t="str">
        <f t="shared" si="1"/>
        <v>Built-up :</v>
      </c>
      <c r="AE1366" s="7" t="str">
        <f t="shared" si="2"/>
        <v> sq. ft.</v>
      </c>
      <c r="AF1366">
        <f>IFERROR(__xludf.DUMMYFUNCTION("VALUE(REGEXREPLACE(G1366,""[^[:digit:]]"", """"))"),3285.0)</f>
        <v>3285</v>
      </c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 t="s">
        <v>27</v>
      </c>
    </row>
    <row r="1367">
      <c r="A1367" s="7" t="s">
        <v>180</v>
      </c>
      <c r="B1367" s="7" t="s">
        <v>447</v>
      </c>
      <c r="C1367" s="7">
        <f t="shared" si="147"/>
        <v>4</v>
      </c>
      <c r="D1367" s="7">
        <v>5.0</v>
      </c>
      <c r="E1367" s="9">
        <v>2.0</v>
      </c>
      <c r="F1367" s="7" t="s">
        <v>30</v>
      </c>
      <c r="G1367" s="7" t="s">
        <v>1280</v>
      </c>
      <c r="H1367" s="9" t="s">
        <v>2979</v>
      </c>
      <c r="I1367" t="s">
        <v>3619</v>
      </c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 t="str">
        <f t="shared" si="1"/>
        <v>Built-up :</v>
      </c>
      <c r="AE1367" s="7" t="str">
        <f t="shared" si="2"/>
        <v> sq. ft.</v>
      </c>
      <c r="AF1367">
        <f>IFERROR(__xludf.DUMMYFUNCTION("VALUE(REGEXREPLACE(G1367,""[^[:digit:]]"", """"))"),3285.0)</f>
        <v>3285</v>
      </c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 t="s">
        <v>27</v>
      </c>
    </row>
    <row r="1368">
      <c r="A1368" s="7" t="s">
        <v>180</v>
      </c>
      <c r="B1368" s="7" t="s">
        <v>499</v>
      </c>
      <c r="C1368" s="7">
        <f t="shared" ref="C1368:C1369" si="148">4+2</f>
        <v>6</v>
      </c>
      <c r="D1368" s="7">
        <v>5.0</v>
      </c>
      <c r="E1368" s="9">
        <v>2.0</v>
      </c>
      <c r="F1368" s="7" t="s">
        <v>30</v>
      </c>
      <c r="G1368" s="7" t="s">
        <v>1281</v>
      </c>
      <c r="H1368" s="9" t="s">
        <v>2979</v>
      </c>
      <c r="I1368" t="s">
        <v>3620</v>
      </c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 t="str">
        <f t="shared" si="1"/>
        <v>Built-up :</v>
      </c>
      <c r="AE1368" s="7" t="str">
        <f t="shared" si="2"/>
        <v> sq. ft.</v>
      </c>
      <c r="AF1368">
        <f>IFERROR(__xludf.DUMMYFUNCTION("VALUE(REGEXREPLACE(G1368,""[^[:digit:]]"", """"))"),3750.0)</f>
        <v>3750</v>
      </c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 t="s">
        <v>27</v>
      </c>
    </row>
    <row r="1369">
      <c r="A1369" s="7" t="s">
        <v>72</v>
      </c>
      <c r="B1369" s="7" t="s">
        <v>125</v>
      </c>
      <c r="C1369" s="7">
        <f t="shared" si="148"/>
        <v>6</v>
      </c>
      <c r="D1369" s="7">
        <v>6.0</v>
      </c>
      <c r="E1369" s="7">
        <v>3.0</v>
      </c>
      <c r="F1369" s="7" t="s">
        <v>30</v>
      </c>
      <c r="G1369" s="7" t="s">
        <v>115</v>
      </c>
      <c r="H1369" s="9" t="s">
        <v>2979</v>
      </c>
      <c r="I1369" t="s">
        <v>3013</v>
      </c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 t="str">
        <f t="shared" si="1"/>
        <v>Built-up :</v>
      </c>
      <c r="AE1369" s="7" t="str">
        <f t="shared" si="2"/>
        <v> sq. ft.</v>
      </c>
      <c r="AF1369">
        <f>IFERROR(__xludf.DUMMYFUNCTION("VALUE(REGEXREPLACE(G1369,""[^[:digit:]]"", """"))"),2702.0)</f>
        <v>2702</v>
      </c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 t="s">
        <v>27</v>
      </c>
    </row>
    <row r="1370">
      <c r="A1370" s="7" t="s">
        <v>17</v>
      </c>
      <c r="B1370" s="7" t="s">
        <v>858</v>
      </c>
      <c r="C1370" s="7">
        <f>3+1</f>
        <v>4</v>
      </c>
      <c r="D1370" s="7">
        <v>5.0</v>
      </c>
      <c r="E1370" s="7">
        <v>3.0</v>
      </c>
      <c r="F1370" s="7" t="s">
        <v>30</v>
      </c>
      <c r="G1370" s="7" t="s">
        <v>1282</v>
      </c>
      <c r="H1370" s="9" t="s">
        <v>2979</v>
      </c>
      <c r="I1370" t="s">
        <v>3621</v>
      </c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 t="str">
        <f t="shared" si="1"/>
        <v>Built-up :</v>
      </c>
      <c r="AE1370" s="7" t="str">
        <f t="shared" si="2"/>
        <v> sq. ft.</v>
      </c>
      <c r="AF1370">
        <f>IFERROR(__xludf.DUMMYFUNCTION("VALUE(REGEXREPLACE(G1370,""[^[:digit:]]"", """"))"),3638.0)</f>
        <v>3638</v>
      </c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 t="s">
        <v>22</v>
      </c>
    </row>
    <row r="1371">
      <c r="A1371" s="7" t="s">
        <v>72</v>
      </c>
      <c r="B1371" s="7" t="s">
        <v>101</v>
      </c>
      <c r="C1371" s="7">
        <f>4+2</f>
        <v>6</v>
      </c>
      <c r="D1371" s="7">
        <v>6.0</v>
      </c>
      <c r="E1371" s="9">
        <v>2.0</v>
      </c>
      <c r="F1371" s="7" t="s">
        <v>30</v>
      </c>
      <c r="G1371" s="7" t="s">
        <v>1283</v>
      </c>
      <c r="H1371" s="9" t="s">
        <v>2979</v>
      </c>
      <c r="I1371" t="s">
        <v>3622</v>
      </c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 t="str">
        <f t="shared" si="1"/>
        <v>Built-up :</v>
      </c>
      <c r="AE1371" s="7" t="str">
        <f t="shared" si="2"/>
        <v> sq. ft.</v>
      </c>
      <c r="AF1371">
        <f>IFERROR(__xludf.DUMMYFUNCTION("VALUE(REGEXREPLACE(G1371,""[^[:digit:]]"", """"))"),3632.0)</f>
        <v>3632</v>
      </c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 t="s">
        <v>27</v>
      </c>
    </row>
    <row r="1372">
      <c r="A1372" s="7" t="s">
        <v>72</v>
      </c>
      <c r="B1372" s="7" t="s">
        <v>993</v>
      </c>
      <c r="C1372" s="7">
        <f>4+1</f>
        <v>5</v>
      </c>
      <c r="D1372" s="7">
        <v>6.0</v>
      </c>
      <c r="E1372" s="9">
        <v>2.0</v>
      </c>
      <c r="F1372" s="7" t="s">
        <v>30</v>
      </c>
      <c r="G1372" s="7" t="s">
        <v>994</v>
      </c>
      <c r="H1372" s="9" t="s">
        <v>2979</v>
      </c>
      <c r="I1372" t="s">
        <v>3441</v>
      </c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 t="str">
        <f t="shared" si="1"/>
        <v>Built-up :</v>
      </c>
      <c r="AE1372" s="7" t="str">
        <f t="shared" si="2"/>
        <v> sq. ft.</v>
      </c>
      <c r="AF1372">
        <f>IFERROR(__xludf.DUMMYFUNCTION("VALUE(REGEXREPLACE(G1372,""[^[:digit:]]"", """"))"),3668.0)</f>
        <v>3668</v>
      </c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 t="s">
        <v>27</v>
      </c>
    </row>
    <row r="1373">
      <c r="A1373" s="7" t="s">
        <v>17</v>
      </c>
      <c r="B1373" s="7" t="s">
        <v>149</v>
      </c>
      <c r="C1373" s="7">
        <f>3+1</f>
        <v>4</v>
      </c>
      <c r="D1373" s="7">
        <v>4.0</v>
      </c>
      <c r="E1373" s="7">
        <v>2.0</v>
      </c>
      <c r="F1373" s="7" t="s">
        <v>121</v>
      </c>
      <c r="G1373" s="7" t="s">
        <v>124</v>
      </c>
      <c r="H1373" s="9" t="s">
        <v>2979</v>
      </c>
      <c r="I1373" t="s">
        <v>3017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 t="str">
        <f t="shared" si="1"/>
        <v>Built-up :</v>
      </c>
      <c r="AE1373" s="7" t="str">
        <f t="shared" si="2"/>
        <v> sq. ft.</v>
      </c>
      <c r="AF1373">
        <f>IFERROR(__xludf.DUMMYFUNCTION("VALUE(REGEXREPLACE(G1373,""[^[:digit:]]"", """"))"),2195.0)</f>
        <v>2195</v>
      </c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 t="s">
        <v>27</v>
      </c>
    </row>
    <row r="1374">
      <c r="A1374" s="7" t="s">
        <v>72</v>
      </c>
      <c r="B1374" s="7" t="s">
        <v>110</v>
      </c>
      <c r="C1374" s="7">
        <f>4+2</f>
        <v>6</v>
      </c>
      <c r="D1374" s="7">
        <v>6.0</v>
      </c>
      <c r="E1374" s="7">
        <v>3.0</v>
      </c>
      <c r="F1374" s="7" t="s">
        <v>30</v>
      </c>
      <c r="G1374" s="7" t="s">
        <v>767</v>
      </c>
      <c r="H1374" s="9" t="s">
        <v>2979</v>
      </c>
      <c r="I1374" t="s">
        <v>3326</v>
      </c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 t="str">
        <f t="shared" si="1"/>
        <v>Built-up :</v>
      </c>
      <c r="AE1374" s="7" t="str">
        <f t="shared" si="2"/>
        <v> sq. ft.</v>
      </c>
      <c r="AF1374">
        <f>IFERROR(__xludf.DUMMYFUNCTION("VALUE(REGEXREPLACE(G1374,""[^[:digit:]]"", """"))"),3043.0)</f>
        <v>3043</v>
      </c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 t="s">
        <v>27</v>
      </c>
    </row>
    <row r="1375">
      <c r="A1375" s="7" t="s">
        <v>17</v>
      </c>
      <c r="B1375" s="7" t="s">
        <v>45</v>
      </c>
      <c r="C1375" s="7">
        <f>2</f>
        <v>2</v>
      </c>
      <c r="D1375" s="7">
        <v>2.0</v>
      </c>
      <c r="E1375" s="7">
        <v>1.0</v>
      </c>
      <c r="F1375" s="7" t="s">
        <v>20</v>
      </c>
      <c r="G1375" s="7" t="s">
        <v>342</v>
      </c>
      <c r="H1375" s="9" t="s">
        <v>2979</v>
      </c>
      <c r="I1375" t="s">
        <v>3117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 t="str">
        <f t="shared" si="1"/>
        <v>Built-up :</v>
      </c>
      <c r="AE1375" s="7" t="str">
        <f t="shared" si="2"/>
        <v> sq. ft.</v>
      </c>
      <c r="AF1375">
        <f>IFERROR(__xludf.DUMMYFUNCTION("VALUE(REGEXREPLACE(G1375,""[^[:digit:]]"", """"))"),1076.0)</f>
        <v>1076</v>
      </c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 t="s">
        <v>27</v>
      </c>
    </row>
    <row r="1376">
      <c r="A1376" s="7" t="s">
        <v>17</v>
      </c>
      <c r="B1376" s="7" t="s">
        <v>130</v>
      </c>
      <c r="C1376" s="7">
        <f t="shared" ref="C1376:C1377" si="149">4+2</f>
        <v>6</v>
      </c>
      <c r="D1376" s="7">
        <v>6.0</v>
      </c>
      <c r="E1376" s="9">
        <v>2.0</v>
      </c>
      <c r="F1376" s="7" t="s">
        <v>30</v>
      </c>
      <c r="G1376" s="7" t="s">
        <v>1174</v>
      </c>
      <c r="H1376" s="9" t="s">
        <v>2979</v>
      </c>
      <c r="I1376" t="s">
        <v>3559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 t="str">
        <f t="shared" si="1"/>
        <v>Built-up :</v>
      </c>
      <c r="AE1376" s="7" t="str">
        <f t="shared" si="2"/>
        <v> sq. ft.</v>
      </c>
      <c r="AF1376">
        <f>IFERROR(__xludf.DUMMYFUNCTION("VALUE(REGEXREPLACE(G1376,""[^[:digit:]]"", """"))"),3800.0)</f>
        <v>3800</v>
      </c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 t="s">
        <v>27</v>
      </c>
    </row>
    <row r="1377">
      <c r="A1377" s="7" t="s">
        <v>72</v>
      </c>
      <c r="B1377" s="7" t="s">
        <v>125</v>
      </c>
      <c r="C1377" s="7">
        <f t="shared" si="149"/>
        <v>6</v>
      </c>
      <c r="D1377" s="7">
        <v>6.0</v>
      </c>
      <c r="E1377" s="9">
        <v>2.0</v>
      </c>
      <c r="F1377" s="7" t="s">
        <v>30</v>
      </c>
      <c r="G1377" s="7" t="s">
        <v>431</v>
      </c>
      <c r="H1377" s="9" t="s">
        <v>2979</v>
      </c>
      <c r="I1377" t="s">
        <v>3159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 t="str">
        <f t="shared" si="1"/>
        <v>Built-up :</v>
      </c>
      <c r="AE1377" s="7" t="str">
        <f t="shared" si="2"/>
        <v> sq. ft.</v>
      </c>
      <c r="AF1377">
        <f>IFERROR(__xludf.DUMMYFUNCTION("VALUE(REGEXREPLACE(G1377,""[^[:digit:]]"", """"))"),2906.0)</f>
        <v>2906</v>
      </c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 t="s">
        <v>27</v>
      </c>
    </row>
    <row r="1378">
      <c r="A1378" s="7" t="s">
        <v>17</v>
      </c>
      <c r="B1378" s="7" t="s">
        <v>386</v>
      </c>
      <c r="C1378" s="7">
        <f>3+1</f>
        <v>4</v>
      </c>
      <c r="D1378" s="7">
        <v>2.0</v>
      </c>
      <c r="E1378" s="9">
        <v>2.0</v>
      </c>
      <c r="F1378" s="7" t="s">
        <v>93</v>
      </c>
      <c r="G1378" s="7" t="s">
        <v>483</v>
      </c>
      <c r="H1378" s="9" t="s">
        <v>2979</v>
      </c>
      <c r="I1378" t="s">
        <v>3185</v>
      </c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 t="str">
        <f t="shared" si="1"/>
        <v>Built-up :</v>
      </c>
      <c r="AE1378" s="7" t="str">
        <f t="shared" si="2"/>
        <v> sq. ft.</v>
      </c>
      <c r="AF1378">
        <f>IFERROR(__xludf.DUMMYFUNCTION("VALUE(REGEXREPLACE(G1378,""[^[:digit:]]"", """"))"),2300.0)</f>
        <v>2300</v>
      </c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 t="s">
        <v>27</v>
      </c>
    </row>
    <row r="1379">
      <c r="A1379" s="7" t="s">
        <v>72</v>
      </c>
      <c r="B1379" s="7" t="s">
        <v>658</v>
      </c>
      <c r="C1379" s="7">
        <f>4+2</f>
        <v>6</v>
      </c>
      <c r="D1379" s="7">
        <v>6.0</v>
      </c>
      <c r="E1379" s="7">
        <v>3.0</v>
      </c>
      <c r="F1379" s="7" t="s">
        <v>30</v>
      </c>
      <c r="G1379" s="7" t="s">
        <v>1284</v>
      </c>
      <c r="H1379" s="9" t="s">
        <v>2979</v>
      </c>
      <c r="I1379" t="s">
        <v>3623</v>
      </c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 t="str">
        <f t="shared" si="1"/>
        <v>Built-up :</v>
      </c>
      <c r="AE1379" s="7" t="str">
        <f t="shared" si="2"/>
        <v> sq. ft.</v>
      </c>
      <c r="AF1379">
        <f>IFERROR(__xludf.DUMMYFUNCTION("VALUE(REGEXREPLACE(G1379,""[^[:digit:]]"", """"))"),3169.0)</f>
        <v>3169</v>
      </c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 t="s">
        <v>27</v>
      </c>
    </row>
    <row r="1380">
      <c r="A1380" s="7" t="s">
        <v>72</v>
      </c>
      <c r="B1380" s="7" t="s">
        <v>227</v>
      </c>
      <c r="C1380" s="7">
        <f>4+1</f>
        <v>5</v>
      </c>
      <c r="D1380" s="7">
        <v>6.0</v>
      </c>
      <c r="E1380" s="7">
        <v>3.0</v>
      </c>
      <c r="F1380" s="7" t="s">
        <v>30</v>
      </c>
      <c r="G1380" s="7" t="s">
        <v>622</v>
      </c>
      <c r="H1380" s="9" t="s">
        <v>2979</v>
      </c>
      <c r="I1380" t="s">
        <v>3252</v>
      </c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 t="str">
        <f t="shared" si="1"/>
        <v>Built-up :</v>
      </c>
      <c r="AE1380" s="7" t="str">
        <f t="shared" si="2"/>
        <v> sq. ft.</v>
      </c>
      <c r="AF1380">
        <f>IFERROR(__xludf.DUMMYFUNCTION("VALUE(REGEXREPLACE(G1380,""[^[:digit:]]"", """"))"),3478.0)</f>
        <v>3478</v>
      </c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 t="s">
        <v>27</v>
      </c>
    </row>
    <row r="1381">
      <c r="A1381" s="7" t="s">
        <v>33</v>
      </c>
      <c r="B1381" s="7" t="s">
        <v>309</v>
      </c>
      <c r="C1381" s="7">
        <f>6</f>
        <v>6</v>
      </c>
      <c r="D1381" s="7">
        <v>6.0</v>
      </c>
      <c r="E1381" s="9">
        <v>2.0</v>
      </c>
      <c r="F1381" s="7" t="s">
        <v>562</v>
      </c>
      <c r="G1381" s="7" t="s">
        <v>1285</v>
      </c>
      <c r="H1381" s="9" t="s">
        <v>2981</v>
      </c>
      <c r="I1381" t="s">
        <v>3624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 t="str">
        <f t="shared" si="1"/>
        <v>Land area </v>
      </c>
      <c r="AE1381" s="7" t="str">
        <f t="shared" si="2"/>
        <v> sq. ft.</v>
      </c>
      <c r="AF1381">
        <f>IFERROR(__xludf.DUMMYFUNCTION("VALUE(REGEXREPLACE(G1381,""[^[:digit:]]"", """"))"),5135.0)</f>
        <v>5135</v>
      </c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</row>
    <row r="1382">
      <c r="A1382" s="7" t="s">
        <v>267</v>
      </c>
      <c r="B1382" s="7" t="s">
        <v>1286</v>
      </c>
      <c r="C1382" s="7">
        <f>3</f>
        <v>3</v>
      </c>
      <c r="D1382" s="7">
        <v>2.0</v>
      </c>
      <c r="E1382" s="9">
        <v>2.0</v>
      </c>
      <c r="F1382" s="7" t="s">
        <v>20</v>
      </c>
      <c r="G1382" s="7" t="s">
        <v>1020</v>
      </c>
      <c r="H1382" s="9" t="s">
        <v>2979</v>
      </c>
      <c r="I1382" t="s">
        <v>3458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 t="str">
        <f t="shared" si="1"/>
        <v>Built-up :</v>
      </c>
      <c r="AE1382" s="7" t="str">
        <f t="shared" si="2"/>
        <v> sq. ft.</v>
      </c>
      <c r="AF1382">
        <f>IFERROR(__xludf.DUMMYFUNCTION("VALUE(REGEXREPLACE(G1382,""[^[:digit:]]"", """"))"),945.0)</f>
        <v>945</v>
      </c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 t="s">
        <v>27</v>
      </c>
    </row>
    <row r="1383">
      <c r="A1383" s="7" t="s">
        <v>17</v>
      </c>
      <c r="B1383" s="7" t="s">
        <v>130</v>
      </c>
      <c r="C1383" s="7">
        <f t="shared" ref="C1383:C1388" si="150">4+1</f>
        <v>5</v>
      </c>
      <c r="D1383" s="7">
        <v>6.0</v>
      </c>
      <c r="E1383" s="7">
        <v>3.0</v>
      </c>
      <c r="F1383" s="7" t="s">
        <v>30</v>
      </c>
      <c r="G1383" s="7" t="s">
        <v>1174</v>
      </c>
      <c r="H1383" s="9" t="s">
        <v>2979</v>
      </c>
      <c r="I1383" t="s">
        <v>3559</v>
      </c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 t="str">
        <f t="shared" si="1"/>
        <v>Built-up :</v>
      </c>
      <c r="AE1383" s="7" t="str">
        <f t="shared" si="2"/>
        <v> sq. ft.</v>
      </c>
      <c r="AF1383">
        <f>IFERROR(__xludf.DUMMYFUNCTION("VALUE(REGEXREPLACE(G1383,""[^[:digit:]]"", """"))"),3800.0)</f>
        <v>3800</v>
      </c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 t="s">
        <v>27</v>
      </c>
    </row>
    <row r="1384">
      <c r="A1384" s="7" t="s">
        <v>17</v>
      </c>
      <c r="B1384" s="7" t="s">
        <v>130</v>
      </c>
      <c r="C1384" s="7">
        <f t="shared" si="150"/>
        <v>5</v>
      </c>
      <c r="D1384" s="7">
        <v>6.0</v>
      </c>
      <c r="E1384" s="7">
        <v>3.0</v>
      </c>
      <c r="F1384" s="7" t="s">
        <v>30</v>
      </c>
      <c r="G1384" s="7" t="s">
        <v>1174</v>
      </c>
      <c r="H1384" s="9" t="s">
        <v>2979</v>
      </c>
      <c r="I1384" t="s">
        <v>3559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 t="str">
        <f t="shared" si="1"/>
        <v>Built-up :</v>
      </c>
      <c r="AE1384" s="7" t="str">
        <f t="shared" si="2"/>
        <v> sq. ft.</v>
      </c>
      <c r="AF1384">
        <f>IFERROR(__xludf.DUMMYFUNCTION("VALUE(REGEXREPLACE(G1384,""[^[:digit:]]"", """"))"),3800.0)</f>
        <v>3800</v>
      </c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 t="s">
        <v>22</v>
      </c>
    </row>
    <row r="1385">
      <c r="A1385" s="7" t="s">
        <v>72</v>
      </c>
      <c r="B1385" s="7" t="s">
        <v>1287</v>
      </c>
      <c r="C1385" s="7">
        <f t="shared" si="150"/>
        <v>5</v>
      </c>
      <c r="D1385" s="7">
        <v>5.0</v>
      </c>
      <c r="E1385" s="7">
        <v>3.0</v>
      </c>
      <c r="F1385" s="7" t="s">
        <v>30</v>
      </c>
      <c r="G1385" s="7" t="s">
        <v>1283</v>
      </c>
      <c r="H1385" s="9" t="s">
        <v>2979</v>
      </c>
      <c r="I1385" t="s">
        <v>3622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 t="str">
        <f t="shared" si="1"/>
        <v>Built-up :</v>
      </c>
      <c r="AE1385" s="7" t="str">
        <f t="shared" si="2"/>
        <v> sq. ft.</v>
      </c>
      <c r="AF1385">
        <f>IFERROR(__xludf.DUMMYFUNCTION("VALUE(REGEXREPLACE(G1385,""[^[:digit:]]"", """"))"),3632.0)</f>
        <v>3632</v>
      </c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 t="s">
        <v>27</v>
      </c>
    </row>
    <row r="1386">
      <c r="A1386" s="7" t="s">
        <v>72</v>
      </c>
      <c r="B1386" s="7" t="s">
        <v>1288</v>
      </c>
      <c r="C1386" s="7">
        <f t="shared" si="150"/>
        <v>5</v>
      </c>
      <c r="D1386" s="7">
        <v>5.0</v>
      </c>
      <c r="E1386" s="9">
        <v>2.0</v>
      </c>
      <c r="F1386" s="7" t="s">
        <v>83</v>
      </c>
      <c r="G1386" s="7" t="s">
        <v>431</v>
      </c>
      <c r="H1386" s="9" t="s">
        <v>2979</v>
      </c>
      <c r="I1386" t="s">
        <v>3159</v>
      </c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 t="str">
        <f t="shared" si="1"/>
        <v>Built-up :</v>
      </c>
      <c r="AE1386" s="7" t="str">
        <f t="shared" si="2"/>
        <v> sq. ft.</v>
      </c>
      <c r="AF1386">
        <f>IFERROR(__xludf.DUMMYFUNCTION("VALUE(REGEXREPLACE(G1386,""[^[:digit:]]"", """"))"),2906.0)</f>
        <v>2906</v>
      </c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</row>
    <row r="1387">
      <c r="A1387" s="7" t="s">
        <v>72</v>
      </c>
      <c r="B1387" s="7" t="s">
        <v>75</v>
      </c>
      <c r="C1387" s="7">
        <f t="shared" si="150"/>
        <v>5</v>
      </c>
      <c r="D1387" s="7">
        <v>5.0</v>
      </c>
      <c r="E1387" s="9">
        <v>2.0</v>
      </c>
      <c r="F1387" s="7" t="s">
        <v>30</v>
      </c>
      <c r="G1387" s="7" t="s">
        <v>76</v>
      </c>
      <c r="H1387" s="9" t="s">
        <v>2979</v>
      </c>
      <c r="I1387" t="s">
        <v>2999</v>
      </c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 t="str">
        <f t="shared" si="1"/>
        <v>Built-up :</v>
      </c>
      <c r="AE1387" s="7" t="str">
        <f t="shared" si="2"/>
        <v> sq. ft.</v>
      </c>
      <c r="AF1387">
        <f>IFERROR(__xludf.DUMMYFUNCTION("VALUE(REGEXREPLACE(G1387,""[^[:digit:]]"", """"))"),3720.0)</f>
        <v>3720</v>
      </c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 t="s">
        <v>22</v>
      </c>
    </row>
    <row r="1388">
      <c r="A1388" s="7" t="s">
        <v>72</v>
      </c>
      <c r="B1388" s="7" t="s">
        <v>1289</v>
      </c>
      <c r="C1388" s="7">
        <f t="shared" si="150"/>
        <v>5</v>
      </c>
      <c r="D1388" s="7">
        <v>5.0</v>
      </c>
      <c r="E1388" s="9">
        <v>2.0</v>
      </c>
      <c r="F1388" s="7" t="s">
        <v>30</v>
      </c>
      <c r="G1388" s="7" t="s">
        <v>926</v>
      </c>
      <c r="H1388" s="9" t="s">
        <v>2979</v>
      </c>
      <c r="I1388" t="s">
        <v>3408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 t="str">
        <f t="shared" si="1"/>
        <v>Built-up :</v>
      </c>
      <c r="AE1388" s="7" t="str">
        <f t="shared" si="2"/>
        <v> sq. ft.</v>
      </c>
      <c r="AF1388">
        <f>IFERROR(__xludf.DUMMYFUNCTION("VALUE(REGEXREPLACE(G1388,""[^[:digit:]]"", """"))"),3401.0)</f>
        <v>3401</v>
      </c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 t="s">
        <v>27</v>
      </c>
    </row>
    <row r="1389">
      <c r="A1389" s="7" t="s">
        <v>104</v>
      </c>
      <c r="B1389" s="7" t="s">
        <v>132</v>
      </c>
      <c r="C1389" s="7">
        <f>6</f>
        <v>6</v>
      </c>
      <c r="D1389" s="7">
        <v>4.0</v>
      </c>
      <c r="E1389" s="7">
        <v>2.0</v>
      </c>
      <c r="F1389" s="7" t="s">
        <v>203</v>
      </c>
      <c r="G1389" s="7" t="s">
        <v>1119</v>
      </c>
      <c r="H1389" s="9" t="s">
        <v>2981</v>
      </c>
      <c r="I1389" t="s">
        <v>3516</v>
      </c>
      <c r="J1389" s="7"/>
      <c r="K1389" s="7"/>
      <c r="L1389" s="7"/>
      <c r="M1389" s="7"/>
      <c r="N1389" s="7"/>
      <c r="O1389" s="7"/>
      <c r="P1389" s="7"/>
      <c r="Q1389" s="7"/>
      <c r="R1389" s="7"/>
      <c r="S1389" s="7" t="s">
        <v>3121</v>
      </c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 t="str">
        <f t="shared" si="1"/>
        <v>Land area </v>
      </c>
      <c r="AE1389" s="7" t="str">
        <f t="shared" si="2"/>
        <v> sq. ft.</v>
      </c>
      <c r="AF1389">
        <f>IFERROR(__xludf.DUMMYFUNCTION("VALUE(REGEXREPLACE(G1389,""[^[:digit:]]"", """"))"),2070.0)</f>
        <v>2070</v>
      </c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 t="s">
        <v>103</v>
      </c>
    </row>
    <row r="1390">
      <c r="A1390" s="7" t="s">
        <v>28</v>
      </c>
      <c r="B1390" s="7" t="s">
        <v>311</v>
      </c>
      <c r="C1390" s="7">
        <f t="shared" ref="C1390:C1391" si="151">3+1</f>
        <v>4</v>
      </c>
      <c r="D1390" s="7">
        <v>4.0</v>
      </c>
      <c r="E1390" s="9">
        <v>2.0</v>
      </c>
      <c r="F1390" s="7" t="s">
        <v>30</v>
      </c>
      <c r="G1390" s="7" t="s">
        <v>1290</v>
      </c>
      <c r="H1390" s="9" t="s">
        <v>2979</v>
      </c>
      <c r="I1390" t="s">
        <v>3625</v>
      </c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 t="str">
        <f t="shared" si="1"/>
        <v>Built-up :</v>
      </c>
      <c r="AE1390" s="7" t="str">
        <f t="shared" si="2"/>
        <v> sq. ft.</v>
      </c>
      <c r="AF1390">
        <f>IFERROR(__xludf.DUMMYFUNCTION("VALUE(REGEXREPLACE(G1390,""[^[:digit:]]"", """"))"),1799.0)</f>
        <v>1799</v>
      </c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 t="s">
        <v>27</v>
      </c>
    </row>
    <row r="1391">
      <c r="A1391" s="7" t="s">
        <v>28</v>
      </c>
      <c r="B1391" s="7" t="s">
        <v>78</v>
      </c>
      <c r="C1391" s="7">
        <f t="shared" si="151"/>
        <v>4</v>
      </c>
      <c r="E1391" s="9">
        <v>2.0</v>
      </c>
      <c r="F1391" s="7" t="s">
        <v>30</v>
      </c>
      <c r="G1391" s="7" t="s">
        <v>1291</v>
      </c>
      <c r="H1391" s="9" t="s">
        <v>2979</v>
      </c>
      <c r="I1391" t="s">
        <v>3626</v>
      </c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 t="str">
        <f t="shared" si="1"/>
        <v>Built-up :</v>
      </c>
      <c r="AE1391" s="7" t="str">
        <f t="shared" si="2"/>
        <v> sq. ft.</v>
      </c>
      <c r="AF1391">
        <f>IFERROR(__xludf.DUMMYFUNCTION("VALUE(REGEXREPLACE(G1391,""[^[:digit:]]"", """"))"),2412.0)</f>
        <v>2412</v>
      </c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 t="s">
        <v>27</v>
      </c>
    </row>
    <row r="1392">
      <c r="A1392" s="7" t="s">
        <v>28</v>
      </c>
      <c r="B1392" s="7" t="s">
        <v>1292</v>
      </c>
      <c r="C1392" s="7">
        <f>4+1</f>
        <v>5</v>
      </c>
      <c r="D1392" s="7">
        <v>5.0</v>
      </c>
      <c r="E1392" s="9">
        <v>2.0</v>
      </c>
      <c r="F1392" s="7" t="s">
        <v>30</v>
      </c>
      <c r="G1392" s="7" t="s">
        <v>1293</v>
      </c>
      <c r="H1392" s="9" t="s">
        <v>2979</v>
      </c>
      <c r="I1392" t="s">
        <v>3627</v>
      </c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 t="str">
        <f t="shared" si="1"/>
        <v>Built-up :</v>
      </c>
      <c r="AE1392" s="7" t="str">
        <f t="shared" si="2"/>
        <v> sq. ft.</v>
      </c>
      <c r="AF1392">
        <f>IFERROR(__xludf.DUMMYFUNCTION("VALUE(REGEXREPLACE(G1392,""[^[:digit:]]"", """"))"),3020.0)</f>
        <v>3020</v>
      </c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 t="s">
        <v>27</v>
      </c>
    </row>
    <row r="1393">
      <c r="A1393" s="7" t="s">
        <v>28</v>
      </c>
      <c r="B1393" s="7" t="s">
        <v>138</v>
      </c>
      <c r="C1393" s="7">
        <f>3</f>
        <v>3</v>
      </c>
      <c r="D1393" s="7">
        <v>3.0</v>
      </c>
      <c r="E1393" s="9">
        <v>2.0</v>
      </c>
      <c r="F1393" s="7" t="s">
        <v>83</v>
      </c>
      <c r="G1393" s="7" t="s">
        <v>1294</v>
      </c>
      <c r="H1393" s="9" t="s">
        <v>2979</v>
      </c>
      <c r="I1393" t="s">
        <v>3628</v>
      </c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 t="str">
        <f t="shared" si="1"/>
        <v>Built-up :</v>
      </c>
      <c r="AE1393" s="7" t="str">
        <f t="shared" si="2"/>
        <v> sq. ft.</v>
      </c>
      <c r="AF1393">
        <f>IFERROR(__xludf.DUMMYFUNCTION("VALUE(REGEXREPLACE(G1393,""[^[:digit:]]"", """"))"),1451.0)</f>
        <v>1451</v>
      </c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 t="s">
        <v>27</v>
      </c>
    </row>
    <row r="1394">
      <c r="A1394" s="7" t="s">
        <v>28</v>
      </c>
      <c r="B1394" s="7" t="s">
        <v>18</v>
      </c>
      <c r="C1394" s="7">
        <f>4+1</f>
        <v>5</v>
      </c>
      <c r="D1394" s="7">
        <v>4.0</v>
      </c>
      <c r="E1394" s="9">
        <v>2.0</v>
      </c>
      <c r="F1394" s="7" t="s">
        <v>30</v>
      </c>
      <c r="G1394" s="7" t="s">
        <v>1295</v>
      </c>
      <c r="H1394" s="9" t="s">
        <v>2979</v>
      </c>
      <c r="I1394" t="s">
        <v>3629</v>
      </c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 t="str">
        <f t="shared" si="1"/>
        <v>Built-up :</v>
      </c>
      <c r="AE1394" s="7" t="str">
        <f t="shared" si="2"/>
        <v> sq. ft.</v>
      </c>
      <c r="AF1394">
        <f>IFERROR(__xludf.DUMMYFUNCTION("VALUE(REGEXREPLACE(G1394,""[^[:digit:]]"", """"))"),1991.0)</f>
        <v>1991</v>
      </c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 t="s">
        <v>27</v>
      </c>
    </row>
    <row r="1395">
      <c r="A1395" s="7" t="s">
        <v>28</v>
      </c>
      <c r="B1395" s="7" t="s">
        <v>899</v>
      </c>
      <c r="C1395" s="7">
        <f>3+1</f>
        <v>4</v>
      </c>
      <c r="D1395" s="7">
        <v>4.0</v>
      </c>
      <c r="E1395" s="9">
        <v>2.0</v>
      </c>
      <c r="F1395" s="7" t="s">
        <v>83</v>
      </c>
      <c r="G1395" s="7" t="s">
        <v>1290</v>
      </c>
      <c r="H1395" s="9" t="s">
        <v>2979</v>
      </c>
      <c r="I1395" t="s">
        <v>3625</v>
      </c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 t="str">
        <f t="shared" si="1"/>
        <v>Built-up :</v>
      </c>
      <c r="AE1395" s="7" t="str">
        <f t="shared" si="2"/>
        <v> sq. ft.</v>
      </c>
      <c r="AF1395">
        <f>IFERROR(__xludf.DUMMYFUNCTION("VALUE(REGEXREPLACE(G1395,""[^[:digit:]]"", """"))"),1799.0)</f>
        <v>1799</v>
      </c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 t="s">
        <v>22</v>
      </c>
    </row>
    <row r="1396">
      <c r="A1396" s="7" t="s">
        <v>148</v>
      </c>
      <c r="B1396" s="7" t="s">
        <v>260</v>
      </c>
      <c r="C1396" s="7">
        <f>4+1</f>
        <v>5</v>
      </c>
      <c r="D1396" s="7">
        <v>4.0</v>
      </c>
      <c r="E1396" s="7">
        <v>2.0</v>
      </c>
      <c r="F1396" s="7" t="s">
        <v>169</v>
      </c>
      <c r="G1396" s="7" t="s">
        <v>1296</v>
      </c>
      <c r="H1396" s="9" t="s">
        <v>2981</v>
      </c>
      <c r="I1396" t="s">
        <v>3630</v>
      </c>
      <c r="J1396" s="7"/>
      <c r="K1396" s="7"/>
      <c r="L1396" s="7"/>
      <c r="M1396" s="7"/>
      <c r="N1396" s="7"/>
      <c r="O1396" s="7"/>
      <c r="P1396" s="7"/>
      <c r="Q1396" s="7"/>
      <c r="R1396" s="7"/>
      <c r="S1396" s="7" t="s">
        <v>3101</v>
      </c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 t="str">
        <f t="shared" si="1"/>
        <v>Land area </v>
      </c>
      <c r="AE1396" s="7" t="str">
        <f t="shared" si="2"/>
        <v> sq. ft.</v>
      </c>
      <c r="AF1396">
        <f>IFERROR(__xludf.DUMMYFUNCTION("VALUE(REGEXREPLACE(G1396,""[^[:digit:]]"", """"))"),3285.0)</f>
        <v>3285</v>
      </c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 t="s">
        <v>27</v>
      </c>
    </row>
    <row r="1397">
      <c r="A1397" s="7" t="s">
        <v>267</v>
      </c>
      <c r="B1397" s="7" t="s">
        <v>1297</v>
      </c>
      <c r="C1397" s="7">
        <f>3</f>
        <v>3</v>
      </c>
      <c r="D1397" s="7">
        <v>2.0</v>
      </c>
      <c r="E1397" s="7">
        <v>1.0</v>
      </c>
      <c r="F1397" s="7" t="s">
        <v>82</v>
      </c>
      <c r="G1397" s="7" t="s">
        <v>954</v>
      </c>
      <c r="H1397" s="9" t="s">
        <v>2979</v>
      </c>
      <c r="I1397" t="s">
        <v>3424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 t="str">
        <f t="shared" si="1"/>
        <v>Built-up :</v>
      </c>
      <c r="AE1397" s="7" t="str">
        <f t="shared" si="2"/>
        <v> sq. ft.</v>
      </c>
      <c r="AF1397">
        <f>IFERROR(__xludf.DUMMYFUNCTION("VALUE(REGEXREPLACE(G1397,""[^[:digit:]]"", """"))"),935.0)</f>
        <v>935</v>
      </c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 t="s">
        <v>103</v>
      </c>
    </row>
    <row r="1398">
      <c r="A1398" s="7" t="s">
        <v>164</v>
      </c>
      <c r="B1398" s="7" t="s">
        <v>501</v>
      </c>
      <c r="C1398" s="7">
        <f>1+1</f>
        <v>2</v>
      </c>
      <c r="D1398" s="7">
        <v>2.0</v>
      </c>
      <c r="E1398" s="7">
        <v>1.0</v>
      </c>
      <c r="F1398" s="7" t="s">
        <v>20</v>
      </c>
      <c r="G1398" s="7" t="s">
        <v>237</v>
      </c>
      <c r="H1398" s="9" t="s">
        <v>2979</v>
      </c>
      <c r="I1398" t="s">
        <v>3069</v>
      </c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 t="str">
        <f t="shared" si="1"/>
        <v>Built-up :</v>
      </c>
      <c r="AE1398" s="7" t="str">
        <f t="shared" si="2"/>
        <v> sq. ft.</v>
      </c>
      <c r="AF1398">
        <f>IFERROR(__xludf.DUMMYFUNCTION("VALUE(REGEXREPLACE(G1398,""[^[:digit:]]"", """"))"),1087.0)</f>
        <v>1087</v>
      </c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 t="s">
        <v>22</v>
      </c>
    </row>
    <row r="1399">
      <c r="A1399" s="7" t="s">
        <v>164</v>
      </c>
      <c r="B1399" s="7" t="s">
        <v>1298</v>
      </c>
      <c r="C1399" s="7">
        <f>3+1</f>
        <v>4</v>
      </c>
      <c r="D1399" s="7">
        <v>4.0</v>
      </c>
      <c r="E1399" s="7">
        <v>2.0</v>
      </c>
      <c r="F1399" s="7" t="s">
        <v>20</v>
      </c>
      <c r="G1399" s="7" t="s">
        <v>1299</v>
      </c>
      <c r="H1399" s="9" t="s">
        <v>2979</v>
      </c>
      <c r="I1399" t="s">
        <v>3631</v>
      </c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 t="str">
        <f t="shared" si="1"/>
        <v>Built-up :</v>
      </c>
      <c r="AE1399" s="7" t="str">
        <f t="shared" si="2"/>
        <v> sq. ft.</v>
      </c>
      <c r="AF1399">
        <f>IFERROR(__xludf.DUMMYFUNCTION("VALUE(REGEXREPLACE(G1399,""[^[:digit:]]"", """"))"),1787.0)</f>
        <v>1787</v>
      </c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 t="s">
        <v>22</v>
      </c>
    </row>
    <row r="1400">
      <c r="A1400" s="7" t="s">
        <v>164</v>
      </c>
      <c r="B1400" s="7" t="s">
        <v>1268</v>
      </c>
      <c r="C1400" s="7">
        <f>2+1</f>
        <v>3</v>
      </c>
      <c r="D1400" s="7">
        <v>3.0</v>
      </c>
      <c r="E1400" s="7">
        <v>1.0</v>
      </c>
      <c r="F1400" s="7" t="s">
        <v>20</v>
      </c>
      <c r="G1400" s="7" t="s">
        <v>303</v>
      </c>
      <c r="H1400" s="9" t="s">
        <v>2979</v>
      </c>
      <c r="I1400" t="s">
        <v>3099</v>
      </c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 t="str">
        <f t="shared" si="1"/>
        <v>Built-up :</v>
      </c>
      <c r="AE1400" s="7" t="str">
        <f t="shared" si="2"/>
        <v> sq. ft.</v>
      </c>
      <c r="AF1400">
        <f>IFERROR(__xludf.DUMMYFUNCTION("VALUE(REGEXREPLACE(G1400,""[^[:digit:]]"", """"))"),1485.0)</f>
        <v>1485</v>
      </c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 t="s">
        <v>22</v>
      </c>
    </row>
    <row r="1401">
      <c r="A1401" s="7" t="s">
        <v>72</v>
      </c>
      <c r="B1401" s="7" t="s">
        <v>327</v>
      </c>
      <c r="C1401" s="7">
        <f t="shared" ref="C1401:C1402" si="152">3</f>
        <v>3</v>
      </c>
      <c r="D1401" s="7">
        <v>2.0</v>
      </c>
      <c r="E1401" s="7">
        <v>2.0</v>
      </c>
      <c r="F1401" s="7" t="s">
        <v>83</v>
      </c>
      <c r="G1401" s="7" t="s">
        <v>135</v>
      </c>
      <c r="H1401" s="9" t="s">
        <v>2979</v>
      </c>
      <c r="I1401" t="s">
        <v>3023</v>
      </c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 t="str">
        <f t="shared" si="1"/>
        <v>Built-up :</v>
      </c>
      <c r="AE1401" s="7" t="str">
        <f t="shared" si="2"/>
        <v> sq. ft.</v>
      </c>
      <c r="AF1401">
        <f>IFERROR(__xludf.DUMMYFUNCTION("VALUE(REGEXREPLACE(G1401,""[^[:digit:]]"", """"))"),1200.0)</f>
        <v>1200</v>
      </c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 t="s">
        <v>27</v>
      </c>
    </row>
    <row r="1402">
      <c r="A1402" s="7" t="s">
        <v>33</v>
      </c>
      <c r="B1402" s="7" t="s">
        <v>245</v>
      </c>
      <c r="C1402" s="7">
        <f t="shared" si="152"/>
        <v>3</v>
      </c>
      <c r="D1402" s="7">
        <v>2.0</v>
      </c>
      <c r="E1402" s="7">
        <v>2.0</v>
      </c>
      <c r="F1402" s="7" t="s">
        <v>82</v>
      </c>
      <c r="G1402" s="7" t="s">
        <v>1119</v>
      </c>
      <c r="H1402" s="9" t="s">
        <v>2981</v>
      </c>
      <c r="I1402" t="s">
        <v>3516</v>
      </c>
      <c r="J1402" s="7"/>
      <c r="K1402" s="7"/>
      <c r="L1402" s="7"/>
      <c r="M1402" s="7"/>
      <c r="N1402" s="7"/>
      <c r="O1402" s="7"/>
      <c r="P1402" s="7"/>
      <c r="Q1402" s="7"/>
      <c r="R1402" s="7"/>
      <c r="S1402" s="7" t="s">
        <v>3121</v>
      </c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 t="str">
        <f t="shared" si="1"/>
        <v>Land area </v>
      </c>
      <c r="AE1402" s="7" t="str">
        <f t="shared" si="2"/>
        <v> sq. ft.</v>
      </c>
      <c r="AF1402">
        <f>IFERROR(__xludf.DUMMYFUNCTION("VALUE(REGEXREPLACE(G1402,""[^[:digit:]]"", """"))"),2070.0)</f>
        <v>2070</v>
      </c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 t="s">
        <v>27</v>
      </c>
    </row>
    <row r="1403">
      <c r="A1403" s="7" t="s">
        <v>428</v>
      </c>
      <c r="B1403" s="7" t="s">
        <v>1300</v>
      </c>
      <c r="C1403" s="7">
        <f>5+1</f>
        <v>6</v>
      </c>
      <c r="D1403" s="7">
        <v>7.0</v>
      </c>
      <c r="E1403" s="7">
        <v>3.0</v>
      </c>
      <c r="F1403" s="7" t="s">
        <v>61</v>
      </c>
      <c r="G1403" s="7" t="s">
        <v>1301</v>
      </c>
      <c r="H1403" s="9" t="s">
        <v>2981</v>
      </c>
      <c r="I1403" t="s">
        <v>3632</v>
      </c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 t="str">
        <f t="shared" si="1"/>
        <v>Land area </v>
      </c>
      <c r="AE1403" s="7" t="str">
        <f t="shared" si="2"/>
        <v> sq. ft.</v>
      </c>
      <c r="AF1403">
        <f>IFERROR(__xludf.DUMMYFUNCTION("VALUE(REGEXREPLACE(G1403,""[^[:digit:]]"", """"))"),4284.0)</f>
        <v>4284</v>
      </c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 t="s">
        <v>27</v>
      </c>
    </row>
    <row r="1404">
      <c r="A1404" s="7" t="s">
        <v>171</v>
      </c>
      <c r="B1404" s="7" t="s">
        <v>18</v>
      </c>
      <c r="C1404" s="7">
        <f>3</f>
        <v>3</v>
      </c>
      <c r="D1404" s="7">
        <v>3.0</v>
      </c>
      <c r="E1404" s="9">
        <v>2.0</v>
      </c>
      <c r="F1404" s="7" t="s">
        <v>793</v>
      </c>
      <c r="G1404" s="7" t="s">
        <v>1302</v>
      </c>
      <c r="H1404" s="9" t="s">
        <v>2979</v>
      </c>
      <c r="I1404" t="s">
        <v>3633</v>
      </c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 t="str">
        <f t="shared" si="1"/>
        <v>Built-up :</v>
      </c>
      <c r="AE1404" s="7" t="str">
        <f t="shared" si="2"/>
        <v> sq. ft.</v>
      </c>
      <c r="AF1404">
        <f>IFERROR(__xludf.DUMMYFUNCTION("VALUE(REGEXREPLACE(G1404,""[^[:digit:]]"", """"))"),1938.0)</f>
        <v>1938</v>
      </c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</row>
    <row r="1405">
      <c r="A1405" s="7" t="s">
        <v>28</v>
      </c>
      <c r="B1405" s="7" t="s">
        <v>249</v>
      </c>
      <c r="C1405" s="7">
        <f>3+1</f>
        <v>4</v>
      </c>
      <c r="D1405" s="7">
        <v>5.0</v>
      </c>
      <c r="E1405" s="7">
        <v>2.0</v>
      </c>
      <c r="F1405" s="7" t="s">
        <v>93</v>
      </c>
      <c r="G1405" s="7" t="s">
        <v>31</v>
      </c>
      <c r="H1405" s="9" t="s">
        <v>2979</v>
      </c>
      <c r="I1405" t="s">
        <v>2983</v>
      </c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 t="str">
        <f t="shared" si="1"/>
        <v>Built-up :</v>
      </c>
      <c r="AE1405" s="7" t="str">
        <f t="shared" si="2"/>
        <v> sq. ft.</v>
      </c>
      <c r="AF1405">
        <f>IFERROR(__xludf.DUMMYFUNCTION("VALUE(REGEXREPLACE(G1405,""[^[:digit:]]"", """"))"),1875.0)</f>
        <v>1875</v>
      </c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 t="s">
        <v>27</v>
      </c>
    </row>
    <row r="1406">
      <c r="A1406" s="7" t="s">
        <v>65</v>
      </c>
      <c r="B1406" s="7" t="s">
        <v>398</v>
      </c>
      <c r="C1406" s="7">
        <f>3+2</f>
        <v>5</v>
      </c>
      <c r="D1406" s="7">
        <v>5.0</v>
      </c>
      <c r="E1406" s="7">
        <v>4.0</v>
      </c>
      <c r="F1406" s="7" t="s">
        <v>30</v>
      </c>
      <c r="G1406" s="7" t="s">
        <v>400</v>
      </c>
      <c r="H1406" s="9" t="s">
        <v>2979</v>
      </c>
      <c r="I1406" t="s">
        <v>3145</v>
      </c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 t="str">
        <f t="shared" si="1"/>
        <v>Built-up :</v>
      </c>
      <c r="AE1406" s="7" t="str">
        <f t="shared" si="2"/>
        <v> sq. ft.</v>
      </c>
      <c r="AF1406">
        <f>IFERROR(__xludf.DUMMYFUNCTION("VALUE(REGEXREPLACE(G1406,""[^[:digit:]]"", """"))"),2400.0)</f>
        <v>2400</v>
      </c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 t="s">
        <v>22</v>
      </c>
    </row>
    <row r="1407">
      <c r="A1407" s="7" t="s">
        <v>28</v>
      </c>
      <c r="B1407" s="7" t="s">
        <v>279</v>
      </c>
      <c r="C1407" s="7">
        <f t="shared" ref="C1407:C1408" si="153">4+1</f>
        <v>5</v>
      </c>
      <c r="D1407" s="7">
        <v>6.0</v>
      </c>
      <c r="E1407" s="7">
        <v>2.0</v>
      </c>
      <c r="F1407" s="7" t="s">
        <v>93</v>
      </c>
      <c r="G1407" s="7" t="s">
        <v>400</v>
      </c>
      <c r="H1407" s="9" t="s">
        <v>2979</v>
      </c>
      <c r="I1407" t="s">
        <v>3145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 t="str">
        <f t="shared" si="1"/>
        <v>Built-up :</v>
      </c>
      <c r="AE1407" s="7" t="str">
        <f t="shared" si="2"/>
        <v> sq. ft.</v>
      </c>
      <c r="AF1407">
        <f>IFERROR(__xludf.DUMMYFUNCTION("VALUE(REGEXREPLACE(G1407,""[^[:digit:]]"", """"))"),2400.0)</f>
        <v>2400</v>
      </c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 t="s">
        <v>27</v>
      </c>
    </row>
    <row r="1408">
      <c r="A1408" s="7" t="s">
        <v>72</v>
      </c>
      <c r="B1408" s="7" t="s">
        <v>158</v>
      </c>
      <c r="C1408" s="7">
        <f t="shared" si="153"/>
        <v>5</v>
      </c>
      <c r="D1408" s="7">
        <v>4.0</v>
      </c>
      <c r="E1408" s="7">
        <v>2.0</v>
      </c>
      <c r="F1408" s="7" t="s">
        <v>83</v>
      </c>
      <c r="G1408" s="7" t="s">
        <v>74</v>
      </c>
      <c r="H1408" s="9" t="s">
        <v>2979</v>
      </c>
      <c r="I1408" t="s">
        <v>2998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 t="str">
        <f t="shared" si="1"/>
        <v>Built-up :</v>
      </c>
      <c r="AE1408" s="7" t="str">
        <f t="shared" si="2"/>
        <v> sq. ft.</v>
      </c>
      <c r="AF1408">
        <f>IFERROR(__xludf.DUMMYFUNCTION("VALUE(REGEXREPLACE(G1408,""[^[:digit:]]"", """"))"),1830.0)</f>
        <v>1830</v>
      </c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 t="s">
        <v>27</v>
      </c>
    </row>
    <row r="1409">
      <c r="A1409" s="7" t="s">
        <v>33</v>
      </c>
      <c r="B1409" s="7" t="s">
        <v>759</v>
      </c>
      <c r="C1409" s="7">
        <f>3</f>
        <v>3</v>
      </c>
      <c r="D1409" s="7">
        <v>3.0</v>
      </c>
      <c r="E1409" s="7">
        <v>2.0</v>
      </c>
      <c r="F1409" s="7" t="s">
        <v>83</v>
      </c>
      <c r="G1409" s="7" t="s">
        <v>1156</v>
      </c>
      <c r="H1409" s="9" t="s">
        <v>2979</v>
      </c>
      <c r="I1409" t="s">
        <v>3545</v>
      </c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 t="str">
        <f t="shared" si="1"/>
        <v>Built-up :</v>
      </c>
      <c r="AE1409" s="7" t="str">
        <f t="shared" si="2"/>
        <v> sq. ft.</v>
      </c>
      <c r="AF1409">
        <f>IFERROR(__xludf.DUMMYFUNCTION("VALUE(REGEXREPLACE(G1409,""[^[:digit:]]"", """"))"),1003.0)</f>
        <v>1003</v>
      </c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 t="s">
        <v>103</v>
      </c>
    </row>
    <row r="1410">
      <c r="A1410" s="7" t="s">
        <v>17</v>
      </c>
      <c r="B1410" s="7" t="s">
        <v>599</v>
      </c>
      <c r="C1410" s="7">
        <f>2</f>
        <v>2</v>
      </c>
      <c r="D1410" s="7">
        <v>1.0</v>
      </c>
      <c r="E1410" s="7">
        <v>2.0</v>
      </c>
      <c r="F1410" s="7" t="s">
        <v>121</v>
      </c>
      <c r="G1410" s="7" t="s">
        <v>1303</v>
      </c>
      <c r="H1410" s="9" t="s">
        <v>2979</v>
      </c>
      <c r="I1410" t="s">
        <v>3634</v>
      </c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 t="str">
        <f t="shared" si="1"/>
        <v>Built-up :</v>
      </c>
      <c r="AE1410" s="7" t="str">
        <f t="shared" si="2"/>
        <v> sq. ft.</v>
      </c>
      <c r="AF1410">
        <f>IFERROR(__xludf.DUMMYFUNCTION("VALUE(REGEXREPLACE(G1410,""[^[:digit:]]"", """"))"),1141.0)</f>
        <v>1141</v>
      </c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 t="s">
        <v>22</v>
      </c>
    </row>
    <row r="1411">
      <c r="A1411" s="7" t="s">
        <v>17</v>
      </c>
      <c r="B1411" s="7" t="s">
        <v>1304</v>
      </c>
      <c r="C1411" s="7">
        <f>4+1</f>
        <v>5</v>
      </c>
      <c r="D1411" s="7">
        <v>5.0</v>
      </c>
      <c r="E1411" s="7">
        <v>4.0</v>
      </c>
      <c r="F1411" s="7" t="s">
        <v>83</v>
      </c>
      <c r="G1411" s="7" t="s">
        <v>1305</v>
      </c>
      <c r="H1411" s="9" t="s">
        <v>2979</v>
      </c>
      <c r="I1411" t="s">
        <v>3635</v>
      </c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 t="str">
        <f t="shared" si="1"/>
        <v>Built-up :</v>
      </c>
      <c r="AE1411" s="7" t="str">
        <f t="shared" si="2"/>
        <v> sq. ft.</v>
      </c>
      <c r="AF1411">
        <f>IFERROR(__xludf.DUMMYFUNCTION("VALUE(REGEXREPLACE(G1411,""[^[:digit:]]"", """"))"),7318.0)</f>
        <v>7318</v>
      </c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 t="s">
        <v>27</v>
      </c>
    </row>
    <row r="1412">
      <c r="A1412" s="7" t="s">
        <v>171</v>
      </c>
      <c r="B1412" s="7" t="s">
        <v>1306</v>
      </c>
      <c r="C1412" s="7">
        <f>3</f>
        <v>3</v>
      </c>
      <c r="D1412" s="7">
        <v>1.0</v>
      </c>
      <c r="E1412" s="9">
        <v>2.0</v>
      </c>
      <c r="F1412" s="7" t="s">
        <v>354</v>
      </c>
      <c r="H1412" s="9" t="s">
        <v>2984</v>
      </c>
      <c r="I1412" t="s">
        <v>2985</v>
      </c>
      <c r="AD1412" s="7" t="str">
        <f t="shared" si="1"/>
        <v/>
      </c>
      <c r="AE1412" s="7" t="str">
        <f t="shared" si="2"/>
        <v/>
      </c>
      <c r="AF1412">
        <f>IFERROR(__xludf.DUMMYFUNCTION("VALUE(REGEXREPLACE(G1412,""[^[:digit:]]"", """"))"),0.0)</f>
        <v>0</v>
      </c>
    </row>
    <row r="1413">
      <c r="A1413" s="7" t="s">
        <v>171</v>
      </c>
      <c r="B1413" s="7" t="s">
        <v>1307</v>
      </c>
      <c r="C1413" s="7">
        <f>2</f>
        <v>2</v>
      </c>
      <c r="D1413" s="7">
        <v>1.0</v>
      </c>
      <c r="E1413" s="7">
        <v>1.0</v>
      </c>
      <c r="F1413" s="7" t="s">
        <v>354</v>
      </c>
      <c r="G1413" s="7" t="s">
        <v>961</v>
      </c>
      <c r="H1413" s="9" t="s">
        <v>2979</v>
      </c>
      <c r="I1413" t="s">
        <v>3428</v>
      </c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 t="str">
        <f t="shared" si="1"/>
        <v>Built-up :</v>
      </c>
      <c r="AE1413" s="7" t="str">
        <f t="shared" si="2"/>
        <v> sq. ft.</v>
      </c>
      <c r="AF1413">
        <f>IFERROR(__xludf.DUMMYFUNCTION("VALUE(REGEXREPLACE(G1413,""[^[:digit:]]"", """"))"),600.0)</f>
        <v>600</v>
      </c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</row>
    <row r="1414">
      <c r="A1414" s="7" t="s">
        <v>89</v>
      </c>
      <c r="B1414" s="7" t="s">
        <v>1308</v>
      </c>
      <c r="C1414" s="7">
        <f>3</f>
        <v>3</v>
      </c>
      <c r="D1414" s="7">
        <v>2.0</v>
      </c>
      <c r="E1414" s="9">
        <v>2.0</v>
      </c>
      <c r="F1414" s="7" t="s">
        <v>82</v>
      </c>
      <c r="G1414" s="7" t="s">
        <v>242</v>
      </c>
      <c r="H1414" s="9" t="s">
        <v>2979</v>
      </c>
      <c r="I1414" t="s">
        <v>3072</v>
      </c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 t="str">
        <f t="shared" si="1"/>
        <v>Built-up :</v>
      </c>
      <c r="AE1414" s="7" t="str">
        <f t="shared" si="2"/>
        <v> sq. ft.</v>
      </c>
      <c r="AF1414">
        <f>IFERROR(__xludf.DUMMYFUNCTION("VALUE(REGEXREPLACE(G1414,""[^[:digit:]]"", """"))"),650.0)</f>
        <v>650</v>
      </c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 t="s">
        <v>22</v>
      </c>
    </row>
    <row r="1415">
      <c r="A1415" s="7" t="s">
        <v>428</v>
      </c>
      <c r="B1415" s="7" t="s">
        <v>322</v>
      </c>
      <c r="C1415" s="7">
        <f>5+1</f>
        <v>6</v>
      </c>
      <c r="D1415" s="7">
        <v>6.0</v>
      </c>
      <c r="E1415" s="7">
        <v>3.0</v>
      </c>
      <c r="F1415" s="7" t="s">
        <v>61</v>
      </c>
      <c r="G1415" s="7" t="s">
        <v>1309</v>
      </c>
      <c r="H1415" s="9" t="s">
        <v>2981</v>
      </c>
      <c r="I1415" t="s">
        <v>3636</v>
      </c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 t="str">
        <f t="shared" si="1"/>
        <v>Land area </v>
      </c>
      <c r="AE1415" s="7" t="str">
        <f t="shared" si="2"/>
        <v> sq. ft.</v>
      </c>
      <c r="AF1415">
        <f>IFERROR(__xludf.DUMMYFUNCTION("VALUE(REGEXREPLACE(G1415,""[^[:digit:]]"", """"))"),3821.0)</f>
        <v>3821</v>
      </c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 t="s">
        <v>27</v>
      </c>
    </row>
    <row r="1416">
      <c r="A1416" s="7" t="s">
        <v>28</v>
      </c>
      <c r="B1416" s="7" t="s">
        <v>29</v>
      </c>
      <c r="C1416" s="7">
        <f>3+1</f>
        <v>4</v>
      </c>
      <c r="D1416" s="7">
        <v>5.0</v>
      </c>
      <c r="E1416" s="7">
        <v>2.0</v>
      </c>
      <c r="F1416" s="7" t="s">
        <v>93</v>
      </c>
      <c r="G1416" s="7" t="s">
        <v>250</v>
      </c>
      <c r="H1416" s="9" t="s">
        <v>2979</v>
      </c>
      <c r="I1416" t="s">
        <v>3076</v>
      </c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 t="str">
        <f t="shared" si="1"/>
        <v>Built-up :</v>
      </c>
      <c r="AE1416" s="7" t="str">
        <f t="shared" si="2"/>
        <v> sq. ft.</v>
      </c>
      <c r="AF1416">
        <f>IFERROR(__xludf.DUMMYFUNCTION("VALUE(REGEXREPLACE(G1416,""[^[:digit:]]"", """"))"),1853.0)</f>
        <v>1853</v>
      </c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 t="s">
        <v>27</v>
      </c>
    </row>
    <row r="1417">
      <c r="A1417" s="7" t="s">
        <v>23</v>
      </c>
      <c r="B1417" s="7" t="s">
        <v>120</v>
      </c>
      <c r="C1417" s="7">
        <f>4+1</f>
        <v>5</v>
      </c>
      <c r="D1417" s="7">
        <v>5.0</v>
      </c>
      <c r="E1417" s="7">
        <v>4.0</v>
      </c>
      <c r="F1417" s="7" t="s">
        <v>736</v>
      </c>
      <c r="G1417" s="7" t="s">
        <v>631</v>
      </c>
      <c r="H1417" s="9" t="s">
        <v>2981</v>
      </c>
      <c r="I1417" t="s">
        <v>3258</v>
      </c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 t="str">
        <f t="shared" si="1"/>
        <v>Land area </v>
      </c>
      <c r="AE1417" s="7" t="str">
        <f t="shared" si="2"/>
        <v> sq. ft.</v>
      </c>
      <c r="AF1417">
        <f>IFERROR(__xludf.DUMMYFUNCTION("VALUE(REGEXREPLACE(G1417,""[^[:digit:]]"", """"))"),5000.0)</f>
        <v>5000</v>
      </c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</row>
    <row r="1418">
      <c r="A1418" s="7" t="s">
        <v>65</v>
      </c>
      <c r="B1418" s="7" t="s">
        <v>81</v>
      </c>
      <c r="C1418" s="7">
        <f t="shared" ref="C1418:C1419" si="154">4</f>
        <v>4</v>
      </c>
      <c r="D1418" s="7">
        <v>4.0</v>
      </c>
      <c r="E1418" s="7">
        <v>1.0</v>
      </c>
      <c r="F1418" s="7" t="s">
        <v>83</v>
      </c>
      <c r="G1418" s="7" t="s">
        <v>1105</v>
      </c>
      <c r="H1418" s="9" t="s">
        <v>2979</v>
      </c>
      <c r="I1418" t="s">
        <v>3506</v>
      </c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 t="str">
        <f t="shared" si="1"/>
        <v>Built-up :</v>
      </c>
      <c r="AE1418" s="7" t="str">
        <f t="shared" si="2"/>
        <v> sq. ft.</v>
      </c>
      <c r="AF1418">
        <f>IFERROR(__xludf.DUMMYFUNCTION("VALUE(REGEXREPLACE(G1418,""[^[:digit:]]"", """"))"),2100.0)</f>
        <v>2100</v>
      </c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 t="s">
        <v>22</v>
      </c>
    </row>
    <row r="1419">
      <c r="A1419" s="7" t="s">
        <v>37</v>
      </c>
      <c r="B1419" s="7" t="s">
        <v>260</v>
      </c>
      <c r="C1419" s="7">
        <f t="shared" si="154"/>
        <v>4</v>
      </c>
      <c r="D1419" s="7">
        <v>3.0</v>
      </c>
      <c r="E1419" s="7">
        <v>2.0</v>
      </c>
      <c r="F1419" s="7" t="s">
        <v>54</v>
      </c>
      <c r="G1419" s="7" t="s">
        <v>1310</v>
      </c>
      <c r="H1419" s="9" t="s">
        <v>2981</v>
      </c>
      <c r="I1419" t="s">
        <v>3037</v>
      </c>
      <c r="J1419" s="7"/>
      <c r="K1419" s="7"/>
      <c r="L1419" s="7"/>
      <c r="M1419" s="7"/>
      <c r="N1419" s="7"/>
      <c r="O1419" s="7"/>
      <c r="P1419" s="7"/>
      <c r="Q1419" s="7"/>
      <c r="R1419" s="7"/>
      <c r="S1419" s="7" t="s">
        <v>3637</v>
      </c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 t="str">
        <f t="shared" si="1"/>
        <v>Land area </v>
      </c>
      <c r="AE1419" s="7" t="str">
        <f t="shared" si="2"/>
        <v> sq. ft.</v>
      </c>
      <c r="AF1419">
        <f>IFERROR(__xludf.DUMMYFUNCTION("VALUE(REGEXREPLACE(G1419,""[^[:digit:]]"", """"))"),2.47518E7)</f>
        <v>24751800</v>
      </c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 t="s">
        <v>27</v>
      </c>
    </row>
    <row r="1420">
      <c r="A1420" s="7" t="s">
        <v>23</v>
      </c>
      <c r="B1420" s="7" t="s">
        <v>545</v>
      </c>
      <c r="C1420" s="7">
        <f>6</f>
        <v>6</v>
      </c>
      <c r="D1420" s="7">
        <v>7.0</v>
      </c>
      <c r="E1420" s="7">
        <v>4.0</v>
      </c>
      <c r="F1420" s="7" t="s">
        <v>25</v>
      </c>
      <c r="G1420" s="7" t="s">
        <v>1311</v>
      </c>
      <c r="H1420" s="9" t="s">
        <v>2981</v>
      </c>
      <c r="I1420" t="s">
        <v>3638</v>
      </c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 t="str">
        <f t="shared" si="1"/>
        <v>Land area </v>
      </c>
      <c r="AE1420" s="7" t="str">
        <f t="shared" si="2"/>
        <v> sq. ft.</v>
      </c>
      <c r="AF1420">
        <f>IFERROR(__xludf.DUMMYFUNCTION("VALUE(REGEXREPLACE(G1420,""[^[:digit:]]"", """"))"),9795.0)</f>
        <v>9795</v>
      </c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</row>
    <row r="1421">
      <c r="A1421" s="7" t="s">
        <v>37</v>
      </c>
      <c r="B1421" s="7" t="s">
        <v>56</v>
      </c>
      <c r="C1421" s="7">
        <f>4</f>
        <v>4</v>
      </c>
      <c r="D1421" s="7">
        <v>3.0</v>
      </c>
      <c r="E1421" s="7">
        <v>3.0</v>
      </c>
      <c r="F1421" s="7" t="s">
        <v>169</v>
      </c>
      <c r="G1421" s="7" t="s">
        <v>211</v>
      </c>
      <c r="H1421" s="9" t="s">
        <v>2981</v>
      </c>
      <c r="I1421" t="s">
        <v>2992</v>
      </c>
      <c r="J1421" s="7"/>
      <c r="K1421" s="7"/>
      <c r="L1421" s="7"/>
      <c r="M1421" s="7"/>
      <c r="N1421" s="7"/>
      <c r="O1421" s="7"/>
      <c r="P1421" s="7"/>
      <c r="Q1421" s="7"/>
      <c r="R1421" s="7"/>
      <c r="S1421" s="7" t="s">
        <v>2993</v>
      </c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 t="str">
        <f t="shared" si="1"/>
        <v>Land area </v>
      </c>
      <c r="AE1421" s="7" t="str">
        <f t="shared" si="2"/>
        <v> sq. ft.</v>
      </c>
      <c r="AF1421">
        <f>IFERROR(__xludf.DUMMYFUNCTION("VALUE(REGEXREPLACE(G1421,""[^[:digit:]]"", """"))"),2280.0)</f>
        <v>2280</v>
      </c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 t="s">
        <v>27</v>
      </c>
    </row>
    <row r="1422">
      <c r="A1422" s="7" t="s">
        <v>37</v>
      </c>
      <c r="B1422" s="7" t="s">
        <v>277</v>
      </c>
      <c r="C1422" s="7">
        <f>4+1</f>
        <v>5</v>
      </c>
      <c r="D1422" s="7">
        <v>3.0</v>
      </c>
      <c r="E1422" s="7">
        <v>4.0</v>
      </c>
      <c r="F1422" s="7" t="s">
        <v>46</v>
      </c>
      <c r="G1422" s="7" t="s">
        <v>1312</v>
      </c>
      <c r="H1422" s="9" t="s">
        <v>2981</v>
      </c>
      <c r="I1422" t="s">
        <v>3515</v>
      </c>
      <c r="J1422" s="7"/>
      <c r="K1422" s="7"/>
      <c r="L1422" s="7"/>
      <c r="M1422" s="7"/>
      <c r="N1422" s="7"/>
      <c r="O1422" s="7"/>
      <c r="P1422" s="7"/>
      <c r="Q1422" s="7"/>
      <c r="R1422" s="7"/>
      <c r="S1422" s="7" t="s">
        <v>2990</v>
      </c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 t="str">
        <f t="shared" si="1"/>
        <v>Land area </v>
      </c>
      <c r="AE1422" s="7" t="str">
        <f t="shared" si="2"/>
        <v> sq. ft.</v>
      </c>
      <c r="AF1422">
        <f>IFERROR(__xludf.DUMMYFUNCTION("VALUE(REGEXREPLACE(G1422,""[^[:digit:]]"", """"))"),2.5503475E7)</f>
        <v>25503475</v>
      </c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 t="s">
        <v>22</v>
      </c>
    </row>
    <row r="1423">
      <c r="A1423" s="7" t="s">
        <v>23</v>
      </c>
      <c r="B1423" s="7" t="s">
        <v>411</v>
      </c>
      <c r="C1423" s="7">
        <f>4</f>
        <v>4</v>
      </c>
      <c r="D1423" s="7">
        <v>3.0</v>
      </c>
      <c r="E1423" s="7">
        <v>3.0</v>
      </c>
      <c r="F1423" s="7" t="s">
        <v>54</v>
      </c>
      <c r="G1423" s="7" t="s">
        <v>211</v>
      </c>
      <c r="H1423" s="9" t="s">
        <v>2981</v>
      </c>
      <c r="I1423" t="s">
        <v>2992</v>
      </c>
      <c r="J1423" s="7"/>
      <c r="K1423" s="7"/>
      <c r="L1423" s="7"/>
      <c r="M1423" s="7"/>
      <c r="N1423" s="7"/>
      <c r="O1423" s="7"/>
      <c r="P1423" s="7"/>
      <c r="Q1423" s="7"/>
      <c r="R1423" s="7"/>
      <c r="S1423" s="7" t="s">
        <v>2993</v>
      </c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 t="str">
        <f t="shared" si="1"/>
        <v>Land area </v>
      </c>
      <c r="AE1423" s="7" t="str">
        <f t="shared" si="2"/>
        <v> sq. ft.</v>
      </c>
      <c r="AF1423">
        <f>IFERROR(__xludf.DUMMYFUNCTION("VALUE(REGEXREPLACE(G1423,""[^[:digit:]]"", """"))"),2280.0)</f>
        <v>2280</v>
      </c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 t="s">
        <v>27</v>
      </c>
    </row>
    <row r="1424">
      <c r="A1424" s="7" t="s">
        <v>100</v>
      </c>
      <c r="B1424" s="7" t="s">
        <v>281</v>
      </c>
      <c r="C1424" s="7">
        <f>6+1</f>
        <v>7</v>
      </c>
      <c r="D1424" s="7">
        <v>7.0</v>
      </c>
      <c r="E1424" s="7">
        <v>5.0</v>
      </c>
      <c r="F1424" s="7" t="s">
        <v>25</v>
      </c>
      <c r="G1424" s="7" t="s">
        <v>1313</v>
      </c>
      <c r="H1424" s="9" t="s">
        <v>2981</v>
      </c>
      <c r="I1424" t="s">
        <v>3639</v>
      </c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 t="str">
        <f t="shared" si="1"/>
        <v>Land area </v>
      </c>
      <c r="AE1424" s="7" t="str">
        <f t="shared" si="2"/>
        <v> sq. ft.</v>
      </c>
      <c r="AF1424">
        <f>IFERROR(__xludf.DUMMYFUNCTION("VALUE(REGEXREPLACE(G1424,""[^[:digit:]]"", """"))"),4817.0)</f>
        <v>4817</v>
      </c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 t="s">
        <v>22</v>
      </c>
    </row>
    <row r="1425">
      <c r="A1425" s="7" t="s">
        <v>65</v>
      </c>
      <c r="B1425" s="7" t="s">
        <v>530</v>
      </c>
      <c r="C1425" s="7">
        <f>6</f>
        <v>6</v>
      </c>
      <c r="D1425" s="7">
        <v>6.0</v>
      </c>
      <c r="E1425" s="7">
        <v>4.0</v>
      </c>
      <c r="F1425" s="7" t="s">
        <v>43</v>
      </c>
      <c r="G1425" s="7" t="s">
        <v>1314</v>
      </c>
      <c r="H1425" s="9" t="s">
        <v>2981</v>
      </c>
      <c r="I1425" t="s">
        <v>3640</v>
      </c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 t="str">
        <f t="shared" si="1"/>
        <v>Land area </v>
      </c>
      <c r="AE1425" s="7" t="str">
        <f t="shared" si="2"/>
        <v> sq. ft.</v>
      </c>
      <c r="AF1425">
        <f>IFERROR(__xludf.DUMMYFUNCTION("VALUE(REGEXREPLACE(G1425,""[^[:digit:]]"", """"))"),4200.0)</f>
        <v>4200</v>
      </c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 t="s">
        <v>27</v>
      </c>
    </row>
    <row r="1426">
      <c r="A1426" s="7" t="s">
        <v>1315</v>
      </c>
      <c r="B1426" s="7" t="s">
        <v>1316</v>
      </c>
      <c r="E1426" s="9">
        <v>2.0</v>
      </c>
      <c r="F1426" s="7" t="s">
        <v>667</v>
      </c>
      <c r="G1426" s="7" t="s">
        <v>1317</v>
      </c>
      <c r="H1426" s="9" t="s">
        <v>2981</v>
      </c>
      <c r="I1426" t="s">
        <v>3641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 t="str">
        <f t="shared" si="1"/>
        <v>Land area </v>
      </c>
      <c r="AE1426" s="7" t="str">
        <f t="shared" si="2"/>
        <v> sq. ft.</v>
      </c>
      <c r="AF1426">
        <f>IFERROR(__xludf.DUMMYFUNCTION("VALUE(REGEXREPLACE(G1426,""[^[:digit:]]"", """"))"),41707.0)</f>
        <v>41707</v>
      </c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</row>
    <row r="1427">
      <c r="A1427" s="7" t="s">
        <v>177</v>
      </c>
      <c r="B1427" s="7" t="s">
        <v>616</v>
      </c>
      <c r="C1427" s="7">
        <f>7+1</f>
        <v>8</v>
      </c>
      <c r="D1427" s="7">
        <v>7.0</v>
      </c>
      <c r="E1427" s="7">
        <v>6.0</v>
      </c>
      <c r="F1427" s="7" t="s">
        <v>25</v>
      </c>
      <c r="G1427" s="7" t="s">
        <v>696</v>
      </c>
      <c r="H1427" s="9" t="s">
        <v>2981</v>
      </c>
      <c r="I1427" t="s">
        <v>3288</v>
      </c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 t="str">
        <f t="shared" si="1"/>
        <v>Land area </v>
      </c>
      <c r="AE1427" s="7" t="str">
        <f t="shared" si="2"/>
        <v> sq. ft.</v>
      </c>
      <c r="AF1427">
        <f>IFERROR(__xludf.DUMMYFUNCTION("VALUE(REGEXREPLACE(G1427,""[^[:digit:]]"", """"))"),8000.0)</f>
        <v>8000</v>
      </c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 t="s">
        <v>27</v>
      </c>
    </row>
    <row r="1428">
      <c r="A1428" s="7" t="s">
        <v>33</v>
      </c>
      <c r="B1428" s="7" t="s">
        <v>759</v>
      </c>
      <c r="C1428" s="7">
        <f>3</f>
        <v>3</v>
      </c>
      <c r="D1428" s="7">
        <v>3.0</v>
      </c>
      <c r="E1428" s="7">
        <v>2.0</v>
      </c>
      <c r="F1428" s="7" t="s">
        <v>30</v>
      </c>
      <c r="G1428" s="7" t="s">
        <v>1156</v>
      </c>
      <c r="H1428" s="9" t="s">
        <v>2979</v>
      </c>
      <c r="I1428" t="s">
        <v>3545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 t="str">
        <f t="shared" si="1"/>
        <v>Built-up :</v>
      </c>
      <c r="AE1428" s="7" t="str">
        <f t="shared" si="2"/>
        <v> sq. ft.</v>
      </c>
      <c r="AF1428">
        <f>IFERROR(__xludf.DUMMYFUNCTION("VALUE(REGEXREPLACE(G1428,""[^[:digit:]]"", """"))"),1003.0)</f>
        <v>1003</v>
      </c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 t="s">
        <v>27</v>
      </c>
    </row>
    <row r="1429">
      <c r="A1429" s="7" t="s">
        <v>72</v>
      </c>
      <c r="B1429" s="7" t="s">
        <v>468</v>
      </c>
      <c r="C1429" s="7">
        <f>4+1</f>
        <v>5</v>
      </c>
      <c r="D1429" s="7">
        <v>7.0</v>
      </c>
      <c r="E1429" s="7">
        <v>3.0</v>
      </c>
      <c r="F1429" s="7" t="s">
        <v>30</v>
      </c>
      <c r="G1429" s="7" t="s">
        <v>933</v>
      </c>
      <c r="H1429" s="9" t="s">
        <v>2979</v>
      </c>
      <c r="I1429" t="s">
        <v>3414</v>
      </c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 t="str">
        <f t="shared" si="1"/>
        <v>Built-up :</v>
      </c>
      <c r="AE1429" s="7" t="str">
        <f t="shared" si="2"/>
        <v> sq. ft.</v>
      </c>
      <c r="AF1429">
        <f>IFERROR(__xludf.DUMMYFUNCTION("VALUE(REGEXREPLACE(G1429,""[^[:digit:]]"", """"))"),3541.0)</f>
        <v>3541</v>
      </c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 t="s">
        <v>27</v>
      </c>
    </row>
    <row r="1430">
      <c r="A1430" s="7" t="s">
        <v>17</v>
      </c>
      <c r="B1430" s="7" t="s">
        <v>536</v>
      </c>
      <c r="C1430" s="7" t="s">
        <v>325</v>
      </c>
      <c r="D1430" s="7">
        <v>1.0</v>
      </c>
      <c r="E1430" s="9">
        <v>2.0</v>
      </c>
      <c r="F1430" s="7" t="s">
        <v>20</v>
      </c>
      <c r="G1430" s="7" t="s">
        <v>980</v>
      </c>
      <c r="H1430" s="9" t="s">
        <v>2979</v>
      </c>
      <c r="I1430" t="s">
        <v>3434</v>
      </c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 t="str">
        <f t="shared" si="1"/>
        <v>Built-up :</v>
      </c>
      <c r="AE1430" s="7" t="str">
        <f t="shared" si="2"/>
        <v> sq. ft.</v>
      </c>
      <c r="AF1430">
        <f>IFERROR(__xludf.DUMMYFUNCTION("VALUE(REGEXREPLACE(G1430,""[^[:digit:]]"", """"))"),493.0)</f>
        <v>493</v>
      </c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 t="s">
        <v>22</v>
      </c>
    </row>
    <row r="1431">
      <c r="A1431" s="7" t="s">
        <v>89</v>
      </c>
      <c r="B1431" s="7" t="s">
        <v>563</v>
      </c>
      <c r="C1431" s="7">
        <f>2+1</f>
        <v>3</v>
      </c>
      <c r="D1431" s="7">
        <v>2.0</v>
      </c>
      <c r="E1431" s="7">
        <v>2.0</v>
      </c>
      <c r="F1431" s="7" t="s">
        <v>121</v>
      </c>
      <c r="G1431" s="7" t="s">
        <v>764</v>
      </c>
      <c r="H1431" s="9" t="s">
        <v>2979</v>
      </c>
      <c r="I1431" t="s">
        <v>3325</v>
      </c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 t="str">
        <f t="shared" si="1"/>
        <v>Built-up :</v>
      </c>
      <c r="AE1431" s="7" t="str">
        <f t="shared" si="2"/>
        <v> sq. ft.</v>
      </c>
      <c r="AF1431">
        <f>IFERROR(__xludf.DUMMYFUNCTION("VALUE(REGEXREPLACE(G1431,""[^[:digit:]]"", """"))"),1025.0)</f>
        <v>1025</v>
      </c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 t="s">
        <v>27</v>
      </c>
    </row>
    <row r="1432">
      <c r="A1432" s="7" t="s">
        <v>89</v>
      </c>
      <c r="B1432" s="7" t="s">
        <v>1318</v>
      </c>
      <c r="C1432" s="7">
        <f>1</f>
        <v>1</v>
      </c>
      <c r="D1432" s="7">
        <v>1.0</v>
      </c>
      <c r="E1432" s="7">
        <v>1.0</v>
      </c>
      <c r="F1432" s="7" t="s">
        <v>121</v>
      </c>
      <c r="G1432" s="7" t="s">
        <v>1270</v>
      </c>
      <c r="H1432" s="9" t="s">
        <v>2979</v>
      </c>
      <c r="I1432" t="s">
        <v>3613</v>
      </c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 t="str">
        <f t="shared" si="1"/>
        <v>Built-up :</v>
      </c>
      <c r="AE1432" s="7" t="str">
        <f t="shared" si="2"/>
        <v> sq. ft.</v>
      </c>
      <c r="AF1432">
        <f>IFERROR(__xludf.DUMMYFUNCTION("VALUE(REGEXREPLACE(G1432,""[^[:digit:]]"", """"))"),780.0)</f>
        <v>780</v>
      </c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 t="s">
        <v>27</v>
      </c>
    </row>
    <row r="1433">
      <c r="A1433" s="7" t="s">
        <v>171</v>
      </c>
      <c r="B1433" s="7" t="s">
        <v>510</v>
      </c>
      <c r="C1433" s="7">
        <f>3</f>
        <v>3</v>
      </c>
      <c r="D1433" s="7">
        <v>2.0</v>
      </c>
      <c r="E1433" s="9">
        <v>2.0</v>
      </c>
      <c r="F1433" s="7" t="s">
        <v>20</v>
      </c>
      <c r="G1433" s="7" t="s">
        <v>1319</v>
      </c>
      <c r="H1433" s="9" t="s">
        <v>2979</v>
      </c>
      <c r="I1433" t="s">
        <v>3642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 t="str">
        <f t="shared" si="1"/>
        <v>Built-up :</v>
      </c>
      <c r="AE1433" s="7" t="str">
        <f t="shared" si="2"/>
        <v> sq. ft.</v>
      </c>
      <c r="AF1433">
        <f>IFERROR(__xludf.DUMMYFUNCTION("VALUE(REGEXREPLACE(G1433,""[^[:digit:]]"", """"))"),1009.0)</f>
        <v>1009</v>
      </c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</row>
    <row r="1434">
      <c r="A1434" s="7" t="s">
        <v>171</v>
      </c>
      <c r="B1434" s="7" t="s">
        <v>353</v>
      </c>
      <c r="C1434" s="7">
        <f>2</f>
        <v>2</v>
      </c>
      <c r="D1434" s="7">
        <v>2.0</v>
      </c>
      <c r="E1434" s="7">
        <v>2.0</v>
      </c>
      <c r="F1434" s="7" t="s">
        <v>20</v>
      </c>
      <c r="G1434" s="7" t="s">
        <v>1244</v>
      </c>
      <c r="H1434" s="9" t="s">
        <v>2979</v>
      </c>
      <c r="I1434" t="s">
        <v>3602</v>
      </c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 t="str">
        <f t="shared" si="1"/>
        <v>Built-up :</v>
      </c>
      <c r="AE1434" s="7" t="str">
        <f t="shared" si="2"/>
        <v> sq. ft.</v>
      </c>
      <c r="AF1434">
        <f>IFERROR(__xludf.DUMMYFUNCTION("VALUE(REGEXREPLACE(G1434,""[^[:digit:]]"", """"))"),856.0)</f>
        <v>856</v>
      </c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</row>
    <row r="1435">
      <c r="A1435" s="7" t="s">
        <v>171</v>
      </c>
      <c r="B1435" s="7" t="s">
        <v>191</v>
      </c>
      <c r="C1435" s="7">
        <f>3+2</f>
        <v>5</v>
      </c>
      <c r="D1435" s="7">
        <v>2.0</v>
      </c>
      <c r="E1435" s="7">
        <v>1.0</v>
      </c>
      <c r="F1435" s="7" t="s">
        <v>667</v>
      </c>
      <c r="G1435" s="7" t="s">
        <v>1320</v>
      </c>
      <c r="H1435" s="9" t="s">
        <v>2981</v>
      </c>
      <c r="I1435" t="s">
        <v>3643</v>
      </c>
      <c r="J1435" s="7"/>
      <c r="K1435" s="7"/>
      <c r="L1435" s="7"/>
      <c r="M1435" s="7"/>
      <c r="N1435" s="7"/>
      <c r="O1435" s="7"/>
      <c r="P1435" s="7"/>
      <c r="Q1435" s="7"/>
      <c r="R1435" s="7"/>
      <c r="S1435" s="7" t="s">
        <v>3644</v>
      </c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 t="str">
        <f t="shared" si="1"/>
        <v>Land area </v>
      </c>
      <c r="AE1435" s="7" t="str">
        <f t="shared" si="2"/>
        <v>5 sq. m.</v>
      </c>
      <c r="AF1435">
        <f>IFERROR(__xludf.DUMMYFUNCTION("VALUE(REGEXREPLACE(G1435,""[^[:digit:]]"", """"))"),2275.0)</f>
        <v>2275</v>
      </c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</row>
    <row r="1436">
      <c r="A1436" s="7" t="s">
        <v>17</v>
      </c>
      <c r="B1436" s="7" t="s">
        <v>475</v>
      </c>
      <c r="C1436" s="7">
        <f>4</f>
        <v>4</v>
      </c>
      <c r="E1436" s="9">
        <v>2.0</v>
      </c>
      <c r="F1436" s="7" t="s">
        <v>20</v>
      </c>
      <c r="G1436" s="7" t="s">
        <v>1321</v>
      </c>
      <c r="H1436" s="9" t="s">
        <v>2979</v>
      </c>
      <c r="I1436" t="s">
        <v>3645</v>
      </c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 t="str">
        <f t="shared" si="1"/>
        <v>Built-up :</v>
      </c>
      <c r="AE1436" s="7" t="str">
        <f t="shared" si="2"/>
        <v> sq. ft.</v>
      </c>
      <c r="AF1436">
        <f>IFERROR(__xludf.DUMMYFUNCTION("VALUE(REGEXREPLACE(G1436,""[^[:digit:]]"", """"))"),2998.0)</f>
        <v>2998</v>
      </c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</row>
    <row r="1437">
      <c r="A1437" s="7" t="s">
        <v>17</v>
      </c>
      <c r="B1437" s="7" t="s">
        <v>534</v>
      </c>
      <c r="C1437" s="7">
        <f>3+1</f>
        <v>4</v>
      </c>
      <c r="D1437" s="7">
        <v>3.0</v>
      </c>
      <c r="E1437" s="7">
        <v>2.0</v>
      </c>
      <c r="F1437" s="7" t="s">
        <v>20</v>
      </c>
      <c r="G1437" s="7" t="s">
        <v>1322</v>
      </c>
      <c r="H1437" s="9" t="s">
        <v>2979</v>
      </c>
      <c r="I1437" t="s">
        <v>3646</v>
      </c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 t="str">
        <f t="shared" si="1"/>
        <v>Built-up :</v>
      </c>
      <c r="AE1437" s="7" t="str">
        <f t="shared" si="2"/>
        <v> sq. ft.</v>
      </c>
      <c r="AF1437">
        <f>IFERROR(__xludf.DUMMYFUNCTION("VALUE(REGEXREPLACE(G1437,""[^[:digit:]]"", """"))"),3383.0)</f>
        <v>3383</v>
      </c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 t="s">
        <v>27</v>
      </c>
    </row>
    <row r="1438">
      <c r="A1438" s="7" t="s">
        <v>104</v>
      </c>
      <c r="B1438" s="7" t="s">
        <v>761</v>
      </c>
      <c r="C1438" s="7">
        <f>3</f>
        <v>3</v>
      </c>
      <c r="D1438" s="7">
        <v>3.0</v>
      </c>
      <c r="E1438" s="7">
        <v>1.0</v>
      </c>
      <c r="F1438" s="7" t="s">
        <v>203</v>
      </c>
      <c r="G1438" s="7" t="s">
        <v>1323</v>
      </c>
      <c r="H1438" s="9" t="s">
        <v>2981</v>
      </c>
      <c r="I1438" t="s">
        <v>3647</v>
      </c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 t="str">
        <f t="shared" si="1"/>
        <v>Land area </v>
      </c>
      <c r="AE1438" s="7" t="str">
        <f t="shared" si="2"/>
        <v> sq. ft.</v>
      </c>
      <c r="AF1438">
        <f>IFERROR(__xludf.DUMMYFUNCTION("VALUE(REGEXREPLACE(G1438,""[^[:digit:]]"", """"))"),592.0)</f>
        <v>592</v>
      </c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 t="s">
        <v>27</v>
      </c>
    </row>
    <row r="1439">
      <c r="A1439" s="7" t="s">
        <v>33</v>
      </c>
      <c r="B1439" s="7" t="s">
        <v>329</v>
      </c>
      <c r="C1439" s="7">
        <f t="shared" ref="C1439:C1441" si="155">3+1</f>
        <v>4</v>
      </c>
      <c r="D1439" s="7">
        <v>3.0</v>
      </c>
      <c r="E1439" s="7">
        <v>2.0</v>
      </c>
      <c r="F1439" s="7" t="s">
        <v>83</v>
      </c>
      <c r="G1439" s="7" t="s">
        <v>1324</v>
      </c>
      <c r="H1439" s="9" t="s">
        <v>2979</v>
      </c>
      <c r="I1439" t="s">
        <v>3648</v>
      </c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 t="str">
        <f t="shared" si="1"/>
        <v>Built-up :</v>
      </c>
      <c r="AE1439" s="7" t="str">
        <f t="shared" si="2"/>
        <v> sq. ft.</v>
      </c>
      <c r="AF1439">
        <f>IFERROR(__xludf.DUMMYFUNCTION("VALUE(REGEXREPLACE(G1439,""[^[:digit:]]"", """"))"),1508.0)</f>
        <v>1508</v>
      </c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</row>
    <row r="1440">
      <c r="A1440" s="7" t="s">
        <v>692</v>
      </c>
      <c r="B1440" s="7" t="s">
        <v>18</v>
      </c>
      <c r="C1440" s="7">
        <f t="shared" si="155"/>
        <v>4</v>
      </c>
      <c r="D1440" s="7">
        <v>4.0</v>
      </c>
      <c r="E1440" s="9">
        <v>2.0</v>
      </c>
      <c r="F1440" s="7" t="s">
        <v>1325</v>
      </c>
      <c r="G1440" s="7" t="s">
        <v>528</v>
      </c>
      <c r="H1440" s="9" t="s">
        <v>2979</v>
      </c>
      <c r="I1440" t="s">
        <v>3209</v>
      </c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 t="str">
        <f t="shared" si="1"/>
        <v>Built-up :</v>
      </c>
      <c r="AE1440" s="7" t="str">
        <f t="shared" si="2"/>
        <v> sq. ft.</v>
      </c>
      <c r="AF1440">
        <f>IFERROR(__xludf.DUMMYFUNCTION("VALUE(REGEXREPLACE(G1440,""[^[:digit:]]"", """"))"),2336.0)</f>
        <v>2336</v>
      </c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 t="s">
        <v>27</v>
      </c>
    </row>
    <row r="1441">
      <c r="A1441" s="7" t="s">
        <v>72</v>
      </c>
      <c r="B1441" s="7" t="s">
        <v>236</v>
      </c>
      <c r="C1441" s="7">
        <f t="shared" si="155"/>
        <v>4</v>
      </c>
      <c r="D1441" s="7">
        <v>3.0</v>
      </c>
      <c r="E1441" s="9">
        <v>2.0</v>
      </c>
      <c r="F1441" s="7" t="s">
        <v>83</v>
      </c>
      <c r="G1441" s="7" t="s">
        <v>561</v>
      </c>
      <c r="H1441" s="9" t="s">
        <v>2979</v>
      </c>
      <c r="I1441" t="s">
        <v>3226</v>
      </c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 t="str">
        <f t="shared" si="1"/>
        <v>Built-up :</v>
      </c>
      <c r="AE1441" s="7" t="str">
        <f t="shared" si="2"/>
        <v> sq. ft.</v>
      </c>
      <c r="AF1441">
        <f>IFERROR(__xludf.DUMMYFUNCTION("VALUE(REGEXREPLACE(G1441,""[^[:digit:]]"", """"))"),2535.0)</f>
        <v>2535</v>
      </c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 t="s">
        <v>22</v>
      </c>
    </row>
    <row r="1442">
      <c r="A1442" s="7" t="s">
        <v>77</v>
      </c>
      <c r="B1442" s="7" t="s">
        <v>970</v>
      </c>
      <c r="C1442" s="7">
        <f>5+2</f>
        <v>7</v>
      </c>
      <c r="D1442" s="7">
        <v>7.0</v>
      </c>
      <c r="E1442" s="9">
        <v>2.0</v>
      </c>
      <c r="F1442" s="7" t="s">
        <v>1036</v>
      </c>
      <c r="G1442" s="7" t="s">
        <v>1326</v>
      </c>
      <c r="H1442" s="9" t="s">
        <v>2981</v>
      </c>
      <c r="I1442" t="s">
        <v>3100</v>
      </c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 t="str">
        <f t="shared" si="1"/>
        <v>Land area </v>
      </c>
      <c r="AE1442" s="7" t="str">
        <f t="shared" si="2"/>
        <v> sq. ft.</v>
      </c>
      <c r="AF1442" s="7">
        <v>2805.0</v>
      </c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 t="s">
        <v>27</v>
      </c>
    </row>
    <row r="1443">
      <c r="A1443" s="7" t="s">
        <v>77</v>
      </c>
      <c r="B1443" s="7" t="s">
        <v>329</v>
      </c>
      <c r="C1443" s="7">
        <f>2+1</f>
        <v>3</v>
      </c>
      <c r="D1443" s="7">
        <v>3.0</v>
      </c>
      <c r="E1443" s="7">
        <v>2.0</v>
      </c>
      <c r="F1443" s="7" t="s">
        <v>93</v>
      </c>
      <c r="G1443" s="7" t="s">
        <v>845</v>
      </c>
      <c r="H1443" s="9" t="s">
        <v>2979</v>
      </c>
      <c r="I1443" t="s">
        <v>3367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 t="str">
        <f t="shared" si="1"/>
        <v>Built-up :</v>
      </c>
      <c r="AE1443" s="7" t="str">
        <f t="shared" si="2"/>
        <v> sq. ft.</v>
      </c>
      <c r="AF1443">
        <f>IFERROR(__xludf.DUMMYFUNCTION("VALUE(REGEXREPLACE(G1443,""[^[:digit:]]"", """"))"),1500.0)</f>
        <v>1500</v>
      </c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 t="s">
        <v>22</v>
      </c>
    </row>
    <row r="1444">
      <c r="A1444" s="7" t="s">
        <v>77</v>
      </c>
      <c r="B1444" s="7" t="s">
        <v>475</v>
      </c>
      <c r="C1444" s="7">
        <f>3+1</f>
        <v>4</v>
      </c>
      <c r="D1444" s="7">
        <v>5.0</v>
      </c>
      <c r="E1444" s="9">
        <v>2.0</v>
      </c>
      <c r="F1444" s="7" t="s">
        <v>90</v>
      </c>
      <c r="G1444" s="7" t="s">
        <v>1027</v>
      </c>
      <c r="H1444" s="9" t="s">
        <v>2979</v>
      </c>
      <c r="I1444" t="s">
        <v>3463</v>
      </c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 t="str">
        <f t="shared" si="1"/>
        <v>Built-up :</v>
      </c>
      <c r="AE1444" s="7" t="str">
        <f t="shared" si="2"/>
        <v> sq. ft.</v>
      </c>
      <c r="AF1444">
        <f>IFERROR(__xludf.DUMMYFUNCTION("VALUE(REGEXREPLACE(G1444,""[^[:digit:]]"", """"))"),3200.0)</f>
        <v>3200</v>
      </c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 t="s">
        <v>27</v>
      </c>
    </row>
    <row r="1445">
      <c r="A1445" s="7" t="s">
        <v>72</v>
      </c>
      <c r="B1445" s="7" t="s">
        <v>563</v>
      </c>
      <c r="C1445" s="7">
        <f>1</f>
        <v>1</v>
      </c>
      <c r="D1445" s="7">
        <v>1.0</v>
      </c>
      <c r="E1445" s="7">
        <v>1.0</v>
      </c>
      <c r="F1445" s="7" t="s">
        <v>121</v>
      </c>
      <c r="G1445" s="7" t="s">
        <v>685</v>
      </c>
      <c r="H1445" s="9" t="s">
        <v>2979</v>
      </c>
      <c r="I1445" t="s">
        <v>3283</v>
      </c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 t="str">
        <f t="shared" si="1"/>
        <v>Built-up :</v>
      </c>
      <c r="AE1445" s="7" t="str">
        <f t="shared" si="2"/>
        <v> sq. ft.</v>
      </c>
      <c r="AF1445">
        <f>IFERROR(__xludf.DUMMYFUNCTION("VALUE(REGEXREPLACE(G1445,""[^[:digit:]]"", """"))"),462.0)</f>
        <v>462</v>
      </c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 t="s">
        <v>22</v>
      </c>
    </row>
    <row r="1446">
      <c r="A1446" s="7" t="s">
        <v>580</v>
      </c>
      <c r="B1446" s="7" t="s">
        <v>63</v>
      </c>
      <c r="C1446" s="7">
        <f>5+1</f>
        <v>6</v>
      </c>
      <c r="D1446" s="7">
        <v>5.0</v>
      </c>
      <c r="E1446" s="9">
        <v>2.0</v>
      </c>
      <c r="F1446" s="7" t="s">
        <v>43</v>
      </c>
      <c r="G1446" s="7" t="s">
        <v>1327</v>
      </c>
      <c r="H1446" s="9" t="s">
        <v>2981</v>
      </c>
      <c r="I1446" t="s">
        <v>3146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 t="s">
        <v>3188</v>
      </c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 t="str">
        <f t="shared" si="1"/>
        <v>Land area </v>
      </c>
      <c r="AE1446" s="7" t="str">
        <f t="shared" si="2"/>
        <v> sq. ft.</v>
      </c>
      <c r="AF1446" s="7">
        <v>4050.0</v>
      </c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 t="s">
        <v>27</v>
      </c>
    </row>
    <row r="1447">
      <c r="A1447" s="7" t="s">
        <v>72</v>
      </c>
      <c r="B1447" s="7" t="s">
        <v>1328</v>
      </c>
      <c r="C1447" s="7">
        <f>1</f>
        <v>1</v>
      </c>
      <c r="D1447" s="7">
        <v>1.0</v>
      </c>
      <c r="E1447" s="7">
        <v>1.0</v>
      </c>
      <c r="F1447" s="7" t="s">
        <v>82</v>
      </c>
      <c r="G1447" s="7" t="s">
        <v>1329</v>
      </c>
      <c r="H1447" s="9" t="s">
        <v>2979</v>
      </c>
      <c r="I1447" t="s">
        <v>3649</v>
      </c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 t="str">
        <f t="shared" si="1"/>
        <v>Built-up :</v>
      </c>
      <c r="AE1447" s="7" t="str">
        <f t="shared" si="2"/>
        <v> sq. ft.</v>
      </c>
      <c r="AF1447">
        <f>IFERROR(__xludf.DUMMYFUNCTION("VALUE(REGEXREPLACE(G1447,""[^[:digit:]]"", """"))"),745.0)</f>
        <v>745</v>
      </c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 t="s">
        <v>22</v>
      </c>
    </row>
    <row r="1448">
      <c r="A1448" s="7" t="s">
        <v>371</v>
      </c>
      <c r="B1448" s="7" t="s">
        <v>629</v>
      </c>
      <c r="C1448" s="7">
        <f>3</f>
        <v>3</v>
      </c>
      <c r="D1448" s="7">
        <v>2.0</v>
      </c>
      <c r="E1448" s="7">
        <v>2.0</v>
      </c>
      <c r="F1448" s="7" t="s">
        <v>30</v>
      </c>
      <c r="G1448" s="7" t="s">
        <v>959</v>
      </c>
      <c r="H1448" s="9" t="s">
        <v>2979</v>
      </c>
      <c r="I1448" t="s">
        <v>3427</v>
      </c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 t="str">
        <f t="shared" si="1"/>
        <v>Built-up :</v>
      </c>
      <c r="AE1448" s="7" t="str">
        <f t="shared" si="2"/>
        <v> sq. ft.</v>
      </c>
      <c r="AF1448">
        <f>IFERROR(__xludf.DUMMYFUNCTION("VALUE(REGEXREPLACE(G1448,""[^[:digit:]]"", """"))"),1259.0)</f>
        <v>1259</v>
      </c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 t="s">
        <v>103</v>
      </c>
    </row>
    <row r="1449">
      <c r="A1449" s="7" t="s">
        <v>371</v>
      </c>
      <c r="B1449" s="7" t="s">
        <v>311</v>
      </c>
      <c r="C1449" s="7">
        <f>3+1</f>
        <v>4</v>
      </c>
      <c r="D1449" s="7">
        <v>4.0</v>
      </c>
      <c r="E1449" s="7">
        <v>2.0</v>
      </c>
      <c r="F1449" s="7" t="s">
        <v>30</v>
      </c>
      <c r="G1449" s="7" t="s">
        <v>1165</v>
      </c>
      <c r="H1449" s="9" t="s">
        <v>2979</v>
      </c>
      <c r="I1449" t="s">
        <v>3551</v>
      </c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 t="str">
        <f t="shared" si="1"/>
        <v>Built-up :</v>
      </c>
      <c r="AE1449" s="7" t="str">
        <f t="shared" si="2"/>
        <v> sq. ft.</v>
      </c>
      <c r="AF1449">
        <f>IFERROR(__xludf.DUMMYFUNCTION("VALUE(REGEXREPLACE(G1449,""[^[:digit:]]"", """"))"),1759.0)</f>
        <v>1759</v>
      </c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 t="s">
        <v>103</v>
      </c>
    </row>
    <row r="1450">
      <c r="A1450" s="7" t="s">
        <v>155</v>
      </c>
      <c r="B1450" s="7" t="s">
        <v>967</v>
      </c>
      <c r="C1450" s="7">
        <f>2</f>
        <v>2</v>
      </c>
      <c r="D1450" s="7">
        <v>2.0</v>
      </c>
      <c r="E1450" s="7">
        <v>1.0</v>
      </c>
      <c r="F1450" s="7" t="s">
        <v>93</v>
      </c>
      <c r="G1450" s="7" t="s">
        <v>1330</v>
      </c>
      <c r="H1450" s="9" t="s">
        <v>2979</v>
      </c>
      <c r="I1450" t="s">
        <v>3650</v>
      </c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 t="str">
        <f t="shared" si="1"/>
        <v>Built-up :</v>
      </c>
      <c r="AE1450" s="7" t="str">
        <f t="shared" si="2"/>
        <v> sq. ft.</v>
      </c>
      <c r="AF1450">
        <f>IFERROR(__xludf.DUMMYFUNCTION("VALUE(REGEXREPLACE(G1450,""[^[:digit:]]"", """"))"),819.0)</f>
        <v>819</v>
      </c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 t="s">
        <v>27</v>
      </c>
    </row>
    <row r="1451">
      <c r="A1451" s="7" t="s">
        <v>155</v>
      </c>
      <c r="B1451" s="7" t="s">
        <v>813</v>
      </c>
      <c r="C1451" s="7">
        <f>5+1</f>
        <v>6</v>
      </c>
      <c r="D1451" s="7">
        <v>6.0</v>
      </c>
      <c r="E1451" s="7">
        <v>4.0</v>
      </c>
      <c r="F1451" s="7" t="s">
        <v>30</v>
      </c>
      <c r="G1451" s="7" t="s">
        <v>1331</v>
      </c>
      <c r="H1451" s="9" t="s">
        <v>2979</v>
      </c>
      <c r="I1451" t="s">
        <v>3651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 t="str">
        <f t="shared" si="1"/>
        <v>Built-up :</v>
      </c>
      <c r="AE1451" s="7" t="str">
        <f t="shared" si="2"/>
        <v> sq. ft.</v>
      </c>
      <c r="AF1451">
        <f>IFERROR(__xludf.DUMMYFUNCTION("VALUE(REGEXREPLACE(G1451,""[^[:digit:]]"", """"))"),3264.0)</f>
        <v>3264</v>
      </c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 t="s">
        <v>103</v>
      </c>
    </row>
    <row r="1452">
      <c r="A1452" s="7" t="s">
        <v>155</v>
      </c>
      <c r="B1452" s="7" t="s">
        <v>599</v>
      </c>
      <c r="C1452" s="7">
        <f>3+1</f>
        <v>4</v>
      </c>
      <c r="D1452" s="7">
        <v>4.0</v>
      </c>
      <c r="E1452" s="7">
        <v>2.0</v>
      </c>
      <c r="F1452" s="7" t="s">
        <v>30</v>
      </c>
      <c r="G1452" s="7" t="s">
        <v>382</v>
      </c>
      <c r="H1452" s="9" t="s">
        <v>2979</v>
      </c>
      <c r="I1452" t="s">
        <v>3136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 t="str">
        <f t="shared" si="1"/>
        <v>Built-up :</v>
      </c>
      <c r="AE1452" s="7" t="str">
        <f t="shared" si="2"/>
        <v> sq. ft.</v>
      </c>
      <c r="AF1452">
        <f>IFERROR(__xludf.DUMMYFUNCTION("VALUE(REGEXREPLACE(G1452,""[^[:digit:]]"", """"))"),1488.0)</f>
        <v>1488</v>
      </c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 t="s">
        <v>27</v>
      </c>
    </row>
    <row r="1453">
      <c r="A1453" s="7" t="s">
        <v>155</v>
      </c>
      <c r="B1453" s="7" t="s">
        <v>372</v>
      </c>
      <c r="C1453" s="7">
        <f>2+1</f>
        <v>3</v>
      </c>
      <c r="D1453" s="7">
        <v>3.0</v>
      </c>
      <c r="E1453" s="7">
        <v>1.0</v>
      </c>
      <c r="F1453" s="7" t="s">
        <v>93</v>
      </c>
      <c r="G1453" s="7" t="s">
        <v>952</v>
      </c>
      <c r="H1453" s="9" t="s">
        <v>2979</v>
      </c>
      <c r="I1453" t="s">
        <v>3423</v>
      </c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 t="str">
        <f t="shared" si="1"/>
        <v>Built-up :</v>
      </c>
      <c r="AE1453" s="7" t="str">
        <f t="shared" si="2"/>
        <v> sq. ft.</v>
      </c>
      <c r="AF1453">
        <f>IFERROR(__xludf.DUMMYFUNCTION("VALUE(REGEXREPLACE(G1453,""[^[:digit:]]"", """"))"),999.0)</f>
        <v>999</v>
      </c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 t="s">
        <v>103</v>
      </c>
    </row>
    <row r="1454">
      <c r="A1454" s="7" t="s">
        <v>100</v>
      </c>
      <c r="B1454" s="7" t="s">
        <v>1328</v>
      </c>
      <c r="C1454" s="7">
        <f>2</f>
        <v>2</v>
      </c>
      <c r="D1454" s="7">
        <v>2.0</v>
      </c>
      <c r="E1454" s="9">
        <v>2.0</v>
      </c>
      <c r="F1454" s="7" t="s">
        <v>93</v>
      </c>
      <c r="G1454" s="7" t="s">
        <v>1332</v>
      </c>
      <c r="H1454" s="9" t="s">
        <v>2979</v>
      </c>
      <c r="I1454" t="s">
        <v>3652</v>
      </c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 t="str">
        <f t="shared" si="1"/>
        <v>Built-up :</v>
      </c>
      <c r="AE1454" s="7" t="str">
        <f t="shared" si="2"/>
        <v> sq. ft.</v>
      </c>
      <c r="AF1454">
        <f>IFERROR(__xludf.DUMMYFUNCTION("VALUE(REGEXREPLACE(G1454,""[^[:digit:]]"", """"))"),1164.0)</f>
        <v>1164</v>
      </c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 t="s">
        <v>103</v>
      </c>
    </row>
    <row r="1455">
      <c r="A1455" s="7" t="s">
        <v>32</v>
      </c>
      <c r="B1455" s="7" t="s">
        <v>1333</v>
      </c>
      <c r="C1455" s="7">
        <f>1</f>
        <v>1</v>
      </c>
      <c r="D1455" s="7">
        <v>2.0</v>
      </c>
      <c r="E1455" s="7">
        <v>1.0</v>
      </c>
      <c r="F1455" s="7" t="s">
        <v>145</v>
      </c>
      <c r="G1455" s="7" t="s">
        <v>678</v>
      </c>
      <c r="H1455" s="9" t="s">
        <v>2979</v>
      </c>
      <c r="I1455" t="s">
        <v>3280</v>
      </c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 t="str">
        <f t="shared" si="1"/>
        <v>Built-up :</v>
      </c>
      <c r="AE1455" s="7" t="str">
        <f t="shared" si="2"/>
        <v> sq. ft.</v>
      </c>
      <c r="AF1455">
        <f>IFERROR(__xludf.DUMMYFUNCTION("VALUE(REGEXREPLACE(G1455,""[^[:digit:]]"", """"))"),762.0)</f>
        <v>762</v>
      </c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 t="s">
        <v>27</v>
      </c>
    </row>
    <row r="1456">
      <c r="A1456" s="7" t="s">
        <v>155</v>
      </c>
      <c r="B1456" s="7" t="s">
        <v>1334</v>
      </c>
      <c r="C1456" s="7">
        <f>3+1</f>
        <v>4</v>
      </c>
      <c r="D1456" s="7">
        <v>4.0</v>
      </c>
      <c r="E1456" s="7">
        <v>1.0</v>
      </c>
      <c r="F1456" s="7" t="s">
        <v>30</v>
      </c>
      <c r="G1456" s="7" t="s">
        <v>345</v>
      </c>
      <c r="H1456" s="9" t="s">
        <v>2979</v>
      </c>
      <c r="I1456" t="s">
        <v>3119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 t="str">
        <f t="shared" si="1"/>
        <v>Built-up :</v>
      </c>
      <c r="AE1456" s="7" t="str">
        <f t="shared" si="2"/>
        <v> sq. ft.</v>
      </c>
      <c r="AF1456">
        <f>IFERROR(__xludf.DUMMYFUNCTION("VALUE(REGEXREPLACE(G1456,""[^[:digit:]]"", """"))"),1381.0)</f>
        <v>1381</v>
      </c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 t="s">
        <v>27</v>
      </c>
    </row>
    <row r="1457">
      <c r="A1457" s="7" t="s">
        <v>155</v>
      </c>
      <c r="B1457" s="7" t="s">
        <v>243</v>
      </c>
      <c r="C1457" s="7">
        <f>4+1</f>
        <v>5</v>
      </c>
      <c r="D1457" s="7">
        <v>5.0</v>
      </c>
      <c r="E1457" s="7">
        <v>2.0</v>
      </c>
      <c r="F1457" s="7" t="s">
        <v>93</v>
      </c>
      <c r="G1457" s="7" t="s">
        <v>1335</v>
      </c>
      <c r="H1457" s="9" t="s">
        <v>2979</v>
      </c>
      <c r="I1457" t="s">
        <v>3653</v>
      </c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 t="str">
        <f t="shared" si="1"/>
        <v>Built-up :</v>
      </c>
      <c r="AE1457" s="7" t="str">
        <f t="shared" si="2"/>
        <v> sq. ft.</v>
      </c>
      <c r="AF1457">
        <f>IFERROR(__xludf.DUMMYFUNCTION("VALUE(REGEXREPLACE(G1457,""[^[:digit:]]"", """"))"),2049.0)</f>
        <v>2049</v>
      </c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 t="s">
        <v>103</v>
      </c>
    </row>
    <row r="1458">
      <c r="A1458" s="7" t="s">
        <v>155</v>
      </c>
      <c r="B1458" s="7" t="s">
        <v>953</v>
      </c>
      <c r="C1458" s="7">
        <f>2+1</f>
        <v>3</v>
      </c>
      <c r="D1458" s="7">
        <v>3.0</v>
      </c>
      <c r="E1458" s="7">
        <v>1.0</v>
      </c>
      <c r="F1458" s="7" t="s">
        <v>93</v>
      </c>
      <c r="G1458" s="7" t="s">
        <v>1336</v>
      </c>
      <c r="H1458" s="9" t="s">
        <v>2979</v>
      </c>
      <c r="I1458" t="s">
        <v>3654</v>
      </c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 t="str">
        <f t="shared" si="1"/>
        <v>Built-up :</v>
      </c>
      <c r="AE1458" s="7" t="str">
        <f t="shared" si="2"/>
        <v> sq. ft.</v>
      </c>
      <c r="AF1458">
        <f>IFERROR(__xludf.DUMMYFUNCTION("VALUE(REGEXREPLACE(G1458,""[^[:digit:]]"", """"))"),1147.0)</f>
        <v>1147</v>
      </c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 t="s">
        <v>103</v>
      </c>
    </row>
    <row r="1459">
      <c r="A1459" s="7" t="s">
        <v>155</v>
      </c>
      <c r="B1459" s="7" t="s">
        <v>132</v>
      </c>
      <c r="C1459" s="7">
        <f>3+1</f>
        <v>4</v>
      </c>
      <c r="D1459" s="7">
        <v>5.0</v>
      </c>
      <c r="E1459" s="7">
        <v>2.0</v>
      </c>
      <c r="F1459" s="7" t="s">
        <v>30</v>
      </c>
      <c r="G1459" s="7" t="s">
        <v>1246</v>
      </c>
      <c r="H1459" s="9" t="s">
        <v>2979</v>
      </c>
      <c r="I1459" t="s">
        <v>3604</v>
      </c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 t="str">
        <f t="shared" si="1"/>
        <v>Built-up :</v>
      </c>
      <c r="AE1459" s="7" t="str">
        <f t="shared" si="2"/>
        <v> sq. ft.</v>
      </c>
      <c r="AF1459">
        <f>IFERROR(__xludf.DUMMYFUNCTION("VALUE(REGEXREPLACE(G1459,""[^[:digit:]]"", """"))"),1567.0)</f>
        <v>1567</v>
      </c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 t="s">
        <v>103</v>
      </c>
    </row>
    <row r="1460">
      <c r="A1460" s="7" t="s">
        <v>33</v>
      </c>
      <c r="B1460" s="7" t="s">
        <v>329</v>
      </c>
      <c r="C1460" s="7">
        <f>5</f>
        <v>5</v>
      </c>
      <c r="D1460" s="7">
        <v>4.0</v>
      </c>
      <c r="E1460" s="9">
        <v>2.0</v>
      </c>
      <c r="F1460" s="7" t="s">
        <v>90</v>
      </c>
      <c r="H1460" s="9" t="s">
        <v>2984</v>
      </c>
      <c r="I1460" t="s">
        <v>2985</v>
      </c>
      <c r="AD1460" s="7" t="str">
        <f t="shared" si="1"/>
        <v/>
      </c>
      <c r="AE1460" s="7" t="str">
        <f t="shared" si="2"/>
        <v/>
      </c>
      <c r="AF1460">
        <f>IFERROR(__xludf.DUMMYFUNCTION("VALUE(REGEXREPLACE(G1460,""[^[:digit:]]"", """"))"),0.0)</f>
        <v>0</v>
      </c>
    </row>
    <row r="1461">
      <c r="A1461" s="7" t="s">
        <v>32</v>
      </c>
      <c r="B1461" s="7" t="s">
        <v>1337</v>
      </c>
      <c r="C1461" s="7">
        <f>2</f>
        <v>2</v>
      </c>
      <c r="D1461" s="7">
        <v>2.0</v>
      </c>
      <c r="E1461" s="7">
        <v>1.0</v>
      </c>
      <c r="F1461" s="7" t="s">
        <v>20</v>
      </c>
      <c r="H1461" s="9" t="s">
        <v>2984</v>
      </c>
      <c r="I1461" t="s">
        <v>2985</v>
      </c>
      <c r="AD1461" s="7" t="str">
        <f t="shared" si="1"/>
        <v/>
      </c>
      <c r="AE1461" s="7" t="str">
        <f t="shared" si="2"/>
        <v/>
      </c>
      <c r="AF1461">
        <f>IFERROR(__xludf.DUMMYFUNCTION("VALUE(REGEXREPLACE(G1461,""[^[:digit:]]"", """"))"),0.0)</f>
        <v>0</v>
      </c>
    </row>
    <row r="1462">
      <c r="A1462" s="7" t="s">
        <v>171</v>
      </c>
      <c r="B1462" s="7" t="s">
        <v>759</v>
      </c>
      <c r="C1462" s="7">
        <f>3</f>
        <v>3</v>
      </c>
      <c r="D1462" s="7">
        <v>2.0</v>
      </c>
      <c r="E1462" s="7">
        <v>2.0</v>
      </c>
      <c r="F1462" s="7" t="s">
        <v>83</v>
      </c>
      <c r="G1462" s="7" t="s">
        <v>192</v>
      </c>
      <c r="H1462" s="9" t="s">
        <v>2979</v>
      </c>
      <c r="I1462" t="s">
        <v>3045</v>
      </c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 t="str">
        <f t="shared" si="1"/>
        <v>Built-up :</v>
      </c>
      <c r="AE1462" s="7" t="str">
        <f t="shared" si="2"/>
        <v> sq. ft.</v>
      </c>
      <c r="AF1462">
        <f>IFERROR(__xludf.DUMMYFUNCTION("VALUE(REGEXREPLACE(G1462,""[^[:digit:]]"", """"))"),1313.0)</f>
        <v>1313</v>
      </c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 t="s">
        <v>27</v>
      </c>
    </row>
    <row r="1463">
      <c r="A1463" s="7" t="s">
        <v>171</v>
      </c>
      <c r="B1463" s="7" t="s">
        <v>955</v>
      </c>
      <c r="C1463" s="7">
        <f>4</f>
        <v>4</v>
      </c>
      <c r="D1463" s="7">
        <v>2.0</v>
      </c>
      <c r="E1463" s="7">
        <v>2.0</v>
      </c>
      <c r="F1463" s="7" t="s">
        <v>83</v>
      </c>
      <c r="G1463" s="7" t="s">
        <v>1068</v>
      </c>
      <c r="H1463" s="9" t="s">
        <v>2979</v>
      </c>
      <c r="I1463" t="s">
        <v>3487</v>
      </c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 t="str">
        <f t="shared" si="1"/>
        <v>Built-up :</v>
      </c>
      <c r="AE1463" s="7" t="str">
        <f t="shared" si="2"/>
        <v> sq. ft.</v>
      </c>
      <c r="AF1463">
        <f>IFERROR(__xludf.DUMMYFUNCTION("VALUE(REGEXREPLACE(G1463,""[^[:digit:]]"", """"))"),1333.0)</f>
        <v>1333</v>
      </c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 t="s">
        <v>103</v>
      </c>
    </row>
    <row r="1464">
      <c r="A1464" s="7" t="s">
        <v>155</v>
      </c>
      <c r="B1464" s="7" t="s">
        <v>1338</v>
      </c>
      <c r="C1464" s="7">
        <f>3+1</f>
        <v>4</v>
      </c>
      <c r="D1464" s="7">
        <v>4.0</v>
      </c>
      <c r="E1464" s="7">
        <v>1.0</v>
      </c>
      <c r="F1464" s="7" t="s">
        <v>83</v>
      </c>
      <c r="G1464" s="7" t="s">
        <v>345</v>
      </c>
      <c r="H1464" s="9" t="s">
        <v>2979</v>
      </c>
      <c r="I1464" t="s">
        <v>3119</v>
      </c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 t="str">
        <f t="shared" si="1"/>
        <v>Built-up :</v>
      </c>
      <c r="AE1464" s="7" t="str">
        <f t="shared" si="2"/>
        <v> sq. ft.</v>
      </c>
      <c r="AF1464">
        <f>IFERROR(__xludf.DUMMYFUNCTION("VALUE(REGEXREPLACE(G1464,""[^[:digit:]]"", """"))"),1381.0)</f>
        <v>1381</v>
      </c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 t="s">
        <v>22</v>
      </c>
    </row>
    <row r="1465">
      <c r="A1465" s="7" t="s">
        <v>17</v>
      </c>
      <c r="B1465" s="7" t="s">
        <v>398</v>
      </c>
      <c r="C1465" s="7">
        <f>2</f>
        <v>2</v>
      </c>
      <c r="D1465" s="7">
        <v>1.0</v>
      </c>
      <c r="E1465" s="7">
        <v>1.0</v>
      </c>
      <c r="F1465" s="7" t="s">
        <v>82</v>
      </c>
      <c r="G1465" s="7" t="s">
        <v>544</v>
      </c>
      <c r="H1465" s="9" t="s">
        <v>2981</v>
      </c>
      <c r="I1465" t="s">
        <v>3215</v>
      </c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 t="str">
        <f t="shared" si="1"/>
        <v>Land area </v>
      </c>
      <c r="AE1465" s="7" t="str">
        <f t="shared" si="2"/>
        <v> sq. ft.</v>
      </c>
      <c r="AF1465">
        <f>IFERROR(__xludf.DUMMYFUNCTION("VALUE(REGEXREPLACE(G1465,""[^[:digit:]]"", """"))"),1087.0)</f>
        <v>1087</v>
      </c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 t="s">
        <v>27</v>
      </c>
    </row>
    <row r="1466">
      <c r="A1466" s="7" t="s">
        <v>155</v>
      </c>
      <c r="B1466" s="7" t="s">
        <v>967</v>
      </c>
      <c r="C1466" s="7">
        <f>2+1</f>
        <v>3</v>
      </c>
      <c r="D1466" s="7">
        <v>3.0</v>
      </c>
      <c r="E1466" s="7">
        <v>1.0</v>
      </c>
      <c r="F1466" s="7" t="s">
        <v>83</v>
      </c>
      <c r="G1466" s="7" t="s">
        <v>952</v>
      </c>
      <c r="H1466" s="9" t="s">
        <v>2979</v>
      </c>
      <c r="I1466" t="s">
        <v>3423</v>
      </c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 t="str">
        <f t="shared" si="1"/>
        <v>Built-up :</v>
      </c>
      <c r="AE1466" s="7" t="str">
        <f t="shared" si="2"/>
        <v> sq. ft.</v>
      </c>
      <c r="AF1466">
        <f>IFERROR(__xludf.DUMMYFUNCTION("VALUE(REGEXREPLACE(G1466,""[^[:digit:]]"", """"))"),999.0)</f>
        <v>999</v>
      </c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 t="s">
        <v>22</v>
      </c>
    </row>
    <row r="1467">
      <c r="A1467" s="7" t="s">
        <v>155</v>
      </c>
      <c r="B1467" s="7" t="s">
        <v>372</v>
      </c>
      <c r="C1467" s="7">
        <f>2</f>
        <v>2</v>
      </c>
      <c r="D1467" s="7">
        <v>2.0</v>
      </c>
      <c r="E1467" s="7">
        <v>1.0</v>
      </c>
      <c r="F1467" s="7" t="s">
        <v>83</v>
      </c>
      <c r="G1467" s="7" t="s">
        <v>1339</v>
      </c>
      <c r="H1467" s="9" t="s">
        <v>2979</v>
      </c>
      <c r="I1467" t="s">
        <v>3655</v>
      </c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 t="str">
        <f t="shared" si="1"/>
        <v>Built-up :</v>
      </c>
      <c r="AE1467" s="7" t="str">
        <f t="shared" si="2"/>
        <v> sq. ft.</v>
      </c>
      <c r="AF1467">
        <f>IFERROR(__xludf.DUMMYFUNCTION("VALUE(REGEXREPLACE(G1467,""[^[:digit:]]"", """"))"),817.0)</f>
        <v>817</v>
      </c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 t="s">
        <v>27</v>
      </c>
    </row>
    <row r="1468">
      <c r="A1468" s="7" t="s">
        <v>32</v>
      </c>
      <c r="B1468" s="7" t="s">
        <v>227</v>
      </c>
      <c r="C1468" s="7">
        <f>5</f>
        <v>5</v>
      </c>
      <c r="D1468" s="7">
        <v>5.0</v>
      </c>
      <c r="E1468" s="9">
        <v>2.0</v>
      </c>
      <c r="F1468" s="7" t="s">
        <v>61</v>
      </c>
      <c r="G1468" s="7" t="s">
        <v>1340</v>
      </c>
      <c r="H1468" s="9" t="s">
        <v>2981</v>
      </c>
      <c r="I1468" t="s">
        <v>3656</v>
      </c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 t="str">
        <f t="shared" si="1"/>
        <v>Land area </v>
      </c>
      <c r="AE1468" s="7" t="str">
        <f t="shared" si="2"/>
        <v> sq. ft.</v>
      </c>
      <c r="AF1468">
        <f>IFERROR(__xludf.DUMMYFUNCTION("VALUE(REGEXREPLACE(G1468,""[^[:digit:]]"", """"))"),10400.0)</f>
        <v>10400</v>
      </c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 t="s">
        <v>27</v>
      </c>
    </row>
    <row r="1469">
      <c r="A1469" s="7" t="s">
        <v>32</v>
      </c>
      <c r="B1469" s="7" t="s">
        <v>1341</v>
      </c>
      <c r="C1469" s="7">
        <f>3</f>
        <v>3</v>
      </c>
      <c r="D1469" s="7">
        <v>2.0</v>
      </c>
      <c r="E1469" s="7">
        <v>1.0</v>
      </c>
      <c r="F1469" s="7" t="s">
        <v>494</v>
      </c>
      <c r="G1469" s="7" t="s">
        <v>1342</v>
      </c>
      <c r="H1469" s="9" t="s">
        <v>2979</v>
      </c>
      <c r="I1469" t="s">
        <v>3657</v>
      </c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 t="str">
        <f t="shared" si="1"/>
        <v>Built-up :</v>
      </c>
      <c r="AE1469" s="7" t="str">
        <f t="shared" si="2"/>
        <v> sq. ft.</v>
      </c>
      <c r="AF1469">
        <f>IFERROR(__xludf.DUMMYFUNCTION("VALUE(REGEXREPLACE(G1469,""[^[:digit:]]"", """"))"),854.0)</f>
        <v>854</v>
      </c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 t="s">
        <v>27</v>
      </c>
    </row>
    <row r="1470">
      <c r="A1470" s="7" t="s">
        <v>32</v>
      </c>
      <c r="B1470" s="7" t="s">
        <v>107</v>
      </c>
      <c r="C1470" s="7">
        <f>2+1</f>
        <v>3</v>
      </c>
      <c r="D1470" s="7">
        <v>2.0</v>
      </c>
      <c r="E1470" s="7">
        <v>1.0</v>
      </c>
      <c r="F1470" s="7" t="s">
        <v>83</v>
      </c>
      <c r="G1470" s="7" t="s">
        <v>725</v>
      </c>
      <c r="H1470" s="9" t="s">
        <v>2979</v>
      </c>
      <c r="I1470" t="s">
        <v>3303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 t="str">
        <f t="shared" si="1"/>
        <v>Built-up :</v>
      </c>
      <c r="AE1470" s="7" t="str">
        <f t="shared" si="2"/>
        <v> sq. ft.</v>
      </c>
      <c r="AF1470">
        <f>IFERROR(__xludf.DUMMYFUNCTION("VALUE(REGEXREPLACE(G1470,""[^[:digit:]]"", """"))"),912.0)</f>
        <v>912</v>
      </c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 t="s">
        <v>22</v>
      </c>
    </row>
    <row r="1471">
      <c r="A1471" s="7" t="s">
        <v>32</v>
      </c>
      <c r="B1471" s="7" t="s">
        <v>702</v>
      </c>
      <c r="C1471" s="7">
        <f>3</f>
        <v>3</v>
      </c>
      <c r="D1471" s="7">
        <v>2.0</v>
      </c>
      <c r="E1471" s="7">
        <v>1.0</v>
      </c>
      <c r="F1471" s="7" t="s">
        <v>83</v>
      </c>
      <c r="G1471" s="7" t="s">
        <v>1343</v>
      </c>
      <c r="H1471" s="9" t="s">
        <v>2979</v>
      </c>
      <c r="I1471" t="s">
        <v>3658</v>
      </c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 t="str">
        <f t="shared" si="1"/>
        <v>Built-up :</v>
      </c>
      <c r="AE1471" s="7" t="str">
        <f t="shared" si="2"/>
        <v> sq. ft.</v>
      </c>
      <c r="AF1471">
        <f>IFERROR(__xludf.DUMMYFUNCTION("VALUE(REGEXREPLACE(G1471,""[^[:digit:]]"", """"))"),1005.0)</f>
        <v>1005</v>
      </c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 t="s">
        <v>27</v>
      </c>
    </row>
    <row r="1472">
      <c r="A1472" s="7" t="s">
        <v>33</v>
      </c>
      <c r="B1472" s="7" t="s">
        <v>1114</v>
      </c>
      <c r="C1472" s="7">
        <f>4</f>
        <v>4</v>
      </c>
      <c r="D1472" s="7">
        <v>3.0</v>
      </c>
      <c r="E1472" s="9">
        <v>2.0</v>
      </c>
      <c r="F1472" s="7" t="s">
        <v>169</v>
      </c>
      <c r="G1472" s="7" t="s">
        <v>283</v>
      </c>
      <c r="H1472" s="9" t="s">
        <v>2981</v>
      </c>
      <c r="I1472" t="s">
        <v>3091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7" t="s">
        <v>2990</v>
      </c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 t="str">
        <f t="shared" si="1"/>
        <v>Land area </v>
      </c>
      <c r="AE1472" s="7" t="str">
        <f t="shared" si="2"/>
        <v> sq. ft.</v>
      </c>
      <c r="AF1472">
        <f>IFERROR(__xludf.DUMMYFUNCTION("VALUE(REGEXREPLACE(G1472,""[^[:digit:]]"", """"))"),2275.0)</f>
        <v>2275</v>
      </c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 t="s">
        <v>27</v>
      </c>
    </row>
    <row r="1473">
      <c r="A1473" s="7" t="s">
        <v>171</v>
      </c>
      <c r="B1473" s="7" t="s">
        <v>761</v>
      </c>
      <c r="C1473" s="7">
        <f>3</f>
        <v>3</v>
      </c>
      <c r="D1473" s="7">
        <v>2.0</v>
      </c>
      <c r="E1473" s="7">
        <v>2.0</v>
      </c>
      <c r="F1473" s="7" t="s">
        <v>121</v>
      </c>
      <c r="G1473" s="7" t="s">
        <v>1319</v>
      </c>
      <c r="H1473" s="9" t="s">
        <v>2979</v>
      </c>
      <c r="I1473" t="s">
        <v>3642</v>
      </c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 t="str">
        <f t="shared" si="1"/>
        <v>Built-up :</v>
      </c>
      <c r="AE1473" s="7" t="str">
        <f t="shared" si="2"/>
        <v> sq. ft.</v>
      </c>
      <c r="AF1473">
        <f>IFERROR(__xludf.DUMMYFUNCTION("VALUE(REGEXREPLACE(G1473,""[^[:digit:]]"", """"))"),1009.0)</f>
        <v>1009</v>
      </c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 t="s">
        <v>22</v>
      </c>
    </row>
    <row r="1474">
      <c r="A1474" s="7" t="s">
        <v>89</v>
      </c>
      <c r="B1474" s="7" t="s">
        <v>1344</v>
      </c>
      <c r="C1474" s="7">
        <f>2</f>
        <v>2</v>
      </c>
      <c r="D1474" s="7">
        <v>2.0</v>
      </c>
      <c r="E1474" s="7">
        <v>2.0</v>
      </c>
      <c r="F1474" s="7" t="s">
        <v>82</v>
      </c>
      <c r="G1474" s="7" t="s">
        <v>764</v>
      </c>
      <c r="H1474" s="9" t="s">
        <v>2979</v>
      </c>
      <c r="I1474" t="s">
        <v>3325</v>
      </c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 t="str">
        <f t="shared" si="1"/>
        <v>Built-up :</v>
      </c>
      <c r="AE1474" s="7" t="str">
        <f t="shared" si="2"/>
        <v> sq. ft.</v>
      </c>
      <c r="AF1474">
        <f>IFERROR(__xludf.DUMMYFUNCTION("VALUE(REGEXREPLACE(G1474,""[^[:digit:]]"", """"))"),1025.0)</f>
        <v>1025</v>
      </c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 t="s">
        <v>27</v>
      </c>
    </row>
    <row r="1475">
      <c r="A1475" s="7" t="s">
        <v>143</v>
      </c>
      <c r="B1475" s="7" t="s">
        <v>1345</v>
      </c>
      <c r="C1475" s="7" t="s">
        <v>325</v>
      </c>
      <c r="D1475" s="7">
        <v>1.0</v>
      </c>
      <c r="E1475" s="9">
        <v>2.0</v>
      </c>
      <c r="F1475" s="7" t="s">
        <v>82</v>
      </c>
      <c r="G1475" s="7" t="s">
        <v>1346</v>
      </c>
      <c r="H1475" s="9" t="s">
        <v>2979</v>
      </c>
      <c r="I1475" t="s">
        <v>3659</v>
      </c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 t="str">
        <f t="shared" si="1"/>
        <v>Built-up :</v>
      </c>
      <c r="AE1475" s="7" t="str">
        <f t="shared" si="2"/>
        <v> sq. ft.</v>
      </c>
      <c r="AF1475">
        <f>IFERROR(__xludf.DUMMYFUNCTION("VALUE(REGEXREPLACE(G1475,""[^[:digit:]]"", """"))"),351.0)</f>
        <v>351</v>
      </c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 t="s">
        <v>22</v>
      </c>
    </row>
    <row r="1476">
      <c r="A1476" s="7" t="s">
        <v>1088</v>
      </c>
      <c r="B1476" s="7" t="s">
        <v>18</v>
      </c>
      <c r="C1476" s="7">
        <f>2+1</f>
        <v>3</v>
      </c>
      <c r="D1476" s="7">
        <v>2.0</v>
      </c>
      <c r="E1476" s="9">
        <v>2.0</v>
      </c>
      <c r="F1476" s="7" t="s">
        <v>30</v>
      </c>
      <c r="G1476" s="7" t="s">
        <v>464</v>
      </c>
      <c r="H1476" s="9" t="s">
        <v>2979</v>
      </c>
      <c r="I1476" t="s">
        <v>3174</v>
      </c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 t="str">
        <f t="shared" si="1"/>
        <v>Built-up :</v>
      </c>
      <c r="AE1476" s="7" t="str">
        <f t="shared" si="2"/>
        <v> sq. ft.</v>
      </c>
      <c r="AF1476">
        <f>IFERROR(__xludf.DUMMYFUNCTION("VALUE(REGEXREPLACE(G1476,""[^[:digit:]]"", """"))"),1367.0)</f>
        <v>1367</v>
      </c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 t="s">
        <v>22</v>
      </c>
    </row>
    <row r="1477">
      <c r="A1477" s="7" t="s">
        <v>32</v>
      </c>
      <c r="B1477" s="7" t="s">
        <v>710</v>
      </c>
      <c r="C1477" s="7">
        <f>2</f>
        <v>2</v>
      </c>
      <c r="D1477" s="7">
        <v>2.0</v>
      </c>
      <c r="E1477" s="7">
        <v>2.0</v>
      </c>
      <c r="F1477" s="7" t="s">
        <v>83</v>
      </c>
      <c r="G1477" s="7" t="s">
        <v>1347</v>
      </c>
      <c r="H1477" s="9" t="s">
        <v>2979</v>
      </c>
      <c r="I1477" t="s">
        <v>3660</v>
      </c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 t="str">
        <f t="shared" si="1"/>
        <v>Built-up :</v>
      </c>
      <c r="AE1477" s="7" t="str">
        <f t="shared" si="2"/>
        <v> sq. ft.</v>
      </c>
      <c r="AF1477">
        <f>IFERROR(__xludf.DUMMYFUNCTION("VALUE(REGEXREPLACE(G1477,""[^[:digit:]]"", """"))"),996.0)</f>
        <v>996</v>
      </c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 t="s">
        <v>27</v>
      </c>
    </row>
    <row r="1478">
      <c r="A1478" s="7" t="s">
        <v>17</v>
      </c>
      <c r="B1478" s="7" t="s">
        <v>1348</v>
      </c>
      <c r="C1478" s="7" t="s">
        <v>325</v>
      </c>
      <c r="D1478" s="7">
        <v>1.0</v>
      </c>
      <c r="E1478" s="9">
        <v>2.0</v>
      </c>
      <c r="F1478" s="7" t="s">
        <v>20</v>
      </c>
      <c r="G1478" s="7" t="s">
        <v>980</v>
      </c>
      <c r="H1478" s="9" t="s">
        <v>2979</v>
      </c>
      <c r="I1478" t="s">
        <v>3434</v>
      </c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 t="str">
        <f t="shared" si="1"/>
        <v>Built-up :</v>
      </c>
      <c r="AE1478" s="7" t="str">
        <f t="shared" si="2"/>
        <v> sq. ft.</v>
      </c>
      <c r="AF1478">
        <f>IFERROR(__xludf.DUMMYFUNCTION("VALUE(REGEXREPLACE(G1478,""[^[:digit:]]"", """"))"),493.0)</f>
        <v>493</v>
      </c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 t="s">
        <v>22</v>
      </c>
    </row>
    <row r="1479">
      <c r="A1479" s="7" t="s">
        <v>180</v>
      </c>
      <c r="B1479" s="7" t="s">
        <v>1349</v>
      </c>
      <c r="C1479" s="7">
        <f>1</f>
        <v>1</v>
      </c>
      <c r="D1479" s="7">
        <v>1.0</v>
      </c>
      <c r="E1479" s="7">
        <v>1.0</v>
      </c>
      <c r="F1479" s="7" t="s">
        <v>20</v>
      </c>
      <c r="G1479" s="7" t="s">
        <v>1113</v>
      </c>
      <c r="H1479" s="9" t="s">
        <v>2979</v>
      </c>
      <c r="I1479" t="s">
        <v>3511</v>
      </c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 t="str">
        <f t="shared" si="1"/>
        <v>Built-up :</v>
      </c>
      <c r="AE1479" s="7" t="str">
        <f t="shared" si="2"/>
        <v> sq. ft.</v>
      </c>
      <c r="AF1479">
        <f>IFERROR(__xludf.DUMMYFUNCTION("VALUE(REGEXREPLACE(G1479,""[^[:digit:]]"", """"))"),1131.0)</f>
        <v>1131</v>
      </c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 t="s">
        <v>22</v>
      </c>
    </row>
    <row r="1480">
      <c r="A1480" s="7" t="s">
        <v>17</v>
      </c>
      <c r="B1480" s="7" t="s">
        <v>245</v>
      </c>
      <c r="C1480" s="7">
        <f>1+1</f>
        <v>2</v>
      </c>
      <c r="D1480" s="7">
        <v>1.0</v>
      </c>
      <c r="E1480" s="7">
        <v>1.0</v>
      </c>
      <c r="F1480" s="7" t="s">
        <v>121</v>
      </c>
      <c r="G1480" s="7" t="s">
        <v>1350</v>
      </c>
      <c r="H1480" s="9" t="s">
        <v>2979</v>
      </c>
      <c r="I1480" t="s">
        <v>3661</v>
      </c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 t="str">
        <f t="shared" si="1"/>
        <v>Built-up :</v>
      </c>
      <c r="AE1480" s="7" t="str">
        <f t="shared" si="2"/>
        <v> sq. ft.</v>
      </c>
      <c r="AF1480">
        <f>IFERROR(__xludf.DUMMYFUNCTION("VALUE(REGEXREPLACE(G1480,""[^[:digit:]]"", """"))"),610.0)</f>
        <v>610</v>
      </c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 t="s">
        <v>27</v>
      </c>
    </row>
    <row r="1481">
      <c r="A1481" s="7" t="s">
        <v>37</v>
      </c>
      <c r="B1481" s="7" t="s">
        <v>1351</v>
      </c>
      <c r="C1481" s="7">
        <f>3</f>
        <v>3</v>
      </c>
      <c r="D1481" s="7">
        <v>2.0</v>
      </c>
      <c r="E1481" s="7">
        <v>1.0</v>
      </c>
      <c r="F1481" s="7" t="s">
        <v>121</v>
      </c>
      <c r="G1481" s="7" t="s">
        <v>192</v>
      </c>
      <c r="H1481" s="9" t="s">
        <v>2979</v>
      </c>
      <c r="I1481" t="s">
        <v>3045</v>
      </c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 t="str">
        <f t="shared" si="1"/>
        <v>Built-up :</v>
      </c>
      <c r="AE1481" s="7" t="str">
        <f t="shared" si="2"/>
        <v> sq. ft.</v>
      </c>
      <c r="AF1481">
        <f>IFERROR(__xludf.DUMMYFUNCTION("VALUE(REGEXREPLACE(G1481,""[^[:digit:]]"", """"))"),1313.0)</f>
        <v>1313</v>
      </c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 t="s">
        <v>22</v>
      </c>
    </row>
    <row r="1482">
      <c r="A1482" s="7" t="s">
        <v>37</v>
      </c>
      <c r="B1482" s="7" t="s">
        <v>1075</v>
      </c>
      <c r="C1482" s="7">
        <f t="shared" ref="C1482:C1483" si="156">2</f>
        <v>2</v>
      </c>
      <c r="D1482" s="7">
        <v>2.0</v>
      </c>
      <c r="E1482" s="7">
        <v>1.0</v>
      </c>
      <c r="F1482" s="7" t="s">
        <v>121</v>
      </c>
      <c r="G1482" s="7" t="s">
        <v>1352</v>
      </c>
      <c r="H1482" s="9" t="s">
        <v>2979</v>
      </c>
      <c r="I1482" t="s">
        <v>3662</v>
      </c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 t="str">
        <f t="shared" si="1"/>
        <v>Built-up :</v>
      </c>
      <c r="AE1482" s="7" t="str">
        <f t="shared" si="2"/>
        <v> sq. ft.</v>
      </c>
      <c r="AF1482">
        <f>IFERROR(__xludf.DUMMYFUNCTION("VALUE(REGEXREPLACE(G1482,""[^[:digit:]]"", """"))"),876.0)</f>
        <v>876</v>
      </c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 t="s">
        <v>22</v>
      </c>
    </row>
    <row r="1483">
      <c r="A1483" s="7" t="s">
        <v>17</v>
      </c>
      <c r="B1483" s="7" t="s">
        <v>329</v>
      </c>
      <c r="C1483" s="7">
        <f t="shared" si="156"/>
        <v>2</v>
      </c>
      <c r="D1483" s="7">
        <v>2.0</v>
      </c>
      <c r="E1483" s="9">
        <v>2.0</v>
      </c>
      <c r="F1483" s="7" t="s">
        <v>83</v>
      </c>
      <c r="G1483" s="7" t="s">
        <v>1353</v>
      </c>
      <c r="H1483" s="9" t="s">
        <v>2979</v>
      </c>
      <c r="I1483" t="s">
        <v>3663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 t="str">
        <f t="shared" si="1"/>
        <v>Built-up :</v>
      </c>
      <c r="AE1483" s="7" t="str">
        <f t="shared" si="2"/>
        <v> sq. ft.</v>
      </c>
      <c r="AF1483">
        <f>IFERROR(__xludf.DUMMYFUNCTION("VALUE(REGEXREPLACE(G1483,""[^[:digit:]]"", """"))"),1036.0)</f>
        <v>1036</v>
      </c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</row>
    <row r="1484">
      <c r="A1484" s="7" t="s">
        <v>371</v>
      </c>
      <c r="B1484" s="7" t="s">
        <v>1166</v>
      </c>
      <c r="C1484" s="7">
        <f t="shared" ref="C1484:C1485" si="157">3</f>
        <v>3</v>
      </c>
      <c r="D1484" s="7">
        <v>2.0</v>
      </c>
      <c r="E1484" s="7">
        <v>2.0</v>
      </c>
      <c r="F1484" s="7" t="s">
        <v>83</v>
      </c>
      <c r="G1484" s="7" t="s">
        <v>1167</v>
      </c>
      <c r="H1484" s="9" t="s">
        <v>2979</v>
      </c>
      <c r="I1484" t="s">
        <v>3552</v>
      </c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 t="str">
        <f t="shared" si="1"/>
        <v>Built-up :</v>
      </c>
      <c r="AE1484" s="7" t="str">
        <f t="shared" si="2"/>
        <v> sq. ft.</v>
      </c>
      <c r="AF1484">
        <f>IFERROR(__xludf.DUMMYFUNCTION("VALUE(REGEXREPLACE(G1484,""[^[:digit:]]"", """"))"),1382.0)</f>
        <v>1382</v>
      </c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</row>
    <row r="1485">
      <c r="A1485" s="7" t="s">
        <v>171</v>
      </c>
      <c r="B1485" s="7" t="s">
        <v>543</v>
      </c>
      <c r="C1485" s="7">
        <f t="shared" si="157"/>
        <v>3</v>
      </c>
      <c r="D1485" s="7">
        <v>2.0</v>
      </c>
      <c r="E1485" s="7">
        <v>2.0</v>
      </c>
      <c r="F1485" s="7" t="s">
        <v>20</v>
      </c>
      <c r="G1485" s="7" t="s">
        <v>1354</v>
      </c>
      <c r="H1485" s="9" t="s">
        <v>2979</v>
      </c>
      <c r="I1485" t="s">
        <v>3664</v>
      </c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 t="str">
        <f t="shared" si="1"/>
        <v>Built-up :</v>
      </c>
      <c r="AE1485" s="7" t="str">
        <f t="shared" si="2"/>
        <v> sq. ft.</v>
      </c>
      <c r="AF1485">
        <f>IFERROR(__xludf.DUMMYFUNCTION("VALUE(REGEXREPLACE(G1485,""[^[:digit:]]"", """"))"),842.0)</f>
        <v>842</v>
      </c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</row>
    <row r="1486">
      <c r="A1486" s="7" t="s">
        <v>89</v>
      </c>
      <c r="B1486" s="7" t="s">
        <v>691</v>
      </c>
      <c r="C1486" s="7">
        <f>2</f>
        <v>2</v>
      </c>
      <c r="D1486" s="7">
        <v>2.0</v>
      </c>
      <c r="E1486" s="7">
        <v>1.0</v>
      </c>
      <c r="F1486" s="7" t="s">
        <v>20</v>
      </c>
      <c r="G1486" s="7" t="s">
        <v>242</v>
      </c>
      <c r="H1486" s="9" t="s">
        <v>2979</v>
      </c>
      <c r="I1486" t="s">
        <v>3072</v>
      </c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 t="str">
        <f t="shared" si="1"/>
        <v>Built-up :</v>
      </c>
      <c r="AE1486" s="7" t="str">
        <f t="shared" si="2"/>
        <v> sq. ft.</v>
      </c>
      <c r="AF1486">
        <f>IFERROR(__xludf.DUMMYFUNCTION("VALUE(REGEXREPLACE(G1486,""[^[:digit:]]"", """"))"),650.0)</f>
        <v>650</v>
      </c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 t="s">
        <v>22</v>
      </c>
    </row>
    <row r="1487">
      <c r="A1487" s="7" t="s">
        <v>148</v>
      </c>
      <c r="B1487" s="7" t="s">
        <v>193</v>
      </c>
      <c r="C1487" s="7">
        <f t="shared" ref="C1487:C1488" si="158">3+1</f>
        <v>4</v>
      </c>
      <c r="D1487" s="7">
        <v>4.0</v>
      </c>
      <c r="E1487" s="9">
        <v>2.0</v>
      </c>
      <c r="F1487" s="7" t="s">
        <v>470</v>
      </c>
      <c r="G1487" s="7" t="s">
        <v>412</v>
      </c>
      <c r="H1487" s="9" t="s">
        <v>2979</v>
      </c>
      <c r="I1487" t="s">
        <v>3151</v>
      </c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 t="str">
        <f t="shared" si="1"/>
        <v>Built-up :</v>
      </c>
      <c r="AE1487" s="7" t="str">
        <f t="shared" si="2"/>
        <v> sq. ft.</v>
      </c>
      <c r="AF1487">
        <f>IFERROR(__xludf.DUMMYFUNCTION("VALUE(REGEXREPLACE(G1487,""[^[:digit:]]"", """"))"),2700.0)</f>
        <v>2700</v>
      </c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 t="s">
        <v>27</v>
      </c>
    </row>
    <row r="1488">
      <c r="A1488" s="7" t="s">
        <v>371</v>
      </c>
      <c r="B1488" s="7" t="s">
        <v>844</v>
      </c>
      <c r="C1488" s="7">
        <f t="shared" si="158"/>
        <v>4</v>
      </c>
      <c r="D1488" s="7">
        <v>4.0</v>
      </c>
      <c r="E1488" s="7">
        <v>4.0</v>
      </c>
      <c r="F1488" s="7" t="s">
        <v>83</v>
      </c>
      <c r="G1488" s="7" t="s">
        <v>1355</v>
      </c>
      <c r="H1488" s="9" t="s">
        <v>2979</v>
      </c>
      <c r="I1488" t="s">
        <v>3665</v>
      </c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 t="str">
        <f t="shared" si="1"/>
        <v>Built-up :</v>
      </c>
      <c r="AE1488" s="7" t="str">
        <f t="shared" si="2"/>
        <v> sq. ft.</v>
      </c>
      <c r="AF1488">
        <f>IFERROR(__xludf.DUMMYFUNCTION("VALUE(REGEXREPLACE(G1488,""[^[:digit:]]"", """"))"),2719.0)</f>
        <v>2719</v>
      </c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</row>
    <row r="1489">
      <c r="A1489" s="7" t="s">
        <v>148</v>
      </c>
      <c r="B1489" s="7" t="s">
        <v>309</v>
      </c>
      <c r="C1489" s="7">
        <f>4+1</f>
        <v>5</v>
      </c>
      <c r="D1489" s="7">
        <v>5.0</v>
      </c>
      <c r="E1489" s="9">
        <v>2.0</v>
      </c>
      <c r="F1489" s="7" t="s">
        <v>562</v>
      </c>
      <c r="G1489" s="7" t="s">
        <v>1208</v>
      </c>
      <c r="H1489" s="9" t="s">
        <v>2981</v>
      </c>
      <c r="I1489" t="s">
        <v>3577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 t="s">
        <v>3351</v>
      </c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 t="str">
        <f t="shared" si="1"/>
        <v>Land area </v>
      </c>
      <c r="AE1489" s="7" t="str">
        <f t="shared" si="2"/>
        <v> sq. ft.</v>
      </c>
      <c r="AF1489">
        <f>IFERROR(__xludf.DUMMYFUNCTION("VALUE(REGEXREPLACE(G1489,""[^[:digit:]]"", """"))"),2482.0)</f>
        <v>2482</v>
      </c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</row>
    <row r="1490">
      <c r="A1490" s="7" t="s">
        <v>371</v>
      </c>
      <c r="B1490" s="7" t="s">
        <v>18</v>
      </c>
      <c r="C1490" s="7">
        <f>3+1</f>
        <v>4</v>
      </c>
      <c r="D1490" s="7">
        <v>4.0</v>
      </c>
      <c r="E1490" s="7">
        <v>3.0</v>
      </c>
      <c r="F1490" s="7" t="s">
        <v>83</v>
      </c>
      <c r="G1490" s="7" t="s">
        <v>1356</v>
      </c>
      <c r="H1490" s="9" t="s">
        <v>2979</v>
      </c>
      <c r="I1490" t="s">
        <v>3666</v>
      </c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 t="str">
        <f t="shared" si="1"/>
        <v>Built-up :</v>
      </c>
      <c r="AE1490" s="7" t="str">
        <f t="shared" si="2"/>
        <v> sq. ft.</v>
      </c>
      <c r="AF1490">
        <f>IFERROR(__xludf.DUMMYFUNCTION("VALUE(REGEXREPLACE(G1490,""[^[:digit:]]"", """"))"),1967.0)</f>
        <v>1967</v>
      </c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 t="s">
        <v>103</v>
      </c>
    </row>
    <row r="1491">
      <c r="A1491" s="7" t="s">
        <v>267</v>
      </c>
      <c r="B1491" s="7" t="s">
        <v>507</v>
      </c>
      <c r="C1491" s="7">
        <f>3</f>
        <v>3</v>
      </c>
      <c r="D1491" s="7">
        <v>2.0</v>
      </c>
      <c r="E1491" s="7">
        <v>1.0</v>
      </c>
      <c r="F1491" s="7" t="s">
        <v>20</v>
      </c>
      <c r="G1491" s="7" t="s">
        <v>954</v>
      </c>
      <c r="H1491" s="9" t="s">
        <v>2979</v>
      </c>
      <c r="I1491" t="s">
        <v>3424</v>
      </c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 t="str">
        <f t="shared" si="1"/>
        <v>Built-up :</v>
      </c>
      <c r="AE1491" s="7" t="str">
        <f t="shared" si="2"/>
        <v> sq. ft.</v>
      </c>
      <c r="AF1491">
        <f>IFERROR(__xludf.DUMMYFUNCTION("VALUE(REGEXREPLACE(G1491,""[^[:digit:]]"", """"))"),935.0)</f>
        <v>935</v>
      </c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 t="s">
        <v>27</v>
      </c>
    </row>
    <row r="1492">
      <c r="A1492" s="7" t="s">
        <v>267</v>
      </c>
      <c r="B1492" s="7" t="s">
        <v>969</v>
      </c>
      <c r="C1492" s="7">
        <f>2</f>
        <v>2</v>
      </c>
      <c r="D1492" s="7">
        <v>2.0</v>
      </c>
      <c r="E1492" s="7">
        <v>1.0</v>
      </c>
      <c r="F1492" s="7" t="s">
        <v>20</v>
      </c>
      <c r="G1492" s="7" t="s">
        <v>1207</v>
      </c>
      <c r="H1492" s="9" t="s">
        <v>2979</v>
      </c>
      <c r="I1492" t="s">
        <v>3576</v>
      </c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 t="str">
        <f t="shared" si="1"/>
        <v>Built-up :</v>
      </c>
      <c r="AE1492" s="7" t="str">
        <f t="shared" si="2"/>
        <v> sq. ft.</v>
      </c>
      <c r="AF1492">
        <f>IFERROR(__xludf.DUMMYFUNCTION("VALUE(REGEXREPLACE(G1492,""[^[:digit:]]"", """"))"),578.0)</f>
        <v>578</v>
      </c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 t="s">
        <v>27</v>
      </c>
    </row>
    <row r="1493">
      <c r="A1493" s="7" t="s">
        <v>171</v>
      </c>
      <c r="B1493" s="7" t="s">
        <v>606</v>
      </c>
      <c r="C1493" s="7">
        <f>3+1</f>
        <v>4</v>
      </c>
      <c r="D1493" s="7">
        <v>2.0</v>
      </c>
      <c r="E1493" s="9">
        <v>2.0</v>
      </c>
      <c r="F1493" s="7" t="s">
        <v>20</v>
      </c>
      <c r="G1493" s="7" t="s">
        <v>607</v>
      </c>
      <c r="H1493" s="9" t="s">
        <v>2979</v>
      </c>
      <c r="I1493" t="s">
        <v>3245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 t="str">
        <f t="shared" si="1"/>
        <v>Built-up :</v>
      </c>
      <c r="AE1493" s="7" t="str">
        <f t="shared" si="2"/>
        <v> sq. ft.</v>
      </c>
      <c r="AF1493">
        <f>IFERROR(__xludf.DUMMYFUNCTION("VALUE(REGEXREPLACE(G1493,""[^[:digit:]]"", """"))"),918.0)</f>
        <v>918</v>
      </c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</row>
    <row r="1494">
      <c r="A1494" s="7" t="s">
        <v>65</v>
      </c>
      <c r="B1494" s="7" t="s">
        <v>433</v>
      </c>
      <c r="C1494" s="7">
        <f>4+2</f>
        <v>6</v>
      </c>
      <c r="D1494" s="7">
        <v>6.0</v>
      </c>
      <c r="E1494" s="7">
        <v>4.0</v>
      </c>
      <c r="F1494" s="7" t="s">
        <v>25</v>
      </c>
      <c r="G1494" s="7" t="s">
        <v>434</v>
      </c>
      <c r="H1494" s="9" t="s">
        <v>2981</v>
      </c>
      <c r="I1494" t="s">
        <v>3160</v>
      </c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 t="str">
        <f t="shared" si="1"/>
        <v>Land area </v>
      </c>
      <c r="AE1494" s="7" t="str">
        <f t="shared" si="2"/>
        <v> sq. ft.</v>
      </c>
      <c r="AF1494">
        <f>IFERROR(__xludf.DUMMYFUNCTION("VALUE(REGEXREPLACE(G1494,""[^[:digit:]]"", """"))"),8611.0)</f>
        <v>8611</v>
      </c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 t="s">
        <v>22</v>
      </c>
    </row>
    <row r="1495">
      <c r="A1495" s="7" t="s">
        <v>23</v>
      </c>
      <c r="B1495" s="7" t="s">
        <v>797</v>
      </c>
      <c r="C1495" s="7">
        <f>7+1</f>
        <v>8</v>
      </c>
      <c r="D1495" s="7">
        <v>11.0</v>
      </c>
      <c r="E1495" s="9">
        <v>2.0</v>
      </c>
      <c r="F1495" s="7" t="s">
        <v>25</v>
      </c>
      <c r="G1495" s="7" t="s">
        <v>1357</v>
      </c>
      <c r="H1495" s="9" t="s">
        <v>2981</v>
      </c>
      <c r="I1495" t="s">
        <v>3667</v>
      </c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 t="str">
        <f t="shared" si="1"/>
        <v>Land area </v>
      </c>
      <c r="AE1495" s="7" t="str">
        <f t="shared" si="2"/>
        <v> sq. ft.</v>
      </c>
      <c r="AF1495">
        <f>IFERROR(__xludf.DUMMYFUNCTION("VALUE(REGEXREPLACE(G1495,""[^[:digit:]]"", """"))"),7525.0)</f>
        <v>7525</v>
      </c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</row>
    <row r="1496">
      <c r="A1496" s="7" t="s">
        <v>177</v>
      </c>
      <c r="B1496" s="7" t="s">
        <v>616</v>
      </c>
      <c r="C1496" s="7">
        <f>6+1</f>
        <v>7</v>
      </c>
      <c r="D1496" s="7">
        <v>7.0</v>
      </c>
      <c r="E1496" s="9">
        <v>2.0</v>
      </c>
      <c r="F1496" s="7" t="s">
        <v>25</v>
      </c>
      <c r="G1496" s="7" t="s">
        <v>62</v>
      </c>
      <c r="H1496" s="9" t="s">
        <v>2981</v>
      </c>
      <c r="I1496" t="s">
        <v>2995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 t="str">
        <f t="shared" si="1"/>
        <v>Land area </v>
      </c>
      <c r="AE1496" s="7" t="str">
        <f t="shared" si="2"/>
        <v> sq. ft.</v>
      </c>
      <c r="AF1496">
        <f>IFERROR(__xludf.DUMMYFUNCTION("VALUE(REGEXREPLACE(G1496,""[^[:digit:]]"", """"))"),6000.0)</f>
        <v>6000</v>
      </c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 t="s">
        <v>27</v>
      </c>
    </row>
    <row r="1497">
      <c r="A1497" s="7" t="s">
        <v>65</v>
      </c>
      <c r="B1497" s="7" t="s">
        <v>433</v>
      </c>
      <c r="C1497" s="7">
        <f>7+1</f>
        <v>8</v>
      </c>
      <c r="D1497" s="7">
        <v>9.0</v>
      </c>
      <c r="E1497" s="7">
        <v>6.0</v>
      </c>
      <c r="F1497" s="7" t="s">
        <v>67</v>
      </c>
      <c r="G1497" s="7" t="s">
        <v>593</v>
      </c>
      <c r="H1497" s="9" t="s">
        <v>2981</v>
      </c>
      <c r="I1497" t="s">
        <v>3239</v>
      </c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 t="str">
        <f t="shared" si="1"/>
        <v>Land area </v>
      </c>
      <c r="AE1497" s="7" t="str">
        <f t="shared" si="2"/>
        <v> sq. ft.</v>
      </c>
      <c r="AF1497">
        <f>IFERROR(__xludf.DUMMYFUNCTION("VALUE(REGEXREPLACE(G1497,""[^[:digit:]]"", """"))"),12000.0)</f>
        <v>12000</v>
      </c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 t="s">
        <v>27</v>
      </c>
    </row>
    <row r="1498">
      <c r="A1498" s="7" t="s">
        <v>155</v>
      </c>
      <c r="B1498" s="7" t="s">
        <v>245</v>
      </c>
      <c r="C1498" s="7">
        <f t="shared" ref="C1498:C1499" si="159">3+1</f>
        <v>4</v>
      </c>
      <c r="D1498" s="7">
        <v>3.0</v>
      </c>
      <c r="E1498" s="7">
        <v>1.0</v>
      </c>
      <c r="F1498" s="7" t="s">
        <v>83</v>
      </c>
      <c r="G1498" s="7" t="s">
        <v>630</v>
      </c>
      <c r="H1498" s="9" t="s">
        <v>2979</v>
      </c>
      <c r="I1498" t="s">
        <v>3257</v>
      </c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 t="str">
        <f t="shared" si="1"/>
        <v>Built-up :</v>
      </c>
      <c r="AE1498" s="7" t="str">
        <f t="shared" si="2"/>
        <v> sq. ft.</v>
      </c>
      <c r="AF1498">
        <f>IFERROR(__xludf.DUMMYFUNCTION("VALUE(REGEXREPLACE(G1498,""[^[:digit:]]"", """"))"),1186.0)</f>
        <v>1186</v>
      </c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 t="s">
        <v>103</v>
      </c>
    </row>
    <row r="1499">
      <c r="A1499" s="7" t="s">
        <v>17</v>
      </c>
      <c r="B1499" s="7" t="s">
        <v>475</v>
      </c>
      <c r="C1499" s="7">
        <f t="shared" si="159"/>
        <v>4</v>
      </c>
      <c r="D1499" s="7">
        <v>4.0</v>
      </c>
      <c r="E1499" s="7">
        <v>2.0</v>
      </c>
      <c r="F1499" s="7" t="s">
        <v>20</v>
      </c>
      <c r="G1499" s="7" t="s">
        <v>1358</v>
      </c>
      <c r="H1499" s="9" t="s">
        <v>2979</v>
      </c>
      <c r="I1499" t="s">
        <v>3668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 t="str">
        <f t="shared" si="1"/>
        <v>Built-up :</v>
      </c>
      <c r="AE1499" s="7" t="str">
        <f t="shared" si="2"/>
        <v> sq. ft.</v>
      </c>
      <c r="AF1499">
        <f>IFERROR(__xludf.DUMMYFUNCTION("VALUE(REGEXREPLACE(G1499,""[^[:digit:]]"", """"))"),3006.0)</f>
        <v>3006</v>
      </c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 t="s">
        <v>22</v>
      </c>
    </row>
    <row r="1500">
      <c r="A1500" s="7" t="s">
        <v>32</v>
      </c>
      <c r="B1500" s="7" t="s">
        <v>1111</v>
      </c>
      <c r="C1500" s="7">
        <f>3</f>
        <v>3</v>
      </c>
      <c r="D1500" s="7">
        <v>2.0</v>
      </c>
      <c r="E1500" s="7">
        <v>1.0</v>
      </c>
      <c r="F1500" s="7" t="s">
        <v>20</v>
      </c>
      <c r="G1500" s="7" t="s">
        <v>1330</v>
      </c>
      <c r="H1500" s="9" t="s">
        <v>2979</v>
      </c>
      <c r="I1500" t="s">
        <v>3650</v>
      </c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 t="str">
        <f t="shared" si="1"/>
        <v>Built-up :</v>
      </c>
      <c r="AE1500" s="7" t="str">
        <f t="shared" si="2"/>
        <v> sq. ft.</v>
      </c>
      <c r="AF1500">
        <f>IFERROR(__xludf.DUMMYFUNCTION("VALUE(REGEXREPLACE(G1500,""[^[:digit:]]"", """"))"),819.0)</f>
        <v>819</v>
      </c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 t="s">
        <v>27</v>
      </c>
    </row>
    <row r="1501">
      <c r="A1501" s="7" t="s">
        <v>32</v>
      </c>
      <c r="B1501" s="7" t="s">
        <v>475</v>
      </c>
      <c r="C1501" s="7">
        <f>4+2</f>
        <v>6</v>
      </c>
      <c r="D1501" s="7">
        <v>4.0</v>
      </c>
      <c r="E1501" s="7">
        <v>5.0</v>
      </c>
      <c r="F1501" s="7" t="s">
        <v>25</v>
      </c>
      <c r="G1501" s="7" t="s">
        <v>62</v>
      </c>
      <c r="H1501" s="9" t="s">
        <v>2981</v>
      </c>
      <c r="I1501" t="s">
        <v>2995</v>
      </c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 t="str">
        <f t="shared" si="1"/>
        <v>Land area </v>
      </c>
      <c r="AE1501" s="7" t="str">
        <f t="shared" si="2"/>
        <v> sq. ft.</v>
      </c>
      <c r="AF1501">
        <f>IFERROR(__xludf.DUMMYFUNCTION("VALUE(REGEXREPLACE(G1501,""[^[:digit:]]"", """"))"),6000.0)</f>
        <v>6000</v>
      </c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</row>
    <row r="1502">
      <c r="A1502" s="7" t="s">
        <v>100</v>
      </c>
      <c r="B1502" s="7" t="s">
        <v>201</v>
      </c>
      <c r="C1502" s="7">
        <f>3</f>
        <v>3</v>
      </c>
      <c r="D1502" s="7">
        <v>2.0</v>
      </c>
      <c r="E1502" s="7">
        <v>2.0</v>
      </c>
      <c r="F1502" s="7" t="s">
        <v>121</v>
      </c>
      <c r="G1502" s="7" t="s">
        <v>1359</v>
      </c>
      <c r="H1502" s="9" t="s">
        <v>2981</v>
      </c>
      <c r="I1502" t="s">
        <v>3669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 t="str">
        <f t="shared" si="1"/>
        <v>Land area </v>
      </c>
      <c r="AE1502" s="7" t="str">
        <f t="shared" si="2"/>
        <v> sq. ft.</v>
      </c>
      <c r="AF1502">
        <f>IFERROR(__xludf.DUMMYFUNCTION("VALUE(REGEXREPLACE(G1502,""[^[:digit:]]"", """"))"),1030.0)</f>
        <v>1030</v>
      </c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 t="s">
        <v>27</v>
      </c>
    </row>
    <row r="1503">
      <c r="A1503" s="7" t="s">
        <v>188</v>
      </c>
      <c r="B1503" s="7" t="s">
        <v>967</v>
      </c>
      <c r="C1503" s="7">
        <f t="shared" ref="C1503:C1504" si="160">2</f>
        <v>2</v>
      </c>
      <c r="D1503" s="7">
        <v>2.0</v>
      </c>
      <c r="E1503" s="7">
        <v>1.0</v>
      </c>
      <c r="F1503" s="7" t="s">
        <v>121</v>
      </c>
      <c r="G1503" s="7" t="s">
        <v>1360</v>
      </c>
      <c r="H1503" s="9" t="s">
        <v>2981</v>
      </c>
      <c r="I1503" t="s">
        <v>3554</v>
      </c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 t="str">
        <f t="shared" si="1"/>
        <v>Land area </v>
      </c>
      <c r="AE1503" s="7" t="str">
        <f t="shared" si="2"/>
        <v> sq. ft.</v>
      </c>
      <c r="AF1503">
        <f>IFERROR(__xludf.DUMMYFUNCTION("VALUE(REGEXREPLACE(G1503,""[^[:digit:]]"", """"))"),708.0)</f>
        <v>708</v>
      </c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 t="s">
        <v>22</v>
      </c>
    </row>
    <row r="1504">
      <c r="A1504" s="7" t="s">
        <v>17</v>
      </c>
      <c r="B1504" s="7" t="s">
        <v>134</v>
      </c>
      <c r="C1504" s="7">
        <f t="shared" si="160"/>
        <v>2</v>
      </c>
      <c r="D1504" s="7">
        <v>2.0</v>
      </c>
      <c r="E1504" s="9">
        <v>2.0</v>
      </c>
      <c r="F1504" s="7" t="s">
        <v>385</v>
      </c>
      <c r="G1504" s="7" t="s">
        <v>1361</v>
      </c>
      <c r="H1504" s="9" t="s">
        <v>2979</v>
      </c>
      <c r="I1504" t="s">
        <v>3670</v>
      </c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 t="str">
        <f t="shared" si="1"/>
        <v>Built-up :</v>
      </c>
      <c r="AE1504" s="7" t="str">
        <f t="shared" si="2"/>
        <v> sq. ft.</v>
      </c>
      <c r="AF1504">
        <f>IFERROR(__xludf.DUMMYFUNCTION("VALUE(REGEXREPLACE(G1504,""[^[:digit:]]"", """"))"),744.0)</f>
        <v>744</v>
      </c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 t="s">
        <v>22</v>
      </c>
    </row>
    <row r="1505">
      <c r="A1505" s="7" t="s">
        <v>17</v>
      </c>
      <c r="B1505" s="7" t="s">
        <v>127</v>
      </c>
      <c r="C1505" s="7">
        <f t="shared" ref="C1505:C1507" si="161">2+1</f>
        <v>3</v>
      </c>
      <c r="D1505" s="7">
        <v>2.0</v>
      </c>
      <c r="E1505" s="7">
        <v>1.0</v>
      </c>
      <c r="F1505" s="7" t="s">
        <v>121</v>
      </c>
      <c r="G1505" s="7" t="s">
        <v>99</v>
      </c>
      <c r="H1505" s="9" t="s">
        <v>2979</v>
      </c>
      <c r="I1505" t="s">
        <v>3006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 t="str">
        <f t="shared" si="1"/>
        <v>Built-up :</v>
      </c>
      <c r="AE1505" s="7" t="str">
        <f t="shared" si="2"/>
        <v> sq. ft.</v>
      </c>
      <c r="AF1505">
        <f>IFERROR(__xludf.DUMMYFUNCTION("VALUE(REGEXREPLACE(G1505,""[^[:digit:]]"", """"))"),1668.0)</f>
        <v>1668</v>
      </c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 t="s">
        <v>27</v>
      </c>
    </row>
    <row r="1506">
      <c r="A1506" s="7" t="s">
        <v>17</v>
      </c>
      <c r="B1506" s="7" t="s">
        <v>158</v>
      </c>
      <c r="C1506" s="7">
        <f t="shared" si="161"/>
        <v>3</v>
      </c>
      <c r="D1506" s="7">
        <v>1.0</v>
      </c>
      <c r="E1506" s="9">
        <v>2.0</v>
      </c>
      <c r="F1506" s="7" t="s">
        <v>121</v>
      </c>
      <c r="G1506" s="7" t="s">
        <v>394</v>
      </c>
      <c r="H1506" s="9" t="s">
        <v>2979</v>
      </c>
      <c r="I1506" t="s">
        <v>3143</v>
      </c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 t="str">
        <f t="shared" si="1"/>
        <v>Built-up :</v>
      </c>
      <c r="AE1506" s="7" t="str">
        <f t="shared" si="2"/>
        <v> sq. ft.</v>
      </c>
      <c r="AF1506">
        <f>IFERROR(__xludf.DUMMYFUNCTION("VALUE(REGEXREPLACE(G1506,""[^[:digit:]]"", """"))"),1350.0)</f>
        <v>1350</v>
      </c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 t="s">
        <v>22</v>
      </c>
    </row>
    <row r="1507">
      <c r="A1507" s="7" t="s">
        <v>17</v>
      </c>
      <c r="B1507" s="7" t="s">
        <v>1362</v>
      </c>
      <c r="C1507" s="7">
        <f t="shared" si="161"/>
        <v>3</v>
      </c>
      <c r="D1507" s="7">
        <v>2.0</v>
      </c>
      <c r="E1507" s="9">
        <v>2.0</v>
      </c>
      <c r="F1507" s="7" t="s">
        <v>20</v>
      </c>
      <c r="G1507" s="7" t="s">
        <v>650</v>
      </c>
      <c r="H1507" s="9" t="s">
        <v>2979</v>
      </c>
      <c r="I1507" t="s">
        <v>3265</v>
      </c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 t="str">
        <f t="shared" si="1"/>
        <v>Built-up :</v>
      </c>
      <c r="AE1507" s="7" t="str">
        <f t="shared" si="2"/>
        <v> sq. ft.</v>
      </c>
      <c r="AF1507">
        <f>IFERROR(__xludf.DUMMYFUNCTION("VALUE(REGEXREPLACE(G1507,""[^[:digit:]]"", """"))"),813.0)</f>
        <v>813</v>
      </c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 t="s">
        <v>27</v>
      </c>
    </row>
    <row r="1508">
      <c r="A1508" s="7" t="s">
        <v>17</v>
      </c>
      <c r="B1508" s="7" t="s">
        <v>132</v>
      </c>
      <c r="C1508" s="7">
        <f t="shared" ref="C1508:C1509" si="162">1+1</f>
        <v>2</v>
      </c>
      <c r="D1508" s="7">
        <v>1.0</v>
      </c>
      <c r="E1508" s="9">
        <v>2.0</v>
      </c>
      <c r="F1508" s="7" t="s">
        <v>82</v>
      </c>
      <c r="G1508" s="7" t="s">
        <v>949</v>
      </c>
      <c r="H1508" s="9" t="s">
        <v>2979</v>
      </c>
      <c r="I1508" t="s">
        <v>3422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 t="str">
        <f t="shared" si="1"/>
        <v>Built-up :</v>
      </c>
      <c r="AE1508" s="7" t="str">
        <f t="shared" si="2"/>
        <v> sq. ft.</v>
      </c>
      <c r="AF1508">
        <f>IFERROR(__xludf.DUMMYFUNCTION("VALUE(REGEXREPLACE(G1508,""[^[:digit:]]"", """"))"),635.0)</f>
        <v>635</v>
      </c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 t="s">
        <v>22</v>
      </c>
    </row>
    <row r="1509">
      <c r="A1509" s="7" t="s">
        <v>17</v>
      </c>
      <c r="B1509" s="7" t="s">
        <v>407</v>
      </c>
      <c r="C1509" s="7">
        <f t="shared" si="162"/>
        <v>2</v>
      </c>
      <c r="D1509" s="7">
        <v>1.0</v>
      </c>
      <c r="E1509" s="9">
        <v>2.0</v>
      </c>
      <c r="F1509" s="7" t="s">
        <v>82</v>
      </c>
      <c r="G1509" s="7" t="s">
        <v>1363</v>
      </c>
      <c r="H1509" s="9" t="s">
        <v>2979</v>
      </c>
      <c r="I1509" t="s">
        <v>3671</v>
      </c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 t="str">
        <f t="shared" si="1"/>
        <v>Built-up :</v>
      </c>
      <c r="AE1509" s="7" t="str">
        <f t="shared" si="2"/>
        <v> sq. ft.</v>
      </c>
      <c r="AF1509">
        <f>IFERROR(__xludf.DUMMYFUNCTION("VALUE(REGEXREPLACE(G1509,""[^[:digit:]]"", """"))"),605.0)</f>
        <v>605</v>
      </c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 t="s">
        <v>22</v>
      </c>
    </row>
    <row r="1510">
      <c r="A1510" s="7" t="s">
        <v>17</v>
      </c>
      <c r="B1510" s="7" t="s">
        <v>78</v>
      </c>
      <c r="C1510" s="7">
        <f>2+1</f>
        <v>3</v>
      </c>
      <c r="D1510" s="7">
        <v>2.0</v>
      </c>
      <c r="E1510" s="7">
        <v>1.0</v>
      </c>
      <c r="F1510" s="7" t="s">
        <v>93</v>
      </c>
      <c r="G1510" s="7" t="s">
        <v>74</v>
      </c>
      <c r="H1510" s="9" t="s">
        <v>2979</v>
      </c>
      <c r="I1510" t="s">
        <v>2998</v>
      </c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 t="str">
        <f t="shared" si="1"/>
        <v>Built-up :</v>
      </c>
      <c r="AE1510" s="7" t="str">
        <f t="shared" si="2"/>
        <v> sq. ft.</v>
      </c>
      <c r="AF1510">
        <f>IFERROR(__xludf.DUMMYFUNCTION("VALUE(REGEXREPLACE(G1510,""[^[:digit:]]"", """"))"),1830.0)</f>
        <v>1830</v>
      </c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 t="s">
        <v>27</v>
      </c>
    </row>
    <row r="1511">
      <c r="A1511" s="7" t="s">
        <v>72</v>
      </c>
      <c r="B1511" s="7" t="s">
        <v>411</v>
      </c>
      <c r="C1511" s="7">
        <f t="shared" ref="C1511:C1512" si="163">3+1</f>
        <v>4</v>
      </c>
      <c r="D1511" s="7">
        <v>3.0</v>
      </c>
      <c r="E1511" s="7">
        <v>3.0</v>
      </c>
      <c r="F1511" s="7" t="s">
        <v>30</v>
      </c>
      <c r="G1511" s="7" t="s">
        <v>561</v>
      </c>
      <c r="H1511" s="9" t="s">
        <v>2979</v>
      </c>
      <c r="I1511" t="s">
        <v>3226</v>
      </c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 t="str">
        <f t="shared" si="1"/>
        <v>Built-up :</v>
      </c>
      <c r="AE1511" s="7" t="str">
        <f t="shared" si="2"/>
        <v> sq. ft.</v>
      </c>
      <c r="AF1511">
        <f>IFERROR(__xludf.DUMMYFUNCTION("VALUE(REGEXREPLACE(G1511,""[^[:digit:]]"", """"))"),2535.0)</f>
        <v>2535</v>
      </c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 t="s">
        <v>27</v>
      </c>
    </row>
    <row r="1512">
      <c r="A1512" s="7" t="s">
        <v>171</v>
      </c>
      <c r="B1512" s="7" t="s">
        <v>1364</v>
      </c>
      <c r="C1512" s="7">
        <f t="shared" si="163"/>
        <v>4</v>
      </c>
      <c r="D1512" s="7">
        <v>3.0</v>
      </c>
      <c r="E1512" s="7">
        <v>2.0</v>
      </c>
      <c r="F1512" s="7" t="s">
        <v>83</v>
      </c>
      <c r="G1512" s="7" t="s">
        <v>551</v>
      </c>
      <c r="H1512" s="9" t="s">
        <v>2979</v>
      </c>
      <c r="I1512" t="s">
        <v>3221</v>
      </c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 t="str">
        <f t="shared" si="1"/>
        <v>Built-up :</v>
      </c>
      <c r="AE1512" s="7" t="str">
        <f t="shared" si="2"/>
        <v> sq. ft.</v>
      </c>
      <c r="AF1512">
        <f>IFERROR(__xludf.DUMMYFUNCTION("VALUE(REGEXREPLACE(G1512,""[^[:digit:]]"", """"))"),1590.0)</f>
        <v>1590</v>
      </c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 t="s">
        <v>27</v>
      </c>
    </row>
    <row r="1513">
      <c r="A1513" s="7" t="s">
        <v>371</v>
      </c>
      <c r="B1513" s="7" t="s">
        <v>755</v>
      </c>
      <c r="C1513" s="7">
        <f>3+2</f>
        <v>5</v>
      </c>
      <c r="D1513" s="7">
        <v>3.0</v>
      </c>
      <c r="E1513" s="7">
        <v>2.0</v>
      </c>
      <c r="F1513" s="7" t="s">
        <v>30</v>
      </c>
      <c r="G1513" s="7" t="s">
        <v>1365</v>
      </c>
      <c r="H1513" s="9" t="s">
        <v>2981</v>
      </c>
      <c r="I1513" t="s">
        <v>3672</v>
      </c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 t="str">
        <f t="shared" si="1"/>
        <v>Land area </v>
      </c>
      <c r="AE1513" s="7" t="str">
        <f t="shared" si="2"/>
        <v> sq. ft.</v>
      </c>
      <c r="AF1513">
        <f>IFERROR(__xludf.DUMMYFUNCTION("VALUE(REGEXREPLACE(G1513,""[^[:digit:]]"", """"))"),1909.0)</f>
        <v>1909</v>
      </c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 t="s">
        <v>27</v>
      </c>
    </row>
    <row r="1514">
      <c r="A1514" s="7" t="s">
        <v>171</v>
      </c>
      <c r="B1514" s="7" t="s">
        <v>139</v>
      </c>
      <c r="C1514" s="7">
        <f t="shared" ref="C1514:C1515" si="164">3</f>
        <v>3</v>
      </c>
      <c r="D1514" s="7">
        <v>3.0</v>
      </c>
      <c r="E1514" s="7">
        <v>2.0</v>
      </c>
      <c r="F1514" s="7" t="s">
        <v>83</v>
      </c>
      <c r="G1514" s="7" t="s">
        <v>1366</v>
      </c>
      <c r="H1514" s="9" t="s">
        <v>2979</v>
      </c>
      <c r="I1514" t="s">
        <v>3673</v>
      </c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 t="str">
        <f t="shared" si="1"/>
        <v>Built-up :</v>
      </c>
      <c r="AE1514" s="7" t="str">
        <f t="shared" si="2"/>
        <v> sq. ft.</v>
      </c>
      <c r="AF1514">
        <f>IFERROR(__xludf.DUMMYFUNCTION("VALUE(REGEXREPLACE(G1514,""[^[:digit:]]"", """"))"),1440.0)</f>
        <v>1440</v>
      </c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 t="s">
        <v>27</v>
      </c>
    </row>
    <row r="1515">
      <c r="A1515" s="7" t="s">
        <v>371</v>
      </c>
      <c r="B1515" s="7" t="s">
        <v>629</v>
      </c>
      <c r="C1515" s="7">
        <f t="shared" si="164"/>
        <v>3</v>
      </c>
      <c r="D1515" s="7">
        <v>2.0</v>
      </c>
      <c r="E1515" s="7">
        <v>2.0</v>
      </c>
      <c r="F1515" s="7" t="s">
        <v>93</v>
      </c>
      <c r="G1515" s="7" t="s">
        <v>1367</v>
      </c>
      <c r="H1515" s="9" t="s">
        <v>2981</v>
      </c>
      <c r="I1515" t="s">
        <v>3674</v>
      </c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 t="str">
        <f t="shared" si="1"/>
        <v>Land area </v>
      </c>
      <c r="AE1515" s="7" t="str">
        <f t="shared" si="2"/>
        <v> sq. ft.</v>
      </c>
      <c r="AF1515">
        <f>IFERROR(__xludf.DUMMYFUNCTION("VALUE(REGEXREPLACE(G1515,""[^[:digit:]]"", """"))"),1259.0)</f>
        <v>1259</v>
      </c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 t="s">
        <v>103</v>
      </c>
    </row>
    <row r="1516">
      <c r="A1516" s="7" t="s">
        <v>171</v>
      </c>
      <c r="B1516" s="7" t="s">
        <v>191</v>
      </c>
      <c r="C1516" s="7">
        <f>4</f>
        <v>4</v>
      </c>
      <c r="D1516" s="7">
        <v>3.0</v>
      </c>
      <c r="E1516" s="7">
        <v>2.0</v>
      </c>
      <c r="F1516" s="7" t="s">
        <v>54</v>
      </c>
      <c r="G1516" s="7" t="s">
        <v>211</v>
      </c>
      <c r="H1516" s="9" t="s">
        <v>2981</v>
      </c>
      <c r="I1516" t="s">
        <v>2992</v>
      </c>
      <c r="J1516" s="7"/>
      <c r="K1516" s="7"/>
      <c r="L1516" s="7"/>
      <c r="M1516" s="7"/>
      <c r="N1516" s="7"/>
      <c r="O1516" s="7"/>
      <c r="P1516" s="7"/>
      <c r="Q1516" s="7"/>
      <c r="R1516" s="7"/>
      <c r="S1516" s="7" t="s">
        <v>2993</v>
      </c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 t="str">
        <f t="shared" si="1"/>
        <v>Land area </v>
      </c>
      <c r="AE1516" s="7" t="str">
        <f t="shared" si="2"/>
        <v> sq. ft.</v>
      </c>
      <c r="AF1516">
        <f>IFERROR(__xludf.DUMMYFUNCTION("VALUE(REGEXREPLACE(G1516,""[^[:digit:]]"", """"))"),2280.0)</f>
        <v>2280</v>
      </c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 t="s">
        <v>27</v>
      </c>
    </row>
    <row r="1517">
      <c r="A1517" s="7" t="s">
        <v>171</v>
      </c>
      <c r="B1517" s="7" t="s">
        <v>641</v>
      </c>
      <c r="C1517" s="7">
        <f t="shared" ref="C1517:C1520" si="165">3+1</f>
        <v>4</v>
      </c>
      <c r="D1517" s="7">
        <v>4.0</v>
      </c>
      <c r="E1517" s="7">
        <v>3.0</v>
      </c>
      <c r="F1517" s="7" t="s">
        <v>83</v>
      </c>
      <c r="G1517" s="7" t="s">
        <v>1368</v>
      </c>
      <c r="H1517" s="9" t="s">
        <v>2979</v>
      </c>
      <c r="I1517" t="s">
        <v>3675</v>
      </c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 t="str">
        <f t="shared" si="1"/>
        <v>Built-up :</v>
      </c>
      <c r="AE1517" s="7" t="str">
        <f t="shared" si="2"/>
        <v> sq. ft.</v>
      </c>
      <c r="AF1517">
        <f>IFERROR(__xludf.DUMMYFUNCTION("VALUE(REGEXREPLACE(G1517,""[^[:digit:]]"", """"))"),1433.0)</f>
        <v>1433</v>
      </c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 t="s">
        <v>27</v>
      </c>
    </row>
    <row r="1518">
      <c r="A1518" s="7" t="s">
        <v>358</v>
      </c>
      <c r="B1518" s="7" t="s">
        <v>316</v>
      </c>
      <c r="C1518" s="7">
        <f t="shared" si="165"/>
        <v>4</v>
      </c>
      <c r="D1518" s="7">
        <v>3.0</v>
      </c>
      <c r="E1518" s="7">
        <v>2.0</v>
      </c>
      <c r="F1518" s="7" t="s">
        <v>83</v>
      </c>
      <c r="G1518" s="7" t="s">
        <v>1369</v>
      </c>
      <c r="H1518" s="9" t="s">
        <v>2979</v>
      </c>
      <c r="I1518" t="s">
        <v>3676</v>
      </c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 t="str">
        <f t="shared" si="1"/>
        <v>Built-up :</v>
      </c>
      <c r="AE1518" s="7" t="str">
        <f t="shared" si="2"/>
        <v> sq. ft.</v>
      </c>
      <c r="AF1518">
        <f>IFERROR(__xludf.DUMMYFUNCTION("VALUE(REGEXREPLACE(G1518,""[^[:digit:]]"", """"))"),1262.0)</f>
        <v>1262</v>
      </c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 t="s">
        <v>22</v>
      </c>
    </row>
    <row r="1519">
      <c r="A1519" s="7" t="s">
        <v>371</v>
      </c>
      <c r="B1519" s="7" t="s">
        <v>229</v>
      </c>
      <c r="C1519" s="7">
        <f t="shared" si="165"/>
        <v>4</v>
      </c>
      <c r="D1519" s="7">
        <v>4.0</v>
      </c>
      <c r="E1519" s="7">
        <v>2.0</v>
      </c>
      <c r="F1519" s="7" t="s">
        <v>30</v>
      </c>
      <c r="G1519" s="7" t="s">
        <v>1370</v>
      </c>
      <c r="H1519" s="9" t="s">
        <v>2981</v>
      </c>
      <c r="I1519" t="s">
        <v>3677</v>
      </c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 t="str">
        <f t="shared" si="1"/>
        <v>Land area </v>
      </c>
      <c r="AE1519" s="7" t="str">
        <f t="shared" si="2"/>
        <v> sq. ft.</v>
      </c>
      <c r="AF1519">
        <f>IFERROR(__xludf.DUMMYFUNCTION("VALUE(REGEXREPLACE(G1519,""[^[:digit:]]"", """"))"),1759.0)</f>
        <v>1759</v>
      </c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 t="s">
        <v>103</v>
      </c>
    </row>
    <row r="1520">
      <c r="A1520" s="7" t="s">
        <v>171</v>
      </c>
      <c r="B1520" s="7" t="s">
        <v>733</v>
      </c>
      <c r="C1520" s="7">
        <f t="shared" si="165"/>
        <v>4</v>
      </c>
      <c r="D1520" s="7">
        <v>3.0</v>
      </c>
      <c r="E1520" s="7">
        <v>2.0</v>
      </c>
      <c r="F1520" s="7" t="s">
        <v>83</v>
      </c>
      <c r="G1520" s="7" t="s">
        <v>1371</v>
      </c>
      <c r="H1520" s="9" t="s">
        <v>2979</v>
      </c>
      <c r="I1520" t="s">
        <v>3678</v>
      </c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 t="str">
        <f t="shared" si="1"/>
        <v>Built-up :</v>
      </c>
      <c r="AE1520" s="7" t="str">
        <f t="shared" si="2"/>
        <v> sq. ft.</v>
      </c>
      <c r="AF1520">
        <f>IFERROR(__xludf.DUMMYFUNCTION("VALUE(REGEXREPLACE(G1520,""[^[:digit:]]"", """"))"),1362.0)</f>
        <v>1362</v>
      </c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 t="s">
        <v>27</v>
      </c>
    </row>
    <row r="1521">
      <c r="A1521" s="7" t="s">
        <v>171</v>
      </c>
      <c r="B1521" s="7" t="s">
        <v>1372</v>
      </c>
      <c r="C1521" s="7">
        <f>5+1</f>
        <v>6</v>
      </c>
      <c r="D1521" s="7">
        <v>5.0</v>
      </c>
      <c r="E1521" s="7">
        <v>3.0</v>
      </c>
      <c r="F1521" s="7" t="s">
        <v>378</v>
      </c>
      <c r="G1521" s="7" t="s">
        <v>1373</v>
      </c>
      <c r="H1521" s="9" t="s">
        <v>2979</v>
      </c>
      <c r="I1521" t="s">
        <v>3679</v>
      </c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 t="str">
        <f t="shared" si="1"/>
        <v>Built-up :</v>
      </c>
      <c r="AE1521" s="7" t="str">
        <f t="shared" si="2"/>
        <v> sq. ft.</v>
      </c>
      <c r="AF1521">
        <f>IFERROR(__xludf.DUMMYFUNCTION("VALUE(REGEXREPLACE(G1521,""[^[:digit:]]"", """"))"),2685.0)</f>
        <v>2685</v>
      </c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 t="s">
        <v>103</v>
      </c>
    </row>
    <row r="1522">
      <c r="A1522" s="7" t="s">
        <v>171</v>
      </c>
      <c r="B1522" s="7" t="s">
        <v>1374</v>
      </c>
      <c r="C1522" s="7">
        <f>4+1</f>
        <v>5</v>
      </c>
      <c r="D1522" s="7">
        <v>5.0</v>
      </c>
      <c r="E1522" s="7">
        <v>3.0</v>
      </c>
      <c r="F1522" s="7" t="s">
        <v>30</v>
      </c>
      <c r="G1522" s="7" t="s">
        <v>1375</v>
      </c>
      <c r="H1522" s="9" t="s">
        <v>2979</v>
      </c>
      <c r="I1522" t="s">
        <v>3680</v>
      </c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 t="str">
        <f t="shared" si="1"/>
        <v>Built-up :</v>
      </c>
      <c r="AE1522" s="7" t="str">
        <f t="shared" si="2"/>
        <v> sq. ft.</v>
      </c>
      <c r="AF1522">
        <f>IFERROR(__xludf.DUMMYFUNCTION("VALUE(REGEXREPLACE(G1522,""[^[:digit:]]"", """"))"),2646.0)</f>
        <v>2646</v>
      </c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</row>
    <row r="1523">
      <c r="A1523" s="7" t="s">
        <v>72</v>
      </c>
      <c r="B1523" s="7" t="s">
        <v>837</v>
      </c>
      <c r="C1523" s="7">
        <f t="shared" ref="C1523:C1524" si="166">3+1</f>
        <v>4</v>
      </c>
      <c r="D1523" s="7">
        <v>4.0</v>
      </c>
      <c r="E1523" s="7">
        <v>3.0</v>
      </c>
      <c r="F1523" s="7" t="s">
        <v>30</v>
      </c>
      <c r="G1523" s="7" t="s">
        <v>838</v>
      </c>
      <c r="H1523" s="9" t="s">
        <v>2979</v>
      </c>
      <c r="I1523" t="s">
        <v>3364</v>
      </c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 t="str">
        <f t="shared" si="1"/>
        <v>Built-up :</v>
      </c>
      <c r="AE1523" s="7" t="str">
        <f t="shared" si="2"/>
        <v> sq. ft.</v>
      </c>
      <c r="AF1523">
        <f>IFERROR(__xludf.DUMMYFUNCTION("VALUE(REGEXREPLACE(G1523,""[^[:digit:]]"", """"))"),2694.0)</f>
        <v>2694</v>
      </c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 t="s">
        <v>27</v>
      </c>
    </row>
    <row r="1524">
      <c r="A1524" s="7" t="s">
        <v>77</v>
      </c>
      <c r="B1524" s="7" t="s">
        <v>1376</v>
      </c>
      <c r="C1524" s="7">
        <f t="shared" si="166"/>
        <v>4</v>
      </c>
      <c r="D1524" s="7">
        <v>4.0</v>
      </c>
      <c r="E1524" s="7">
        <v>3.0</v>
      </c>
      <c r="F1524" s="7" t="s">
        <v>169</v>
      </c>
      <c r="G1524" s="7" t="s">
        <v>307</v>
      </c>
      <c r="H1524" s="9" t="s">
        <v>2979</v>
      </c>
      <c r="I1524" t="s">
        <v>3102</v>
      </c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 t="str">
        <f t="shared" si="1"/>
        <v>Built-up :</v>
      </c>
      <c r="AE1524" s="7" t="str">
        <f t="shared" si="2"/>
        <v> sq. ft.</v>
      </c>
      <c r="AF1524">
        <f>IFERROR(__xludf.DUMMYFUNCTION("VALUE(REGEXREPLACE(G1524,""[^[:digit:]]"", """"))"),2500.0)</f>
        <v>2500</v>
      </c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 t="s">
        <v>27</v>
      </c>
    </row>
    <row r="1525">
      <c r="A1525" s="7" t="s">
        <v>143</v>
      </c>
      <c r="B1525" s="7" t="s">
        <v>953</v>
      </c>
      <c r="C1525" s="7">
        <f>1</f>
        <v>1</v>
      </c>
      <c r="D1525" s="7">
        <v>1.0</v>
      </c>
      <c r="E1525" s="7">
        <v>1.0</v>
      </c>
      <c r="F1525" s="7" t="s">
        <v>20</v>
      </c>
      <c r="G1525" s="7" t="s">
        <v>1361</v>
      </c>
      <c r="H1525" s="9" t="s">
        <v>2979</v>
      </c>
      <c r="I1525" t="s">
        <v>3670</v>
      </c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 t="str">
        <f t="shared" si="1"/>
        <v>Built-up :</v>
      </c>
      <c r="AE1525" s="7" t="str">
        <f t="shared" si="2"/>
        <v> sq. ft.</v>
      </c>
      <c r="AF1525">
        <f>IFERROR(__xludf.DUMMYFUNCTION("VALUE(REGEXREPLACE(G1525,""[^[:digit:]]"", """"))"),744.0)</f>
        <v>744</v>
      </c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 t="s">
        <v>22</v>
      </c>
    </row>
    <row r="1526">
      <c r="A1526" s="7" t="s">
        <v>104</v>
      </c>
      <c r="B1526" s="7" t="s">
        <v>214</v>
      </c>
      <c r="C1526" s="7">
        <f>6</f>
        <v>6</v>
      </c>
      <c r="D1526" s="7">
        <v>6.0</v>
      </c>
      <c r="E1526" s="7">
        <v>2.0</v>
      </c>
      <c r="F1526" s="7" t="s">
        <v>681</v>
      </c>
      <c r="G1526" s="7" t="s">
        <v>1377</v>
      </c>
      <c r="H1526" s="9" t="s">
        <v>2981</v>
      </c>
      <c r="I1526" t="s">
        <v>3516</v>
      </c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 t="str">
        <f t="shared" si="1"/>
        <v>Land area </v>
      </c>
      <c r="AE1526" s="7" t="str">
        <f t="shared" si="2"/>
        <v> sq. ft.</v>
      </c>
      <c r="AF1526">
        <f>IFERROR(__xludf.DUMMYFUNCTION("VALUE(REGEXREPLACE(G1526,""[^[:digit:]]"", """"))"),2070.0)</f>
        <v>2070</v>
      </c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 t="s">
        <v>27</v>
      </c>
    </row>
    <row r="1527">
      <c r="A1527" s="7" t="s">
        <v>104</v>
      </c>
      <c r="B1527" s="7" t="s">
        <v>419</v>
      </c>
      <c r="C1527" s="7">
        <f>3</f>
        <v>3</v>
      </c>
      <c r="D1527" s="7">
        <v>2.0</v>
      </c>
      <c r="E1527" s="7">
        <v>4.0</v>
      </c>
      <c r="F1527" s="7" t="s">
        <v>1378</v>
      </c>
      <c r="G1527" s="7" t="s">
        <v>1379</v>
      </c>
      <c r="H1527" s="9" t="s">
        <v>2981</v>
      </c>
      <c r="I1527" t="s">
        <v>3681</v>
      </c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 t="str">
        <f t="shared" si="1"/>
        <v>Land area </v>
      </c>
      <c r="AE1527" s="7" t="str">
        <f t="shared" si="2"/>
        <v> sq. ft.</v>
      </c>
      <c r="AF1527">
        <f>IFERROR(__xludf.DUMMYFUNCTION("VALUE(REGEXREPLACE(G1527,""[^[:digit:]]"", """"))"),4035.0)</f>
        <v>4035</v>
      </c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 t="s">
        <v>27</v>
      </c>
    </row>
    <row r="1528">
      <c r="A1528" s="7" t="s">
        <v>692</v>
      </c>
      <c r="B1528" s="7" t="s">
        <v>844</v>
      </c>
      <c r="C1528" s="7">
        <f>5+1</f>
        <v>6</v>
      </c>
      <c r="D1528" s="7">
        <v>4.0</v>
      </c>
      <c r="E1528" s="7">
        <v>4.0</v>
      </c>
      <c r="F1528" s="7" t="s">
        <v>203</v>
      </c>
      <c r="G1528" s="7" t="s">
        <v>283</v>
      </c>
      <c r="H1528" s="9" t="s">
        <v>2981</v>
      </c>
      <c r="I1528" t="s">
        <v>3091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 t="s">
        <v>2990</v>
      </c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 t="str">
        <f t="shared" si="1"/>
        <v>Land area </v>
      </c>
      <c r="AE1528" s="7" t="str">
        <f t="shared" si="2"/>
        <v> sq. ft.</v>
      </c>
      <c r="AF1528">
        <f>IFERROR(__xludf.DUMMYFUNCTION("VALUE(REGEXREPLACE(G1528,""[^[:digit:]]"", """"))"),2275.0)</f>
        <v>2275</v>
      </c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 t="s">
        <v>22</v>
      </c>
    </row>
    <row r="1529">
      <c r="A1529" s="7" t="s">
        <v>77</v>
      </c>
      <c r="B1529" s="7" t="s">
        <v>1380</v>
      </c>
      <c r="C1529" s="7">
        <f>2+1</f>
        <v>3</v>
      </c>
      <c r="D1529" s="7">
        <v>2.0</v>
      </c>
      <c r="E1529" s="7">
        <v>2.0</v>
      </c>
      <c r="F1529" s="7" t="s">
        <v>83</v>
      </c>
      <c r="G1529" s="7" t="s">
        <v>1381</v>
      </c>
      <c r="H1529" s="9" t="s">
        <v>2979</v>
      </c>
      <c r="I1529" t="s">
        <v>3682</v>
      </c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 t="str">
        <f t="shared" si="1"/>
        <v>Built-up :</v>
      </c>
      <c r="AE1529" s="7" t="str">
        <f t="shared" si="2"/>
        <v> sq. ft.</v>
      </c>
      <c r="AF1529">
        <f>IFERROR(__xludf.DUMMYFUNCTION("VALUE(REGEXREPLACE(G1529,""[^[:digit:]]"", """"))"),1228.0)</f>
        <v>1228</v>
      </c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 t="s">
        <v>27</v>
      </c>
    </row>
    <row r="1530">
      <c r="A1530" s="7" t="s">
        <v>77</v>
      </c>
      <c r="B1530" s="7" t="s">
        <v>421</v>
      </c>
      <c r="C1530" s="7">
        <f>7+1</f>
        <v>8</v>
      </c>
      <c r="D1530" s="7">
        <v>9.0</v>
      </c>
      <c r="E1530" s="7">
        <v>6.0</v>
      </c>
      <c r="F1530" s="7" t="s">
        <v>1036</v>
      </c>
      <c r="G1530" s="7" t="s">
        <v>301</v>
      </c>
      <c r="H1530" s="9" t="s">
        <v>2979</v>
      </c>
      <c r="I1530" t="s">
        <v>3098</v>
      </c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 t="str">
        <f t="shared" si="1"/>
        <v>Built-up :</v>
      </c>
      <c r="AE1530" s="7" t="str">
        <f t="shared" si="2"/>
        <v> sq. ft.</v>
      </c>
      <c r="AF1530">
        <f>IFERROR(__xludf.DUMMYFUNCTION("VALUE(REGEXREPLACE(G1530,""[^[:digit:]]"", """"))"),7000.0)</f>
        <v>7000</v>
      </c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 t="s">
        <v>27</v>
      </c>
    </row>
    <row r="1531">
      <c r="A1531" s="7" t="s">
        <v>171</v>
      </c>
      <c r="B1531" s="7" t="s">
        <v>1382</v>
      </c>
      <c r="C1531" s="7">
        <f>4</f>
        <v>4</v>
      </c>
      <c r="D1531" s="7">
        <v>2.0</v>
      </c>
      <c r="E1531" s="7">
        <v>2.0</v>
      </c>
      <c r="F1531" s="7" t="s">
        <v>83</v>
      </c>
      <c r="G1531" s="7" t="s">
        <v>760</v>
      </c>
      <c r="H1531" s="9" t="s">
        <v>2979</v>
      </c>
      <c r="I1531" t="s">
        <v>3323</v>
      </c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 t="str">
        <f t="shared" si="1"/>
        <v>Built-up :</v>
      </c>
      <c r="AE1531" s="7" t="str">
        <f t="shared" si="2"/>
        <v> sq. ft.</v>
      </c>
      <c r="AF1531">
        <f>IFERROR(__xludf.DUMMYFUNCTION("VALUE(REGEXREPLACE(G1531,""[^[:digit:]]"", """"))"),1450.0)</f>
        <v>1450</v>
      </c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</row>
    <row r="1532">
      <c r="A1532" s="7" t="s">
        <v>77</v>
      </c>
      <c r="B1532" s="7" t="s">
        <v>1383</v>
      </c>
      <c r="C1532" s="7">
        <f>2</f>
        <v>2</v>
      </c>
      <c r="D1532" s="7">
        <v>2.0</v>
      </c>
      <c r="E1532" s="7">
        <v>2.0</v>
      </c>
      <c r="F1532" s="7" t="s">
        <v>30</v>
      </c>
      <c r="G1532" s="7" t="s">
        <v>492</v>
      </c>
      <c r="H1532" s="9" t="s">
        <v>2979</v>
      </c>
      <c r="I1532" t="s">
        <v>3191</v>
      </c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 t="str">
        <f t="shared" si="1"/>
        <v>Built-up :</v>
      </c>
      <c r="AE1532" s="7" t="str">
        <f t="shared" si="2"/>
        <v> sq. ft.</v>
      </c>
      <c r="AF1532">
        <f>IFERROR(__xludf.DUMMYFUNCTION("VALUE(REGEXREPLACE(G1532,""[^[:digit:]]"", """"))"),1303.0)</f>
        <v>1303</v>
      </c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 t="s">
        <v>27</v>
      </c>
    </row>
    <row r="1533">
      <c r="A1533" s="7" t="s">
        <v>77</v>
      </c>
      <c r="B1533" s="7" t="s">
        <v>613</v>
      </c>
      <c r="C1533" s="7">
        <f>3</f>
        <v>3</v>
      </c>
      <c r="D1533" s="7">
        <v>3.0</v>
      </c>
      <c r="E1533" s="7">
        <v>3.0</v>
      </c>
      <c r="F1533" s="7" t="s">
        <v>169</v>
      </c>
      <c r="G1533" s="7" t="s">
        <v>283</v>
      </c>
      <c r="H1533" s="9" t="s">
        <v>2981</v>
      </c>
      <c r="I1533" t="s">
        <v>3091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 t="s">
        <v>2990</v>
      </c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 t="str">
        <f t="shared" si="1"/>
        <v>Land area </v>
      </c>
      <c r="AE1533" s="7" t="str">
        <f t="shared" si="2"/>
        <v> sq. ft.</v>
      </c>
      <c r="AF1533">
        <f>IFERROR(__xludf.DUMMYFUNCTION("VALUE(REGEXREPLACE(G1533,""[^[:digit:]]"", """"))"),2275.0)</f>
        <v>2275</v>
      </c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 t="s">
        <v>27</v>
      </c>
    </row>
    <row r="1534">
      <c r="A1534" s="7" t="s">
        <v>77</v>
      </c>
      <c r="B1534" s="7" t="s">
        <v>110</v>
      </c>
      <c r="C1534" s="7">
        <f>7</f>
        <v>7</v>
      </c>
      <c r="D1534" s="7">
        <v>6.0</v>
      </c>
      <c r="E1534" s="7">
        <v>4.0</v>
      </c>
      <c r="F1534" s="7" t="s">
        <v>90</v>
      </c>
      <c r="G1534" s="7" t="s">
        <v>211</v>
      </c>
      <c r="H1534" s="9" t="s">
        <v>2981</v>
      </c>
      <c r="I1534" t="s">
        <v>2992</v>
      </c>
      <c r="J1534" s="7"/>
      <c r="K1534" s="7"/>
      <c r="L1534" s="7"/>
      <c r="M1534" s="7"/>
      <c r="N1534" s="7"/>
      <c r="O1534" s="7"/>
      <c r="P1534" s="7"/>
      <c r="Q1534" s="7"/>
      <c r="R1534" s="7"/>
      <c r="S1534" s="7" t="s">
        <v>2993</v>
      </c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 t="str">
        <f t="shared" si="1"/>
        <v>Land area </v>
      </c>
      <c r="AE1534" s="7" t="str">
        <f t="shared" si="2"/>
        <v> sq. ft.</v>
      </c>
      <c r="AF1534">
        <f>IFERROR(__xludf.DUMMYFUNCTION("VALUE(REGEXREPLACE(G1534,""[^[:digit:]]"", """"))"),2280.0)</f>
        <v>2280</v>
      </c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 t="s">
        <v>27</v>
      </c>
    </row>
    <row r="1535">
      <c r="A1535" s="7" t="s">
        <v>32</v>
      </c>
      <c r="B1535" s="7" t="s">
        <v>575</v>
      </c>
      <c r="C1535" s="7">
        <f>3+1</f>
        <v>4</v>
      </c>
      <c r="D1535" s="7">
        <v>3.0</v>
      </c>
      <c r="E1535" s="7">
        <v>2.0</v>
      </c>
      <c r="F1535" s="7" t="s">
        <v>82</v>
      </c>
      <c r="G1535" s="7" t="s">
        <v>1384</v>
      </c>
      <c r="H1535" s="9" t="s">
        <v>2979</v>
      </c>
      <c r="I1535" t="s">
        <v>3683</v>
      </c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 t="str">
        <f t="shared" si="1"/>
        <v>Built-up :</v>
      </c>
      <c r="AE1535" s="7" t="str">
        <f t="shared" si="2"/>
        <v> sq. ft.</v>
      </c>
      <c r="AF1535">
        <f>IFERROR(__xludf.DUMMYFUNCTION("VALUE(REGEXREPLACE(G1535,""[^[:digit:]]"", """"))"),1054.0)</f>
        <v>1054</v>
      </c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 t="s">
        <v>27</v>
      </c>
    </row>
    <row r="1536">
      <c r="A1536" s="7" t="s">
        <v>77</v>
      </c>
      <c r="B1536" s="7" t="s">
        <v>1385</v>
      </c>
      <c r="C1536" s="7">
        <f>2</f>
        <v>2</v>
      </c>
      <c r="D1536" s="7">
        <v>2.0</v>
      </c>
      <c r="E1536" s="7">
        <v>2.0</v>
      </c>
      <c r="F1536" s="7" t="s">
        <v>93</v>
      </c>
      <c r="G1536" s="7" t="s">
        <v>321</v>
      </c>
      <c r="H1536" s="9" t="s">
        <v>2979</v>
      </c>
      <c r="I1536" t="s">
        <v>3107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 t="str">
        <f t="shared" si="1"/>
        <v>Built-up :</v>
      </c>
      <c r="AE1536" s="7" t="str">
        <f t="shared" si="2"/>
        <v> sq. ft.</v>
      </c>
      <c r="AF1536">
        <f>IFERROR(__xludf.DUMMYFUNCTION("VALUE(REGEXREPLACE(G1536,""[^[:digit:]]"", """"))"),1292.0)</f>
        <v>1292</v>
      </c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 t="s">
        <v>27</v>
      </c>
    </row>
    <row r="1537">
      <c r="A1537" s="7" t="s">
        <v>77</v>
      </c>
      <c r="B1537" s="7" t="s">
        <v>193</v>
      </c>
      <c r="C1537" s="7">
        <f t="shared" ref="C1537:C1538" si="167">3+1</f>
        <v>4</v>
      </c>
      <c r="D1537" s="7">
        <v>3.0</v>
      </c>
      <c r="E1537" s="7">
        <v>2.0</v>
      </c>
      <c r="F1537" s="7" t="s">
        <v>681</v>
      </c>
      <c r="G1537" s="7" t="s">
        <v>461</v>
      </c>
      <c r="H1537" s="9" t="s">
        <v>2979</v>
      </c>
      <c r="I1537" t="s">
        <v>3172</v>
      </c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 t="str">
        <f t="shared" si="1"/>
        <v>Built-up :</v>
      </c>
      <c r="AE1537" s="7" t="str">
        <f t="shared" si="2"/>
        <v> sq. ft.</v>
      </c>
      <c r="AF1537">
        <f>IFERROR(__xludf.DUMMYFUNCTION("VALUE(REGEXREPLACE(G1537,""[^[:digit:]]"", """"))"),1900.0)</f>
        <v>1900</v>
      </c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 t="s">
        <v>27</v>
      </c>
    </row>
    <row r="1538">
      <c r="A1538" s="7" t="s">
        <v>692</v>
      </c>
      <c r="B1538" s="7" t="s">
        <v>329</v>
      </c>
      <c r="C1538" s="7">
        <f t="shared" si="167"/>
        <v>4</v>
      </c>
      <c r="D1538" s="7">
        <v>4.0</v>
      </c>
      <c r="E1538" s="9">
        <v>2.0</v>
      </c>
      <c r="F1538" s="7" t="s">
        <v>494</v>
      </c>
      <c r="G1538" s="7" t="s">
        <v>1000</v>
      </c>
      <c r="H1538" s="9" t="s">
        <v>2981</v>
      </c>
      <c r="I1538" t="s">
        <v>3445</v>
      </c>
      <c r="J1538" s="7"/>
      <c r="K1538" s="7"/>
      <c r="L1538" s="7"/>
      <c r="M1538" s="7"/>
      <c r="N1538" s="7"/>
      <c r="O1538" s="7"/>
      <c r="P1538" s="7"/>
      <c r="Q1538" s="7"/>
      <c r="R1538" s="7"/>
      <c r="S1538" s="7" t="s">
        <v>3446</v>
      </c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 t="str">
        <f t="shared" si="1"/>
        <v>Land area </v>
      </c>
      <c r="AE1538" s="7" t="str">
        <f t="shared" si="2"/>
        <v> sq. ft.</v>
      </c>
      <c r="AF1538">
        <f>IFERROR(__xludf.DUMMYFUNCTION("VALUE(REGEXREPLACE(G1538,""[^[:digit:]]"", """"))"),2687.0)</f>
        <v>2687</v>
      </c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 t="s">
        <v>27</v>
      </c>
    </row>
    <row r="1539">
      <c r="A1539" s="7" t="s">
        <v>100</v>
      </c>
      <c r="B1539" s="7" t="s">
        <v>1225</v>
      </c>
      <c r="C1539" s="7">
        <f t="shared" ref="C1539:C1540" si="168">3+2</f>
        <v>5</v>
      </c>
      <c r="D1539" s="7">
        <v>4.0</v>
      </c>
      <c r="E1539" s="7">
        <v>3.0</v>
      </c>
      <c r="F1539" s="7" t="s">
        <v>93</v>
      </c>
      <c r="G1539" s="7" t="s">
        <v>741</v>
      </c>
      <c r="H1539" s="9" t="s">
        <v>2979</v>
      </c>
      <c r="I1539" t="s">
        <v>3313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 t="str">
        <f t="shared" si="1"/>
        <v>Built-up :</v>
      </c>
      <c r="AE1539" s="7" t="str">
        <f t="shared" si="2"/>
        <v> sq. ft.</v>
      </c>
      <c r="AF1539">
        <f>IFERROR(__xludf.DUMMYFUNCTION("VALUE(REGEXREPLACE(G1539,""[^[:digit:]]"", """"))"),2128.0)</f>
        <v>2128</v>
      </c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 t="s">
        <v>22</v>
      </c>
    </row>
    <row r="1540">
      <c r="A1540" s="7" t="s">
        <v>77</v>
      </c>
      <c r="B1540" s="7" t="s">
        <v>85</v>
      </c>
      <c r="C1540" s="7">
        <f t="shared" si="168"/>
        <v>5</v>
      </c>
      <c r="D1540" s="7">
        <v>4.0</v>
      </c>
      <c r="E1540" s="7">
        <v>2.0</v>
      </c>
      <c r="F1540" s="7" t="s">
        <v>494</v>
      </c>
      <c r="G1540" s="7" t="s">
        <v>1386</v>
      </c>
      <c r="H1540" s="9" t="s">
        <v>2981</v>
      </c>
      <c r="I1540" t="s">
        <v>3445</v>
      </c>
      <c r="J1540" s="7"/>
      <c r="K1540" s="7"/>
      <c r="L1540" s="7"/>
      <c r="M1540" s="7"/>
      <c r="N1540" s="7"/>
      <c r="O1540" s="7"/>
      <c r="P1540" s="7"/>
      <c r="Q1540" s="7"/>
      <c r="R1540" s="7"/>
      <c r="S1540" s="7" t="s">
        <v>3446</v>
      </c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 t="str">
        <f t="shared" si="1"/>
        <v>Land area </v>
      </c>
      <c r="AE1540" s="7" t="str">
        <f t="shared" si="2"/>
        <v> sq. ft.</v>
      </c>
      <c r="AF1540" s="7">
        <v>2262.0</v>
      </c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 t="s">
        <v>27</v>
      </c>
    </row>
    <row r="1541">
      <c r="A1541" s="7" t="s">
        <v>100</v>
      </c>
      <c r="B1541" s="7" t="s">
        <v>918</v>
      </c>
      <c r="C1541" s="7">
        <f>3</f>
        <v>3</v>
      </c>
      <c r="D1541" s="7">
        <v>2.0</v>
      </c>
      <c r="E1541" s="9">
        <v>2.0</v>
      </c>
      <c r="F1541" s="7" t="s">
        <v>93</v>
      </c>
      <c r="G1541" s="7" t="s">
        <v>1387</v>
      </c>
      <c r="H1541" s="9" t="s">
        <v>2979</v>
      </c>
      <c r="I1541" t="s">
        <v>3684</v>
      </c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 t="str">
        <f t="shared" si="1"/>
        <v>Built-up :</v>
      </c>
      <c r="AE1541" s="7" t="str">
        <f t="shared" si="2"/>
        <v> sq. ft.</v>
      </c>
      <c r="AF1541">
        <f>IFERROR(__xludf.DUMMYFUNCTION("VALUE(REGEXREPLACE(G1541,""[^[:digit:]]"", """"))"),1392.0)</f>
        <v>1392</v>
      </c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 t="s">
        <v>103</v>
      </c>
    </row>
    <row r="1542">
      <c r="A1542" s="7" t="s">
        <v>37</v>
      </c>
      <c r="B1542" s="7" t="s">
        <v>356</v>
      </c>
      <c r="C1542" s="7">
        <f t="shared" ref="C1542:C1544" si="169">4</f>
        <v>4</v>
      </c>
      <c r="D1542" s="7">
        <v>3.0</v>
      </c>
      <c r="E1542" s="7">
        <v>2.0</v>
      </c>
      <c r="F1542" s="7" t="s">
        <v>54</v>
      </c>
      <c r="G1542" s="7" t="s">
        <v>1388</v>
      </c>
      <c r="H1542" s="9" t="s">
        <v>2981</v>
      </c>
      <c r="I1542" t="s">
        <v>2994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 t="s">
        <v>3125</v>
      </c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 t="str">
        <f t="shared" si="1"/>
        <v>Land area </v>
      </c>
      <c r="AE1542" s="7" t="str">
        <f t="shared" si="2"/>
        <v> sq. ft.</v>
      </c>
      <c r="AF1542" s="7">
        <v>1900.0</v>
      </c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 t="s">
        <v>22</v>
      </c>
    </row>
    <row r="1543">
      <c r="A1543" s="7" t="s">
        <v>77</v>
      </c>
      <c r="B1543" s="7" t="s">
        <v>712</v>
      </c>
      <c r="C1543" s="7">
        <f t="shared" si="169"/>
        <v>4</v>
      </c>
      <c r="D1543" s="7">
        <v>4.0</v>
      </c>
      <c r="E1543" s="7">
        <v>2.0</v>
      </c>
      <c r="F1543" s="7" t="s">
        <v>54</v>
      </c>
      <c r="G1543" s="7" t="s">
        <v>1389</v>
      </c>
      <c r="H1543" s="9" t="s">
        <v>2981</v>
      </c>
      <c r="I1543" t="s">
        <v>3003</v>
      </c>
      <c r="J1543" s="7"/>
      <c r="K1543" s="7"/>
      <c r="L1543" s="7"/>
      <c r="M1543" s="7"/>
      <c r="N1543" s="7"/>
      <c r="O1543" s="7"/>
      <c r="P1543" s="7"/>
      <c r="Q1543" s="7"/>
      <c r="R1543" s="7"/>
      <c r="S1543" s="7" t="s">
        <v>2990</v>
      </c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 t="str">
        <f t="shared" si="1"/>
        <v>Land area </v>
      </c>
      <c r="AE1543" s="7" t="str">
        <f t="shared" si="2"/>
        <v> sq. ft.</v>
      </c>
      <c r="AF1543" s="7">
        <v>1500.0</v>
      </c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 t="s">
        <v>27</v>
      </c>
    </row>
    <row r="1544">
      <c r="A1544" s="7" t="s">
        <v>32</v>
      </c>
      <c r="B1544" s="7" t="s">
        <v>1390</v>
      </c>
      <c r="C1544" s="7">
        <f t="shared" si="169"/>
        <v>4</v>
      </c>
      <c r="D1544" s="7">
        <v>4.0</v>
      </c>
      <c r="E1544" s="9">
        <v>2.0</v>
      </c>
      <c r="F1544" s="7" t="s">
        <v>681</v>
      </c>
      <c r="G1544" s="7" t="s">
        <v>1391</v>
      </c>
      <c r="H1544" s="9" t="s">
        <v>2979</v>
      </c>
      <c r="I1544" t="s">
        <v>3685</v>
      </c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 t="str">
        <f t="shared" si="1"/>
        <v>Built-up :</v>
      </c>
      <c r="AE1544" s="7" t="str">
        <f t="shared" si="2"/>
        <v> sq. ft.</v>
      </c>
      <c r="AF1544">
        <f>IFERROR(__xludf.DUMMYFUNCTION("VALUE(REGEXREPLACE(G1544,""[^[:digit:]]"", """"))"),1080.0)</f>
        <v>1080</v>
      </c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</row>
    <row r="1545">
      <c r="A1545" s="7" t="s">
        <v>28</v>
      </c>
      <c r="B1545" s="7" t="s">
        <v>1392</v>
      </c>
      <c r="C1545" s="7">
        <f>3</f>
        <v>3</v>
      </c>
      <c r="D1545" s="7">
        <v>2.0</v>
      </c>
      <c r="E1545" s="7">
        <v>1.0</v>
      </c>
      <c r="F1545" s="7" t="s">
        <v>83</v>
      </c>
      <c r="G1545" s="7" t="s">
        <v>734</v>
      </c>
      <c r="H1545" s="9" t="s">
        <v>2979</v>
      </c>
      <c r="I1545" t="s">
        <v>3308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 t="str">
        <f t="shared" si="1"/>
        <v>Built-up :</v>
      </c>
      <c r="AE1545" s="7" t="str">
        <f t="shared" si="2"/>
        <v> sq. ft.</v>
      </c>
      <c r="AF1545">
        <f>IFERROR(__xludf.DUMMYFUNCTION("VALUE(REGEXREPLACE(G1545,""[^[:digit:]]"", """"))"),1100.0)</f>
        <v>1100</v>
      </c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 t="s">
        <v>27</v>
      </c>
    </row>
    <row r="1546">
      <c r="A1546" s="7" t="s">
        <v>104</v>
      </c>
      <c r="B1546" s="7" t="s">
        <v>201</v>
      </c>
      <c r="C1546" s="7">
        <f>3+1</f>
        <v>4</v>
      </c>
      <c r="D1546" s="7">
        <v>2.0</v>
      </c>
      <c r="E1546" s="7">
        <v>3.0</v>
      </c>
      <c r="F1546" s="7" t="s">
        <v>121</v>
      </c>
      <c r="G1546" s="7" t="s">
        <v>321</v>
      </c>
      <c r="H1546" s="9" t="s">
        <v>2979</v>
      </c>
      <c r="I1546" t="s">
        <v>3107</v>
      </c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 t="str">
        <f t="shared" si="1"/>
        <v>Built-up :</v>
      </c>
      <c r="AE1546" s="7" t="str">
        <f t="shared" si="2"/>
        <v> sq. ft.</v>
      </c>
      <c r="AF1546">
        <f>IFERROR(__xludf.DUMMYFUNCTION("VALUE(REGEXREPLACE(G1546,""[^[:digit:]]"", """"))"),1292.0)</f>
        <v>1292</v>
      </c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 t="s">
        <v>27</v>
      </c>
    </row>
    <row r="1547">
      <c r="A1547" s="7" t="s">
        <v>28</v>
      </c>
      <c r="B1547" s="7" t="s">
        <v>172</v>
      </c>
      <c r="C1547" s="7">
        <f>2+1</f>
        <v>3</v>
      </c>
      <c r="D1547" s="7">
        <v>2.0</v>
      </c>
      <c r="E1547" s="7">
        <v>2.0</v>
      </c>
      <c r="F1547" s="7" t="s">
        <v>20</v>
      </c>
      <c r="G1547" s="7" t="s">
        <v>1393</v>
      </c>
      <c r="H1547" s="9" t="s">
        <v>2979</v>
      </c>
      <c r="I1547" t="s">
        <v>3686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 t="str">
        <f t="shared" si="1"/>
        <v>Built-up :</v>
      </c>
      <c r="AE1547" s="7" t="str">
        <f t="shared" si="2"/>
        <v> sq. ft.</v>
      </c>
      <c r="AF1547">
        <f>IFERROR(__xludf.DUMMYFUNCTION("VALUE(REGEXREPLACE(G1547,""[^[:digit:]]"", """"))"),872.0)</f>
        <v>872</v>
      </c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 t="s">
        <v>27</v>
      </c>
    </row>
    <row r="1548">
      <c r="A1548" s="7" t="s">
        <v>28</v>
      </c>
      <c r="B1548" s="7" t="s">
        <v>1394</v>
      </c>
      <c r="C1548" s="7">
        <f>3</f>
        <v>3</v>
      </c>
      <c r="D1548" s="7">
        <v>2.0</v>
      </c>
      <c r="E1548" s="7">
        <v>2.0</v>
      </c>
      <c r="F1548" s="7" t="s">
        <v>20</v>
      </c>
      <c r="G1548" s="7" t="s">
        <v>1395</v>
      </c>
      <c r="H1548" s="9" t="s">
        <v>2979</v>
      </c>
      <c r="I1548" t="s">
        <v>3687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 t="str">
        <f t="shared" si="1"/>
        <v>Built-up :</v>
      </c>
      <c r="AE1548" s="7" t="str">
        <f t="shared" si="2"/>
        <v> sq. ft.</v>
      </c>
      <c r="AF1548">
        <f>IFERROR(__xludf.DUMMYFUNCTION("VALUE(REGEXREPLACE(G1548,""[^[:digit:]]"", """"))"),1033.0)</f>
        <v>1033</v>
      </c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</row>
    <row r="1549">
      <c r="A1549" s="7" t="s">
        <v>177</v>
      </c>
      <c r="B1549" s="7" t="s">
        <v>24</v>
      </c>
      <c r="C1549" s="7">
        <f>5+1</f>
        <v>6</v>
      </c>
      <c r="D1549" s="7">
        <v>6.0</v>
      </c>
      <c r="E1549" s="9">
        <v>2.0</v>
      </c>
      <c r="F1549" s="7" t="s">
        <v>25</v>
      </c>
      <c r="G1549" s="7" t="s">
        <v>1396</v>
      </c>
      <c r="H1549" s="9" t="s">
        <v>2981</v>
      </c>
      <c r="I1549" t="s">
        <v>3688</v>
      </c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 t="str">
        <f t="shared" si="1"/>
        <v>Land area </v>
      </c>
      <c r="AE1549" s="7" t="str">
        <f t="shared" si="2"/>
        <v> sq. ft.</v>
      </c>
      <c r="AF1549">
        <f>IFERROR(__xludf.DUMMYFUNCTION("VALUE(REGEXREPLACE(G1549,""[^[:digit:]]"", """"))"),8950.0)</f>
        <v>8950</v>
      </c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 t="s">
        <v>27</v>
      </c>
    </row>
    <row r="1550">
      <c r="A1550" s="7" t="s">
        <v>177</v>
      </c>
      <c r="B1550" s="7" t="s">
        <v>1094</v>
      </c>
      <c r="E1550" s="9">
        <v>2.0</v>
      </c>
      <c r="F1550" s="7" t="s">
        <v>61</v>
      </c>
      <c r="G1550" s="7" t="s">
        <v>1397</v>
      </c>
      <c r="H1550" s="9" t="s">
        <v>2981</v>
      </c>
      <c r="I1550" t="s">
        <v>3689</v>
      </c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 t="str">
        <f t="shared" si="1"/>
        <v>Land area </v>
      </c>
      <c r="AE1550" s="7" t="str">
        <f t="shared" si="2"/>
        <v> sq. ft.</v>
      </c>
      <c r="AF1550">
        <f>IFERROR(__xludf.DUMMYFUNCTION("VALUE(REGEXREPLACE(G1550,""[^[:digit:]]"", """"))"),7588.0)</f>
        <v>7588</v>
      </c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 t="s">
        <v>103</v>
      </c>
    </row>
    <row r="1551">
      <c r="A1551" s="7" t="s">
        <v>177</v>
      </c>
      <c r="B1551" s="7" t="s">
        <v>1094</v>
      </c>
      <c r="C1551" s="7">
        <f>5+1</f>
        <v>6</v>
      </c>
      <c r="D1551" s="7">
        <v>4.0</v>
      </c>
      <c r="E1551" s="9">
        <v>2.0</v>
      </c>
      <c r="F1551" s="7" t="s">
        <v>61</v>
      </c>
      <c r="G1551" s="7" t="s">
        <v>1398</v>
      </c>
      <c r="H1551" s="9" t="s">
        <v>2981</v>
      </c>
      <c r="I1551" t="s">
        <v>3690</v>
      </c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 t="str">
        <f t="shared" si="1"/>
        <v>Land area </v>
      </c>
      <c r="AE1551" s="7" t="str">
        <f t="shared" si="2"/>
        <v> sq. ft.</v>
      </c>
      <c r="AF1551">
        <f>IFERROR(__xludf.DUMMYFUNCTION("VALUE(REGEXREPLACE(G1551,""[^[:digit:]]"", """"))"),5920.0)</f>
        <v>5920</v>
      </c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 t="s">
        <v>27</v>
      </c>
    </row>
    <row r="1552">
      <c r="A1552" s="7" t="s">
        <v>177</v>
      </c>
      <c r="B1552" s="7" t="s">
        <v>783</v>
      </c>
      <c r="C1552" s="7">
        <f t="shared" ref="C1552:C1553" si="170">5+2</f>
        <v>7</v>
      </c>
      <c r="D1552" s="7">
        <v>4.0</v>
      </c>
      <c r="E1552" s="9">
        <v>2.0</v>
      </c>
      <c r="F1552" s="7" t="s">
        <v>25</v>
      </c>
      <c r="G1552" s="7" t="s">
        <v>1399</v>
      </c>
      <c r="H1552" s="9" t="s">
        <v>2981</v>
      </c>
      <c r="I1552" t="s">
        <v>3691</v>
      </c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 t="str">
        <f t="shared" si="1"/>
        <v>Land area </v>
      </c>
      <c r="AE1552" s="7" t="str">
        <f t="shared" si="2"/>
        <v> sq. ft.</v>
      </c>
      <c r="AF1552">
        <f>IFERROR(__xludf.DUMMYFUNCTION("VALUE(REGEXREPLACE(G1552,""[^[:digit:]]"", """"))"),13027.0)</f>
        <v>13027</v>
      </c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 t="s">
        <v>27</v>
      </c>
    </row>
    <row r="1553">
      <c r="A1553" s="7" t="s">
        <v>177</v>
      </c>
      <c r="B1553" s="7" t="s">
        <v>893</v>
      </c>
      <c r="C1553" s="7">
        <f t="shared" si="170"/>
        <v>7</v>
      </c>
      <c r="D1553" s="7">
        <v>5.0</v>
      </c>
      <c r="E1553" s="9">
        <v>2.0</v>
      </c>
      <c r="F1553" s="7" t="s">
        <v>25</v>
      </c>
      <c r="G1553" s="7" t="s">
        <v>264</v>
      </c>
      <c r="H1553" s="9" t="s">
        <v>2981</v>
      </c>
      <c r="I1553" t="s">
        <v>3082</v>
      </c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 t="str">
        <f t="shared" si="1"/>
        <v>Land area </v>
      </c>
      <c r="AE1553" s="7" t="str">
        <f t="shared" si="2"/>
        <v> sq. ft.</v>
      </c>
      <c r="AF1553">
        <f>IFERROR(__xludf.DUMMYFUNCTION("VALUE(REGEXREPLACE(G1553,""[^[:digit:]]"", """"))"),10000.0)</f>
        <v>10000</v>
      </c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 t="s">
        <v>27</v>
      </c>
    </row>
    <row r="1554">
      <c r="A1554" s="7" t="s">
        <v>23</v>
      </c>
      <c r="B1554" s="7" t="s">
        <v>596</v>
      </c>
      <c r="C1554" s="7">
        <v>6.0</v>
      </c>
      <c r="D1554" s="7">
        <v>6.0</v>
      </c>
      <c r="E1554" s="9">
        <v>2.0</v>
      </c>
      <c r="F1554" s="7" t="s">
        <v>25</v>
      </c>
      <c r="G1554" s="7" t="s">
        <v>593</v>
      </c>
      <c r="H1554" s="9" t="s">
        <v>2981</v>
      </c>
      <c r="I1554" t="s">
        <v>3239</v>
      </c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 t="str">
        <f t="shared" si="1"/>
        <v>Land area </v>
      </c>
      <c r="AE1554" s="7" t="str">
        <f t="shared" si="2"/>
        <v> sq. ft.</v>
      </c>
      <c r="AF1554">
        <f>IFERROR(__xludf.DUMMYFUNCTION("VALUE(REGEXREPLACE(G1554,""[^[:digit:]]"", """"))"),12000.0)</f>
        <v>12000</v>
      </c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 t="s">
        <v>27</v>
      </c>
    </row>
    <row r="1555">
      <c r="A1555" s="7" t="s">
        <v>177</v>
      </c>
      <c r="B1555" s="7" t="s">
        <v>1400</v>
      </c>
      <c r="C1555" s="7">
        <f t="shared" ref="C1555:C1556" si="171">4+1</f>
        <v>5</v>
      </c>
      <c r="D1555" s="7">
        <v>4.0</v>
      </c>
      <c r="E1555" s="9">
        <v>2.0</v>
      </c>
      <c r="F1555" s="7" t="s">
        <v>83</v>
      </c>
      <c r="G1555" s="7" t="s">
        <v>1401</v>
      </c>
      <c r="H1555" s="9" t="s">
        <v>2979</v>
      </c>
      <c r="I1555" t="s">
        <v>3692</v>
      </c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 t="str">
        <f t="shared" si="1"/>
        <v>Built-up :</v>
      </c>
      <c r="AE1555" s="7" t="str">
        <f t="shared" si="2"/>
        <v> sq. ft.</v>
      </c>
      <c r="AF1555">
        <f>IFERROR(__xludf.DUMMYFUNCTION("VALUE(REGEXREPLACE(G1555,""[^[:digit:]]"", """"))"),5221.0)</f>
        <v>5221</v>
      </c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 t="s">
        <v>27</v>
      </c>
    </row>
    <row r="1556">
      <c r="A1556" s="7" t="s">
        <v>177</v>
      </c>
      <c r="B1556" s="7" t="s">
        <v>1402</v>
      </c>
      <c r="C1556" s="7">
        <f t="shared" si="171"/>
        <v>5</v>
      </c>
      <c r="D1556" s="7">
        <v>5.0</v>
      </c>
      <c r="E1556" s="9">
        <v>2.0</v>
      </c>
      <c r="F1556" s="7" t="s">
        <v>83</v>
      </c>
      <c r="G1556" s="7" t="s">
        <v>574</v>
      </c>
      <c r="H1556" s="9" t="s">
        <v>2979</v>
      </c>
      <c r="I1556" t="s">
        <v>3232</v>
      </c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 t="str">
        <f t="shared" si="1"/>
        <v>Built-up :</v>
      </c>
      <c r="AE1556" s="7" t="str">
        <f t="shared" si="2"/>
        <v> sq. ft.</v>
      </c>
      <c r="AF1556">
        <f>IFERROR(__xludf.DUMMYFUNCTION("VALUE(REGEXREPLACE(G1556,""[^[:digit:]]"", """"))"),4945.0)</f>
        <v>4945</v>
      </c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 t="s">
        <v>27</v>
      </c>
    </row>
    <row r="1557">
      <c r="A1557" s="7" t="s">
        <v>177</v>
      </c>
      <c r="B1557" s="7" t="s">
        <v>1403</v>
      </c>
      <c r="C1557" s="7">
        <f>3+1</f>
        <v>4</v>
      </c>
      <c r="D1557" s="7">
        <v>5.0</v>
      </c>
      <c r="E1557" s="7">
        <v>4.0</v>
      </c>
      <c r="F1557" s="7" t="s">
        <v>83</v>
      </c>
      <c r="G1557" s="7" t="s">
        <v>572</v>
      </c>
      <c r="H1557" s="9" t="s">
        <v>2979</v>
      </c>
      <c r="I1557" t="s">
        <v>3231</v>
      </c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 t="str">
        <f t="shared" si="1"/>
        <v>Built-up :</v>
      </c>
      <c r="AE1557" s="7" t="str">
        <f t="shared" si="2"/>
        <v> sq. ft.</v>
      </c>
      <c r="AF1557">
        <f>IFERROR(__xludf.DUMMYFUNCTION("VALUE(REGEXREPLACE(G1557,""[^[:digit:]]"", """"))"),4025.0)</f>
        <v>4025</v>
      </c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 t="s">
        <v>27</v>
      </c>
    </row>
    <row r="1558">
      <c r="A1558" s="7" t="s">
        <v>177</v>
      </c>
      <c r="B1558" s="7" t="s">
        <v>1404</v>
      </c>
      <c r="C1558" s="7">
        <f>4+1</f>
        <v>5</v>
      </c>
      <c r="D1558" s="7">
        <v>6.0</v>
      </c>
      <c r="E1558" s="9">
        <v>2.0</v>
      </c>
      <c r="F1558" s="7" t="s">
        <v>83</v>
      </c>
      <c r="G1558" s="7" t="s">
        <v>550</v>
      </c>
      <c r="H1558" s="9" t="s">
        <v>2979</v>
      </c>
      <c r="I1558" t="s">
        <v>3220</v>
      </c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 t="str">
        <f t="shared" si="1"/>
        <v>Built-up :</v>
      </c>
      <c r="AE1558" s="7" t="str">
        <f t="shared" si="2"/>
        <v> sq. ft.</v>
      </c>
      <c r="AF1558">
        <f>IFERROR(__xludf.DUMMYFUNCTION("VALUE(REGEXREPLACE(G1558,""[^[:digit:]]"", """"))"),4771.0)</f>
        <v>4771</v>
      </c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 t="s">
        <v>27</v>
      </c>
    </row>
    <row r="1559">
      <c r="A1559" s="7" t="s">
        <v>177</v>
      </c>
      <c r="B1559" s="7" t="s">
        <v>1405</v>
      </c>
      <c r="C1559" s="7">
        <f>4+2</f>
        <v>6</v>
      </c>
      <c r="D1559" s="7">
        <v>7.0</v>
      </c>
      <c r="E1559" s="9">
        <v>2.0</v>
      </c>
      <c r="F1559" s="7" t="s">
        <v>83</v>
      </c>
      <c r="G1559" s="7" t="s">
        <v>546</v>
      </c>
      <c r="H1559" s="9" t="s">
        <v>2979</v>
      </c>
      <c r="I1559" t="s">
        <v>3216</v>
      </c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 t="str">
        <f t="shared" si="1"/>
        <v>Built-up :</v>
      </c>
      <c r="AE1559" s="7" t="str">
        <f t="shared" si="2"/>
        <v> sq. ft.</v>
      </c>
      <c r="AF1559">
        <f>IFERROR(__xludf.DUMMYFUNCTION("VALUE(REGEXREPLACE(G1559,""[^[:digit:]]"", """"))"),6913.0)</f>
        <v>6913</v>
      </c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 t="s">
        <v>27</v>
      </c>
    </row>
    <row r="1560">
      <c r="A1560" s="7" t="s">
        <v>432</v>
      </c>
      <c r="B1560" s="7" t="s">
        <v>120</v>
      </c>
      <c r="C1560" s="7">
        <f>5+1</f>
        <v>6</v>
      </c>
      <c r="D1560" s="7">
        <v>6.0</v>
      </c>
      <c r="E1560" s="9">
        <v>2.0</v>
      </c>
      <c r="F1560" s="7" t="s">
        <v>43</v>
      </c>
      <c r="G1560" s="7" t="s">
        <v>1406</v>
      </c>
      <c r="H1560" s="9" t="s">
        <v>2981</v>
      </c>
      <c r="I1560" t="s">
        <v>3118</v>
      </c>
      <c r="J1560" s="7"/>
      <c r="K1560" s="7"/>
      <c r="L1560" s="7"/>
      <c r="M1560" s="7"/>
      <c r="N1560" s="7"/>
      <c r="O1560" s="7"/>
      <c r="P1560" s="7"/>
      <c r="Q1560" s="7"/>
      <c r="R1560" s="7"/>
      <c r="S1560" s="7" t="s">
        <v>2993</v>
      </c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 t="str">
        <f t="shared" si="1"/>
        <v>Land area </v>
      </c>
      <c r="AE1560" s="7" t="str">
        <f t="shared" si="2"/>
        <v> sq. ft.</v>
      </c>
      <c r="AF1560" s="7">
        <v>1920.0</v>
      </c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 t="s">
        <v>22</v>
      </c>
    </row>
    <row r="1561">
      <c r="A1561" s="7" t="s">
        <v>33</v>
      </c>
      <c r="B1561" s="7" t="s">
        <v>245</v>
      </c>
      <c r="C1561" s="7">
        <f>3</f>
        <v>3</v>
      </c>
      <c r="D1561" s="7">
        <v>2.0</v>
      </c>
      <c r="E1561" s="7">
        <v>2.0</v>
      </c>
      <c r="F1561" s="7" t="s">
        <v>20</v>
      </c>
      <c r="G1561" s="7" t="s">
        <v>795</v>
      </c>
      <c r="H1561" s="9" t="s">
        <v>2979</v>
      </c>
      <c r="I1561" t="s">
        <v>3344</v>
      </c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 t="str">
        <f t="shared" si="1"/>
        <v>Built-up :</v>
      </c>
      <c r="AE1561" s="7" t="str">
        <f t="shared" si="2"/>
        <v> sq. ft.</v>
      </c>
      <c r="AF1561">
        <f>IFERROR(__xludf.DUMMYFUNCTION("VALUE(REGEXREPLACE(G1561,""[^[:digit:]]"", """"))"),1170.0)</f>
        <v>1170</v>
      </c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 t="s">
        <v>27</v>
      </c>
    </row>
    <row r="1562">
      <c r="A1562" s="7" t="s">
        <v>33</v>
      </c>
      <c r="B1562" s="7" t="s">
        <v>130</v>
      </c>
      <c r="C1562" s="7">
        <f>4+2</f>
        <v>6</v>
      </c>
      <c r="D1562" s="7">
        <v>6.0</v>
      </c>
      <c r="E1562" s="7">
        <v>4.0</v>
      </c>
      <c r="F1562" s="7" t="s">
        <v>83</v>
      </c>
      <c r="G1562" s="7" t="s">
        <v>1407</v>
      </c>
      <c r="H1562" s="9" t="s">
        <v>2979</v>
      </c>
      <c r="I1562" t="s">
        <v>3693</v>
      </c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 t="str">
        <f t="shared" si="1"/>
        <v>Built-up :</v>
      </c>
      <c r="AE1562" s="7" t="str">
        <f t="shared" si="2"/>
        <v> sq. ft.</v>
      </c>
      <c r="AF1562">
        <f>IFERROR(__xludf.DUMMYFUNCTION("VALUE(REGEXREPLACE(G1562,""[^[:digit:]]"", """"))"),4323.0)</f>
        <v>4323</v>
      </c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</row>
    <row r="1563">
      <c r="A1563" s="7" t="s">
        <v>33</v>
      </c>
      <c r="B1563" s="7" t="s">
        <v>42</v>
      </c>
      <c r="C1563" s="7">
        <f>4</f>
        <v>4</v>
      </c>
      <c r="D1563" s="7">
        <v>4.0</v>
      </c>
      <c r="E1563" s="7">
        <v>3.0</v>
      </c>
      <c r="F1563" s="7" t="s">
        <v>30</v>
      </c>
      <c r="G1563" s="7" t="s">
        <v>1408</v>
      </c>
      <c r="H1563" s="9" t="s">
        <v>2979</v>
      </c>
      <c r="I1563" t="s">
        <v>3694</v>
      </c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 t="str">
        <f t="shared" si="1"/>
        <v>Built-up :</v>
      </c>
      <c r="AE1563" s="7" t="str">
        <f t="shared" si="2"/>
        <v> sq. ft.</v>
      </c>
      <c r="AF1563">
        <f>IFERROR(__xludf.DUMMYFUNCTION("VALUE(REGEXREPLACE(G1563,""[^[:digit:]]"", """"))"),3260.0)</f>
        <v>3260</v>
      </c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</row>
    <row r="1564">
      <c r="A1564" s="7" t="s">
        <v>77</v>
      </c>
      <c r="B1564" s="7" t="s">
        <v>281</v>
      </c>
      <c r="C1564" s="7">
        <f>3+1</f>
        <v>4</v>
      </c>
      <c r="D1564" s="7">
        <v>3.0</v>
      </c>
      <c r="E1564" s="7">
        <v>2.0</v>
      </c>
      <c r="F1564" s="7" t="s">
        <v>282</v>
      </c>
      <c r="G1564" s="7" t="s">
        <v>295</v>
      </c>
      <c r="H1564" s="9" t="s">
        <v>2979</v>
      </c>
      <c r="I1564" t="s">
        <v>3096</v>
      </c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 t="str">
        <f t="shared" si="1"/>
        <v>Built-up :</v>
      </c>
      <c r="AE1564" s="7" t="str">
        <f t="shared" si="2"/>
        <v> sq. ft.</v>
      </c>
      <c r="AF1564">
        <f>IFERROR(__xludf.DUMMYFUNCTION("VALUE(REGEXREPLACE(G1564,""[^[:digit:]]"", """"))"),3218.0)</f>
        <v>3218</v>
      </c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 t="s">
        <v>27</v>
      </c>
    </row>
    <row r="1565">
      <c r="A1565" s="7" t="s">
        <v>77</v>
      </c>
      <c r="B1565" s="7" t="s">
        <v>311</v>
      </c>
      <c r="C1565" s="7">
        <f>2+1</f>
        <v>3</v>
      </c>
      <c r="D1565" s="7">
        <v>3.0</v>
      </c>
      <c r="E1565" s="7">
        <v>2.0</v>
      </c>
      <c r="F1565" s="7" t="s">
        <v>93</v>
      </c>
      <c r="G1565" s="7" t="s">
        <v>490</v>
      </c>
      <c r="H1565" s="9" t="s">
        <v>2979</v>
      </c>
      <c r="I1565" t="s">
        <v>3189</v>
      </c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 t="str">
        <f t="shared" si="1"/>
        <v>Built-up :</v>
      </c>
      <c r="AE1565" s="7" t="str">
        <f t="shared" si="2"/>
        <v> sq. ft.</v>
      </c>
      <c r="AF1565">
        <f>IFERROR(__xludf.DUMMYFUNCTION("VALUE(REGEXREPLACE(G1565,""[^[:digit:]]"", """"))"),1378.0)</f>
        <v>1378</v>
      </c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 t="s">
        <v>22</v>
      </c>
    </row>
    <row r="1566">
      <c r="A1566" s="7" t="s">
        <v>77</v>
      </c>
      <c r="B1566" s="7" t="s">
        <v>311</v>
      </c>
      <c r="C1566" s="7">
        <f>2</f>
        <v>2</v>
      </c>
      <c r="D1566" s="7">
        <v>1.0</v>
      </c>
      <c r="E1566" s="7">
        <v>2.0</v>
      </c>
      <c r="F1566" s="7" t="s">
        <v>93</v>
      </c>
      <c r="G1566" s="7" t="s">
        <v>1052</v>
      </c>
      <c r="H1566" s="9" t="s">
        <v>2979</v>
      </c>
      <c r="I1566" t="s">
        <v>3478</v>
      </c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 t="str">
        <f t="shared" si="1"/>
        <v>Built-up :</v>
      </c>
      <c r="AE1566" s="7" t="str">
        <f t="shared" si="2"/>
        <v> sq. ft.</v>
      </c>
      <c r="AF1566">
        <f>IFERROR(__xludf.DUMMYFUNCTION("VALUE(REGEXREPLACE(G1566,""[^[:digit:]]"", """"))"),1034.0)</f>
        <v>1034</v>
      </c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 t="s">
        <v>27</v>
      </c>
    </row>
    <row r="1567">
      <c r="A1567" s="7" t="s">
        <v>77</v>
      </c>
      <c r="B1567" s="7" t="s">
        <v>468</v>
      </c>
      <c r="C1567" s="7">
        <f t="shared" ref="C1567:C1569" si="172">3+1</f>
        <v>4</v>
      </c>
      <c r="D1567" s="7">
        <v>4.0</v>
      </c>
      <c r="E1567" s="7">
        <v>3.0</v>
      </c>
      <c r="F1567" s="7" t="s">
        <v>562</v>
      </c>
      <c r="G1567" s="7" t="s">
        <v>228</v>
      </c>
      <c r="H1567" s="9" t="s">
        <v>2979</v>
      </c>
      <c r="I1567" t="s">
        <v>3064</v>
      </c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 t="str">
        <f t="shared" si="1"/>
        <v>Built-up :</v>
      </c>
      <c r="AE1567" s="7" t="str">
        <f t="shared" si="2"/>
        <v> sq. ft.</v>
      </c>
      <c r="AF1567">
        <f>IFERROR(__xludf.DUMMYFUNCTION("VALUE(REGEXREPLACE(G1567,""[^[:digit:]]"", """"))"),3211.0)</f>
        <v>3211</v>
      </c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 t="s">
        <v>103</v>
      </c>
    </row>
    <row r="1568">
      <c r="A1568" s="7" t="s">
        <v>77</v>
      </c>
      <c r="B1568" s="7" t="s">
        <v>306</v>
      </c>
      <c r="C1568" s="7">
        <f t="shared" si="172"/>
        <v>4</v>
      </c>
      <c r="D1568" s="7">
        <v>4.0</v>
      </c>
      <c r="E1568" s="7">
        <v>2.0</v>
      </c>
      <c r="F1568" s="7" t="s">
        <v>169</v>
      </c>
      <c r="G1568" s="7" t="s">
        <v>1409</v>
      </c>
      <c r="H1568" s="9" t="s">
        <v>2979</v>
      </c>
      <c r="I1568" t="s">
        <v>3695</v>
      </c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 t="str">
        <f t="shared" si="1"/>
        <v>Built-up :</v>
      </c>
      <c r="AE1568" s="7" t="str">
        <f t="shared" si="2"/>
        <v> sq. ft.</v>
      </c>
      <c r="AF1568">
        <f>IFERROR(__xludf.DUMMYFUNCTION("VALUE(REGEXREPLACE(G1568,""[^[:digit:]]"", """"))"),2530.0)</f>
        <v>2530</v>
      </c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 t="s">
        <v>27</v>
      </c>
    </row>
    <row r="1569">
      <c r="A1569" s="7" t="s">
        <v>77</v>
      </c>
      <c r="B1569" s="7" t="s">
        <v>279</v>
      </c>
      <c r="C1569" s="7">
        <f t="shared" si="172"/>
        <v>4</v>
      </c>
      <c r="D1569" s="7">
        <v>3.0</v>
      </c>
      <c r="E1569" s="7">
        <v>2.0</v>
      </c>
      <c r="F1569" s="7" t="s">
        <v>83</v>
      </c>
      <c r="G1569" s="7" t="s">
        <v>318</v>
      </c>
      <c r="H1569" s="9" t="s">
        <v>2979</v>
      </c>
      <c r="I1569" t="s">
        <v>3105</v>
      </c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 t="str">
        <f t="shared" si="1"/>
        <v>Built-up :</v>
      </c>
      <c r="AE1569" s="7" t="str">
        <f t="shared" si="2"/>
        <v> sq. ft.</v>
      </c>
      <c r="AF1569">
        <f>IFERROR(__xludf.DUMMYFUNCTION("VALUE(REGEXREPLACE(G1569,""[^[:digit:]]"", """"))"),1572.0)</f>
        <v>1572</v>
      </c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 t="s">
        <v>22</v>
      </c>
    </row>
    <row r="1570">
      <c r="A1570" s="7" t="s">
        <v>77</v>
      </c>
      <c r="B1570" s="7" t="s">
        <v>820</v>
      </c>
      <c r="E1570" s="7">
        <v>2.0</v>
      </c>
      <c r="F1570" s="7" t="s">
        <v>1410</v>
      </c>
      <c r="G1570" s="7" t="s">
        <v>892</v>
      </c>
      <c r="H1570" s="9" t="s">
        <v>2979</v>
      </c>
      <c r="I1570" t="s">
        <v>3391</v>
      </c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 t="str">
        <f t="shared" si="1"/>
        <v>Built-up :</v>
      </c>
      <c r="AE1570" s="7" t="str">
        <f t="shared" si="2"/>
        <v> sq. ft.</v>
      </c>
      <c r="AF1570">
        <f>IFERROR(__xludf.DUMMYFUNCTION("VALUE(REGEXREPLACE(G1570,""[^[:digit:]]"", """"))"),1098.0)</f>
        <v>1098</v>
      </c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 t="s">
        <v>27</v>
      </c>
    </row>
    <row r="1571">
      <c r="A1571" s="7" t="s">
        <v>358</v>
      </c>
      <c r="B1571" s="7" t="s">
        <v>311</v>
      </c>
      <c r="C1571" s="7">
        <f>3+1</f>
        <v>4</v>
      </c>
      <c r="D1571" s="7">
        <v>4.0</v>
      </c>
      <c r="E1571" s="7">
        <v>2.0</v>
      </c>
      <c r="F1571" s="7" t="s">
        <v>83</v>
      </c>
      <c r="G1571" s="7" t="s">
        <v>1411</v>
      </c>
      <c r="H1571" s="9" t="s">
        <v>2979</v>
      </c>
      <c r="I1571" t="s">
        <v>3696</v>
      </c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 t="str">
        <f t="shared" si="1"/>
        <v>Built-up :</v>
      </c>
      <c r="AE1571" s="7" t="str">
        <f t="shared" si="2"/>
        <v> sq. ft.</v>
      </c>
      <c r="AF1571">
        <f>IFERROR(__xludf.DUMMYFUNCTION("VALUE(REGEXREPLACE(G1571,""[^[:digit:]]"", """"))"),1788.0)</f>
        <v>1788</v>
      </c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 t="s">
        <v>27</v>
      </c>
    </row>
    <row r="1572">
      <c r="A1572" s="7" t="s">
        <v>358</v>
      </c>
      <c r="B1572" s="7" t="s">
        <v>316</v>
      </c>
      <c r="C1572" s="7">
        <f>3</f>
        <v>3</v>
      </c>
      <c r="D1572" s="7">
        <v>2.0</v>
      </c>
      <c r="E1572" s="7">
        <v>2.0</v>
      </c>
      <c r="F1572" s="7" t="s">
        <v>83</v>
      </c>
      <c r="G1572" s="7" t="s">
        <v>1412</v>
      </c>
      <c r="H1572" s="9" t="s">
        <v>2979</v>
      </c>
      <c r="I1572" t="s">
        <v>3697</v>
      </c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 t="str">
        <f t="shared" si="1"/>
        <v>Built-up :</v>
      </c>
      <c r="AE1572" s="7" t="str">
        <f t="shared" si="2"/>
        <v> sq. ft.</v>
      </c>
      <c r="AF1572">
        <f>IFERROR(__xludf.DUMMYFUNCTION("VALUE(REGEXREPLACE(G1572,""[^[:digit:]]"", """"))"),1319.0)</f>
        <v>1319</v>
      </c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 t="s">
        <v>27</v>
      </c>
    </row>
    <row r="1573">
      <c r="A1573" s="7" t="s">
        <v>100</v>
      </c>
      <c r="B1573" s="7" t="s">
        <v>969</v>
      </c>
      <c r="C1573" s="7">
        <f t="shared" ref="C1573:C1574" si="173">1</f>
        <v>1</v>
      </c>
      <c r="D1573" s="7">
        <v>2.0</v>
      </c>
      <c r="E1573" s="7">
        <v>1.0</v>
      </c>
      <c r="F1573" s="7" t="s">
        <v>20</v>
      </c>
      <c r="G1573" s="7" t="s">
        <v>786</v>
      </c>
      <c r="H1573" s="9" t="s">
        <v>2979</v>
      </c>
      <c r="I1573" t="s">
        <v>3339</v>
      </c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 t="str">
        <f t="shared" si="1"/>
        <v>Built-up :</v>
      </c>
      <c r="AE1573" s="7" t="str">
        <f t="shared" si="2"/>
        <v> sq. ft.</v>
      </c>
      <c r="AF1573">
        <f>IFERROR(__xludf.DUMMYFUNCTION("VALUE(REGEXREPLACE(G1573,""[^[:digit:]]"", """"))"),775.0)</f>
        <v>775</v>
      </c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 t="s">
        <v>27</v>
      </c>
    </row>
    <row r="1574">
      <c r="A1574" s="7" t="s">
        <v>72</v>
      </c>
      <c r="B1574" s="7" t="s">
        <v>1328</v>
      </c>
      <c r="C1574" s="7">
        <f t="shared" si="173"/>
        <v>1</v>
      </c>
      <c r="D1574" s="7">
        <v>1.0</v>
      </c>
      <c r="E1574" s="7">
        <v>1.0</v>
      </c>
      <c r="F1574" s="7" t="s">
        <v>82</v>
      </c>
      <c r="G1574" s="7" t="s">
        <v>850</v>
      </c>
      <c r="H1574" s="9" t="s">
        <v>2979</v>
      </c>
      <c r="I1574" t="s">
        <v>3370</v>
      </c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 t="str">
        <f t="shared" si="1"/>
        <v>Built-up :</v>
      </c>
      <c r="AE1574" s="7" t="str">
        <f t="shared" si="2"/>
        <v> sq. ft.</v>
      </c>
      <c r="AF1574">
        <f>IFERROR(__xludf.DUMMYFUNCTION("VALUE(REGEXREPLACE(G1574,""[^[:digit:]]"", """"))"),633.0)</f>
        <v>633</v>
      </c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 t="s">
        <v>22</v>
      </c>
    </row>
    <row r="1575">
      <c r="A1575" s="7" t="s">
        <v>72</v>
      </c>
      <c r="B1575" s="7" t="s">
        <v>403</v>
      </c>
      <c r="C1575" s="7">
        <f>3+1</f>
        <v>4</v>
      </c>
      <c r="D1575" s="7">
        <v>3.0</v>
      </c>
      <c r="E1575" s="7">
        <v>2.0</v>
      </c>
      <c r="F1575" s="7" t="s">
        <v>83</v>
      </c>
      <c r="G1575" s="7" t="s">
        <v>404</v>
      </c>
      <c r="H1575" s="9" t="s">
        <v>2979</v>
      </c>
      <c r="I1575" t="s">
        <v>3147</v>
      </c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 t="str">
        <f t="shared" si="1"/>
        <v>Built-up :</v>
      </c>
      <c r="AE1575" s="7" t="str">
        <f t="shared" si="2"/>
        <v> sq. ft.</v>
      </c>
      <c r="AF1575">
        <f>IFERROR(__xludf.DUMMYFUNCTION("VALUE(REGEXREPLACE(G1575,""[^[:digit:]]"", """"))"),1878.0)</f>
        <v>1878</v>
      </c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 t="s">
        <v>27</v>
      </c>
    </row>
    <row r="1576">
      <c r="A1576" s="7" t="s">
        <v>72</v>
      </c>
      <c r="B1576" s="7" t="s">
        <v>332</v>
      </c>
      <c r="C1576" s="7">
        <f>2</f>
        <v>2</v>
      </c>
      <c r="D1576" s="7">
        <v>2.0</v>
      </c>
      <c r="E1576" s="7">
        <v>1.0</v>
      </c>
      <c r="F1576" s="7" t="s">
        <v>121</v>
      </c>
      <c r="G1576" s="7" t="s">
        <v>964</v>
      </c>
      <c r="H1576" s="9" t="s">
        <v>2979</v>
      </c>
      <c r="I1576" t="s">
        <v>3429</v>
      </c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 t="str">
        <f t="shared" si="1"/>
        <v>Built-up :</v>
      </c>
      <c r="AE1576" s="7" t="str">
        <f t="shared" si="2"/>
        <v> sq. ft.</v>
      </c>
      <c r="AF1576">
        <f>IFERROR(__xludf.DUMMYFUNCTION("VALUE(REGEXREPLACE(G1576,""[^[:digit:]]"", """"))"),926.0)</f>
        <v>926</v>
      </c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 t="s">
        <v>22</v>
      </c>
    </row>
    <row r="1577">
      <c r="A1577" s="7" t="s">
        <v>171</v>
      </c>
      <c r="B1577" s="7" t="s">
        <v>761</v>
      </c>
      <c r="C1577" s="7">
        <f t="shared" ref="C1577:C1578" si="174">3</f>
        <v>3</v>
      </c>
      <c r="D1577" s="7">
        <v>2.0</v>
      </c>
      <c r="E1577" s="7">
        <v>2.0</v>
      </c>
      <c r="F1577" s="7" t="s">
        <v>82</v>
      </c>
      <c r="G1577" s="7" t="s">
        <v>1319</v>
      </c>
      <c r="H1577" s="9" t="s">
        <v>2979</v>
      </c>
      <c r="I1577" t="s">
        <v>3642</v>
      </c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 t="str">
        <f t="shared" si="1"/>
        <v>Built-up :</v>
      </c>
      <c r="AE1577" s="7" t="str">
        <f t="shared" si="2"/>
        <v> sq. ft.</v>
      </c>
      <c r="AF1577">
        <f>IFERROR(__xludf.DUMMYFUNCTION("VALUE(REGEXREPLACE(G1577,""[^[:digit:]]"", """"))"),1009.0)</f>
        <v>1009</v>
      </c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 t="s">
        <v>22</v>
      </c>
    </row>
    <row r="1578">
      <c r="A1578" s="7" t="s">
        <v>171</v>
      </c>
      <c r="B1578" s="7" t="s">
        <v>761</v>
      </c>
      <c r="C1578" s="7">
        <f t="shared" si="174"/>
        <v>3</v>
      </c>
      <c r="D1578" s="7">
        <v>2.0</v>
      </c>
      <c r="E1578" s="7">
        <v>2.0</v>
      </c>
      <c r="F1578" s="7" t="s">
        <v>82</v>
      </c>
      <c r="G1578" s="7" t="s">
        <v>1319</v>
      </c>
      <c r="H1578" s="9" t="s">
        <v>2979</v>
      </c>
      <c r="I1578" t="s">
        <v>3642</v>
      </c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 t="str">
        <f t="shared" si="1"/>
        <v>Built-up :</v>
      </c>
      <c r="AE1578" s="7" t="str">
        <f t="shared" si="2"/>
        <v> sq. ft.</v>
      </c>
      <c r="AF1578">
        <f>IFERROR(__xludf.DUMMYFUNCTION("VALUE(REGEXREPLACE(G1578,""[^[:digit:]]"", """"))"),1009.0)</f>
        <v>1009</v>
      </c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 t="s">
        <v>22</v>
      </c>
    </row>
    <row r="1579">
      <c r="A1579" s="7" t="s">
        <v>100</v>
      </c>
      <c r="B1579" s="7" t="s">
        <v>603</v>
      </c>
      <c r="C1579" s="7">
        <f>2</f>
        <v>2</v>
      </c>
      <c r="D1579" s="7">
        <v>2.0</v>
      </c>
      <c r="E1579" s="7">
        <v>2.0</v>
      </c>
      <c r="F1579" s="7" t="s">
        <v>20</v>
      </c>
      <c r="G1579" s="7" t="s">
        <v>1413</v>
      </c>
      <c r="H1579" s="9" t="s">
        <v>2979</v>
      </c>
      <c r="I1579" t="s">
        <v>3698</v>
      </c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 t="str">
        <f t="shared" si="1"/>
        <v>Built-up :</v>
      </c>
      <c r="AE1579" s="7" t="str">
        <f t="shared" si="2"/>
        <v> sq. ft.</v>
      </c>
      <c r="AF1579">
        <f>IFERROR(__xludf.DUMMYFUNCTION("VALUE(REGEXREPLACE(G1579,""[^[:digit:]]"", """"))"),814.0)</f>
        <v>814</v>
      </c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 t="s">
        <v>27</v>
      </c>
    </row>
    <row r="1580">
      <c r="A1580" s="7" t="s">
        <v>171</v>
      </c>
      <c r="B1580" s="7" t="s">
        <v>174</v>
      </c>
      <c r="C1580" s="7">
        <f>6+1</f>
        <v>7</v>
      </c>
      <c r="D1580" s="7">
        <v>7.0</v>
      </c>
      <c r="E1580" s="9">
        <v>2.0</v>
      </c>
      <c r="F1580" s="7" t="s">
        <v>67</v>
      </c>
      <c r="G1580" s="7" t="s">
        <v>631</v>
      </c>
      <c r="H1580" s="9" t="s">
        <v>2981</v>
      </c>
      <c r="I1580" t="s">
        <v>3258</v>
      </c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 t="str">
        <f t="shared" si="1"/>
        <v>Land area </v>
      </c>
      <c r="AE1580" s="7" t="str">
        <f t="shared" si="2"/>
        <v> sq. ft.</v>
      </c>
      <c r="AF1580">
        <f>IFERROR(__xludf.DUMMYFUNCTION("VALUE(REGEXREPLACE(G1580,""[^[:digit:]]"", """"))"),5000.0)</f>
        <v>5000</v>
      </c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 t="s">
        <v>27</v>
      </c>
    </row>
    <row r="1581">
      <c r="A1581" s="7" t="s">
        <v>17</v>
      </c>
      <c r="B1581" s="7" t="s">
        <v>1414</v>
      </c>
      <c r="C1581" s="7">
        <f t="shared" ref="C1581:C1582" si="175">3+1</f>
        <v>4</v>
      </c>
      <c r="D1581" s="7">
        <v>5.0</v>
      </c>
      <c r="E1581" s="7">
        <v>2.0</v>
      </c>
      <c r="F1581" s="7" t="s">
        <v>30</v>
      </c>
      <c r="G1581" s="7" t="s">
        <v>1415</v>
      </c>
      <c r="H1581" s="9" t="s">
        <v>2979</v>
      </c>
      <c r="I1581" t="s">
        <v>3699</v>
      </c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 t="str">
        <f t="shared" si="1"/>
        <v>Built-up :</v>
      </c>
      <c r="AE1581" s="7" t="str">
        <f t="shared" si="2"/>
        <v> sq. ft.</v>
      </c>
      <c r="AF1581">
        <f>IFERROR(__xludf.DUMMYFUNCTION("VALUE(REGEXREPLACE(G1581,""[^[:digit:]]"", """"))"),2245.0)</f>
        <v>2245</v>
      </c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 t="s">
        <v>27</v>
      </c>
    </row>
    <row r="1582">
      <c r="A1582" s="7" t="s">
        <v>17</v>
      </c>
      <c r="B1582" s="7" t="s">
        <v>1416</v>
      </c>
      <c r="C1582" s="7">
        <f t="shared" si="175"/>
        <v>4</v>
      </c>
      <c r="D1582" s="7">
        <v>5.0</v>
      </c>
      <c r="E1582" s="7">
        <v>2.0</v>
      </c>
      <c r="F1582" s="7" t="s">
        <v>30</v>
      </c>
      <c r="G1582" s="7" t="s">
        <v>1415</v>
      </c>
      <c r="H1582" s="9" t="s">
        <v>2979</v>
      </c>
      <c r="I1582" t="s">
        <v>3699</v>
      </c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 t="str">
        <f t="shared" si="1"/>
        <v>Built-up :</v>
      </c>
      <c r="AE1582" s="7" t="str">
        <f t="shared" si="2"/>
        <v> sq. ft.</v>
      </c>
      <c r="AF1582">
        <f>IFERROR(__xludf.DUMMYFUNCTION("VALUE(REGEXREPLACE(G1582,""[^[:digit:]]"", """"))"),2245.0)</f>
        <v>2245</v>
      </c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 t="s">
        <v>27</v>
      </c>
    </row>
    <row r="1583">
      <c r="A1583" s="7" t="s">
        <v>17</v>
      </c>
      <c r="B1583" s="7" t="s">
        <v>1417</v>
      </c>
      <c r="C1583" s="7">
        <f>4+1</f>
        <v>5</v>
      </c>
      <c r="D1583" s="7">
        <v>6.0</v>
      </c>
      <c r="E1583" s="7">
        <v>2.0</v>
      </c>
      <c r="F1583" s="7" t="s">
        <v>30</v>
      </c>
      <c r="G1583" s="7" t="s">
        <v>1418</v>
      </c>
      <c r="H1583" s="9" t="s">
        <v>2979</v>
      </c>
      <c r="I1583" t="s">
        <v>3700</v>
      </c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 t="str">
        <f t="shared" si="1"/>
        <v>Built-up :</v>
      </c>
      <c r="AE1583" s="7" t="str">
        <f t="shared" si="2"/>
        <v> sq. ft.</v>
      </c>
      <c r="AF1583">
        <f>IFERROR(__xludf.DUMMYFUNCTION("VALUE(REGEXREPLACE(G1583,""[^[:digit:]]"", """"))"),2586.0)</f>
        <v>2586</v>
      </c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 t="s">
        <v>27</v>
      </c>
    </row>
    <row r="1584">
      <c r="A1584" s="7" t="s">
        <v>17</v>
      </c>
      <c r="B1584" s="7" t="s">
        <v>191</v>
      </c>
      <c r="C1584" s="7">
        <f>1+1</f>
        <v>2</v>
      </c>
      <c r="D1584" s="7">
        <v>1.0</v>
      </c>
      <c r="E1584" s="7">
        <v>1.0</v>
      </c>
      <c r="F1584" s="7" t="s">
        <v>121</v>
      </c>
      <c r="G1584" s="7" t="s">
        <v>323</v>
      </c>
      <c r="H1584" s="9" t="s">
        <v>2979</v>
      </c>
      <c r="I1584" t="s">
        <v>3108</v>
      </c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 t="str">
        <f t="shared" si="1"/>
        <v>Built-up :</v>
      </c>
      <c r="AE1584" s="7" t="str">
        <f t="shared" si="2"/>
        <v> sq. ft.</v>
      </c>
      <c r="AF1584">
        <f>IFERROR(__xludf.DUMMYFUNCTION("VALUE(REGEXREPLACE(G1584,""[^[:digit:]]"", """"))"),915.0)</f>
        <v>915</v>
      </c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 t="s">
        <v>22</v>
      </c>
    </row>
    <row r="1585">
      <c r="A1585" s="7" t="s">
        <v>17</v>
      </c>
      <c r="B1585" s="7" t="s">
        <v>1206</v>
      </c>
      <c r="C1585" s="7">
        <f t="shared" ref="C1585:C1588" si="176">3+1</f>
        <v>4</v>
      </c>
      <c r="D1585" s="7">
        <v>4.0</v>
      </c>
      <c r="E1585" s="7">
        <v>2.0</v>
      </c>
      <c r="F1585" s="7" t="s">
        <v>30</v>
      </c>
      <c r="G1585" s="7" t="s">
        <v>99</v>
      </c>
      <c r="H1585" s="9" t="s">
        <v>2979</v>
      </c>
      <c r="I1585" t="s">
        <v>3006</v>
      </c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 t="str">
        <f t="shared" si="1"/>
        <v>Built-up :</v>
      </c>
      <c r="AE1585" s="7" t="str">
        <f t="shared" si="2"/>
        <v> sq. ft.</v>
      </c>
      <c r="AF1585">
        <f>IFERROR(__xludf.DUMMYFUNCTION("VALUE(REGEXREPLACE(G1585,""[^[:digit:]]"", """"))"),1668.0)</f>
        <v>1668</v>
      </c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 t="s">
        <v>22</v>
      </c>
    </row>
    <row r="1586">
      <c r="A1586" s="7" t="s">
        <v>28</v>
      </c>
      <c r="B1586" s="7" t="s">
        <v>1419</v>
      </c>
      <c r="C1586" s="7">
        <f t="shared" si="176"/>
        <v>4</v>
      </c>
      <c r="D1586" s="7">
        <v>4.0</v>
      </c>
      <c r="E1586" s="7">
        <v>2.0</v>
      </c>
      <c r="F1586" s="7" t="s">
        <v>30</v>
      </c>
      <c r="G1586" s="7" t="s">
        <v>1420</v>
      </c>
      <c r="H1586" s="9" t="s">
        <v>2979</v>
      </c>
      <c r="I1586" t="s">
        <v>3701</v>
      </c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 t="str">
        <f t="shared" si="1"/>
        <v>Built-up :</v>
      </c>
      <c r="AE1586" s="7" t="str">
        <f t="shared" si="2"/>
        <v> sq. ft.</v>
      </c>
      <c r="AF1586">
        <f>IFERROR(__xludf.DUMMYFUNCTION("VALUE(REGEXREPLACE(G1586,""[^[:digit:]]"", """"))"),1974.0)</f>
        <v>1974</v>
      </c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 t="s">
        <v>27</v>
      </c>
    </row>
    <row r="1587">
      <c r="A1587" s="7" t="s">
        <v>17</v>
      </c>
      <c r="B1587" s="7" t="s">
        <v>130</v>
      </c>
      <c r="C1587" s="7">
        <f t="shared" si="176"/>
        <v>4</v>
      </c>
      <c r="D1587" s="7">
        <v>5.0</v>
      </c>
      <c r="E1587" s="7">
        <v>2.0</v>
      </c>
      <c r="F1587" s="7" t="s">
        <v>30</v>
      </c>
      <c r="G1587" s="7" t="s">
        <v>829</v>
      </c>
      <c r="H1587" s="9" t="s">
        <v>2979</v>
      </c>
      <c r="I1587" t="s">
        <v>3359</v>
      </c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 t="str">
        <f t="shared" si="1"/>
        <v>Built-up :</v>
      </c>
      <c r="AE1587" s="7" t="str">
        <f t="shared" si="2"/>
        <v> sq. ft.</v>
      </c>
      <c r="AF1587">
        <f>IFERROR(__xludf.DUMMYFUNCTION("VALUE(REGEXREPLACE(G1587,""[^[:digit:]]"", """"))"),2615.0)</f>
        <v>2615</v>
      </c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 t="s">
        <v>27</v>
      </c>
    </row>
    <row r="1588">
      <c r="A1588" s="7" t="s">
        <v>17</v>
      </c>
      <c r="B1588" s="7" t="s">
        <v>277</v>
      </c>
      <c r="C1588" s="7">
        <f t="shared" si="176"/>
        <v>4</v>
      </c>
      <c r="D1588" s="7">
        <v>5.0</v>
      </c>
      <c r="E1588" s="7">
        <v>3.0</v>
      </c>
      <c r="F1588" s="7" t="s">
        <v>30</v>
      </c>
      <c r="G1588" s="7" t="s">
        <v>1421</v>
      </c>
      <c r="H1588" s="9" t="s">
        <v>2979</v>
      </c>
      <c r="I1588" t="s">
        <v>3702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 t="str">
        <f t="shared" si="1"/>
        <v>Built-up :</v>
      </c>
      <c r="AE1588" s="7" t="str">
        <f t="shared" si="2"/>
        <v> sq. ft.</v>
      </c>
      <c r="AF1588">
        <f>IFERROR(__xludf.DUMMYFUNCTION("VALUE(REGEXREPLACE(G1588,""[^[:digit:]]"", """"))"),3109.0)</f>
        <v>3109</v>
      </c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 t="s">
        <v>27</v>
      </c>
    </row>
    <row r="1589">
      <c r="A1589" s="7" t="s">
        <v>72</v>
      </c>
      <c r="B1589" s="7" t="s">
        <v>139</v>
      </c>
      <c r="C1589" s="7">
        <f>2</f>
        <v>2</v>
      </c>
      <c r="D1589" s="7">
        <v>2.0</v>
      </c>
      <c r="E1589" s="7">
        <v>1.0</v>
      </c>
      <c r="F1589" s="7" t="s">
        <v>83</v>
      </c>
      <c r="G1589" s="7" t="s">
        <v>1422</v>
      </c>
      <c r="H1589" s="9" t="s">
        <v>2979</v>
      </c>
      <c r="I1589" t="s">
        <v>3703</v>
      </c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 t="str">
        <f t="shared" si="1"/>
        <v>Built-up :</v>
      </c>
      <c r="AE1589" s="7" t="str">
        <f t="shared" si="2"/>
        <v> sq. ft.</v>
      </c>
      <c r="AF1589">
        <f>IFERROR(__xludf.DUMMYFUNCTION("VALUE(REGEXREPLACE(G1589,""[^[:digit:]]"", """"))"),1071.0)</f>
        <v>1071</v>
      </c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 t="s">
        <v>22</v>
      </c>
    </row>
    <row r="1590">
      <c r="A1590" s="7" t="s">
        <v>1014</v>
      </c>
      <c r="B1590" s="7" t="s">
        <v>1423</v>
      </c>
      <c r="C1590" s="7">
        <f>3</f>
        <v>3</v>
      </c>
      <c r="D1590" s="7">
        <v>2.0</v>
      </c>
      <c r="E1590" s="7">
        <v>1.0</v>
      </c>
      <c r="F1590" s="7" t="s">
        <v>82</v>
      </c>
      <c r="G1590" s="7" t="s">
        <v>425</v>
      </c>
      <c r="H1590" s="9" t="s">
        <v>2979</v>
      </c>
      <c r="I1590" t="s">
        <v>3156</v>
      </c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 t="str">
        <f t="shared" si="1"/>
        <v>Built-up :</v>
      </c>
      <c r="AE1590" s="7" t="str">
        <f t="shared" si="2"/>
        <v> sq. ft.</v>
      </c>
      <c r="AF1590">
        <f>IFERROR(__xludf.DUMMYFUNCTION("VALUE(REGEXREPLACE(G1590,""[^[:digit:]]"", """"))"),1020.0)</f>
        <v>1020</v>
      </c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 t="s">
        <v>103</v>
      </c>
    </row>
    <row r="1591">
      <c r="A1591" s="7" t="s">
        <v>28</v>
      </c>
      <c r="B1591" s="7" t="s">
        <v>249</v>
      </c>
      <c r="C1591" s="7">
        <f t="shared" ref="C1591:C1594" si="177">3+1</f>
        <v>4</v>
      </c>
      <c r="D1591" s="7">
        <v>5.0</v>
      </c>
      <c r="E1591" s="7">
        <v>2.0</v>
      </c>
      <c r="F1591" s="7" t="s">
        <v>30</v>
      </c>
      <c r="G1591" s="7" t="s">
        <v>250</v>
      </c>
      <c r="H1591" s="9" t="s">
        <v>2979</v>
      </c>
      <c r="I1591" t="s">
        <v>3076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 t="str">
        <f t="shared" si="1"/>
        <v>Built-up :</v>
      </c>
      <c r="AE1591" s="7" t="str">
        <f t="shared" si="2"/>
        <v> sq. ft.</v>
      </c>
      <c r="AF1591">
        <f>IFERROR(__xludf.DUMMYFUNCTION("VALUE(REGEXREPLACE(G1591,""[^[:digit:]]"", """"))"),1853.0)</f>
        <v>1853</v>
      </c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 t="s">
        <v>27</v>
      </c>
    </row>
    <row r="1592">
      <c r="A1592" s="7" t="s">
        <v>28</v>
      </c>
      <c r="B1592" s="7" t="s">
        <v>1424</v>
      </c>
      <c r="C1592" s="7">
        <f t="shared" si="177"/>
        <v>4</v>
      </c>
      <c r="D1592" s="7">
        <v>4.0</v>
      </c>
      <c r="E1592" s="7">
        <v>2.0</v>
      </c>
      <c r="F1592" s="7" t="s">
        <v>30</v>
      </c>
      <c r="G1592" s="7" t="s">
        <v>97</v>
      </c>
      <c r="H1592" s="9" t="s">
        <v>2979</v>
      </c>
      <c r="I1592" t="s">
        <v>3005</v>
      </c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 t="str">
        <f t="shared" si="1"/>
        <v>Built-up :</v>
      </c>
      <c r="AE1592" s="7" t="str">
        <f t="shared" si="2"/>
        <v> sq. ft.</v>
      </c>
      <c r="AF1592">
        <f>IFERROR(__xludf.DUMMYFUNCTION("VALUE(REGEXREPLACE(G1592,""[^[:digit:]]"", """"))"),1876.0)</f>
        <v>1876</v>
      </c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 t="s">
        <v>27</v>
      </c>
    </row>
    <row r="1593">
      <c r="A1593" s="7" t="s">
        <v>77</v>
      </c>
      <c r="B1593" s="7" t="s">
        <v>236</v>
      </c>
      <c r="C1593" s="7">
        <f t="shared" si="177"/>
        <v>4</v>
      </c>
      <c r="D1593" s="7">
        <v>3.0</v>
      </c>
      <c r="E1593" s="7">
        <v>2.0</v>
      </c>
      <c r="F1593" s="7" t="s">
        <v>83</v>
      </c>
      <c r="G1593" s="7" t="s">
        <v>1425</v>
      </c>
      <c r="H1593" s="9" t="s">
        <v>2979</v>
      </c>
      <c r="I1593" t="s">
        <v>3704</v>
      </c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 t="str">
        <f t="shared" si="1"/>
        <v>Built-up :</v>
      </c>
      <c r="AE1593" s="7" t="str">
        <f t="shared" si="2"/>
        <v> sq. ft.</v>
      </c>
      <c r="AF1593">
        <f>IFERROR(__xludf.DUMMYFUNCTION("VALUE(REGEXREPLACE(G1593,""[^[:digit:]]"", """"))"),1808.0)</f>
        <v>1808</v>
      </c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 t="s">
        <v>27</v>
      </c>
    </row>
    <row r="1594">
      <c r="A1594" s="7" t="s">
        <v>72</v>
      </c>
      <c r="B1594" s="7" t="s">
        <v>388</v>
      </c>
      <c r="C1594" s="7">
        <f t="shared" si="177"/>
        <v>4</v>
      </c>
      <c r="D1594" s="7">
        <v>3.0</v>
      </c>
      <c r="E1594" s="7">
        <v>2.0</v>
      </c>
      <c r="F1594" s="7" t="s">
        <v>83</v>
      </c>
      <c r="G1594" s="7" t="s">
        <v>99</v>
      </c>
      <c r="H1594" s="9" t="s">
        <v>2979</v>
      </c>
      <c r="I1594" t="s">
        <v>3006</v>
      </c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 t="str">
        <f t="shared" si="1"/>
        <v>Built-up :</v>
      </c>
      <c r="AE1594" s="7" t="str">
        <f t="shared" si="2"/>
        <v> sq. ft.</v>
      </c>
      <c r="AF1594">
        <f>IFERROR(__xludf.DUMMYFUNCTION("VALUE(REGEXREPLACE(G1594,""[^[:digit:]]"", """"))"),1668.0)</f>
        <v>1668</v>
      </c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 t="s">
        <v>22</v>
      </c>
    </row>
    <row r="1595">
      <c r="A1595" s="7" t="s">
        <v>171</v>
      </c>
      <c r="B1595" s="7" t="s">
        <v>1426</v>
      </c>
      <c r="C1595" s="7">
        <f>3</f>
        <v>3</v>
      </c>
      <c r="D1595" s="7">
        <v>2.0</v>
      </c>
      <c r="E1595" s="7">
        <v>1.0</v>
      </c>
      <c r="F1595" s="7" t="s">
        <v>50</v>
      </c>
      <c r="G1595" s="7" t="s">
        <v>133</v>
      </c>
      <c r="H1595" s="9" t="s">
        <v>2979</v>
      </c>
      <c r="I1595" t="s">
        <v>3022</v>
      </c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 t="str">
        <f t="shared" si="1"/>
        <v>Built-up :</v>
      </c>
      <c r="AE1595" s="7" t="str">
        <f t="shared" si="2"/>
        <v> sq. ft.</v>
      </c>
      <c r="AF1595">
        <f>IFERROR(__xludf.DUMMYFUNCTION("VALUE(REGEXREPLACE(G1595,""[^[:digit:]]"", """"))"),896.0)</f>
        <v>896</v>
      </c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 t="s">
        <v>27</v>
      </c>
    </row>
    <row r="1596">
      <c r="A1596" s="7" t="s">
        <v>104</v>
      </c>
      <c r="B1596" s="7" t="s">
        <v>309</v>
      </c>
      <c r="C1596" s="7">
        <f>5+1</f>
        <v>6</v>
      </c>
      <c r="D1596" s="7">
        <v>6.0</v>
      </c>
      <c r="E1596" s="7">
        <v>5.0</v>
      </c>
      <c r="F1596" s="7" t="s">
        <v>64</v>
      </c>
      <c r="G1596" s="7" t="s">
        <v>1427</v>
      </c>
      <c r="H1596" s="9" t="s">
        <v>2981</v>
      </c>
      <c r="I1596" t="s">
        <v>3705</v>
      </c>
      <c r="J1596" s="7"/>
      <c r="K1596" s="7"/>
      <c r="L1596" s="7"/>
      <c r="M1596" s="7"/>
      <c r="N1596" s="7"/>
      <c r="O1596" s="7"/>
      <c r="P1596" s="7"/>
      <c r="Q1596" s="7"/>
      <c r="R1596" s="7"/>
      <c r="S1596" s="7" t="s">
        <v>3101</v>
      </c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 t="str">
        <f t="shared" si="1"/>
        <v>Land area </v>
      </c>
      <c r="AE1596" s="7" t="str">
        <f t="shared" si="2"/>
        <v> sq. ft.</v>
      </c>
      <c r="AF1596">
        <f>IFERROR(__xludf.DUMMYFUNCTION("VALUE(REGEXREPLACE(G1596,""[^[:digit:]]"", """"))"),3885.0)</f>
        <v>3885</v>
      </c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 t="s">
        <v>103</v>
      </c>
    </row>
    <row r="1597">
      <c r="A1597" s="7" t="s">
        <v>104</v>
      </c>
      <c r="B1597" s="7" t="s">
        <v>327</v>
      </c>
      <c r="C1597" s="7">
        <f>6</f>
        <v>6</v>
      </c>
      <c r="D1597" s="7">
        <v>6.0</v>
      </c>
      <c r="E1597" s="7">
        <v>3.0</v>
      </c>
      <c r="F1597" s="7" t="s">
        <v>203</v>
      </c>
      <c r="G1597" s="7" t="s">
        <v>283</v>
      </c>
      <c r="H1597" s="9" t="s">
        <v>2981</v>
      </c>
      <c r="I1597" t="s">
        <v>3091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 t="s">
        <v>2990</v>
      </c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 t="str">
        <f t="shared" si="1"/>
        <v>Land area </v>
      </c>
      <c r="AE1597" s="7" t="str">
        <f t="shared" si="2"/>
        <v> sq. ft.</v>
      </c>
      <c r="AF1597">
        <f>IFERROR(__xludf.DUMMYFUNCTION("VALUE(REGEXREPLACE(G1597,""[^[:digit:]]"", """"))"),2275.0)</f>
        <v>2275</v>
      </c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 t="s">
        <v>22</v>
      </c>
    </row>
    <row r="1598">
      <c r="A1598" s="7" t="s">
        <v>104</v>
      </c>
      <c r="B1598" s="7" t="s">
        <v>361</v>
      </c>
      <c r="C1598" s="7">
        <f t="shared" ref="C1598:C1599" si="178">3</f>
        <v>3</v>
      </c>
      <c r="D1598" s="7">
        <v>2.0</v>
      </c>
      <c r="E1598" s="7">
        <v>2.0</v>
      </c>
      <c r="F1598" s="7" t="s">
        <v>343</v>
      </c>
      <c r="G1598" s="7" t="s">
        <v>718</v>
      </c>
      <c r="H1598" s="9" t="s">
        <v>2981</v>
      </c>
      <c r="I1598" t="s">
        <v>3297</v>
      </c>
      <c r="J1598" s="7"/>
      <c r="K1598" s="7"/>
      <c r="L1598" s="7"/>
      <c r="M1598" s="7"/>
      <c r="N1598" s="7"/>
      <c r="O1598" s="7"/>
      <c r="P1598" s="7"/>
      <c r="Q1598" s="7"/>
      <c r="R1598" s="7"/>
      <c r="S1598" s="7" t="s">
        <v>3298</v>
      </c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 t="str">
        <f t="shared" si="1"/>
        <v>Land area </v>
      </c>
      <c r="AE1598" s="7" t="str">
        <f t="shared" si="2"/>
        <v> sq. ft.</v>
      </c>
      <c r="AF1598">
        <f>IFERROR(__xludf.DUMMYFUNCTION("VALUE(REGEXREPLACE(G1598,""[^[:digit:]]"", """"))"),2065.0)</f>
        <v>2065</v>
      </c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 t="s">
        <v>27</v>
      </c>
    </row>
    <row r="1599">
      <c r="A1599" s="7" t="s">
        <v>358</v>
      </c>
      <c r="B1599" s="7" t="s">
        <v>316</v>
      </c>
      <c r="C1599" s="7">
        <f t="shared" si="178"/>
        <v>3</v>
      </c>
      <c r="D1599" s="7">
        <v>2.0</v>
      </c>
      <c r="E1599" s="7">
        <v>2.0</v>
      </c>
      <c r="F1599" s="7" t="s">
        <v>83</v>
      </c>
      <c r="G1599" s="7" t="s">
        <v>1412</v>
      </c>
      <c r="H1599" s="9" t="s">
        <v>2979</v>
      </c>
      <c r="I1599" t="s">
        <v>3697</v>
      </c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 t="str">
        <f t="shared" si="1"/>
        <v>Built-up :</v>
      </c>
      <c r="AE1599" s="7" t="str">
        <f t="shared" si="2"/>
        <v> sq. ft.</v>
      </c>
      <c r="AF1599">
        <f>IFERROR(__xludf.DUMMYFUNCTION("VALUE(REGEXREPLACE(G1599,""[^[:digit:]]"", """"))"),1319.0)</f>
        <v>1319</v>
      </c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 t="s">
        <v>27</v>
      </c>
    </row>
    <row r="1600">
      <c r="A1600" s="7" t="s">
        <v>17</v>
      </c>
      <c r="B1600" s="7" t="s">
        <v>158</v>
      </c>
      <c r="C1600" s="7">
        <f>2+1</f>
        <v>3</v>
      </c>
      <c r="D1600" s="7">
        <v>2.0</v>
      </c>
      <c r="E1600" s="7">
        <v>2.0</v>
      </c>
      <c r="F1600" s="7" t="s">
        <v>20</v>
      </c>
      <c r="G1600" s="7" t="s">
        <v>394</v>
      </c>
      <c r="H1600" s="9" t="s">
        <v>2979</v>
      </c>
      <c r="I1600" t="s">
        <v>3143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 t="str">
        <f t="shared" si="1"/>
        <v>Built-up :</v>
      </c>
      <c r="AE1600" s="7" t="str">
        <f t="shared" si="2"/>
        <v> sq. ft.</v>
      </c>
      <c r="AF1600">
        <f>IFERROR(__xludf.DUMMYFUNCTION("VALUE(REGEXREPLACE(G1600,""[^[:digit:]]"", """"))"),1350.0)</f>
        <v>1350</v>
      </c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</row>
    <row r="1601">
      <c r="A1601" s="7" t="s">
        <v>72</v>
      </c>
      <c r="B1601" s="7" t="s">
        <v>967</v>
      </c>
      <c r="C1601" s="7">
        <f>1</f>
        <v>1</v>
      </c>
      <c r="D1601" s="7">
        <v>1.0</v>
      </c>
      <c r="E1601" s="7">
        <v>1.0</v>
      </c>
      <c r="F1601" s="7" t="s">
        <v>121</v>
      </c>
      <c r="G1601" s="7" t="s">
        <v>1127</v>
      </c>
      <c r="H1601" s="9" t="s">
        <v>2979</v>
      </c>
      <c r="I1601" t="s">
        <v>3521</v>
      </c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 t="str">
        <f t="shared" si="1"/>
        <v>Built-up :</v>
      </c>
      <c r="AE1601" s="7" t="str">
        <f t="shared" si="2"/>
        <v> sq. ft.</v>
      </c>
      <c r="AF1601">
        <f>IFERROR(__xludf.DUMMYFUNCTION("VALUE(REGEXREPLACE(G1601,""[^[:digit:]]"", """"))"),672.0)</f>
        <v>672</v>
      </c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 t="s">
        <v>22</v>
      </c>
    </row>
    <row r="1602">
      <c r="A1602" s="7" t="s">
        <v>72</v>
      </c>
      <c r="B1602" s="7" t="s">
        <v>403</v>
      </c>
      <c r="C1602" s="7">
        <f>3+1</f>
        <v>4</v>
      </c>
      <c r="D1602" s="7">
        <v>3.0</v>
      </c>
      <c r="E1602" s="9">
        <v>2.0</v>
      </c>
      <c r="F1602" s="7" t="s">
        <v>83</v>
      </c>
      <c r="G1602" s="7" t="s">
        <v>404</v>
      </c>
      <c r="H1602" s="9" t="s">
        <v>2979</v>
      </c>
      <c r="I1602" t="s">
        <v>3147</v>
      </c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 t="str">
        <f t="shared" si="1"/>
        <v>Built-up :</v>
      </c>
      <c r="AE1602" s="7" t="str">
        <f t="shared" si="2"/>
        <v> sq. ft.</v>
      </c>
      <c r="AF1602">
        <f>IFERROR(__xludf.DUMMYFUNCTION("VALUE(REGEXREPLACE(G1602,""[^[:digit:]]"", """"))"),1878.0)</f>
        <v>1878</v>
      </c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 t="s">
        <v>251</v>
      </c>
    </row>
    <row r="1603">
      <c r="A1603" s="7" t="s">
        <v>17</v>
      </c>
      <c r="B1603" s="7" t="s">
        <v>327</v>
      </c>
      <c r="C1603" s="7">
        <f t="shared" ref="C1603:C1604" si="179">2</f>
        <v>2</v>
      </c>
      <c r="D1603" s="7">
        <v>2.0</v>
      </c>
      <c r="E1603" s="7">
        <v>1.0</v>
      </c>
      <c r="F1603" s="7" t="s">
        <v>20</v>
      </c>
      <c r="G1603" s="7" t="s">
        <v>1428</v>
      </c>
      <c r="H1603" s="9" t="s">
        <v>2979</v>
      </c>
      <c r="I1603" t="s">
        <v>3706</v>
      </c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 t="str">
        <f t="shared" si="1"/>
        <v>Built-up :</v>
      </c>
      <c r="AE1603" s="7" t="str">
        <f t="shared" si="2"/>
        <v> sq. ft.</v>
      </c>
      <c r="AF1603">
        <f>IFERROR(__xludf.DUMMYFUNCTION("VALUE(REGEXREPLACE(G1603,""[^[:digit:]]"", """"))"),793.0)</f>
        <v>793</v>
      </c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 t="s">
        <v>22</v>
      </c>
    </row>
    <row r="1604">
      <c r="A1604" s="7" t="s">
        <v>100</v>
      </c>
      <c r="B1604" s="7" t="s">
        <v>372</v>
      </c>
      <c r="C1604" s="7">
        <f t="shared" si="179"/>
        <v>2</v>
      </c>
      <c r="D1604" s="7">
        <v>2.0</v>
      </c>
      <c r="E1604" s="7">
        <v>1.0</v>
      </c>
      <c r="F1604" s="7" t="s">
        <v>83</v>
      </c>
      <c r="G1604" s="7" t="s">
        <v>1429</v>
      </c>
      <c r="H1604" s="9" t="s">
        <v>2979</v>
      </c>
      <c r="I1604" t="s">
        <v>3707</v>
      </c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 t="str">
        <f t="shared" si="1"/>
        <v>Built-up :</v>
      </c>
      <c r="AE1604" s="7" t="str">
        <f t="shared" si="2"/>
        <v> sq. ft.</v>
      </c>
      <c r="AF1604">
        <f>IFERROR(__xludf.DUMMYFUNCTION("VALUE(REGEXREPLACE(G1604,""[^[:digit:]]"", """"))"),704.0)</f>
        <v>704</v>
      </c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 t="s">
        <v>22</v>
      </c>
    </row>
    <row r="1605">
      <c r="A1605" s="7" t="s">
        <v>89</v>
      </c>
      <c r="B1605" s="7" t="s">
        <v>563</v>
      </c>
      <c r="C1605" s="7">
        <f>2+1</f>
        <v>3</v>
      </c>
      <c r="D1605" s="7">
        <v>2.0</v>
      </c>
      <c r="E1605" s="7">
        <v>2.0</v>
      </c>
      <c r="F1605" s="7" t="s">
        <v>82</v>
      </c>
      <c r="G1605" s="7" t="s">
        <v>764</v>
      </c>
      <c r="H1605" s="9" t="s">
        <v>2979</v>
      </c>
      <c r="I1605" t="s">
        <v>3325</v>
      </c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 t="str">
        <f t="shared" si="1"/>
        <v>Built-up :</v>
      </c>
      <c r="AE1605" s="7" t="str">
        <f t="shared" si="2"/>
        <v> sq. ft.</v>
      </c>
      <c r="AF1605">
        <f>IFERROR(__xludf.DUMMYFUNCTION("VALUE(REGEXREPLACE(G1605,""[^[:digit:]]"", """"))"),1025.0)</f>
        <v>1025</v>
      </c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 t="s">
        <v>27</v>
      </c>
    </row>
    <row r="1606">
      <c r="A1606" s="7" t="s">
        <v>77</v>
      </c>
      <c r="B1606" s="7" t="s">
        <v>78</v>
      </c>
      <c r="C1606" s="7">
        <f t="shared" ref="C1606:C1608" si="180">3+1</f>
        <v>4</v>
      </c>
      <c r="D1606" s="7">
        <v>3.0</v>
      </c>
      <c r="E1606" s="7">
        <v>2.0</v>
      </c>
      <c r="F1606" s="7" t="s">
        <v>30</v>
      </c>
      <c r="G1606" s="7" t="s">
        <v>1430</v>
      </c>
      <c r="H1606" s="9" t="s">
        <v>2979</v>
      </c>
      <c r="I1606" t="s">
        <v>3708</v>
      </c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 t="str">
        <f t="shared" si="1"/>
        <v>Built-up :</v>
      </c>
      <c r="AE1606" s="7" t="str">
        <f t="shared" si="2"/>
        <v> sq. ft.</v>
      </c>
      <c r="AF1606">
        <f>IFERROR(__xludf.DUMMYFUNCTION("VALUE(REGEXREPLACE(G1606,""[^[:digit:]]"", """"))"),1850.0)</f>
        <v>1850</v>
      </c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 t="s">
        <v>22</v>
      </c>
    </row>
    <row r="1607">
      <c r="A1607" s="7" t="s">
        <v>77</v>
      </c>
      <c r="B1607" s="7" t="s">
        <v>81</v>
      </c>
      <c r="C1607" s="7">
        <f t="shared" si="180"/>
        <v>4</v>
      </c>
      <c r="D1607" s="7">
        <v>3.0</v>
      </c>
      <c r="E1607" s="7">
        <v>2.0</v>
      </c>
      <c r="F1607" s="7" t="s">
        <v>30</v>
      </c>
      <c r="G1607" s="7" t="s">
        <v>1430</v>
      </c>
      <c r="H1607" s="9" t="s">
        <v>2979</v>
      </c>
      <c r="I1607" t="s">
        <v>3708</v>
      </c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 t="str">
        <f t="shared" si="1"/>
        <v>Built-up :</v>
      </c>
      <c r="AE1607" s="7" t="str">
        <f t="shared" si="2"/>
        <v> sq. ft.</v>
      </c>
      <c r="AF1607">
        <f>IFERROR(__xludf.DUMMYFUNCTION("VALUE(REGEXREPLACE(G1607,""[^[:digit:]]"", """"))"),1850.0)</f>
        <v>1850</v>
      </c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 t="s">
        <v>22</v>
      </c>
    </row>
    <row r="1608">
      <c r="A1608" s="7" t="s">
        <v>77</v>
      </c>
      <c r="B1608" s="7" t="s">
        <v>243</v>
      </c>
      <c r="C1608" s="7">
        <f t="shared" si="180"/>
        <v>4</v>
      </c>
      <c r="D1608" s="7">
        <v>3.0</v>
      </c>
      <c r="E1608" s="7">
        <v>2.0</v>
      </c>
      <c r="F1608" s="7" t="s">
        <v>93</v>
      </c>
      <c r="G1608" s="7" t="s">
        <v>594</v>
      </c>
      <c r="H1608" s="9" t="s">
        <v>2979</v>
      </c>
      <c r="I1608" t="s">
        <v>3240</v>
      </c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 t="str">
        <f t="shared" si="1"/>
        <v>Built-up :</v>
      </c>
      <c r="AE1608" s="7" t="str">
        <f t="shared" si="2"/>
        <v> sq. ft.</v>
      </c>
      <c r="AF1608">
        <f>IFERROR(__xludf.DUMMYFUNCTION("VALUE(REGEXREPLACE(G1608,""[^[:digit:]]"", """"))"),1701.0)</f>
        <v>1701</v>
      </c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 t="s">
        <v>27</v>
      </c>
    </row>
    <row r="1609">
      <c r="A1609" s="7" t="s">
        <v>77</v>
      </c>
      <c r="B1609" s="7" t="s">
        <v>1114</v>
      </c>
      <c r="C1609" s="7">
        <f>2</f>
        <v>2</v>
      </c>
      <c r="D1609" s="7">
        <v>1.0</v>
      </c>
      <c r="E1609" s="7">
        <v>2.0</v>
      </c>
      <c r="F1609" s="7" t="s">
        <v>93</v>
      </c>
      <c r="G1609" s="7" t="s">
        <v>609</v>
      </c>
      <c r="H1609" s="9" t="s">
        <v>2979</v>
      </c>
      <c r="I1609" t="s">
        <v>3246</v>
      </c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 t="str">
        <f t="shared" si="1"/>
        <v>Built-up :</v>
      </c>
      <c r="AE1609" s="7" t="str">
        <f t="shared" si="2"/>
        <v> sq. ft.</v>
      </c>
      <c r="AF1609">
        <f>IFERROR(__xludf.DUMMYFUNCTION("VALUE(REGEXREPLACE(G1609,""[^[:digit:]]"", """"))"),969.0)</f>
        <v>969</v>
      </c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 t="s">
        <v>22</v>
      </c>
    </row>
    <row r="1610">
      <c r="A1610" s="7" t="s">
        <v>171</v>
      </c>
      <c r="B1610" s="7" t="s">
        <v>1308</v>
      </c>
      <c r="C1610" s="7">
        <f>3</f>
        <v>3</v>
      </c>
      <c r="D1610" s="7">
        <v>2.0</v>
      </c>
      <c r="E1610" s="7">
        <v>1.0</v>
      </c>
      <c r="F1610" s="7" t="s">
        <v>20</v>
      </c>
      <c r="G1610" s="7" t="s">
        <v>1245</v>
      </c>
      <c r="H1610" s="9" t="s">
        <v>2979</v>
      </c>
      <c r="I1610" t="s">
        <v>3603</v>
      </c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 t="str">
        <f t="shared" si="1"/>
        <v>Built-up :</v>
      </c>
      <c r="AE1610" s="7" t="str">
        <f t="shared" si="2"/>
        <v> sq. ft.</v>
      </c>
      <c r="AF1610">
        <f>IFERROR(__xludf.DUMMYFUNCTION("VALUE(REGEXREPLACE(G1610,""[^[:digit:]]"", """"))"),807.0)</f>
        <v>807</v>
      </c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 t="s">
        <v>27</v>
      </c>
    </row>
    <row r="1611">
      <c r="A1611" s="7" t="s">
        <v>155</v>
      </c>
      <c r="B1611" s="7" t="s">
        <v>221</v>
      </c>
      <c r="C1611" s="7">
        <f>2</f>
        <v>2</v>
      </c>
      <c r="D1611" s="7">
        <v>2.0</v>
      </c>
      <c r="E1611" s="7">
        <v>1.0</v>
      </c>
      <c r="F1611" s="7" t="s">
        <v>83</v>
      </c>
      <c r="G1611" s="7" t="s">
        <v>1431</v>
      </c>
      <c r="H1611" s="9" t="s">
        <v>2979</v>
      </c>
      <c r="I1611" t="s">
        <v>3709</v>
      </c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 t="str">
        <f t="shared" si="1"/>
        <v>Built-up :</v>
      </c>
      <c r="AE1611" s="7" t="str">
        <f t="shared" si="2"/>
        <v> sq. ft.</v>
      </c>
      <c r="AF1611">
        <f>IFERROR(__xludf.DUMMYFUNCTION("VALUE(REGEXREPLACE(G1611,""[^[:digit:]]"", """"))"),738.0)</f>
        <v>738</v>
      </c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 t="s">
        <v>27</v>
      </c>
    </row>
    <row r="1612">
      <c r="A1612" s="7" t="s">
        <v>77</v>
      </c>
      <c r="B1612" s="7" t="s">
        <v>1432</v>
      </c>
      <c r="C1612" s="7">
        <f>3+1</f>
        <v>4</v>
      </c>
      <c r="D1612" s="7">
        <v>3.0</v>
      </c>
      <c r="E1612" s="7">
        <v>2.0</v>
      </c>
      <c r="F1612" s="7" t="s">
        <v>93</v>
      </c>
      <c r="G1612" s="7" t="s">
        <v>318</v>
      </c>
      <c r="H1612" s="9" t="s">
        <v>2979</v>
      </c>
      <c r="I1612" t="s">
        <v>3105</v>
      </c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 t="str">
        <f t="shared" si="1"/>
        <v>Built-up :</v>
      </c>
      <c r="AE1612" s="7" t="str">
        <f t="shared" si="2"/>
        <v> sq. ft.</v>
      </c>
      <c r="AF1612">
        <f>IFERROR(__xludf.DUMMYFUNCTION("VALUE(REGEXREPLACE(G1612,""[^[:digit:]]"", """"))"),1572.0)</f>
        <v>1572</v>
      </c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 t="s">
        <v>22</v>
      </c>
    </row>
    <row r="1613">
      <c r="A1613" s="7" t="s">
        <v>77</v>
      </c>
      <c r="B1613" s="7" t="s">
        <v>132</v>
      </c>
      <c r="C1613" s="7">
        <f>3</f>
        <v>3</v>
      </c>
      <c r="D1613" s="7">
        <v>2.0</v>
      </c>
      <c r="E1613" s="7">
        <v>2.0</v>
      </c>
      <c r="F1613" s="7" t="s">
        <v>93</v>
      </c>
      <c r="G1613" s="7" t="s">
        <v>230</v>
      </c>
      <c r="H1613" s="9" t="s">
        <v>2979</v>
      </c>
      <c r="I1613" t="s">
        <v>3065</v>
      </c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 t="str">
        <f t="shared" si="1"/>
        <v>Built-up :</v>
      </c>
      <c r="AE1613" s="7" t="str">
        <f t="shared" si="2"/>
        <v> sq. ft.</v>
      </c>
      <c r="AF1613">
        <f>IFERROR(__xludf.DUMMYFUNCTION("VALUE(REGEXREPLACE(G1613,""[^[:digit:]]"", """"))"),1389.0)</f>
        <v>1389</v>
      </c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 t="s">
        <v>27</v>
      </c>
    </row>
    <row r="1614">
      <c r="A1614" s="7" t="s">
        <v>77</v>
      </c>
      <c r="B1614" s="7" t="s">
        <v>85</v>
      </c>
      <c r="C1614" s="7">
        <f>3+1</f>
        <v>4</v>
      </c>
      <c r="D1614" s="7">
        <v>3.0</v>
      </c>
      <c r="E1614" s="7">
        <v>2.0</v>
      </c>
      <c r="F1614" s="7" t="s">
        <v>83</v>
      </c>
      <c r="G1614" s="7" t="s">
        <v>1007</v>
      </c>
      <c r="H1614" s="9" t="s">
        <v>2979</v>
      </c>
      <c r="I1614" t="s">
        <v>3451</v>
      </c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 t="str">
        <f t="shared" si="1"/>
        <v>Built-up :</v>
      </c>
      <c r="AE1614" s="7" t="str">
        <f t="shared" si="2"/>
        <v> sq. ft.</v>
      </c>
      <c r="AF1614">
        <f>IFERROR(__xludf.DUMMYFUNCTION("VALUE(REGEXREPLACE(G1614,""[^[:digit:]]"", """"))"),1680.0)</f>
        <v>1680</v>
      </c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 t="s">
        <v>22</v>
      </c>
    </row>
    <row r="1615">
      <c r="A1615" s="7" t="s">
        <v>104</v>
      </c>
      <c r="B1615" s="7" t="s">
        <v>87</v>
      </c>
      <c r="C1615" s="7">
        <f>3</f>
        <v>3</v>
      </c>
      <c r="D1615" s="7">
        <v>2.0</v>
      </c>
      <c r="E1615" s="7">
        <v>1.0</v>
      </c>
      <c r="F1615" s="7" t="s">
        <v>93</v>
      </c>
      <c r="G1615" s="7" t="s">
        <v>1178</v>
      </c>
      <c r="H1615" s="9" t="s">
        <v>2979</v>
      </c>
      <c r="I1615" t="s">
        <v>3561</v>
      </c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 t="str">
        <f t="shared" si="1"/>
        <v>Built-up :</v>
      </c>
      <c r="AE1615" s="7" t="str">
        <f t="shared" si="2"/>
        <v> sq. ft.</v>
      </c>
      <c r="AF1615">
        <f>IFERROR(__xludf.DUMMYFUNCTION("VALUE(REGEXREPLACE(G1615,""[^[:digit:]]"", """"))"),930.0)</f>
        <v>930</v>
      </c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 t="s">
        <v>27</v>
      </c>
    </row>
    <row r="1616">
      <c r="A1616" s="7" t="s">
        <v>37</v>
      </c>
      <c r="B1616" s="7" t="s">
        <v>277</v>
      </c>
      <c r="C1616" s="7">
        <f>5</f>
        <v>5</v>
      </c>
      <c r="D1616" s="7">
        <v>3.0</v>
      </c>
      <c r="E1616" s="7">
        <v>2.0</v>
      </c>
      <c r="F1616" s="7" t="s">
        <v>184</v>
      </c>
      <c r="G1616" s="7" t="s">
        <v>1118</v>
      </c>
      <c r="H1616" s="9" t="s">
        <v>2981</v>
      </c>
      <c r="I1616" t="s">
        <v>3515</v>
      </c>
      <c r="J1616" s="7"/>
      <c r="K1616" s="7"/>
      <c r="L1616" s="7"/>
      <c r="M1616" s="7"/>
      <c r="N1616" s="7"/>
      <c r="O1616" s="7"/>
      <c r="P1616" s="7"/>
      <c r="Q1616" s="7"/>
      <c r="R1616" s="7"/>
      <c r="S1616" s="7" t="s">
        <v>2990</v>
      </c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 t="str">
        <f t="shared" si="1"/>
        <v>Land area </v>
      </c>
      <c r="AE1616" s="7" t="str">
        <f t="shared" si="2"/>
        <v> sq. ft.</v>
      </c>
      <c r="AF1616">
        <f>IFERROR(__xludf.DUMMYFUNCTION("VALUE(REGEXREPLACE(G1616,""[^[:digit:]]"", """"))"),3475.0)</f>
        <v>3475</v>
      </c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 t="s">
        <v>27</v>
      </c>
    </row>
    <row r="1617">
      <c r="A1617" s="7" t="s">
        <v>32</v>
      </c>
      <c r="B1617" s="7" t="s">
        <v>1433</v>
      </c>
      <c r="C1617" s="7">
        <f>4</f>
        <v>4</v>
      </c>
      <c r="D1617" s="7">
        <v>3.0</v>
      </c>
      <c r="E1617" s="7">
        <v>4.0</v>
      </c>
      <c r="F1617" s="7" t="s">
        <v>54</v>
      </c>
      <c r="G1617" s="7" t="s">
        <v>1434</v>
      </c>
      <c r="H1617" s="9" t="s">
        <v>2981</v>
      </c>
      <c r="I1617" t="s">
        <v>3710</v>
      </c>
      <c r="J1617" s="7"/>
      <c r="K1617" s="7"/>
      <c r="L1617" s="7"/>
      <c r="M1617" s="7"/>
      <c r="N1617" s="7"/>
      <c r="O1617" s="7"/>
      <c r="P1617" s="7"/>
      <c r="Q1617" s="7"/>
      <c r="R1617" s="7"/>
      <c r="S1617" s="7" t="s">
        <v>3121</v>
      </c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 t="str">
        <f t="shared" si="1"/>
        <v>Land area </v>
      </c>
      <c r="AE1617" s="7" t="str">
        <f t="shared" si="2"/>
        <v> sq. ft.</v>
      </c>
      <c r="AF1617">
        <f>IFERROR(__xludf.DUMMYFUNCTION("VALUE(REGEXREPLACE(G1617,""[^[:digit:]]"", """"))"),2170.0)</f>
        <v>2170</v>
      </c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 t="s">
        <v>27</v>
      </c>
    </row>
    <row r="1618">
      <c r="A1618" s="7" t="s">
        <v>32</v>
      </c>
      <c r="B1618" s="7" t="s">
        <v>520</v>
      </c>
      <c r="C1618" s="7">
        <f>3</f>
        <v>3</v>
      </c>
      <c r="D1618" s="7">
        <v>2.0</v>
      </c>
      <c r="E1618" s="7">
        <v>2.0</v>
      </c>
      <c r="F1618" s="7" t="s">
        <v>494</v>
      </c>
      <c r="G1618" s="7" t="s">
        <v>135</v>
      </c>
      <c r="H1618" s="9" t="s">
        <v>2979</v>
      </c>
      <c r="I1618" t="s">
        <v>3023</v>
      </c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 t="str">
        <f t="shared" si="1"/>
        <v>Built-up :</v>
      </c>
      <c r="AE1618" s="7" t="str">
        <f t="shared" si="2"/>
        <v> sq. ft.</v>
      </c>
      <c r="AF1618">
        <f>IFERROR(__xludf.DUMMYFUNCTION("VALUE(REGEXREPLACE(G1618,""[^[:digit:]]"", """"))"),1200.0)</f>
        <v>1200</v>
      </c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 t="s">
        <v>103</v>
      </c>
    </row>
    <row r="1619">
      <c r="A1619" s="7" t="s">
        <v>171</v>
      </c>
      <c r="B1619" s="7" t="s">
        <v>1435</v>
      </c>
      <c r="C1619" s="7">
        <f>4+1</f>
        <v>5</v>
      </c>
      <c r="D1619" s="7">
        <v>3.0</v>
      </c>
      <c r="E1619" s="7">
        <v>5.0</v>
      </c>
      <c r="F1619" s="7" t="s">
        <v>184</v>
      </c>
      <c r="H1619" s="9" t="s">
        <v>2984</v>
      </c>
      <c r="I1619" t="s">
        <v>2985</v>
      </c>
      <c r="AD1619" s="7" t="str">
        <f t="shared" si="1"/>
        <v/>
      </c>
      <c r="AE1619" s="7" t="str">
        <f t="shared" si="2"/>
        <v/>
      </c>
      <c r="AF1619">
        <f>IFERROR(__xludf.DUMMYFUNCTION("VALUE(REGEXREPLACE(G1619,""[^[:digit:]]"", """"))"),0.0)</f>
        <v>0</v>
      </c>
      <c r="AS1619" s="7" t="s">
        <v>27</v>
      </c>
    </row>
    <row r="1620">
      <c r="A1620" s="7" t="s">
        <v>48</v>
      </c>
      <c r="B1620" s="7" t="s">
        <v>243</v>
      </c>
      <c r="C1620" s="7">
        <f>6</f>
        <v>6</v>
      </c>
      <c r="D1620" s="7">
        <v>4.0</v>
      </c>
      <c r="E1620" s="7">
        <v>4.0</v>
      </c>
      <c r="F1620" s="7" t="s">
        <v>90</v>
      </c>
      <c r="G1620" s="7" t="s">
        <v>211</v>
      </c>
      <c r="H1620" s="9" t="s">
        <v>2981</v>
      </c>
      <c r="I1620" t="s">
        <v>2992</v>
      </c>
      <c r="J1620" s="7"/>
      <c r="K1620" s="7"/>
      <c r="L1620" s="7"/>
      <c r="M1620" s="7"/>
      <c r="N1620" s="7"/>
      <c r="O1620" s="7"/>
      <c r="P1620" s="7"/>
      <c r="Q1620" s="7"/>
      <c r="R1620" s="7"/>
      <c r="S1620" s="7" t="s">
        <v>2993</v>
      </c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 t="str">
        <f t="shared" si="1"/>
        <v>Land area </v>
      </c>
      <c r="AE1620" s="7" t="str">
        <f t="shared" si="2"/>
        <v> sq. ft.</v>
      </c>
      <c r="AF1620">
        <f>IFERROR(__xludf.DUMMYFUNCTION("VALUE(REGEXREPLACE(G1620,""[^[:digit:]]"", """"))"),2280.0)</f>
        <v>2280</v>
      </c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 t="s">
        <v>27</v>
      </c>
    </row>
    <row r="1621">
      <c r="A1621" s="7" t="s">
        <v>48</v>
      </c>
      <c r="B1621" s="7" t="s">
        <v>511</v>
      </c>
      <c r="C1621" s="7">
        <f>5</f>
        <v>5</v>
      </c>
      <c r="D1621" s="7">
        <v>3.0</v>
      </c>
      <c r="E1621" s="7">
        <v>3.0</v>
      </c>
      <c r="F1621" s="7" t="s">
        <v>203</v>
      </c>
      <c r="G1621" s="7" t="s">
        <v>211</v>
      </c>
      <c r="H1621" s="9" t="s">
        <v>2981</v>
      </c>
      <c r="I1621" t="s">
        <v>2992</v>
      </c>
      <c r="J1621" s="7"/>
      <c r="K1621" s="7"/>
      <c r="L1621" s="7"/>
      <c r="M1621" s="7"/>
      <c r="N1621" s="7"/>
      <c r="O1621" s="7"/>
      <c r="P1621" s="7"/>
      <c r="Q1621" s="7"/>
      <c r="R1621" s="7"/>
      <c r="S1621" s="7" t="s">
        <v>2993</v>
      </c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 t="str">
        <f t="shared" si="1"/>
        <v>Land area </v>
      </c>
      <c r="AE1621" s="7" t="str">
        <f t="shared" si="2"/>
        <v> sq. ft.</v>
      </c>
      <c r="AF1621">
        <f>IFERROR(__xludf.DUMMYFUNCTION("VALUE(REGEXREPLACE(G1621,""[^[:digit:]]"", """"))"),2280.0)</f>
        <v>2280</v>
      </c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 t="s">
        <v>27</v>
      </c>
    </row>
    <row r="1622">
      <c r="A1622" s="7" t="s">
        <v>32</v>
      </c>
      <c r="B1622" s="7" t="s">
        <v>49</v>
      </c>
      <c r="C1622" s="7">
        <f>3</f>
        <v>3</v>
      </c>
      <c r="D1622" s="7">
        <v>2.0</v>
      </c>
      <c r="E1622" s="7">
        <v>1.0</v>
      </c>
      <c r="F1622" s="7" t="s">
        <v>82</v>
      </c>
      <c r="G1622" s="7" t="s">
        <v>1330</v>
      </c>
      <c r="H1622" s="9" t="s">
        <v>2979</v>
      </c>
      <c r="I1622" t="s">
        <v>3650</v>
      </c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 t="str">
        <f t="shared" si="1"/>
        <v>Built-up :</v>
      </c>
      <c r="AE1622" s="7" t="str">
        <f t="shared" si="2"/>
        <v> sq. ft.</v>
      </c>
      <c r="AF1622">
        <f>IFERROR(__xludf.DUMMYFUNCTION("VALUE(REGEXREPLACE(G1622,""[^[:digit:]]"", """"))"),819.0)</f>
        <v>819</v>
      </c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 t="s">
        <v>27</v>
      </c>
    </row>
    <row r="1623">
      <c r="A1623" s="7" t="s">
        <v>77</v>
      </c>
      <c r="B1623" s="7" t="s">
        <v>227</v>
      </c>
      <c r="C1623" s="7">
        <f t="shared" ref="C1623:C1624" si="181">3+1</f>
        <v>4</v>
      </c>
      <c r="D1623" s="7">
        <v>5.0</v>
      </c>
      <c r="E1623" s="7">
        <v>3.0</v>
      </c>
      <c r="F1623" s="7" t="s">
        <v>90</v>
      </c>
      <c r="G1623" s="7" t="s">
        <v>228</v>
      </c>
      <c r="H1623" s="9" t="s">
        <v>2979</v>
      </c>
      <c r="I1623" t="s">
        <v>3064</v>
      </c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 t="str">
        <f t="shared" si="1"/>
        <v>Built-up :</v>
      </c>
      <c r="AE1623" s="7" t="str">
        <f t="shared" si="2"/>
        <v> sq. ft.</v>
      </c>
      <c r="AF1623">
        <f>IFERROR(__xludf.DUMMYFUNCTION("VALUE(REGEXREPLACE(G1623,""[^[:digit:]]"", """"))"),3211.0)</f>
        <v>3211</v>
      </c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 t="s">
        <v>27</v>
      </c>
    </row>
    <row r="1624">
      <c r="A1624" s="7" t="s">
        <v>77</v>
      </c>
      <c r="B1624" s="7" t="s">
        <v>306</v>
      </c>
      <c r="C1624" s="7">
        <f t="shared" si="181"/>
        <v>4</v>
      </c>
      <c r="D1624" s="7">
        <v>4.0</v>
      </c>
      <c r="E1624" s="7">
        <v>2.0</v>
      </c>
      <c r="F1624" s="7" t="s">
        <v>54</v>
      </c>
      <c r="G1624" s="7" t="s">
        <v>283</v>
      </c>
      <c r="H1624" s="9" t="s">
        <v>2981</v>
      </c>
      <c r="I1624" t="s">
        <v>3091</v>
      </c>
      <c r="J1624" s="7"/>
      <c r="K1624" s="7"/>
      <c r="L1624" s="7"/>
      <c r="M1624" s="7"/>
      <c r="N1624" s="7"/>
      <c r="O1624" s="7"/>
      <c r="P1624" s="7"/>
      <c r="Q1624" s="7"/>
      <c r="R1624" s="7"/>
      <c r="S1624" s="7" t="s">
        <v>2990</v>
      </c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 t="str">
        <f t="shared" si="1"/>
        <v>Land area </v>
      </c>
      <c r="AE1624" s="7" t="str">
        <f t="shared" si="2"/>
        <v> sq. ft.</v>
      </c>
      <c r="AF1624">
        <f>IFERROR(__xludf.DUMMYFUNCTION("VALUE(REGEXREPLACE(G1624,""[^[:digit:]]"", """"))"),2275.0)</f>
        <v>2275</v>
      </c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 t="s">
        <v>22</v>
      </c>
    </row>
    <row r="1625">
      <c r="A1625" s="7" t="s">
        <v>77</v>
      </c>
      <c r="B1625" s="7" t="s">
        <v>214</v>
      </c>
      <c r="C1625" s="7">
        <f>2</f>
        <v>2</v>
      </c>
      <c r="D1625" s="7">
        <v>2.0</v>
      </c>
      <c r="E1625" s="7">
        <v>2.0</v>
      </c>
      <c r="F1625" s="7" t="s">
        <v>83</v>
      </c>
      <c r="G1625" s="7" t="s">
        <v>237</v>
      </c>
      <c r="H1625" s="9" t="s">
        <v>2979</v>
      </c>
      <c r="I1625" t="s">
        <v>3069</v>
      </c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 t="str">
        <f t="shared" si="1"/>
        <v>Built-up :</v>
      </c>
      <c r="AE1625" s="7" t="str">
        <f t="shared" si="2"/>
        <v> sq. ft.</v>
      </c>
      <c r="AF1625">
        <f>IFERROR(__xludf.DUMMYFUNCTION("VALUE(REGEXREPLACE(G1625,""[^[:digit:]]"", """"))"),1087.0)</f>
        <v>1087</v>
      </c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 t="s">
        <v>22</v>
      </c>
    </row>
    <row r="1626">
      <c r="A1626" s="7" t="s">
        <v>77</v>
      </c>
      <c r="B1626" s="7" t="s">
        <v>281</v>
      </c>
      <c r="C1626" s="7">
        <f t="shared" ref="C1626:C1627" si="182">4+1</f>
        <v>5</v>
      </c>
      <c r="D1626" s="7">
        <v>5.0</v>
      </c>
      <c r="E1626" s="7">
        <v>2.0</v>
      </c>
      <c r="F1626" s="7" t="s">
        <v>90</v>
      </c>
      <c r="G1626" s="7" t="s">
        <v>220</v>
      </c>
      <c r="H1626" s="9" t="s">
        <v>2979</v>
      </c>
      <c r="I1626" t="s">
        <v>3060</v>
      </c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 t="str">
        <f t="shared" si="1"/>
        <v>Built-up :</v>
      </c>
      <c r="AE1626" s="7" t="str">
        <f t="shared" si="2"/>
        <v> sq. ft.</v>
      </c>
      <c r="AF1626">
        <f>IFERROR(__xludf.DUMMYFUNCTION("VALUE(REGEXREPLACE(G1626,""[^[:digit:]]"", """"))"),3400.0)</f>
        <v>3400</v>
      </c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 t="s">
        <v>22</v>
      </c>
    </row>
    <row r="1627">
      <c r="A1627" s="7" t="s">
        <v>72</v>
      </c>
      <c r="B1627" s="7" t="s">
        <v>174</v>
      </c>
      <c r="C1627" s="7">
        <f t="shared" si="182"/>
        <v>5</v>
      </c>
      <c r="D1627" s="7">
        <v>6.0</v>
      </c>
      <c r="E1627" s="7">
        <v>3.0</v>
      </c>
      <c r="F1627" s="7" t="s">
        <v>83</v>
      </c>
      <c r="G1627" s="7" t="s">
        <v>933</v>
      </c>
      <c r="H1627" s="9" t="s">
        <v>2979</v>
      </c>
      <c r="I1627" t="s">
        <v>3414</v>
      </c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 t="str">
        <f t="shared" si="1"/>
        <v>Built-up :</v>
      </c>
      <c r="AE1627" s="7" t="str">
        <f t="shared" si="2"/>
        <v> sq. ft.</v>
      </c>
      <c r="AF1627">
        <f>IFERROR(__xludf.DUMMYFUNCTION("VALUE(REGEXREPLACE(G1627,""[^[:digit:]]"", """"))"),3541.0)</f>
        <v>3541</v>
      </c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</row>
    <row r="1628">
      <c r="A1628" s="7" t="s">
        <v>17</v>
      </c>
      <c r="B1628" s="7" t="s">
        <v>309</v>
      </c>
      <c r="C1628" s="7">
        <f>1+1</f>
        <v>2</v>
      </c>
      <c r="D1628" s="7">
        <v>2.0</v>
      </c>
      <c r="E1628" s="7">
        <v>1.0</v>
      </c>
      <c r="F1628" s="7" t="s">
        <v>20</v>
      </c>
      <c r="G1628" s="7" t="s">
        <v>237</v>
      </c>
      <c r="H1628" s="9" t="s">
        <v>2979</v>
      </c>
      <c r="I1628" t="s">
        <v>3069</v>
      </c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 t="str">
        <f t="shared" si="1"/>
        <v>Built-up :</v>
      </c>
      <c r="AE1628" s="7" t="str">
        <f t="shared" si="2"/>
        <v> sq. ft.</v>
      </c>
      <c r="AF1628">
        <f>IFERROR(__xludf.DUMMYFUNCTION("VALUE(REGEXREPLACE(G1628,""[^[:digit:]]"", """"))"),1087.0)</f>
        <v>1087</v>
      </c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</row>
    <row r="1629">
      <c r="A1629" s="7" t="s">
        <v>72</v>
      </c>
      <c r="B1629" s="7" t="s">
        <v>475</v>
      </c>
      <c r="C1629" s="7">
        <f>4+1</f>
        <v>5</v>
      </c>
      <c r="D1629" s="7">
        <v>6.0</v>
      </c>
      <c r="E1629" s="7">
        <v>3.0</v>
      </c>
      <c r="F1629" s="7" t="s">
        <v>83</v>
      </c>
      <c r="G1629" s="7" t="s">
        <v>933</v>
      </c>
      <c r="H1629" s="9" t="s">
        <v>2979</v>
      </c>
      <c r="I1629" t="s">
        <v>3414</v>
      </c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 t="str">
        <f t="shared" si="1"/>
        <v>Built-up :</v>
      </c>
      <c r="AE1629" s="7" t="str">
        <f t="shared" si="2"/>
        <v> sq. ft.</v>
      </c>
      <c r="AF1629">
        <f>IFERROR(__xludf.DUMMYFUNCTION("VALUE(REGEXREPLACE(G1629,""[^[:digit:]]"", """"))"),3541.0)</f>
        <v>3541</v>
      </c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</row>
    <row r="1630">
      <c r="A1630" s="7" t="s">
        <v>33</v>
      </c>
      <c r="B1630" s="7" t="s">
        <v>245</v>
      </c>
      <c r="C1630" s="7">
        <f>3</f>
        <v>3</v>
      </c>
      <c r="D1630" s="7">
        <v>2.0</v>
      </c>
      <c r="E1630" s="7">
        <v>2.0</v>
      </c>
      <c r="F1630" s="7" t="s">
        <v>20</v>
      </c>
      <c r="G1630" s="7" t="s">
        <v>795</v>
      </c>
      <c r="H1630" s="9" t="s">
        <v>2979</v>
      </c>
      <c r="I1630" t="s">
        <v>3344</v>
      </c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 t="str">
        <f t="shared" si="1"/>
        <v>Built-up :</v>
      </c>
      <c r="AE1630" s="7" t="str">
        <f t="shared" si="2"/>
        <v> sq. ft.</v>
      </c>
      <c r="AF1630">
        <f>IFERROR(__xludf.DUMMYFUNCTION("VALUE(REGEXREPLACE(G1630,""[^[:digit:]]"", """"))"),1170.0)</f>
        <v>1170</v>
      </c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 t="s">
        <v>22</v>
      </c>
    </row>
    <row r="1631">
      <c r="A1631" s="7" t="s">
        <v>72</v>
      </c>
      <c r="B1631" s="7" t="s">
        <v>712</v>
      </c>
      <c r="C1631" s="7">
        <f>3+1</f>
        <v>4</v>
      </c>
      <c r="D1631" s="7">
        <v>4.0</v>
      </c>
      <c r="E1631" s="7">
        <v>3.0</v>
      </c>
      <c r="F1631" s="7" t="s">
        <v>83</v>
      </c>
      <c r="G1631" s="7" t="s">
        <v>561</v>
      </c>
      <c r="H1631" s="9" t="s">
        <v>2979</v>
      </c>
      <c r="I1631" t="s">
        <v>3226</v>
      </c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 t="str">
        <f t="shared" si="1"/>
        <v>Built-up :</v>
      </c>
      <c r="AE1631" s="7" t="str">
        <f t="shared" si="2"/>
        <v> sq. ft.</v>
      </c>
      <c r="AF1631">
        <f>IFERROR(__xludf.DUMMYFUNCTION("VALUE(REGEXREPLACE(G1631,""[^[:digit:]]"", """"))"),2535.0)</f>
        <v>2535</v>
      </c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</row>
    <row r="1632">
      <c r="A1632" s="7" t="s">
        <v>72</v>
      </c>
      <c r="B1632" s="7" t="s">
        <v>475</v>
      </c>
      <c r="C1632" s="7">
        <f t="shared" ref="C1632:C1634" si="183">4+1</f>
        <v>5</v>
      </c>
      <c r="D1632" s="7">
        <v>6.0</v>
      </c>
      <c r="E1632" s="7">
        <v>3.0</v>
      </c>
      <c r="F1632" s="7" t="s">
        <v>83</v>
      </c>
      <c r="G1632" s="7" t="s">
        <v>1436</v>
      </c>
      <c r="H1632" s="9" t="s">
        <v>2979</v>
      </c>
      <c r="I1632" t="s">
        <v>3711</v>
      </c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 t="str">
        <f t="shared" si="1"/>
        <v>Built-up :</v>
      </c>
      <c r="AE1632" s="7" t="str">
        <f t="shared" si="2"/>
        <v> sq. ft.</v>
      </c>
      <c r="AF1632">
        <f>IFERROR(__xludf.DUMMYFUNCTION("VALUE(REGEXREPLACE(G1632,""[^[:digit:]]"", """"))"),3714.0)</f>
        <v>3714</v>
      </c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</row>
    <row r="1633">
      <c r="A1633" s="7" t="s">
        <v>72</v>
      </c>
      <c r="B1633" s="7" t="s">
        <v>931</v>
      </c>
      <c r="C1633" s="7">
        <f t="shared" si="183"/>
        <v>5</v>
      </c>
      <c r="D1633" s="7">
        <v>6.0</v>
      </c>
      <c r="E1633" s="7">
        <v>3.0</v>
      </c>
      <c r="F1633" s="7" t="s">
        <v>83</v>
      </c>
      <c r="G1633" s="7" t="s">
        <v>431</v>
      </c>
      <c r="H1633" s="9" t="s">
        <v>2979</v>
      </c>
      <c r="I1633" t="s">
        <v>3159</v>
      </c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 t="str">
        <f t="shared" si="1"/>
        <v>Built-up :</v>
      </c>
      <c r="AE1633" s="7" t="str">
        <f t="shared" si="2"/>
        <v> sq. ft.</v>
      </c>
      <c r="AF1633">
        <f>IFERROR(__xludf.DUMMYFUNCTION("VALUE(REGEXREPLACE(G1633,""[^[:digit:]]"", """"))"),2906.0)</f>
        <v>2906</v>
      </c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</row>
    <row r="1634">
      <c r="A1634" s="7" t="s">
        <v>72</v>
      </c>
      <c r="B1634" s="7" t="s">
        <v>227</v>
      </c>
      <c r="C1634" s="7">
        <f t="shared" si="183"/>
        <v>5</v>
      </c>
      <c r="D1634" s="7">
        <v>6.0</v>
      </c>
      <c r="E1634" s="7">
        <v>3.0</v>
      </c>
      <c r="F1634" s="7" t="s">
        <v>83</v>
      </c>
      <c r="G1634" s="7" t="s">
        <v>933</v>
      </c>
      <c r="H1634" s="9" t="s">
        <v>2979</v>
      </c>
      <c r="I1634" t="s">
        <v>3414</v>
      </c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 t="str">
        <f t="shared" si="1"/>
        <v>Built-up :</v>
      </c>
      <c r="AE1634" s="7" t="str">
        <f t="shared" si="2"/>
        <v> sq. ft.</v>
      </c>
      <c r="AF1634">
        <f>IFERROR(__xludf.DUMMYFUNCTION("VALUE(REGEXREPLACE(G1634,""[^[:digit:]]"", """"))"),3541.0)</f>
        <v>3541</v>
      </c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</row>
    <row r="1635">
      <c r="A1635" s="7" t="s">
        <v>32</v>
      </c>
      <c r="B1635" s="7" t="s">
        <v>1437</v>
      </c>
      <c r="C1635" s="7">
        <f>2</f>
        <v>2</v>
      </c>
      <c r="D1635" s="7">
        <v>2.0</v>
      </c>
      <c r="E1635" s="7">
        <v>1.0</v>
      </c>
      <c r="F1635" s="7" t="s">
        <v>20</v>
      </c>
      <c r="G1635" s="7" t="s">
        <v>242</v>
      </c>
      <c r="H1635" s="9" t="s">
        <v>2979</v>
      </c>
      <c r="I1635" t="s">
        <v>3072</v>
      </c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 t="str">
        <f t="shared" si="1"/>
        <v>Built-up :</v>
      </c>
      <c r="AE1635" s="7" t="str">
        <f t="shared" si="2"/>
        <v> sq. ft.</v>
      </c>
      <c r="AF1635">
        <f>IFERROR(__xludf.DUMMYFUNCTION("VALUE(REGEXREPLACE(G1635,""[^[:digit:]]"", """"))"),650.0)</f>
        <v>650</v>
      </c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 t="s">
        <v>27</v>
      </c>
    </row>
    <row r="1636">
      <c r="A1636" s="7" t="s">
        <v>72</v>
      </c>
      <c r="B1636" s="7" t="s">
        <v>426</v>
      </c>
      <c r="C1636" s="7">
        <f>3+1</f>
        <v>4</v>
      </c>
      <c r="D1636" s="7">
        <v>4.0</v>
      </c>
      <c r="E1636" s="7">
        <v>2.0</v>
      </c>
      <c r="F1636" s="7" t="s">
        <v>83</v>
      </c>
      <c r="G1636" s="7" t="s">
        <v>334</v>
      </c>
      <c r="H1636" s="9" t="s">
        <v>2979</v>
      </c>
      <c r="I1636" t="s">
        <v>3112</v>
      </c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 t="str">
        <f t="shared" si="1"/>
        <v>Built-up :</v>
      </c>
      <c r="AE1636" s="7" t="str">
        <f t="shared" si="2"/>
        <v> sq. ft.</v>
      </c>
      <c r="AF1636">
        <f>IFERROR(__xludf.DUMMYFUNCTION("VALUE(REGEXREPLACE(G1636,""[^[:digit:]]"", """"))"),1496.0)</f>
        <v>1496</v>
      </c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 t="s">
        <v>27</v>
      </c>
    </row>
    <row r="1637">
      <c r="A1637" s="7" t="s">
        <v>72</v>
      </c>
      <c r="B1637" s="7" t="s">
        <v>399</v>
      </c>
      <c r="C1637" s="7">
        <f>4+1</f>
        <v>5</v>
      </c>
      <c r="D1637" s="7">
        <v>5.0</v>
      </c>
      <c r="E1637" s="9">
        <v>2.0</v>
      </c>
      <c r="F1637" s="7" t="s">
        <v>83</v>
      </c>
      <c r="G1637" s="7" t="s">
        <v>1438</v>
      </c>
      <c r="H1637" s="9" t="s">
        <v>2979</v>
      </c>
      <c r="I1637" t="s">
        <v>3712</v>
      </c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 t="str">
        <f t="shared" si="1"/>
        <v>Built-up :</v>
      </c>
      <c r="AE1637" s="7" t="str">
        <f t="shared" si="2"/>
        <v> sq. ft.</v>
      </c>
      <c r="AF1637">
        <f>IFERROR(__xludf.DUMMYFUNCTION("VALUE(REGEXREPLACE(G1637,""[^[:digit:]]"", """"))"),2676.0)</f>
        <v>2676</v>
      </c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 t="s">
        <v>22</v>
      </c>
    </row>
    <row r="1638">
      <c r="A1638" s="7" t="s">
        <v>89</v>
      </c>
      <c r="B1638" s="7" t="s">
        <v>243</v>
      </c>
      <c r="C1638" s="7">
        <f>6</f>
        <v>6</v>
      </c>
      <c r="D1638" s="7">
        <v>5.0</v>
      </c>
      <c r="E1638" s="9">
        <v>2.0</v>
      </c>
      <c r="F1638" s="7" t="s">
        <v>562</v>
      </c>
      <c r="G1638" s="7" t="s">
        <v>211</v>
      </c>
      <c r="H1638" s="9" t="s">
        <v>2981</v>
      </c>
      <c r="I1638" t="s">
        <v>2992</v>
      </c>
      <c r="J1638" s="7"/>
      <c r="K1638" s="7"/>
      <c r="L1638" s="7"/>
      <c r="M1638" s="7"/>
      <c r="N1638" s="7"/>
      <c r="O1638" s="7"/>
      <c r="P1638" s="7"/>
      <c r="Q1638" s="7"/>
      <c r="R1638" s="7"/>
      <c r="S1638" s="7" t="s">
        <v>2993</v>
      </c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 t="str">
        <f t="shared" si="1"/>
        <v>Land area </v>
      </c>
      <c r="AE1638" s="7" t="str">
        <f t="shared" si="2"/>
        <v> sq. ft.</v>
      </c>
      <c r="AF1638">
        <f>IFERROR(__xludf.DUMMYFUNCTION("VALUE(REGEXREPLACE(G1638,""[^[:digit:]]"", """"))"),2280.0)</f>
        <v>2280</v>
      </c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 t="s">
        <v>22</v>
      </c>
    </row>
    <row r="1639">
      <c r="A1639" s="7" t="s">
        <v>17</v>
      </c>
      <c r="B1639" s="7" t="s">
        <v>956</v>
      </c>
      <c r="C1639" s="7">
        <f>2+1</f>
        <v>3</v>
      </c>
      <c r="D1639" s="7">
        <v>2.0</v>
      </c>
      <c r="E1639" s="9">
        <v>2.0</v>
      </c>
      <c r="F1639" s="7" t="s">
        <v>20</v>
      </c>
      <c r="G1639" s="7" t="s">
        <v>418</v>
      </c>
      <c r="H1639" s="9" t="s">
        <v>2979</v>
      </c>
      <c r="I1639" t="s">
        <v>3155</v>
      </c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 t="str">
        <f t="shared" si="1"/>
        <v>Built-up :</v>
      </c>
      <c r="AE1639" s="7" t="str">
        <f t="shared" si="2"/>
        <v> sq. ft.</v>
      </c>
      <c r="AF1639">
        <f>IFERROR(__xludf.DUMMYFUNCTION("VALUE(REGEXREPLACE(G1639,""[^[:digit:]]"", """"))"),777.0)</f>
        <v>777</v>
      </c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 t="s">
        <v>22</v>
      </c>
    </row>
    <row r="1640">
      <c r="A1640" s="7" t="s">
        <v>188</v>
      </c>
      <c r="B1640" s="7" t="s">
        <v>329</v>
      </c>
      <c r="C1640" s="7">
        <f>2</f>
        <v>2</v>
      </c>
      <c r="D1640" s="7">
        <v>2.0</v>
      </c>
      <c r="E1640" s="9">
        <v>2.0</v>
      </c>
      <c r="F1640" s="7" t="s">
        <v>121</v>
      </c>
      <c r="G1640" s="7" t="s">
        <v>1439</v>
      </c>
      <c r="H1640" s="9" t="s">
        <v>2981</v>
      </c>
      <c r="I1640" t="s">
        <v>3713</v>
      </c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 t="str">
        <f t="shared" si="1"/>
        <v>Land area </v>
      </c>
      <c r="AE1640" s="7" t="str">
        <f t="shared" si="2"/>
        <v> sq. ft.</v>
      </c>
      <c r="AF1640">
        <f>IFERROR(__xludf.DUMMYFUNCTION("VALUE(REGEXREPLACE(G1640,""[^[:digit:]]"", """"))"),1070.0)</f>
        <v>1070</v>
      </c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 t="s">
        <v>22</v>
      </c>
    </row>
    <row r="1641">
      <c r="A1641" s="7" t="s">
        <v>171</v>
      </c>
      <c r="B1641" s="7" t="s">
        <v>543</v>
      </c>
      <c r="C1641" s="7">
        <f>3+1</f>
        <v>4</v>
      </c>
      <c r="D1641" s="7">
        <v>2.0</v>
      </c>
      <c r="E1641" s="7">
        <v>2.0</v>
      </c>
      <c r="F1641" s="7" t="s">
        <v>82</v>
      </c>
      <c r="G1641" s="7" t="s">
        <v>1440</v>
      </c>
      <c r="H1641" s="9" t="s">
        <v>2981</v>
      </c>
      <c r="I1641" t="s">
        <v>3245</v>
      </c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 t="str">
        <f t="shared" si="1"/>
        <v>Land area </v>
      </c>
      <c r="AE1641" s="7" t="str">
        <f t="shared" si="2"/>
        <v> sq. ft.</v>
      </c>
      <c r="AF1641">
        <f>IFERROR(__xludf.DUMMYFUNCTION("VALUE(REGEXREPLACE(G1641,""[^[:digit:]]"", """"))"),918.0)</f>
        <v>918</v>
      </c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 t="s">
        <v>103</v>
      </c>
    </row>
    <row r="1642">
      <c r="A1642" s="7" t="s">
        <v>1014</v>
      </c>
      <c r="B1642" s="7" t="s">
        <v>890</v>
      </c>
      <c r="C1642" s="7">
        <f t="shared" ref="C1642:C1643" si="184">4</f>
        <v>4</v>
      </c>
      <c r="D1642" s="7">
        <v>2.0</v>
      </c>
      <c r="E1642" s="7">
        <v>2.0</v>
      </c>
      <c r="F1642" s="7" t="s">
        <v>494</v>
      </c>
      <c r="G1642" s="7" t="s">
        <v>1441</v>
      </c>
      <c r="H1642" s="9" t="s">
        <v>2981</v>
      </c>
      <c r="I1642" t="s">
        <v>3714</v>
      </c>
      <c r="J1642" s="7"/>
      <c r="K1642" s="7"/>
      <c r="L1642" s="7"/>
      <c r="M1642" s="7"/>
      <c r="N1642" s="7"/>
      <c r="O1642" s="7"/>
      <c r="P1642" s="7"/>
      <c r="Q1642" s="7"/>
      <c r="R1642" s="7"/>
      <c r="S1642" s="7" t="s">
        <v>3715</v>
      </c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 t="str">
        <f t="shared" si="1"/>
        <v>Land area </v>
      </c>
      <c r="AE1642" s="7" t="str">
        <f t="shared" si="2"/>
        <v> sq. ft.</v>
      </c>
      <c r="AF1642">
        <f>IFERROR(__xludf.DUMMYFUNCTION("VALUE(REGEXREPLACE(G1642,""[^[:digit:]]"", """"))"),2064.0)</f>
        <v>2064</v>
      </c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 t="s">
        <v>27</v>
      </c>
    </row>
    <row r="1643">
      <c r="A1643" s="7" t="s">
        <v>171</v>
      </c>
      <c r="B1643" s="7" t="s">
        <v>1075</v>
      </c>
      <c r="C1643" s="7">
        <f t="shared" si="184"/>
        <v>4</v>
      </c>
      <c r="D1643" s="7">
        <v>3.0</v>
      </c>
      <c r="E1643" s="7">
        <v>2.0</v>
      </c>
      <c r="F1643" s="7" t="s">
        <v>54</v>
      </c>
      <c r="G1643" s="7" t="s">
        <v>674</v>
      </c>
      <c r="H1643" s="9" t="s">
        <v>2981</v>
      </c>
      <c r="I1643" t="s">
        <v>3020</v>
      </c>
      <c r="J1643" s="7"/>
      <c r="K1643" s="7"/>
      <c r="L1643" s="7"/>
      <c r="M1643" s="7"/>
      <c r="N1643" s="7"/>
      <c r="O1643" s="7"/>
      <c r="P1643" s="7"/>
      <c r="Q1643" s="7"/>
      <c r="R1643" s="7"/>
      <c r="S1643" s="7" t="s">
        <v>2993</v>
      </c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 t="str">
        <f t="shared" si="1"/>
        <v>Land area </v>
      </c>
      <c r="AE1643" s="7" t="str">
        <f t="shared" si="2"/>
        <v> sq. ft.</v>
      </c>
      <c r="AF1643">
        <f>IFERROR(__xludf.DUMMYFUNCTION("VALUE(REGEXREPLACE(G1643,""[^[:digit:]]"", """"))"),2080.0)</f>
        <v>2080</v>
      </c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 t="s">
        <v>27</v>
      </c>
    </row>
    <row r="1644">
      <c r="A1644" s="7" t="s">
        <v>77</v>
      </c>
      <c r="B1644" s="7" t="s">
        <v>411</v>
      </c>
      <c r="C1644" s="7">
        <f>3+1</f>
        <v>4</v>
      </c>
      <c r="D1644" s="7">
        <v>4.0</v>
      </c>
      <c r="E1644" s="7">
        <v>2.0</v>
      </c>
      <c r="F1644" s="7" t="s">
        <v>30</v>
      </c>
      <c r="G1644" s="7" t="s">
        <v>1425</v>
      </c>
      <c r="H1644" s="9" t="s">
        <v>2979</v>
      </c>
      <c r="I1644" t="s">
        <v>3704</v>
      </c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 t="str">
        <f t="shared" si="1"/>
        <v>Built-up :</v>
      </c>
      <c r="AE1644" s="7" t="str">
        <f t="shared" si="2"/>
        <v> sq. ft.</v>
      </c>
      <c r="AF1644">
        <f>IFERROR(__xludf.DUMMYFUNCTION("VALUE(REGEXREPLACE(G1644,""[^[:digit:]]"", """"))"),1808.0)</f>
        <v>1808</v>
      </c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 t="s">
        <v>103</v>
      </c>
    </row>
    <row r="1645">
      <c r="A1645" s="7" t="s">
        <v>100</v>
      </c>
      <c r="B1645" s="7" t="s">
        <v>510</v>
      </c>
      <c r="C1645" s="7">
        <f>1</f>
        <v>1</v>
      </c>
      <c r="D1645" s="7">
        <v>2.0</v>
      </c>
      <c r="E1645" s="7">
        <v>1.0</v>
      </c>
      <c r="F1645" s="7" t="s">
        <v>145</v>
      </c>
      <c r="G1645" s="7" t="s">
        <v>786</v>
      </c>
      <c r="H1645" s="9" t="s">
        <v>2979</v>
      </c>
      <c r="I1645" t="s">
        <v>3339</v>
      </c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 t="str">
        <f t="shared" si="1"/>
        <v>Built-up :</v>
      </c>
      <c r="AE1645" s="7" t="str">
        <f t="shared" si="2"/>
        <v> sq. ft.</v>
      </c>
      <c r="AF1645">
        <f>IFERROR(__xludf.DUMMYFUNCTION("VALUE(REGEXREPLACE(G1645,""[^[:digit:]]"", """"))"),775.0)</f>
        <v>775</v>
      </c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</row>
    <row r="1646">
      <c r="A1646" s="7" t="s">
        <v>1014</v>
      </c>
      <c r="B1646" s="7" t="s">
        <v>372</v>
      </c>
      <c r="C1646" s="7">
        <f>4</f>
        <v>4</v>
      </c>
      <c r="D1646" s="7">
        <v>3.0</v>
      </c>
      <c r="E1646" s="7">
        <v>2.0</v>
      </c>
      <c r="F1646" s="7" t="s">
        <v>494</v>
      </c>
      <c r="G1646" s="7" t="s">
        <v>711</v>
      </c>
      <c r="H1646" s="9" t="s">
        <v>2981</v>
      </c>
      <c r="I1646" t="s">
        <v>3294</v>
      </c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 t="str">
        <f t="shared" si="1"/>
        <v>Land area </v>
      </c>
      <c r="AE1646" s="7" t="str">
        <f t="shared" si="2"/>
        <v> sq. ft.</v>
      </c>
      <c r="AF1646">
        <f>IFERROR(__xludf.DUMMYFUNCTION("VALUE(REGEXREPLACE(G1646,""[^[:digit:]]"", """"))"),1200.0)</f>
        <v>1200</v>
      </c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 t="s">
        <v>27</v>
      </c>
    </row>
    <row r="1647">
      <c r="A1647" s="7" t="s">
        <v>180</v>
      </c>
      <c r="B1647" s="7" t="s">
        <v>236</v>
      </c>
      <c r="C1647" s="7">
        <f>2</f>
        <v>2</v>
      </c>
      <c r="D1647" s="7">
        <v>2.0</v>
      </c>
      <c r="E1647" s="7">
        <v>1.0</v>
      </c>
      <c r="F1647" s="7" t="s">
        <v>20</v>
      </c>
      <c r="G1647" s="7" t="s">
        <v>216</v>
      </c>
      <c r="H1647" s="9" t="s">
        <v>2979</v>
      </c>
      <c r="I1647" t="s">
        <v>3057</v>
      </c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 t="str">
        <f t="shared" si="1"/>
        <v>Built-up :</v>
      </c>
      <c r="AE1647" s="7" t="str">
        <f t="shared" si="2"/>
        <v> sq. ft.</v>
      </c>
      <c r="AF1647">
        <f>IFERROR(__xludf.DUMMYFUNCTION("VALUE(REGEXREPLACE(G1647,""[^[:digit:]]"", """"))"),1442.0)</f>
        <v>1442</v>
      </c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 t="s">
        <v>22</v>
      </c>
    </row>
    <row r="1648">
      <c r="A1648" s="7" t="s">
        <v>17</v>
      </c>
      <c r="B1648" s="7" t="s">
        <v>125</v>
      </c>
      <c r="C1648" s="7">
        <f>5</f>
        <v>5</v>
      </c>
      <c r="D1648" s="7">
        <v>5.0</v>
      </c>
      <c r="E1648" s="7">
        <v>2.0</v>
      </c>
      <c r="F1648" s="7" t="s">
        <v>20</v>
      </c>
      <c r="G1648" s="7" t="s">
        <v>1442</v>
      </c>
      <c r="H1648" s="9" t="s">
        <v>2979</v>
      </c>
      <c r="I1648" t="s">
        <v>3716</v>
      </c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 t="str">
        <f t="shared" si="1"/>
        <v>Built-up :</v>
      </c>
      <c r="AE1648" s="7" t="str">
        <f t="shared" si="2"/>
        <v> sq. ft.</v>
      </c>
      <c r="AF1648">
        <f>IFERROR(__xludf.DUMMYFUNCTION("VALUE(REGEXREPLACE(G1648,""[^[:digit:]]"", """"))"),2208.0)</f>
        <v>2208</v>
      </c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 t="s">
        <v>27</v>
      </c>
    </row>
    <row r="1649">
      <c r="A1649" s="7" t="s">
        <v>17</v>
      </c>
      <c r="B1649" s="7" t="s">
        <v>582</v>
      </c>
      <c r="C1649" s="7">
        <f>2+1</f>
        <v>3</v>
      </c>
      <c r="D1649" s="7">
        <v>2.0</v>
      </c>
      <c r="E1649" s="7">
        <v>2.0</v>
      </c>
      <c r="F1649" s="7" t="s">
        <v>20</v>
      </c>
      <c r="G1649" s="7" t="s">
        <v>99</v>
      </c>
      <c r="H1649" s="9" t="s">
        <v>2979</v>
      </c>
      <c r="I1649" t="s">
        <v>3006</v>
      </c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 t="str">
        <f t="shared" si="1"/>
        <v>Built-up :</v>
      </c>
      <c r="AE1649" s="7" t="str">
        <f t="shared" si="2"/>
        <v> sq. ft.</v>
      </c>
      <c r="AF1649">
        <f>IFERROR(__xludf.DUMMYFUNCTION("VALUE(REGEXREPLACE(G1649,""[^[:digit:]]"", """"))"),1668.0)</f>
        <v>1668</v>
      </c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 t="s">
        <v>27</v>
      </c>
    </row>
    <row r="1650">
      <c r="A1650" s="7" t="s">
        <v>104</v>
      </c>
      <c r="B1650" s="7" t="s">
        <v>599</v>
      </c>
      <c r="C1650" s="7">
        <f>5</f>
        <v>5</v>
      </c>
      <c r="D1650" s="7">
        <v>3.0</v>
      </c>
      <c r="E1650" s="7">
        <v>2.0</v>
      </c>
      <c r="F1650" s="7" t="s">
        <v>54</v>
      </c>
      <c r="G1650" s="7" t="s">
        <v>333</v>
      </c>
      <c r="H1650" s="9" t="s">
        <v>2981</v>
      </c>
      <c r="I1650" t="s">
        <v>3091</v>
      </c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 t="str">
        <f t="shared" si="1"/>
        <v>Land area </v>
      </c>
      <c r="AE1650" s="7" t="str">
        <f t="shared" si="2"/>
        <v> sq. ft.</v>
      </c>
      <c r="AF1650">
        <f>IFERROR(__xludf.DUMMYFUNCTION("VALUE(REGEXREPLACE(G1650,""[^[:digit:]]"", """"))"),1650.0)</f>
        <v>1650</v>
      </c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 t="s">
        <v>27</v>
      </c>
    </row>
    <row r="1651">
      <c r="A1651" s="7" t="s">
        <v>104</v>
      </c>
      <c r="B1651" s="7" t="s">
        <v>759</v>
      </c>
      <c r="C1651" s="7">
        <f>3</f>
        <v>3</v>
      </c>
      <c r="D1651" s="7">
        <v>2.0</v>
      </c>
      <c r="E1651" s="7">
        <v>2.0</v>
      </c>
      <c r="F1651" s="7" t="s">
        <v>343</v>
      </c>
      <c r="G1651" s="7" t="s">
        <v>283</v>
      </c>
      <c r="H1651" s="9" t="s">
        <v>2981</v>
      </c>
      <c r="I1651" t="s">
        <v>3091</v>
      </c>
      <c r="J1651" s="7"/>
      <c r="K1651" s="7"/>
      <c r="L1651" s="7"/>
      <c r="M1651" s="7"/>
      <c r="N1651" s="7"/>
      <c r="O1651" s="7"/>
      <c r="P1651" s="7"/>
      <c r="Q1651" s="7"/>
      <c r="R1651" s="7"/>
      <c r="S1651" s="7" t="s">
        <v>2990</v>
      </c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 t="str">
        <f t="shared" si="1"/>
        <v>Land area </v>
      </c>
      <c r="AE1651" s="7" t="str">
        <f t="shared" si="2"/>
        <v> sq. ft.</v>
      </c>
      <c r="AF1651">
        <f>IFERROR(__xludf.DUMMYFUNCTION("VALUE(REGEXREPLACE(G1651,""[^[:digit:]]"", """"))"),2275.0)</f>
        <v>2275</v>
      </c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 t="s">
        <v>103</v>
      </c>
    </row>
    <row r="1652">
      <c r="A1652" s="7" t="s">
        <v>432</v>
      </c>
      <c r="B1652" s="7" t="s">
        <v>105</v>
      </c>
      <c r="C1652" s="7">
        <f>2</f>
        <v>2</v>
      </c>
      <c r="D1652" s="7">
        <v>2.0</v>
      </c>
      <c r="E1652" s="9">
        <v>2.0</v>
      </c>
      <c r="F1652" s="7" t="s">
        <v>20</v>
      </c>
      <c r="G1652" s="7" t="s">
        <v>1443</v>
      </c>
      <c r="H1652" s="9" t="s">
        <v>2979</v>
      </c>
      <c r="I1652" t="s">
        <v>3717</v>
      </c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 t="str">
        <f t="shared" si="1"/>
        <v>Built-up :</v>
      </c>
      <c r="AE1652" s="7" t="str">
        <f t="shared" si="2"/>
        <v> sq. ft.</v>
      </c>
      <c r="AF1652">
        <f>IFERROR(__xludf.DUMMYFUNCTION("VALUE(REGEXREPLACE(G1652,""[^[:digit:]]"", """"))"),820.0)</f>
        <v>820</v>
      </c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 t="s">
        <v>22</v>
      </c>
    </row>
    <row r="1653">
      <c r="A1653" s="7" t="s">
        <v>1014</v>
      </c>
      <c r="B1653" s="7" t="s">
        <v>902</v>
      </c>
      <c r="C1653" s="7">
        <f t="shared" ref="C1653:C1654" si="185">3</f>
        <v>3</v>
      </c>
      <c r="D1653" s="7">
        <v>3.0</v>
      </c>
      <c r="E1653" s="9">
        <v>2.0</v>
      </c>
      <c r="F1653" s="7" t="s">
        <v>494</v>
      </c>
      <c r="G1653" s="7" t="s">
        <v>1444</v>
      </c>
      <c r="H1653" s="9" t="s">
        <v>2981</v>
      </c>
      <c r="I1653" t="s">
        <v>3718</v>
      </c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 t="str">
        <f t="shared" si="1"/>
        <v>Land area </v>
      </c>
      <c r="AE1653" s="7" t="str">
        <f t="shared" si="2"/>
        <v> sq. ft.</v>
      </c>
      <c r="AF1653">
        <f>IFERROR(__xludf.DUMMYFUNCTION("VALUE(REGEXREPLACE(G1653,""[^[:digit:]]"", """"))"),1080.0)</f>
        <v>1080</v>
      </c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 t="s">
        <v>27</v>
      </c>
    </row>
    <row r="1654">
      <c r="A1654" s="7" t="s">
        <v>358</v>
      </c>
      <c r="B1654" s="7" t="s">
        <v>752</v>
      </c>
      <c r="C1654" s="7">
        <f t="shared" si="185"/>
        <v>3</v>
      </c>
      <c r="D1654" s="7">
        <v>2.0</v>
      </c>
      <c r="E1654" s="7">
        <v>1.0</v>
      </c>
      <c r="F1654" s="7" t="s">
        <v>50</v>
      </c>
      <c r="G1654" s="7" t="s">
        <v>126</v>
      </c>
      <c r="H1654" s="9" t="s">
        <v>2979</v>
      </c>
      <c r="I1654" t="s">
        <v>3018</v>
      </c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 t="str">
        <f t="shared" si="1"/>
        <v>Built-up :</v>
      </c>
      <c r="AE1654" s="7" t="str">
        <f t="shared" si="2"/>
        <v> sq. ft.</v>
      </c>
      <c r="AF1654">
        <f>IFERROR(__xludf.DUMMYFUNCTION("VALUE(REGEXREPLACE(G1654,""[^[:digit:]]"", """"))"),1023.0)</f>
        <v>1023</v>
      </c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 t="s">
        <v>27</v>
      </c>
    </row>
    <row r="1655">
      <c r="A1655" s="7" t="s">
        <v>17</v>
      </c>
      <c r="B1655" s="7" t="s">
        <v>956</v>
      </c>
      <c r="C1655" s="7">
        <f>2+1</f>
        <v>3</v>
      </c>
      <c r="D1655" s="7">
        <v>2.0</v>
      </c>
      <c r="E1655" s="9">
        <v>2.0</v>
      </c>
      <c r="F1655" s="7" t="s">
        <v>20</v>
      </c>
      <c r="G1655" s="7" t="s">
        <v>418</v>
      </c>
      <c r="H1655" s="9" t="s">
        <v>2979</v>
      </c>
      <c r="I1655" t="s">
        <v>3155</v>
      </c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 t="str">
        <f t="shared" si="1"/>
        <v>Built-up :</v>
      </c>
      <c r="AE1655" s="7" t="str">
        <f t="shared" si="2"/>
        <v> sq. ft.</v>
      </c>
      <c r="AF1655">
        <f>IFERROR(__xludf.DUMMYFUNCTION("VALUE(REGEXREPLACE(G1655,""[^[:digit:]]"", """"))"),777.0)</f>
        <v>777</v>
      </c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 t="s">
        <v>22</v>
      </c>
    </row>
    <row r="1656">
      <c r="A1656" s="7" t="s">
        <v>100</v>
      </c>
      <c r="B1656" s="7" t="s">
        <v>510</v>
      </c>
      <c r="C1656" s="7">
        <f>1</f>
        <v>1</v>
      </c>
      <c r="D1656" s="7">
        <v>2.0</v>
      </c>
      <c r="E1656" s="7">
        <v>1.0</v>
      </c>
      <c r="F1656" s="7" t="s">
        <v>20</v>
      </c>
      <c r="G1656" s="7" t="s">
        <v>786</v>
      </c>
      <c r="H1656" s="9" t="s">
        <v>2979</v>
      </c>
      <c r="I1656" t="s">
        <v>3339</v>
      </c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 t="str">
        <f t="shared" si="1"/>
        <v>Built-up :</v>
      </c>
      <c r="AE1656" s="7" t="str">
        <f t="shared" si="2"/>
        <v> sq. ft.</v>
      </c>
      <c r="AF1656">
        <f>IFERROR(__xludf.DUMMYFUNCTION("VALUE(REGEXREPLACE(G1656,""[^[:digit:]]"", """"))"),775.0)</f>
        <v>775</v>
      </c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 t="s">
        <v>22</v>
      </c>
    </row>
    <row r="1657">
      <c r="A1657" s="7" t="s">
        <v>358</v>
      </c>
      <c r="B1657" s="7" t="s">
        <v>1074</v>
      </c>
      <c r="C1657" s="7">
        <f>3+1</f>
        <v>4</v>
      </c>
      <c r="D1657" s="7">
        <v>4.0</v>
      </c>
      <c r="E1657" s="7">
        <v>2.0</v>
      </c>
      <c r="F1657" s="7" t="s">
        <v>30</v>
      </c>
      <c r="G1657" s="7" t="s">
        <v>1411</v>
      </c>
      <c r="H1657" s="9" t="s">
        <v>2979</v>
      </c>
      <c r="I1657" t="s">
        <v>3696</v>
      </c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 t="str">
        <f t="shared" si="1"/>
        <v>Built-up :</v>
      </c>
      <c r="AE1657" s="7" t="str">
        <f t="shared" si="2"/>
        <v> sq. ft.</v>
      </c>
      <c r="AF1657">
        <f>IFERROR(__xludf.DUMMYFUNCTION("VALUE(REGEXREPLACE(G1657,""[^[:digit:]]"", """"))"),1788.0)</f>
        <v>1788</v>
      </c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 t="s">
        <v>27</v>
      </c>
    </row>
    <row r="1658">
      <c r="A1658" s="7" t="s">
        <v>358</v>
      </c>
      <c r="B1658" s="7" t="s">
        <v>156</v>
      </c>
      <c r="C1658" s="7">
        <f t="shared" ref="C1658:C1659" si="186">3</f>
        <v>3</v>
      </c>
      <c r="D1658" s="7">
        <v>2.0</v>
      </c>
      <c r="E1658" s="7">
        <v>2.0</v>
      </c>
      <c r="F1658" s="7" t="s">
        <v>30</v>
      </c>
      <c r="G1658" s="7" t="s">
        <v>1445</v>
      </c>
      <c r="H1658" s="9" t="s">
        <v>2979</v>
      </c>
      <c r="I1658" t="s">
        <v>3719</v>
      </c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 t="str">
        <f t="shared" si="1"/>
        <v>Built-up :</v>
      </c>
      <c r="AE1658" s="7" t="str">
        <f t="shared" si="2"/>
        <v> sq. ft.</v>
      </c>
      <c r="AF1658">
        <f>IFERROR(__xludf.DUMMYFUNCTION("VALUE(REGEXREPLACE(G1658,""[^[:digit:]]"", """"))"),1306.0)</f>
        <v>1306</v>
      </c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 t="s">
        <v>27</v>
      </c>
    </row>
    <row r="1659">
      <c r="A1659" s="7" t="s">
        <v>358</v>
      </c>
      <c r="B1659" s="7" t="s">
        <v>407</v>
      </c>
      <c r="C1659" s="7">
        <f t="shared" si="186"/>
        <v>3</v>
      </c>
      <c r="D1659" s="7">
        <v>2.0</v>
      </c>
      <c r="E1659" s="7">
        <v>3.0</v>
      </c>
      <c r="F1659" s="7" t="s">
        <v>30</v>
      </c>
      <c r="G1659" s="7" t="s">
        <v>1445</v>
      </c>
      <c r="H1659" s="9" t="s">
        <v>2979</v>
      </c>
      <c r="I1659" t="s">
        <v>3719</v>
      </c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 t="str">
        <f t="shared" si="1"/>
        <v>Built-up :</v>
      </c>
      <c r="AE1659" s="7" t="str">
        <f t="shared" si="2"/>
        <v> sq. ft.</v>
      </c>
      <c r="AF1659">
        <f>IFERROR(__xludf.DUMMYFUNCTION("VALUE(REGEXREPLACE(G1659,""[^[:digit:]]"", """"))"),1306.0)</f>
        <v>1306</v>
      </c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 t="s">
        <v>27</v>
      </c>
    </row>
    <row r="1660">
      <c r="A1660" s="7" t="s">
        <v>33</v>
      </c>
      <c r="B1660" s="7" t="s">
        <v>1446</v>
      </c>
      <c r="C1660" s="7">
        <f>4</f>
        <v>4</v>
      </c>
      <c r="D1660" s="7">
        <v>3.0</v>
      </c>
      <c r="E1660" s="7">
        <v>3.0</v>
      </c>
      <c r="F1660" s="7" t="s">
        <v>83</v>
      </c>
      <c r="G1660" s="7" t="s">
        <v>36</v>
      </c>
      <c r="H1660" s="9" t="s">
        <v>2979</v>
      </c>
      <c r="I1660" t="s">
        <v>2986</v>
      </c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 t="str">
        <f t="shared" si="1"/>
        <v>Built-up :</v>
      </c>
      <c r="AE1660" s="7" t="str">
        <f t="shared" si="2"/>
        <v> sq. ft.</v>
      </c>
      <c r="AF1660">
        <f>IFERROR(__xludf.DUMMYFUNCTION("VALUE(REGEXREPLACE(G1660,""[^[:digit:]]"", """"))"),1513.0)</f>
        <v>1513</v>
      </c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 t="s">
        <v>27</v>
      </c>
    </row>
    <row r="1661">
      <c r="A1661" s="7" t="s">
        <v>171</v>
      </c>
      <c r="B1661" s="7" t="s">
        <v>391</v>
      </c>
      <c r="C1661" s="7">
        <f t="shared" ref="C1661:C1665" si="187">3</f>
        <v>3</v>
      </c>
      <c r="D1661" s="7">
        <v>1.0</v>
      </c>
      <c r="E1661" s="7">
        <v>1.0</v>
      </c>
      <c r="F1661" s="7" t="s">
        <v>50</v>
      </c>
      <c r="G1661" s="7" t="s">
        <v>1447</v>
      </c>
      <c r="H1661" s="9" t="s">
        <v>2979</v>
      </c>
      <c r="I1661" t="s">
        <v>3720</v>
      </c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 t="str">
        <f t="shared" si="1"/>
        <v>Built-up :</v>
      </c>
      <c r="AE1661" s="7" t="str">
        <f t="shared" si="2"/>
        <v> sq. ft.</v>
      </c>
      <c r="AF1661">
        <f>IFERROR(__xludf.DUMMYFUNCTION("VALUE(REGEXREPLACE(G1661,""[^[:digit:]]"", """"))"),653.0)</f>
        <v>653</v>
      </c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 t="s">
        <v>27</v>
      </c>
    </row>
    <row r="1662">
      <c r="A1662" s="7" t="s">
        <v>171</v>
      </c>
      <c r="B1662" s="7" t="s">
        <v>1448</v>
      </c>
      <c r="C1662" s="7">
        <f t="shared" si="187"/>
        <v>3</v>
      </c>
      <c r="D1662" s="7">
        <v>2.0</v>
      </c>
      <c r="E1662" s="7">
        <v>1.0</v>
      </c>
      <c r="F1662" s="7" t="s">
        <v>93</v>
      </c>
      <c r="G1662" s="7" t="s">
        <v>392</v>
      </c>
      <c r="H1662" s="9" t="s">
        <v>2979</v>
      </c>
      <c r="I1662" t="s">
        <v>3141</v>
      </c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 t="str">
        <f t="shared" si="1"/>
        <v>Built-up :</v>
      </c>
      <c r="AE1662" s="7" t="str">
        <f t="shared" si="2"/>
        <v> sq. ft.</v>
      </c>
      <c r="AF1662">
        <f>IFERROR(__xludf.DUMMYFUNCTION("VALUE(REGEXREPLACE(G1662,""[^[:digit:]]"", """"))"),850.0)</f>
        <v>850</v>
      </c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 t="s">
        <v>27</v>
      </c>
    </row>
    <row r="1663">
      <c r="A1663" s="7" t="s">
        <v>171</v>
      </c>
      <c r="B1663" s="7" t="s">
        <v>1140</v>
      </c>
      <c r="C1663" s="7">
        <f t="shared" si="187"/>
        <v>3</v>
      </c>
      <c r="D1663" s="7">
        <v>2.0</v>
      </c>
      <c r="E1663" s="7">
        <v>2.0</v>
      </c>
      <c r="F1663" s="7" t="s">
        <v>93</v>
      </c>
      <c r="G1663" s="7" t="s">
        <v>1449</v>
      </c>
      <c r="H1663" s="9" t="s">
        <v>2979</v>
      </c>
      <c r="I1663" t="s">
        <v>3721</v>
      </c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 t="str">
        <f t="shared" si="1"/>
        <v>Built-up :</v>
      </c>
      <c r="AE1663" s="7" t="str">
        <f t="shared" si="2"/>
        <v> sq. ft.</v>
      </c>
      <c r="AF1663">
        <f>IFERROR(__xludf.DUMMYFUNCTION("VALUE(REGEXREPLACE(G1663,""[^[:digit:]]"", """"))"),931.0)</f>
        <v>931</v>
      </c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 t="s">
        <v>27</v>
      </c>
    </row>
    <row r="1664">
      <c r="A1664" s="7" t="s">
        <v>171</v>
      </c>
      <c r="B1664" s="7" t="s">
        <v>1426</v>
      </c>
      <c r="C1664" s="7">
        <f t="shared" si="187"/>
        <v>3</v>
      </c>
      <c r="D1664" s="7">
        <v>2.0</v>
      </c>
      <c r="E1664" s="7">
        <v>1.0</v>
      </c>
      <c r="F1664" s="7" t="s">
        <v>30</v>
      </c>
      <c r="G1664" s="7" t="s">
        <v>1449</v>
      </c>
      <c r="H1664" s="9" t="s">
        <v>2979</v>
      </c>
      <c r="I1664" t="s">
        <v>3721</v>
      </c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 t="str">
        <f t="shared" si="1"/>
        <v>Built-up :</v>
      </c>
      <c r="AE1664" s="7" t="str">
        <f t="shared" si="2"/>
        <v> sq. ft.</v>
      </c>
      <c r="AF1664">
        <f>IFERROR(__xludf.DUMMYFUNCTION("VALUE(REGEXREPLACE(G1664,""[^[:digit:]]"", """"))"),931.0)</f>
        <v>931</v>
      </c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 t="s">
        <v>103</v>
      </c>
    </row>
    <row r="1665">
      <c r="A1665" s="7" t="s">
        <v>371</v>
      </c>
      <c r="B1665" s="7" t="s">
        <v>1111</v>
      </c>
      <c r="C1665" s="7">
        <f t="shared" si="187"/>
        <v>3</v>
      </c>
      <c r="D1665" s="7">
        <v>2.0</v>
      </c>
      <c r="E1665" s="7">
        <v>1.0</v>
      </c>
      <c r="F1665" s="7" t="s">
        <v>203</v>
      </c>
      <c r="G1665" s="7" t="s">
        <v>1450</v>
      </c>
      <c r="H1665" s="9" t="s">
        <v>2981</v>
      </c>
      <c r="I1665" t="s">
        <v>3615</v>
      </c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 t="str">
        <f t="shared" si="1"/>
        <v>Land area </v>
      </c>
      <c r="AE1665" s="7" t="str">
        <f t="shared" si="2"/>
        <v> sq. ft.</v>
      </c>
      <c r="AF1665">
        <f>IFERROR(__xludf.DUMMYFUNCTION("VALUE(REGEXREPLACE(G1665,""[^[:digit:]]"", """"))"),800.0)</f>
        <v>800</v>
      </c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 t="s">
        <v>103</v>
      </c>
    </row>
    <row r="1666">
      <c r="A1666" s="7" t="s">
        <v>104</v>
      </c>
      <c r="B1666" s="7" t="s">
        <v>1435</v>
      </c>
      <c r="C1666" s="7">
        <f>4</f>
        <v>4</v>
      </c>
      <c r="D1666" s="7">
        <v>3.0</v>
      </c>
      <c r="E1666" s="7">
        <v>3.0</v>
      </c>
      <c r="F1666" s="7" t="s">
        <v>54</v>
      </c>
      <c r="G1666" s="7" t="s">
        <v>211</v>
      </c>
      <c r="H1666" s="9" t="s">
        <v>2981</v>
      </c>
      <c r="I1666" t="s">
        <v>2992</v>
      </c>
      <c r="J1666" s="7"/>
      <c r="K1666" s="7"/>
      <c r="L1666" s="7"/>
      <c r="M1666" s="7"/>
      <c r="N1666" s="7"/>
      <c r="O1666" s="7"/>
      <c r="P1666" s="7"/>
      <c r="Q1666" s="7"/>
      <c r="R1666" s="7"/>
      <c r="S1666" s="7" t="s">
        <v>2993</v>
      </c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 t="str">
        <f t="shared" si="1"/>
        <v>Land area </v>
      </c>
      <c r="AE1666" s="7" t="str">
        <f t="shared" si="2"/>
        <v> sq. ft.</v>
      </c>
      <c r="AF1666">
        <f>IFERROR(__xludf.DUMMYFUNCTION("VALUE(REGEXREPLACE(G1666,""[^[:digit:]]"", """"))"),2280.0)</f>
        <v>2280</v>
      </c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 t="s">
        <v>27</v>
      </c>
    </row>
    <row r="1667">
      <c r="A1667" s="7" t="s">
        <v>171</v>
      </c>
      <c r="B1667" s="7" t="s">
        <v>955</v>
      </c>
      <c r="C1667" s="7">
        <f t="shared" ref="C1667:C1669" si="188">3</f>
        <v>3</v>
      </c>
      <c r="D1667" s="7">
        <v>2.0</v>
      </c>
      <c r="E1667" s="7">
        <v>2.0</v>
      </c>
      <c r="F1667" s="7" t="s">
        <v>54</v>
      </c>
      <c r="G1667" s="7" t="s">
        <v>106</v>
      </c>
      <c r="H1667" s="9" t="s">
        <v>2981</v>
      </c>
      <c r="I1667" t="s">
        <v>3008</v>
      </c>
      <c r="J1667" s="7"/>
      <c r="K1667" s="7"/>
      <c r="L1667" s="7"/>
      <c r="M1667" s="7"/>
      <c r="N1667" s="7"/>
      <c r="O1667" s="7"/>
      <c r="P1667" s="7"/>
      <c r="Q1667" s="7"/>
      <c r="R1667" s="7"/>
      <c r="S1667" s="7" t="s">
        <v>3009</v>
      </c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 t="str">
        <f t="shared" si="1"/>
        <v>Land area </v>
      </c>
      <c r="AE1667" s="7" t="str">
        <f t="shared" si="2"/>
        <v> sq. ft.</v>
      </c>
      <c r="AF1667">
        <f>IFERROR(__xludf.DUMMYFUNCTION("VALUE(REGEXREPLACE(G1667,""[^[:digit:]]"", """"))"),1655.0)</f>
        <v>1655</v>
      </c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</row>
    <row r="1668">
      <c r="A1668" s="7" t="s">
        <v>371</v>
      </c>
      <c r="B1668" s="7" t="s">
        <v>507</v>
      </c>
      <c r="C1668" s="7">
        <f t="shared" si="188"/>
        <v>3</v>
      </c>
      <c r="D1668" s="7">
        <v>2.0</v>
      </c>
      <c r="E1668" s="7">
        <v>2.0</v>
      </c>
      <c r="F1668" s="7" t="s">
        <v>54</v>
      </c>
      <c r="G1668" s="7" t="s">
        <v>106</v>
      </c>
      <c r="H1668" s="9" t="s">
        <v>2981</v>
      </c>
      <c r="I1668" t="s">
        <v>3008</v>
      </c>
      <c r="J1668" s="7"/>
      <c r="K1668" s="7"/>
      <c r="L1668" s="7"/>
      <c r="M1668" s="7"/>
      <c r="N1668" s="7"/>
      <c r="O1668" s="7"/>
      <c r="P1668" s="7"/>
      <c r="Q1668" s="7"/>
      <c r="R1668" s="7"/>
      <c r="S1668" s="7" t="s">
        <v>3009</v>
      </c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 t="str">
        <f t="shared" si="1"/>
        <v>Land area </v>
      </c>
      <c r="AE1668" s="7" t="str">
        <f t="shared" si="2"/>
        <v> sq. ft.</v>
      </c>
      <c r="AF1668">
        <f>IFERROR(__xludf.DUMMYFUNCTION("VALUE(REGEXREPLACE(G1668,""[^[:digit:]]"", """"))"),1655.0)</f>
        <v>1655</v>
      </c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 t="s">
        <v>27</v>
      </c>
    </row>
    <row r="1669">
      <c r="A1669" s="7" t="s">
        <v>171</v>
      </c>
      <c r="B1669" s="7" t="s">
        <v>507</v>
      </c>
      <c r="C1669" s="7">
        <f t="shared" si="188"/>
        <v>3</v>
      </c>
      <c r="D1669" s="7">
        <v>3.0</v>
      </c>
      <c r="E1669" s="7">
        <v>1.0</v>
      </c>
      <c r="F1669" s="7" t="s">
        <v>54</v>
      </c>
      <c r="G1669" s="7" t="s">
        <v>106</v>
      </c>
      <c r="H1669" s="9" t="s">
        <v>2981</v>
      </c>
      <c r="I1669" t="s">
        <v>3008</v>
      </c>
      <c r="J1669" s="7"/>
      <c r="K1669" s="7"/>
      <c r="L1669" s="7"/>
      <c r="M1669" s="7"/>
      <c r="N1669" s="7"/>
      <c r="O1669" s="7"/>
      <c r="P1669" s="7"/>
      <c r="Q1669" s="7"/>
      <c r="R1669" s="7"/>
      <c r="S1669" s="7" t="s">
        <v>3009</v>
      </c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 t="str">
        <f t="shared" si="1"/>
        <v>Land area </v>
      </c>
      <c r="AE1669" s="7" t="str">
        <f t="shared" si="2"/>
        <v> sq. ft.</v>
      </c>
      <c r="AF1669">
        <f>IFERROR(__xludf.DUMMYFUNCTION("VALUE(REGEXREPLACE(G1669,""[^[:digit:]]"", """"))"),1655.0)</f>
        <v>1655</v>
      </c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 t="s">
        <v>27</v>
      </c>
    </row>
    <row r="1670">
      <c r="A1670" s="7" t="s">
        <v>33</v>
      </c>
      <c r="B1670" s="7" t="s">
        <v>655</v>
      </c>
      <c r="C1670" s="7">
        <f>5</f>
        <v>5</v>
      </c>
      <c r="D1670" s="7">
        <v>4.0</v>
      </c>
      <c r="E1670" s="9">
        <v>2.0</v>
      </c>
      <c r="F1670" s="7" t="s">
        <v>273</v>
      </c>
      <c r="G1670" s="7" t="s">
        <v>1451</v>
      </c>
      <c r="H1670" s="9" t="s">
        <v>2981</v>
      </c>
      <c r="I1670" t="s">
        <v>3722</v>
      </c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 t="str">
        <f t="shared" si="1"/>
        <v>Land area </v>
      </c>
      <c r="AE1670" s="7" t="str">
        <f t="shared" si="2"/>
        <v> sq. ft.</v>
      </c>
      <c r="AF1670">
        <f>IFERROR(__xludf.DUMMYFUNCTION("VALUE(REGEXREPLACE(G1670,""[^[:digit:]]"", """"))"),3928.0)</f>
        <v>3928</v>
      </c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 t="s">
        <v>27</v>
      </c>
    </row>
    <row r="1671">
      <c r="A1671" s="7" t="s">
        <v>428</v>
      </c>
      <c r="B1671" s="7" t="s">
        <v>239</v>
      </c>
      <c r="C1671" s="7">
        <f>6+1</f>
        <v>7</v>
      </c>
      <c r="D1671" s="7">
        <v>7.0</v>
      </c>
      <c r="E1671" s="9">
        <v>2.0</v>
      </c>
      <c r="F1671" s="7" t="s">
        <v>90</v>
      </c>
      <c r="G1671" s="7" t="s">
        <v>283</v>
      </c>
      <c r="H1671" s="9" t="s">
        <v>2981</v>
      </c>
      <c r="I1671" t="s">
        <v>3091</v>
      </c>
      <c r="J1671" s="7"/>
      <c r="K1671" s="7"/>
      <c r="L1671" s="7"/>
      <c r="M1671" s="7"/>
      <c r="N1671" s="7"/>
      <c r="O1671" s="7"/>
      <c r="P1671" s="7"/>
      <c r="Q1671" s="7"/>
      <c r="R1671" s="7"/>
      <c r="S1671" s="7" t="s">
        <v>2990</v>
      </c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 t="str">
        <f t="shared" si="1"/>
        <v>Land area </v>
      </c>
      <c r="AE1671" s="7" t="str">
        <f t="shared" si="2"/>
        <v> sq. ft.</v>
      </c>
      <c r="AF1671">
        <f>IFERROR(__xludf.DUMMYFUNCTION("VALUE(REGEXREPLACE(G1671,""[^[:digit:]]"", """"))"),2275.0)</f>
        <v>2275</v>
      </c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 t="s">
        <v>103</v>
      </c>
    </row>
    <row r="1672">
      <c r="A1672" s="7" t="s">
        <v>148</v>
      </c>
      <c r="B1672" s="7" t="s">
        <v>78</v>
      </c>
      <c r="C1672" s="7">
        <f>4+1</f>
        <v>5</v>
      </c>
      <c r="D1672" s="7">
        <v>4.0</v>
      </c>
      <c r="E1672" s="7">
        <v>2.0</v>
      </c>
      <c r="F1672" s="7" t="s">
        <v>54</v>
      </c>
      <c r="G1672" s="7" t="s">
        <v>1296</v>
      </c>
      <c r="H1672" s="9" t="s">
        <v>2981</v>
      </c>
      <c r="I1672" t="s">
        <v>3630</v>
      </c>
      <c r="J1672" s="7"/>
      <c r="K1672" s="7"/>
      <c r="L1672" s="7"/>
      <c r="M1672" s="7"/>
      <c r="N1672" s="7"/>
      <c r="O1672" s="7"/>
      <c r="P1672" s="7"/>
      <c r="Q1672" s="7"/>
      <c r="R1672" s="7"/>
      <c r="S1672" s="7" t="s">
        <v>3101</v>
      </c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 t="str">
        <f t="shared" si="1"/>
        <v>Land area </v>
      </c>
      <c r="AE1672" s="7" t="str">
        <f t="shared" si="2"/>
        <v> sq. ft.</v>
      </c>
      <c r="AF1672">
        <f>IFERROR(__xludf.DUMMYFUNCTION("VALUE(REGEXREPLACE(G1672,""[^[:digit:]]"", """"))"),3285.0)</f>
        <v>3285</v>
      </c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 t="s">
        <v>27</v>
      </c>
    </row>
    <row r="1673">
      <c r="A1673" s="7" t="s">
        <v>72</v>
      </c>
      <c r="B1673" s="7" t="s">
        <v>1452</v>
      </c>
      <c r="E1673" s="9">
        <v>2.0</v>
      </c>
      <c r="F1673" s="7" t="s">
        <v>1453</v>
      </c>
      <c r="G1673" s="7" t="s">
        <v>1120</v>
      </c>
      <c r="H1673" s="9" t="s">
        <v>2981</v>
      </c>
      <c r="I1673" t="s">
        <v>3517</v>
      </c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 t="str">
        <f t="shared" si="1"/>
        <v>Land area </v>
      </c>
      <c r="AE1673" s="7" t="str">
        <f t="shared" si="2"/>
        <v> sq. ft.</v>
      </c>
      <c r="AF1673">
        <f>IFERROR(__xludf.DUMMYFUNCTION("VALUE(REGEXREPLACE(G1673,""[^[:digit:]]"", """"))"),6200.0)</f>
        <v>6200</v>
      </c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 t="s">
        <v>251</v>
      </c>
    </row>
    <row r="1674">
      <c r="A1674" s="7" t="s">
        <v>17</v>
      </c>
      <c r="B1674" s="7" t="s">
        <v>191</v>
      </c>
      <c r="C1674" s="7">
        <f>2+1</f>
        <v>3</v>
      </c>
      <c r="D1674" s="7">
        <v>2.0</v>
      </c>
      <c r="E1674" s="9">
        <v>2.0</v>
      </c>
      <c r="F1674" s="7" t="s">
        <v>20</v>
      </c>
      <c r="G1674" s="7" t="s">
        <v>1454</v>
      </c>
      <c r="H1674" s="9" t="s">
        <v>2979</v>
      </c>
      <c r="I1674" t="s">
        <v>3723</v>
      </c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 t="str">
        <f t="shared" si="1"/>
        <v>Built-up :</v>
      </c>
      <c r="AE1674" s="7" t="str">
        <f t="shared" si="2"/>
        <v> sq. ft.</v>
      </c>
      <c r="AF1674">
        <f>IFERROR(__xludf.DUMMYFUNCTION("VALUE(REGEXREPLACE(G1674,""[^[:digit:]]"", """"))"),826.0)</f>
        <v>826</v>
      </c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 t="s">
        <v>27</v>
      </c>
    </row>
    <row r="1675">
      <c r="A1675" s="7" t="s">
        <v>33</v>
      </c>
      <c r="B1675" s="7" t="s">
        <v>1455</v>
      </c>
      <c r="C1675" s="7">
        <f>3</f>
        <v>3</v>
      </c>
      <c r="D1675" s="7">
        <v>2.0</v>
      </c>
      <c r="E1675" s="7">
        <v>1.0</v>
      </c>
      <c r="F1675" s="7" t="s">
        <v>96</v>
      </c>
      <c r="H1675" s="9" t="s">
        <v>2984</v>
      </c>
      <c r="I1675" t="s">
        <v>2985</v>
      </c>
      <c r="AD1675" s="7" t="str">
        <f t="shared" si="1"/>
        <v/>
      </c>
      <c r="AE1675" s="7" t="str">
        <f t="shared" si="2"/>
        <v/>
      </c>
      <c r="AF1675">
        <f>IFERROR(__xludf.DUMMYFUNCTION("VALUE(REGEXREPLACE(G1675,""[^[:digit:]]"", """"))"),0.0)</f>
        <v>0</v>
      </c>
      <c r="AS1675" s="7" t="s">
        <v>27</v>
      </c>
    </row>
    <row r="1676">
      <c r="A1676" s="7" t="s">
        <v>100</v>
      </c>
      <c r="B1676" s="7" t="s">
        <v>1069</v>
      </c>
      <c r="C1676" s="7">
        <f>2</f>
        <v>2</v>
      </c>
      <c r="D1676" s="7">
        <v>2.0</v>
      </c>
      <c r="E1676" s="7">
        <v>1.0</v>
      </c>
      <c r="F1676" s="7" t="s">
        <v>83</v>
      </c>
      <c r="G1676" s="7" t="s">
        <v>1352</v>
      </c>
      <c r="H1676" s="9" t="s">
        <v>2979</v>
      </c>
      <c r="I1676" t="s">
        <v>3662</v>
      </c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 t="str">
        <f t="shared" si="1"/>
        <v>Built-up :</v>
      </c>
      <c r="AE1676" s="7" t="str">
        <f t="shared" si="2"/>
        <v> sq. ft.</v>
      </c>
      <c r="AF1676">
        <f>IFERROR(__xludf.DUMMYFUNCTION("VALUE(REGEXREPLACE(G1676,""[^[:digit:]]"", """"))"),876.0)</f>
        <v>876</v>
      </c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 t="s">
        <v>22</v>
      </c>
    </row>
    <row r="1677">
      <c r="A1677" s="7" t="s">
        <v>1456</v>
      </c>
      <c r="B1677" s="7" t="s">
        <v>1457</v>
      </c>
      <c r="C1677" s="7">
        <f>4</f>
        <v>4</v>
      </c>
      <c r="D1677" s="7">
        <v>3.0</v>
      </c>
      <c r="E1677" s="9">
        <v>2.0</v>
      </c>
      <c r="F1677" s="7" t="s">
        <v>54</v>
      </c>
      <c r="G1677" s="7" t="s">
        <v>1458</v>
      </c>
      <c r="H1677" s="9" t="s">
        <v>2981</v>
      </c>
      <c r="I1677" t="s">
        <v>3516</v>
      </c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 t="str">
        <f t="shared" si="1"/>
        <v>Land area </v>
      </c>
      <c r="AE1677" s="7" t="str">
        <f t="shared" si="2"/>
        <v> sq. ft.</v>
      </c>
      <c r="AF1677">
        <f>IFERROR(__xludf.DUMMYFUNCTION("VALUE(REGEXREPLACE(G1677,""[^[:digit:]]"", """"))"),1400.0)</f>
        <v>1400</v>
      </c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 t="s">
        <v>27</v>
      </c>
    </row>
    <row r="1678">
      <c r="A1678" s="7" t="s">
        <v>177</v>
      </c>
      <c r="B1678" s="7" t="s">
        <v>1459</v>
      </c>
      <c r="C1678" s="7">
        <f t="shared" ref="C1678:C1679" si="189">4+1</f>
        <v>5</v>
      </c>
      <c r="D1678" s="7">
        <v>6.0</v>
      </c>
      <c r="E1678" s="7">
        <v>5.0</v>
      </c>
      <c r="F1678" s="7" t="s">
        <v>83</v>
      </c>
      <c r="G1678" s="7" t="s">
        <v>574</v>
      </c>
      <c r="H1678" s="9" t="s">
        <v>2979</v>
      </c>
      <c r="I1678" t="s">
        <v>3232</v>
      </c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 t="str">
        <f t="shared" si="1"/>
        <v>Built-up :</v>
      </c>
      <c r="AE1678" s="7" t="str">
        <f t="shared" si="2"/>
        <v> sq. ft.</v>
      </c>
      <c r="AF1678">
        <f>IFERROR(__xludf.DUMMYFUNCTION("VALUE(REGEXREPLACE(G1678,""[^[:digit:]]"", """"))"),4945.0)</f>
        <v>4945</v>
      </c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 t="s">
        <v>27</v>
      </c>
    </row>
    <row r="1679">
      <c r="A1679" s="7" t="s">
        <v>177</v>
      </c>
      <c r="B1679" s="7" t="s">
        <v>616</v>
      </c>
      <c r="C1679" s="7">
        <f t="shared" si="189"/>
        <v>5</v>
      </c>
      <c r="D1679" s="7">
        <v>6.0</v>
      </c>
      <c r="E1679" s="7">
        <v>5.0</v>
      </c>
      <c r="F1679" s="7" t="s">
        <v>83</v>
      </c>
      <c r="G1679" s="7" t="s">
        <v>1401</v>
      </c>
      <c r="H1679" s="9" t="s">
        <v>2979</v>
      </c>
      <c r="I1679" t="s">
        <v>3692</v>
      </c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 t="str">
        <f t="shared" si="1"/>
        <v>Built-up :</v>
      </c>
      <c r="AE1679" s="7" t="str">
        <f t="shared" si="2"/>
        <v> sq. ft.</v>
      </c>
      <c r="AF1679">
        <f>IFERROR(__xludf.DUMMYFUNCTION("VALUE(REGEXREPLACE(G1679,""[^[:digit:]]"", """"))"),5221.0)</f>
        <v>5221</v>
      </c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</row>
    <row r="1680">
      <c r="A1680" s="7" t="s">
        <v>65</v>
      </c>
      <c r="B1680" s="7" t="s">
        <v>1460</v>
      </c>
      <c r="C1680" s="7">
        <f>4+2</f>
        <v>6</v>
      </c>
      <c r="D1680" s="7">
        <v>8.0</v>
      </c>
      <c r="E1680" s="7">
        <v>6.0</v>
      </c>
      <c r="F1680" s="7" t="s">
        <v>25</v>
      </c>
      <c r="G1680" s="7" t="s">
        <v>1461</v>
      </c>
      <c r="H1680" s="9" t="s">
        <v>2981</v>
      </c>
      <c r="I1680" t="s">
        <v>3724</v>
      </c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 t="str">
        <f t="shared" si="1"/>
        <v>Land area </v>
      </c>
      <c r="AE1680" s="7" t="str">
        <f t="shared" si="2"/>
        <v> sq. ft.</v>
      </c>
      <c r="AF1680">
        <f>IFERROR(__xludf.DUMMYFUNCTION("VALUE(REGEXREPLACE(G1680,""[^[:digit:]]"", """"))"),16500.0)</f>
        <v>16500</v>
      </c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 t="s">
        <v>27</v>
      </c>
    </row>
    <row r="1681">
      <c r="A1681" s="7" t="s">
        <v>65</v>
      </c>
      <c r="B1681" s="7" t="s">
        <v>433</v>
      </c>
      <c r="C1681" s="7">
        <f>7+1</f>
        <v>8</v>
      </c>
      <c r="D1681" s="7">
        <v>8.0</v>
      </c>
      <c r="E1681" s="7">
        <v>8.0</v>
      </c>
      <c r="F1681" s="7" t="s">
        <v>25</v>
      </c>
      <c r="G1681" s="7" t="s">
        <v>1462</v>
      </c>
      <c r="H1681" s="9" t="s">
        <v>2981</v>
      </c>
      <c r="I1681" t="s">
        <v>3725</v>
      </c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 t="str">
        <f t="shared" si="1"/>
        <v>Land area </v>
      </c>
      <c r="AE1681" s="7" t="str">
        <f t="shared" si="2"/>
        <v> sq. ft.</v>
      </c>
      <c r="AF1681">
        <f>IFERROR(__xludf.DUMMYFUNCTION("VALUE(REGEXREPLACE(G1681,""[^[:digit:]]"", """"))"),11981.0)</f>
        <v>11981</v>
      </c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 t="s">
        <v>27</v>
      </c>
    </row>
    <row r="1682">
      <c r="A1682" s="7" t="s">
        <v>65</v>
      </c>
      <c r="B1682" s="7" t="s">
        <v>1460</v>
      </c>
      <c r="C1682" s="7">
        <f>6+1</f>
        <v>7</v>
      </c>
      <c r="D1682" s="7">
        <v>9.0</v>
      </c>
      <c r="E1682" s="7">
        <v>5.0</v>
      </c>
      <c r="F1682" s="7" t="s">
        <v>61</v>
      </c>
      <c r="G1682" s="7" t="s">
        <v>1463</v>
      </c>
      <c r="H1682" s="9" t="s">
        <v>2981</v>
      </c>
      <c r="I1682" t="s">
        <v>3726</v>
      </c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 t="str">
        <f t="shared" si="1"/>
        <v>Land area </v>
      </c>
      <c r="AE1682" s="7" t="str">
        <f t="shared" si="2"/>
        <v> sq. ft.</v>
      </c>
      <c r="AF1682">
        <f>IFERROR(__xludf.DUMMYFUNCTION("VALUE(REGEXREPLACE(G1682,""[^[:digit:]]"", """"))"),26920.0)</f>
        <v>26920</v>
      </c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 t="s">
        <v>27</v>
      </c>
    </row>
    <row r="1683">
      <c r="A1683" s="7" t="s">
        <v>267</v>
      </c>
      <c r="B1683" s="7" t="s">
        <v>951</v>
      </c>
      <c r="C1683" s="7">
        <f>1</f>
        <v>1</v>
      </c>
      <c r="D1683" s="7">
        <v>1.0</v>
      </c>
      <c r="E1683" s="7">
        <v>1.0</v>
      </c>
      <c r="F1683" s="7" t="s">
        <v>82</v>
      </c>
      <c r="G1683" s="7" t="s">
        <v>1207</v>
      </c>
      <c r="H1683" s="9" t="s">
        <v>2979</v>
      </c>
      <c r="I1683" t="s">
        <v>3576</v>
      </c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 t="str">
        <f t="shared" si="1"/>
        <v>Built-up :</v>
      </c>
      <c r="AE1683" s="7" t="str">
        <f t="shared" si="2"/>
        <v> sq. ft.</v>
      </c>
      <c r="AF1683">
        <f>IFERROR(__xludf.DUMMYFUNCTION("VALUE(REGEXREPLACE(G1683,""[^[:digit:]]"", """"))"),578.0)</f>
        <v>578</v>
      </c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 t="s">
        <v>27</v>
      </c>
    </row>
    <row r="1684">
      <c r="A1684" s="7" t="s">
        <v>100</v>
      </c>
      <c r="B1684" s="7" t="s">
        <v>419</v>
      </c>
      <c r="C1684" s="7">
        <f>3+1</f>
        <v>4</v>
      </c>
      <c r="D1684" s="7">
        <v>4.0</v>
      </c>
      <c r="E1684" s="7">
        <v>2.0</v>
      </c>
      <c r="F1684" s="7" t="s">
        <v>30</v>
      </c>
      <c r="G1684" s="7" t="s">
        <v>1149</v>
      </c>
      <c r="H1684" s="9" t="s">
        <v>2979</v>
      </c>
      <c r="I1684" t="s">
        <v>3539</v>
      </c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 t="str">
        <f t="shared" si="1"/>
        <v>Built-up :</v>
      </c>
      <c r="AE1684" s="7" t="str">
        <f t="shared" si="2"/>
        <v> sq. ft.</v>
      </c>
      <c r="AF1684">
        <f>IFERROR(__xludf.DUMMYFUNCTION("VALUE(REGEXREPLACE(G1684,""[^[:digit:]]"", """"))"),1782.0)</f>
        <v>1782</v>
      </c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 t="s">
        <v>103</v>
      </c>
    </row>
    <row r="1685">
      <c r="A1685" s="7" t="s">
        <v>100</v>
      </c>
      <c r="B1685" s="7" t="s">
        <v>1140</v>
      </c>
      <c r="C1685" s="7">
        <f>3</f>
        <v>3</v>
      </c>
      <c r="D1685" s="7">
        <v>2.0</v>
      </c>
      <c r="E1685" s="7">
        <v>1.0</v>
      </c>
      <c r="F1685" s="7" t="s">
        <v>20</v>
      </c>
      <c r="G1685" s="7" t="s">
        <v>491</v>
      </c>
      <c r="H1685" s="9" t="s">
        <v>2979</v>
      </c>
      <c r="I1685" t="s">
        <v>3190</v>
      </c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 t="str">
        <f t="shared" si="1"/>
        <v>Built-up :</v>
      </c>
      <c r="AE1685" s="7" t="str">
        <f t="shared" si="2"/>
        <v> sq. ft.</v>
      </c>
      <c r="AF1685">
        <f>IFERROR(__xludf.DUMMYFUNCTION("VALUE(REGEXREPLACE(G1685,""[^[:digit:]]"", """"))"),950.0)</f>
        <v>950</v>
      </c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</row>
    <row r="1686">
      <c r="A1686" s="7" t="s">
        <v>72</v>
      </c>
      <c r="B1686" s="7" t="s">
        <v>712</v>
      </c>
      <c r="C1686" s="7">
        <f>3+1</f>
        <v>4</v>
      </c>
      <c r="D1686" s="7">
        <v>4.0</v>
      </c>
      <c r="E1686" s="9">
        <v>2.0</v>
      </c>
      <c r="F1686" s="7" t="s">
        <v>83</v>
      </c>
      <c r="G1686" s="7" t="s">
        <v>867</v>
      </c>
      <c r="H1686" s="9" t="s">
        <v>2979</v>
      </c>
      <c r="I1686" t="s">
        <v>3379</v>
      </c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 t="str">
        <f t="shared" si="1"/>
        <v>Built-up :</v>
      </c>
      <c r="AE1686" s="7" t="str">
        <f t="shared" si="2"/>
        <v> sq. ft.</v>
      </c>
      <c r="AF1686">
        <f>IFERROR(__xludf.DUMMYFUNCTION("VALUE(REGEXREPLACE(G1686,""[^[:digit:]]"", """"))"),2073.0)</f>
        <v>2073</v>
      </c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 t="s">
        <v>22</v>
      </c>
    </row>
    <row r="1687">
      <c r="A1687" s="7" t="s">
        <v>428</v>
      </c>
      <c r="B1687" s="7" t="s">
        <v>1382</v>
      </c>
      <c r="C1687" s="7">
        <f>1</f>
        <v>1</v>
      </c>
      <c r="D1687" s="7">
        <v>1.0</v>
      </c>
      <c r="E1687" s="7">
        <v>1.0</v>
      </c>
      <c r="F1687" s="7" t="s">
        <v>93</v>
      </c>
      <c r="G1687" s="7" t="s">
        <v>1464</v>
      </c>
      <c r="H1687" s="9" t="s">
        <v>2979</v>
      </c>
      <c r="I1687" t="s">
        <v>3727</v>
      </c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 t="str">
        <f t="shared" si="1"/>
        <v>Built-up :</v>
      </c>
      <c r="AE1687" s="7" t="str">
        <f t="shared" si="2"/>
        <v> sq. ft.</v>
      </c>
      <c r="AF1687">
        <f>IFERROR(__xludf.DUMMYFUNCTION("VALUE(REGEXREPLACE(G1687,""[^[:digit:]]"", """"))"),606.0)</f>
        <v>606</v>
      </c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 t="s">
        <v>27</v>
      </c>
    </row>
    <row r="1688">
      <c r="A1688" s="7" t="s">
        <v>72</v>
      </c>
      <c r="B1688" s="7" t="s">
        <v>236</v>
      </c>
      <c r="C1688" s="7">
        <f>3+2</f>
        <v>5</v>
      </c>
      <c r="D1688" s="7">
        <v>5.0</v>
      </c>
      <c r="E1688" s="7">
        <v>3.0</v>
      </c>
      <c r="F1688" s="7" t="s">
        <v>30</v>
      </c>
      <c r="G1688" s="7" t="s">
        <v>376</v>
      </c>
      <c r="H1688" s="9" t="s">
        <v>2979</v>
      </c>
      <c r="I1688" t="s">
        <v>3133</v>
      </c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 t="str">
        <f t="shared" si="1"/>
        <v>Built-up :</v>
      </c>
      <c r="AE1688" s="7" t="str">
        <f t="shared" si="2"/>
        <v> sq. ft.</v>
      </c>
      <c r="AF1688">
        <f>IFERROR(__xludf.DUMMYFUNCTION("VALUE(REGEXREPLACE(G1688,""[^[:digit:]]"", """"))"),2411.0)</f>
        <v>2411</v>
      </c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 t="s">
        <v>22</v>
      </c>
    </row>
    <row r="1689">
      <c r="A1689" s="7" t="s">
        <v>72</v>
      </c>
      <c r="B1689" s="7" t="s">
        <v>281</v>
      </c>
      <c r="C1689" s="7">
        <f>4+1</f>
        <v>5</v>
      </c>
      <c r="D1689" s="7">
        <v>6.0</v>
      </c>
      <c r="E1689" s="9">
        <v>2.0</v>
      </c>
      <c r="F1689" s="7" t="s">
        <v>83</v>
      </c>
      <c r="G1689" s="7" t="s">
        <v>933</v>
      </c>
      <c r="H1689" s="9" t="s">
        <v>2979</v>
      </c>
      <c r="I1689" t="s">
        <v>3414</v>
      </c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 t="str">
        <f t="shared" si="1"/>
        <v>Built-up :</v>
      </c>
      <c r="AE1689" s="7" t="str">
        <f t="shared" si="2"/>
        <v> sq. ft.</v>
      </c>
      <c r="AF1689">
        <f>IFERROR(__xludf.DUMMYFUNCTION("VALUE(REGEXREPLACE(G1689,""[^[:digit:]]"", """"))"),3541.0)</f>
        <v>3541</v>
      </c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 t="s">
        <v>27</v>
      </c>
    </row>
    <row r="1690">
      <c r="A1690" s="7" t="s">
        <v>72</v>
      </c>
      <c r="B1690" s="7" t="s">
        <v>1465</v>
      </c>
      <c r="C1690" s="7">
        <f>4+2</f>
        <v>6</v>
      </c>
      <c r="D1690" s="7">
        <v>6.0</v>
      </c>
      <c r="E1690" s="7">
        <v>3.0</v>
      </c>
      <c r="F1690" s="7" t="s">
        <v>30</v>
      </c>
      <c r="G1690" s="7" t="s">
        <v>176</v>
      </c>
      <c r="H1690" s="9" t="s">
        <v>2979</v>
      </c>
      <c r="I1690" t="s">
        <v>3039</v>
      </c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 t="str">
        <f t="shared" si="1"/>
        <v>Built-up :</v>
      </c>
      <c r="AE1690" s="7" t="str">
        <f t="shared" si="2"/>
        <v> sq. ft.</v>
      </c>
      <c r="AF1690">
        <f>IFERROR(__xludf.DUMMYFUNCTION("VALUE(REGEXREPLACE(G1690,""[^[:digit:]]"", """"))"),3000.0)</f>
        <v>3000</v>
      </c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</row>
    <row r="1691">
      <c r="A1691" s="7" t="s">
        <v>72</v>
      </c>
      <c r="B1691" s="7" t="s">
        <v>193</v>
      </c>
      <c r="C1691" s="7">
        <f>3+1</f>
        <v>4</v>
      </c>
      <c r="D1691" s="7">
        <v>4.0</v>
      </c>
      <c r="E1691" s="7">
        <v>2.0</v>
      </c>
      <c r="F1691" s="7" t="s">
        <v>30</v>
      </c>
      <c r="G1691" s="7" t="s">
        <v>404</v>
      </c>
      <c r="H1691" s="9" t="s">
        <v>2979</v>
      </c>
      <c r="I1691" t="s">
        <v>3147</v>
      </c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 t="str">
        <f t="shared" si="1"/>
        <v>Built-up :</v>
      </c>
      <c r="AE1691" s="7" t="str">
        <f t="shared" si="2"/>
        <v> sq. ft.</v>
      </c>
      <c r="AF1691">
        <f>IFERROR(__xludf.DUMMYFUNCTION("VALUE(REGEXREPLACE(G1691,""[^[:digit:]]"", """"))"),1878.0)</f>
        <v>1878</v>
      </c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 t="s">
        <v>27</v>
      </c>
    </row>
    <row r="1692">
      <c r="A1692" s="7" t="s">
        <v>72</v>
      </c>
      <c r="B1692" s="7" t="s">
        <v>125</v>
      </c>
      <c r="C1692" s="7">
        <f>4+1</f>
        <v>5</v>
      </c>
      <c r="D1692" s="7">
        <v>6.0</v>
      </c>
      <c r="E1692" s="7">
        <v>3.0</v>
      </c>
      <c r="F1692" s="7" t="s">
        <v>30</v>
      </c>
      <c r="G1692" s="7" t="s">
        <v>803</v>
      </c>
      <c r="H1692" s="9" t="s">
        <v>2979</v>
      </c>
      <c r="I1692" t="s">
        <v>3348</v>
      </c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 t="str">
        <f t="shared" si="1"/>
        <v>Built-up :</v>
      </c>
      <c r="AE1692" s="7" t="str">
        <f t="shared" si="2"/>
        <v> sq. ft.</v>
      </c>
      <c r="AF1692">
        <f>IFERROR(__xludf.DUMMYFUNCTION("VALUE(REGEXREPLACE(G1692,""[^[:digit:]]"", """"))"),2874.0)</f>
        <v>2874</v>
      </c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 t="s">
        <v>27</v>
      </c>
    </row>
    <row r="1693">
      <c r="A1693" s="7" t="s">
        <v>17</v>
      </c>
      <c r="B1693" s="7" t="s">
        <v>1466</v>
      </c>
      <c r="C1693" s="7">
        <f>3+1</f>
        <v>4</v>
      </c>
      <c r="D1693" s="7">
        <v>4.0</v>
      </c>
      <c r="E1693" s="7">
        <v>2.0</v>
      </c>
      <c r="F1693" s="7" t="s">
        <v>30</v>
      </c>
      <c r="G1693" s="7" t="s">
        <v>680</v>
      </c>
      <c r="H1693" s="9" t="s">
        <v>2979</v>
      </c>
      <c r="I1693" t="s">
        <v>3281</v>
      </c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 t="str">
        <f t="shared" si="1"/>
        <v>Built-up :</v>
      </c>
      <c r="AE1693" s="7" t="str">
        <f t="shared" si="2"/>
        <v> sq. ft.</v>
      </c>
      <c r="AF1693">
        <f>IFERROR(__xludf.DUMMYFUNCTION("VALUE(REGEXREPLACE(G1693,""[^[:digit:]]"", """"))"),2013.0)</f>
        <v>2013</v>
      </c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 t="s">
        <v>27</v>
      </c>
    </row>
    <row r="1694">
      <c r="A1694" s="7" t="s">
        <v>72</v>
      </c>
      <c r="B1694" s="7" t="s">
        <v>329</v>
      </c>
      <c r="C1694" s="7">
        <f>3</f>
        <v>3</v>
      </c>
      <c r="D1694" s="7">
        <v>2.0</v>
      </c>
      <c r="E1694" s="7">
        <v>1.0</v>
      </c>
      <c r="F1694" s="7" t="s">
        <v>30</v>
      </c>
      <c r="G1694" s="7" t="s">
        <v>135</v>
      </c>
      <c r="H1694" s="9" t="s">
        <v>2979</v>
      </c>
      <c r="I1694" t="s">
        <v>3023</v>
      </c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 t="str">
        <f t="shared" si="1"/>
        <v>Built-up :</v>
      </c>
      <c r="AE1694" s="7" t="str">
        <f t="shared" si="2"/>
        <v> sq. ft.</v>
      </c>
      <c r="AF1694">
        <f>IFERROR(__xludf.DUMMYFUNCTION("VALUE(REGEXREPLACE(G1694,""[^[:digit:]]"", """"))"),1200.0)</f>
        <v>1200</v>
      </c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 t="s">
        <v>27</v>
      </c>
    </row>
    <row r="1695">
      <c r="A1695" s="7" t="s">
        <v>72</v>
      </c>
      <c r="B1695" s="7" t="s">
        <v>1467</v>
      </c>
      <c r="C1695" s="7">
        <f t="shared" ref="C1695:C1696" si="190">3+1</f>
        <v>4</v>
      </c>
      <c r="D1695" s="7">
        <v>4.0</v>
      </c>
      <c r="E1695" s="7">
        <v>2.0</v>
      </c>
      <c r="F1695" s="7" t="s">
        <v>30</v>
      </c>
      <c r="G1695" s="7" t="s">
        <v>334</v>
      </c>
      <c r="H1695" s="9" t="s">
        <v>2979</v>
      </c>
      <c r="I1695" t="s">
        <v>3112</v>
      </c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 t="str">
        <f t="shared" si="1"/>
        <v>Built-up :</v>
      </c>
      <c r="AE1695" s="7" t="str">
        <f t="shared" si="2"/>
        <v> sq. ft.</v>
      </c>
      <c r="AF1695">
        <f>IFERROR(__xludf.DUMMYFUNCTION("VALUE(REGEXREPLACE(G1695,""[^[:digit:]]"", """"))"),1496.0)</f>
        <v>1496</v>
      </c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 t="s">
        <v>27</v>
      </c>
    </row>
    <row r="1696">
      <c r="A1696" s="7" t="s">
        <v>72</v>
      </c>
      <c r="B1696" s="7" t="s">
        <v>158</v>
      </c>
      <c r="C1696" s="7">
        <f t="shared" si="190"/>
        <v>4</v>
      </c>
      <c r="D1696" s="7">
        <v>4.0</v>
      </c>
      <c r="E1696" s="7">
        <v>2.0</v>
      </c>
      <c r="F1696" s="7" t="s">
        <v>30</v>
      </c>
      <c r="G1696" s="7" t="s">
        <v>714</v>
      </c>
      <c r="H1696" s="9" t="s">
        <v>2979</v>
      </c>
      <c r="I1696" t="s">
        <v>3295</v>
      </c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 t="str">
        <f t="shared" si="1"/>
        <v>Built-up :</v>
      </c>
      <c r="AE1696" s="7" t="str">
        <f t="shared" si="2"/>
        <v> sq. ft.</v>
      </c>
      <c r="AF1696">
        <f>IFERROR(__xludf.DUMMYFUNCTION("VALUE(REGEXREPLACE(G1696,""[^[:digit:]]"", """"))"),2038.0)</f>
        <v>2038</v>
      </c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 t="s">
        <v>27</v>
      </c>
    </row>
    <row r="1697">
      <c r="A1697" s="7" t="s">
        <v>17</v>
      </c>
      <c r="B1697" s="7" t="s">
        <v>236</v>
      </c>
      <c r="C1697" s="7">
        <f>4+1</f>
        <v>5</v>
      </c>
      <c r="D1697" s="7">
        <v>6.0</v>
      </c>
      <c r="E1697" s="7">
        <v>2.0</v>
      </c>
      <c r="F1697" s="7" t="s">
        <v>30</v>
      </c>
      <c r="G1697" s="7" t="s">
        <v>387</v>
      </c>
      <c r="H1697" s="9" t="s">
        <v>2979</v>
      </c>
      <c r="I1697" t="s">
        <v>3139</v>
      </c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 t="str">
        <f t="shared" si="1"/>
        <v>Built-up :</v>
      </c>
      <c r="AE1697" s="7" t="str">
        <f t="shared" si="2"/>
        <v> sq. ft.</v>
      </c>
      <c r="AF1697">
        <f>IFERROR(__xludf.DUMMYFUNCTION("VALUE(REGEXREPLACE(G1697,""[^[:digit:]]"", """"))"),2315.0)</f>
        <v>2315</v>
      </c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 t="s">
        <v>27</v>
      </c>
    </row>
    <row r="1698">
      <c r="A1698" s="7" t="s">
        <v>72</v>
      </c>
      <c r="B1698" s="7" t="s">
        <v>1468</v>
      </c>
      <c r="C1698" s="7">
        <f t="shared" ref="C1698:C1699" si="191">3+1</f>
        <v>4</v>
      </c>
      <c r="D1698" s="7">
        <v>4.0</v>
      </c>
      <c r="E1698" s="7">
        <v>2.0</v>
      </c>
      <c r="F1698" s="7" t="s">
        <v>30</v>
      </c>
      <c r="G1698" s="7" t="s">
        <v>99</v>
      </c>
      <c r="H1698" s="9" t="s">
        <v>2979</v>
      </c>
      <c r="I1698" t="s">
        <v>3006</v>
      </c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 t="str">
        <f t="shared" si="1"/>
        <v>Built-up :</v>
      </c>
      <c r="AE1698" s="7" t="str">
        <f t="shared" si="2"/>
        <v> sq. ft.</v>
      </c>
      <c r="AF1698">
        <f>IFERROR(__xludf.DUMMYFUNCTION("VALUE(REGEXREPLACE(G1698,""[^[:digit:]]"", """"))"),1668.0)</f>
        <v>1668</v>
      </c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 t="s">
        <v>27</v>
      </c>
    </row>
    <row r="1699">
      <c r="A1699" s="7" t="s">
        <v>17</v>
      </c>
      <c r="B1699" s="7" t="s">
        <v>1469</v>
      </c>
      <c r="C1699" s="7">
        <f t="shared" si="191"/>
        <v>4</v>
      </c>
      <c r="D1699" s="7">
        <v>5.0</v>
      </c>
      <c r="E1699" s="7">
        <v>2.0</v>
      </c>
      <c r="F1699" s="7" t="s">
        <v>30</v>
      </c>
      <c r="G1699" s="7" t="s">
        <v>1418</v>
      </c>
      <c r="H1699" s="9" t="s">
        <v>2979</v>
      </c>
      <c r="I1699" t="s">
        <v>3700</v>
      </c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 t="str">
        <f t="shared" si="1"/>
        <v>Built-up :</v>
      </c>
      <c r="AE1699" s="7" t="str">
        <f t="shared" si="2"/>
        <v> sq. ft.</v>
      </c>
      <c r="AF1699">
        <f>IFERROR(__xludf.DUMMYFUNCTION("VALUE(REGEXREPLACE(G1699,""[^[:digit:]]"", """"))"),2586.0)</f>
        <v>2586</v>
      </c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</row>
    <row r="1700">
      <c r="A1700" s="7" t="s">
        <v>72</v>
      </c>
      <c r="B1700" s="7" t="s">
        <v>475</v>
      </c>
      <c r="C1700" s="7">
        <f>4+2</f>
        <v>6</v>
      </c>
      <c r="D1700" s="7">
        <v>6.0</v>
      </c>
      <c r="E1700" s="7">
        <v>3.0</v>
      </c>
      <c r="F1700" s="7" t="s">
        <v>30</v>
      </c>
      <c r="G1700" s="7" t="s">
        <v>1436</v>
      </c>
      <c r="H1700" s="9" t="s">
        <v>2979</v>
      </c>
      <c r="I1700" t="s">
        <v>3711</v>
      </c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 t="str">
        <f t="shared" si="1"/>
        <v>Built-up :</v>
      </c>
      <c r="AE1700" s="7" t="str">
        <f t="shared" si="2"/>
        <v> sq. ft.</v>
      </c>
      <c r="AF1700">
        <f>IFERROR(__xludf.DUMMYFUNCTION("VALUE(REGEXREPLACE(G1700,""[^[:digit:]]"", """"))"),3714.0)</f>
        <v>3714</v>
      </c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 t="s">
        <v>27</v>
      </c>
    </row>
    <row r="1701">
      <c r="A1701" s="7" t="s">
        <v>155</v>
      </c>
      <c r="B1701" s="7" t="s">
        <v>1470</v>
      </c>
      <c r="C1701" s="7">
        <f>2+1</f>
        <v>3</v>
      </c>
      <c r="D1701" s="7">
        <v>2.0</v>
      </c>
      <c r="E1701" s="7">
        <v>1.0</v>
      </c>
      <c r="F1701" s="7" t="s">
        <v>93</v>
      </c>
      <c r="G1701" s="7" t="s">
        <v>1471</v>
      </c>
      <c r="H1701" s="9" t="s">
        <v>2979</v>
      </c>
      <c r="I1701" t="s">
        <v>3728</v>
      </c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 t="str">
        <f t="shared" si="1"/>
        <v>Built-up :</v>
      </c>
      <c r="AE1701" s="7" t="str">
        <f t="shared" si="2"/>
        <v> sq. ft.</v>
      </c>
      <c r="AF1701">
        <f>IFERROR(__xludf.DUMMYFUNCTION("VALUE(REGEXREPLACE(G1701,""[^[:digit:]]"", """"))"),1115.0)</f>
        <v>1115</v>
      </c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 t="s">
        <v>27</v>
      </c>
    </row>
    <row r="1702">
      <c r="A1702" s="7" t="s">
        <v>171</v>
      </c>
      <c r="B1702" s="7" t="s">
        <v>268</v>
      </c>
      <c r="C1702" s="7">
        <f>4</f>
        <v>4</v>
      </c>
      <c r="D1702" s="7">
        <v>2.0</v>
      </c>
      <c r="E1702" s="7">
        <v>2.0</v>
      </c>
      <c r="F1702" s="7" t="s">
        <v>83</v>
      </c>
      <c r="G1702" s="7" t="s">
        <v>1472</v>
      </c>
      <c r="H1702" s="9" t="s">
        <v>2979</v>
      </c>
      <c r="I1702" t="s">
        <v>3729</v>
      </c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 t="str">
        <f t="shared" si="1"/>
        <v>Built-up :</v>
      </c>
      <c r="AE1702" s="7" t="str">
        <f t="shared" si="2"/>
        <v> sq. ft.</v>
      </c>
      <c r="AF1702">
        <f>IFERROR(__xludf.DUMMYFUNCTION("VALUE(REGEXREPLACE(G1702,""[^[:digit:]]"", """"))"),1522.0)</f>
        <v>1522</v>
      </c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 t="s">
        <v>27</v>
      </c>
    </row>
    <row r="1703">
      <c r="A1703" s="7" t="s">
        <v>171</v>
      </c>
      <c r="B1703" s="7" t="s">
        <v>172</v>
      </c>
      <c r="C1703" s="7">
        <f>2+1</f>
        <v>3</v>
      </c>
      <c r="D1703" s="7">
        <v>2.0</v>
      </c>
      <c r="E1703" s="7">
        <v>2.0</v>
      </c>
      <c r="F1703" s="7" t="s">
        <v>83</v>
      </c>
      <c r="G1703" s="7" t="s">
        <v>892</v>
      </c>
      <c r="H1703" s="9" t="s">
        <v>2979</v>
      </c>
      <c r="I1703" t="s">
        <v>3391</v>
      </c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 t="str">
        <f t="shared" si="1"/>
        <v>Built-up :</v>
      </c>
      <c r="AE1703" s="7" t="str">
        <f t="shared" si="2"/>
        <v> sq. ft.</v>
      </c>
      <c r="AF1703">
        <f>IFERROR(__xludf.DUMMYFUNCTION("VALUE(REGEXREPLACE(G1703,""[^[:digit:]]"", """"))"),1098.0)</f>
        <v>1098</v>
      </c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 t="s">
        <v>27</v>
      </c>
    </row>
    <row r="1704">
      <c r="A1704" s="7" t="s">
        <v>171</v>
      </c>
      <c r="B1704" s="7" t="s">
        <v>1473</v>
      </c>
      <c r="C1704" s="7">
        <f>3</f>
        <v>3</v>
      </c>
      <c r="D1704" s="7">
        <v>2.0</v>
      </c>
      <c r="E1704" s="7">
        <v>1.0</v>
      </c>
      <c r="F1704" s="7" t="s">
        <v>83</v>
      </c>
      <c r="G1704" s="7" t="s">
        <v>1474</v>
      </c>
      <c r="H1704" s="9" t="s">
        <v>2979</v>
      </c>
      <c r="I1704" t="s">
        <v>3730</v>
      </c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 t="str">
        <f t="shared" si="1"/>
        <v>Built-up :</v>
      </c>
      <c r="AE1704" s="7" t="str">
        <f t="shared" si="2"/>
        <v> sq. ft.</v>
      </c>
      <c r="AF1704">
        <f>IFERROR(__xludf.DUMMYFUNCTION("VALUE(REGEXREPLACE(G1704,""[^[:digit:]]"", """"))"),832.0)</f>
        <v>832</v>
      </c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 t="s">
        <v>27</v>
      </c>
    </row>
    <row r="1705">
      <c r="A1705" s="7" t="s">
        <v>17</v>
      </c>
      <c r="B1705" s="7" t="s">
        <v>610</v>
      </c>
      <c r="C1705" s="7">
        <f>2+1</f>
        <v>3</v>
      </c>
      <c r="D1705" s="7">
        <v>2.0</v>
      </c>
      <c r="E1705" s="9">
        <v>2.0</v>
      </c>
      <c r="F1705" s="7" t="s">
        <v>20</v>
      </c>
      <c r="G1705" s="7" t="s">
        <v>1475</v>
      </c>
      <c r="H1705" s="9" t="s">
        <v>2979</v>
      </c>
      <c r="I1705" t="s">
        <v>3731</v>
      </c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 t="str">
        <f t="shared" si="1"/>
        <v>Built-up :</v>
      </c>
      <c r="AE1705" s="7" t="str">
        <f t="shared" si="2"/>
        <v> sq. ft.</v>
      </c>
      <c r="AF1705">
        <f>IFERROR(__xludf.DUMMYFUNCTION("VALUE(REGEXREPLACE(G1705,""[^[:digit:]]"", """"))"),1302.0)</f>
        <v>1302</v>
      </c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 t="s">
        <v>22</v>
      </c>
    </row>
    <row r="1706">
      <c r="A1706" s="7" t="s">
        <v>17</v>
      </c>
      <c r="B1706" s="7" t="s">
        <v>18</v>
      </c>
      <c r="C1706" s="7">
        <f>1</f>
        <v>1</v>
      </c>
      <c r="D1706" s="7">
        <v>1.0</v>
      </c>
      <c r="E1706" s="7">
        <v>1.0</v>
      </c>
      <c r="F1706" s="7" t="s">
        <v>20</v>
      </c>
      <c r="G1706" s="7" t="s">
        <v>392</v>
      </c>
      <c r="H1706" s="9" t="s">
        <v>2979</v>
      </c>
      <c r="I1706" t="s">
        <v>3141</v>
      </c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 t="str">
        <f t="shared" si="1"/>
        <v>Built-up :</v>
      </c>
      <c r="AE1706" s="7" t="str">
        <f t="shared" si="2"/>
        <v> sq. ft.</v>
      </c>
      <c r="AF1706">
        <f>IFERROR(__xludf.DUMMYFUNCTION("VALUE(REGEXREPLACE(G1706,""[^[:digit:]]"", """"))"),850.0)</f>
        <v>850</v>
      </c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 t="s">
        <v>22</v>
      </c>
    </row>
    <row r="1707">
      <c r="A1707" s="7" t="s">
        <v>17</v>
      </c>
      <c r="B1707" s="7" t="s">
        <v>712</v>
      </c>
      <c r="C1707" s="7">
        <f>2+1</f>
        <v>3</v>
      </c>
      <c r="D1707" s="7">
        <v>2.0</v>
      </c>
      <c r="E1707" s="9">
        <v>2.0</v>
      </c>
      <c r="F1707" s="7" t="s">
        <v>20</v>
      </c>
      <c r="G1707" s="7" t="s">
        <v>1004</v>
      </c>
      <c r="H1707" s="9" t="s">
        <v>2979</v>
      </c>
      <c r="I1707" t="s">
        <v>3449</v>
      </c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 t="str">
        <f t="shared" si="1"/>
        <v>Built-up :</v>
      </c>
      <c r="AE1707" s="7" t="str">
        <f t="shared" si="2"/>
        <v> sq. ft.</v>
      </c>
      <c r="AF1707">
        <f>IFERROR(__xludf.DUMMYFUNCTION("VALUE(REGEXREPLACE(G1707,""[^[:digit:]]"", """"))"),1300.0)</f>
        <v>1300</v>
      </c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 t="s">
        <v>22</v>
      </c>
    </row>
    <row r="1708">
      <c r="A1708" s="7" t="s">
        <v>1476</v>
      </c>
      <c r="B1708" s="7" t="s">
        <v>1477</v>
      </c>
      <c r="C1708" s="7">
        <f t="shared" ref="C1708:C1709" si="192">3</f>
        <v>3</v>
      </c>
      <c r="D1708" s="7">
        <v>2.0</v>
      </c>
      <c r="E1708" s="7">
        <v>1.0</v>
      </c>
      <c r="F1708" s="7" t="s">
        <v>50</v>
      </c>
      <c r="G1708" s="7" t="s">
        <v>1478</v>
      </c>
      <c r="H1708" s="9" t="s">
        <v>2979</v>
      </c>
      <c r="I1708" t="s">
        <v>3732</v>
      </c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 t="str">
        <f t="shared" si="1"/>
        <v>Built-up :</v>
      </c>
      <c r="AE1708" s="7" t="str">
        <f t="shared" si="2"/>
        <v> sq. ft.</v>
      </c>
      <c r="AF1708">
        <f>IFERROR(__xludf.DUMMYFUNCTION("VALUE(REGEXREPLACE(G1708,""[^[:digit:]]"", """"))"),830.0)</f>
        <v>830</v>
      </c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 t="s">
        <v>27</v>
      </c>
    </row>
    <row r="1709">
      <c r="A1709" s="7" t="s">
        <v>32</v>
      </c>
      <c r="B1709" s="7" t="s">
        <v>1479</v>
      </c>
      <c r="C1709" s="7">
        <f t="shared" si="192"/>
        <v>3</v>
      </c>
      <c r="D1709" s="7">
        <v>2.0</v>
      </c>
      <c r="E1709" s="9">
        <v>2.0</v>
      </c>
      <c r="F1709" s="7" t="s">
        <v>50</v>
      </c>
      <c r="G1709" s="7" t="s">
        <v>242</v>
      </c>
      <c r="H1709" s="9" t="s">
        <v>2979</v>
      </c>
      <c r="I1709" t="s">
        <v>3072</v>
      </c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 t="str">
        <f t="shared" si="1"/>
        <v>Built-up :</v>
      </c>
      <c r="AE1709" s="7" t="str">
        <f t="shared" si="2"/>
        <v> sq. ft.</v>
      </c>
      <c r="AF1709">
        <f>IFERROR(__xludf.DUMMYFUNCTION("VALUE(REGEXREPLACE(G1709,""[^[:digit:]]"", """"))"),650.0)</f>
        <v>650</v>
      </c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 t="s">
        <v>27</v>
      </c>
    </row>
    <row r="1710">
      <c r="A1710" s="7" t="s">
        <v>267</v>
      </c>
      <c r="B1710" s="7" t="s">
        <v>543</v>
      </c>
      <c r="C1710" s="7">
        <f>1</f>
        <v>1</v>
      </c>
      <c r="D1710" s="7">
        <v>1.0</v>
      </c>
      <c r="E1710" s="7">
        <v>1.0</v>
      </c>
      <c r="F1710" s="7" t="s">
        <v>82</v>
      </c>
      <c r="G1710" s="7" t="s">
        <v>1480</v>
      </c>
      <c r="H1710" s="9" t="s">
        <v>2979</v>
      </c>
      <c r="I1710" t="s">
        <v>3733</v>
      </c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 t="str">
        <f t="shared" si="1"/>
        <v>Built-up :</v>
      </c>
      <c r="AE1710" s="7" t="str">
        <f t="shared" si="2"/>
        <v> sq. ft.</v>
      </c>
      <c r="AF1710">
        <f>IFERROR(__xludf.DUMMYFUNCTION("VALUE(REGEXREPLACE(G1710,""[^[:digit:]]"", """"))"),572.0)</f>
        <v>572</v>
      </c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 t="s">
        <v>27</v>
      </c>
    </row>
    <row r="1711">
      <c r="A1711" s="7" t="s">
        <v>267</v>
      </c>
      <c r="B1711" s="7" t="s">
        <v>947</v>
      </c>
      <c r="C1711" s="7">
        <f>2</f>
        <v>2</v>
      </c>
      <c r="D1711" s="7">
        <v>2.0</v>
      </c>
      <c r="E1711" s="7">
        <v>1.0</v>
      </c>
      <c r="F1711" s="7" t="s">
        <v>82</v>
      </c>
      <c r="G1711" s="7" t="s">
        <v>269</v>
      </c>
      <c r="H1711" s="9" t="s">
        <v>2979</v>
      </c>
      <c r="I1711" t="s">
        <v>3084</v>
      </c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 t="str">
        <f t="shared" si="1"/>
        <v>Built-up :</v>
      </c>
      <c r="AE1711" s="7" t="str">
        <f t="shared" si="2"/>
        <v> sq. ft.</v>
      </c>
      <c r="AF1711">
        <f>IFERROR(__xludf.DUMMYFUNCTION("VALUE(REGEXREPLACE(G1711,""[^[:digit:]]"", """"))"),715.0)</f>
        <v>715</v>
      </c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 t="s">
        <v>27</v>
      </c>
    </row>
    <row r="1712">
      <c r="A1712" s="7" t="s">
        <v>171</v>
      </c>
      <c r="B1712" s="7" t="s">
        <v>1297</v>
      </c>
      <c r="C1712" s="7">
        <f t="shared" ref="C1712:C1713" si="193">3</f>
        <v>3</v>
      </c>
      <c r="D1712" s="7">
        <v>2.0</v>
      </c>
      <c r="E1712" s="9">
        <v>2.0</v>
      </c>
      <c r="F1712" s="7" t="s">
        <v>83</v>
      </c>
      <c r="G1712" s="7" t="s">
        <v>192</v>
      </c>
      <c r="H1712" s="9" t="s">
        <v>2979</v>
      </c>
      <c r="I1712" t="s">
        <v>3045</v>
      </c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 t="str">
        <f t="shared" si="1"/>
        <v>Built-up :</v>
      </c>
      <c r="AE1712" s="7" t="str">
        <f t="shared" si="2"/>
        <v> sq. ft.</v>
      </c>
      <c r="AF1712">
        <f>IFERROR(__xludf.DUMMYFUNCTION("VALUE(REGEXREPLACE(G1712,""[^[:digit:]]"", """"))"),1313.0)</f>
        <v>1313</v>
      </c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 t="s">
        <v>22</v>
      </c>
    </row>
    <row r="1713">
      <c r="A1713" s="7" t="s">
        <v>32</v>
      </c>
      <c r="B1713" s="7" t="s">
        <v>1341</v>
      </c>
      <c r="C1713" s="7">
        <f t="shared" si="193"/>
        <v>3</v>
      </c>
      <c r="D1713" s="7">
        <v>2.0</v>
      </c>
      <c r="E1713" s="7">
        <v>1.0</v>
      </c>
      <c r="F1713" s="7" t="s">
        <v>93</v>
      </c>
      <c r="G1713" s="7" t="s">
        <v>1481</v>
      </c>
      <c r="H1713" s="9" t="s">
        <v>2979</v>
      </c>
      <c r="I1713" t="s">
        <v>3734</v>
      </c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 t="str">
        <f t="shared" si="1"/>
        <v>Built-up :</v>
      </c>
      <c r="AE1713" s="7" t="str">
        <f t="shared" si="2"/>
        <v> sq. ft.</v>
      </c>
      <c r="AF1713">
        <f>IFERROR(__xludf.DUMMYFUNCTION("VALUE(REGEXREPLACE(G1713,""[^[:digit:]]"", """"))"),1140.0)</f>
        <v>1140</v>
      </c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 t="s">
        <v>27</v>
      </c>
    </row>
    <row r="1714">
      <c r="A1714" s="7" t="s">
        <v>180</v>
      </c>
      <c r="B1714" s="7" t="s">
        <v>214</v>
      </c>
      <c r="C1714" s="7">
        <f>3+1</f>
        <v>4</v>
      </c>
      <c r="D1714" s="7">
        <v>3.0</v>
      </c>
      <c r="E1714" s="7">
        <v>1.0</v>
      </c>
      <c r="F1714" s="7" t="s">
        <v>93</v>
      </c>
      <c r="G1714" s="7" t="s">
        <v>1482</v>
      </c>
      <c r="H1714" s="9" t="s">
        <v>2979</v>
      </c>
      <c r="I1714" t="s">
        <v>3735</v>
      </c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 t="str">
        <f t="shared" si="1"/>
        <v>Built-up :</v>
      </c>
      <c r="AE1714" s="7" t="str">
        <f t="shared" si="2"/>
        <v> sq. ft.</v>
      </c>
      <c r="AF1714">
        <f>IFERROR(__xludf.DUMMYFUNCTION("VALUE(REGEXREPLACE(G1714,""[^[:digit:]]"", """"))"),1806.0)</f>
        <v>1806</v>
      </c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 t="s">
        <v>22</v>
      </c>
    </row>
    <row r="1715">
      <c r="A1715" s="7" t="s">
        <v>432</v>
      </c>
      <c r="B1715" s="7" t="s">
        <v>534</v>
      </c>
      <c r="C1715" s="7">
        <f t="shared" ref="C1715:C1716" si="194">5+1</f>
        <v>6</v>
      </c>
      <c r="D1715" s="7">
        <v>6.0</v>
      </c>
      <c r="E1715" s="9">
        <v>2.0</v>
      </c>
      <c r="F1715" s="7" t="s">
        <v>43</v>
      </c>
      <c r="G1715" s="7" t="s">
        <v>1483</v>
      </c>
      <c r="H1715" s="9" t="s">
        <v>2981</v>
      </c>
      <c r="I1715" t="s">
        <v>3736</v>
      </c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 t="str">
        <f t="shared" si="1"/>
        <v>Land area </v>
      </c>
      <c r="AE1715" s="7" t="str">
        <f t="shared" si="2"/>
        <v> sq. ft.</v>
      </c>
      <c r="AF1715">
        <f>IFERROR(__xludf.DUMMYFUNCTION("VALUE(REGEXREPLACE(G1715,""[^[:digit:]]"", """"))"),3650.0)</f>
        <v>3650</v>
      </c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 t="s">
        <v>27</v>
      </c>
    </row>
    <row r="1716">
      <c r="A1716" s="7" t="s">
        <v>104</v>
      </c>
      <c r="B1716" s="7" t="s">
        <v>144</v>
      </c>
      <c r="C1716" s="7">
        <f t="shared" si="194"/>
        <v>6</v>
      </c>
      <c r="D1716" s="7">
        <v>5.0</v>
      </c>
      <c r="E1716" s="7">
        <v>2.0</v>
      </c>
      <c r="F1716" s="7" t="s">
        <v>64</v>
      </c>
      <c r="G1716" s="7" t="s">
        <v>1484</v>
      </c>
      <c r="H1716" s="9" t="s">
        <v>2981</v>
      </c>
      <c r="I1716" t="s">
        <v>3515</v>
      </c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 t="str">
        <f t="shared" si="1"/>
        <v>Land area </v>
      </c>
      <c r="AE1716" s="7" t="str">
        <f t="shared" si="2"/>
        <v> sq. ft.</v>
      </c>
      <c r="AF1716">
        <f>IFERROR(__xludf.DUMMYFUNCTION("VALUE(REGEXREPLACE(G1716,""[^[:digit:]]"", """"))"),3475.0)</f>
        <v>3475</v>
      </c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 t="s">
        <v>27</v>
      </c>
    </row>
    <row r="1717">
      <c r="A1717" s="7" t="s">
        <v>33</v>
      </c>
      <c r="B1717" s="7" t="s">
        <v>691</v>
      </c>
      <c r="C1717" s="7">
        <f t="shared" ref="C1717:C1718" si="195">3</f>
        <v>3</v>
      </c>
      <c r="D1717" s="7">
        <v>2.0</v>
      </c>
      <c r="E1717" s="7">
        <v>1.0</v>
      </c>
      <c r="F1717" s="7" t="s">
        <v>503</v>
      </c>
      <c r="G1717" s="7" t="s">
        <v>1485</v>
      </c>
      <c r="H1717" s="9" t="s">
        <v>2981</v>
      </c>
      <c r="I1717" t="s">
        <v>3737</v>
      </c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 t="str">
        <f t="shared" si="1"/>
        <v>Land area </v>
      </c>
      <c r="AE1717" s="7" t="str">
        <f t="shared" si="2"/>
        <v> sq. ft.</v>
      </c>
      <c r="AF1717">
        <f>IFERROR(__xludf.DUMMYFUNCTION("VALUE(REGEXREPLACE(G1717,""[^[:digit:]]"", """"))"),917.0)</f>
        <v>917</v>
      </c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</row>
    <row r="1718">
      <c r="A1718" s="7" t="s">
        <v>33</v>
      </c>
      <c r="B1718" s="7" t="s">
        <v>1382</v>
      </c>
      <c r="C1718" s="7">
        <f t="shared" si="195"/>
        <v>3</v>
      </c>
      <c r="D1718" s="7">
        <v>3.0</v>
      </c>
      <c r="E1718" s="7">
        <v>2.0</v>
      </c>
      <c r="F1718" s="7" t="s">
        <v>93</v>
      </c>
      <c r="G1718" s="7" t="s">
        <v>1156</v>
      </c>
      <c r="H1718" s="9" t="s">
        <v>2979</v>
      </c>
      <c r="I1718" t="s">
        <v>3545</v>
      </c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 t="str">
        <f t="shared" si="1"/>
        <v>Built-up :</v>
      </c>
      <c r="AE1718" s="7" t="str">
        <f t="shared" si="2"/>
        <v> sq. ft.</v>
      </c>
      <c r="AF1718">
        <f>IFERROR(__xludf.DUMMYFUNCTION("VALUE(REGEXREPLACE(G1718,""[^[:digit:]]"", """"))"),1003.0)</f>
        <v>1003</v>
      </c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 t="s">
        <v>103</v>
      </c>
    </row>
    <row r="1719">
      <c r="A1719" s="7" t="s">
        <v>432</v>
      </c>
      <c r="B1719" s="7" t="s">
        <v>101</v>
      </c>
      <c r="C1719" s="7">
        <f>5+1</f>
        <v>6</v>
      </c>
      <c r="D1719" s="7">
        <v>6.0</v>
      </c>
      <c r="E1719" s="9">
        <v>2.0</v>
      </c>
      <c r="F1719" s="7" t="s">
        <v>64</v>
      </c>
      <c r="G1719" s="7" t="s">
        <v>256</v>
      </c>
      <c r="H1719" s="9" t="s">
        <v>2981</v>
      </c>
      <c r="I1719" t="s">
        <v>3079</v>
      </c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 t="str">
        <f t="shared" si="1"/>
        <v>Land area </v>
      </c>
      <c r="AE1719" s="7" t="str">
        <f t="shared" si="2"/>
        <v> sq. ft.</v>
      </c>
      <c r="AF1719">
        <f>IFERROR(__xludf.DUMMYFUNCTION("VALUE(REGEXREPLACE(G1719,""[^[:digit:]]"", """"))"),3700.0)</f>
        <v>3700</v>
      </c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 t="s">
        <v>27</v>
      </c>
    </row>
    <row r="1720">
      <c r="A1720" s="7" t="s">
        <v>72</v>
      </c>
      <c r="B1720" s="7" t="s">
        <v>693</v>
      </c>
      <c r="C1720" s="7">
        <f>6+1</f>
        <v>7</v>
      </c>
      <c r="D1720" s="7">
        <v>7.0</v>
      </c>
      <c r="E1720" s="9">
        <v>2.0</v>
      </c>
      <c r="F1720" s="7" t="s">
        <v>61</v>
      </c>
      <c r="G1720" s="7" t="s">
        <v>1486</v>
      </c>
      <c r="H1720" s="9" t="s">
        <v>2981</v>
      </c>
      <c r="I1720" t="s">
        <v>3738</v>
      </c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 t="str">
        <f t="shared" si="1"/>
        <v>Land area </v>
      </c>
      <c r="AE1720" s="7" t="str">
        <f t="shared" si="2"/>
        <v> sq. ft.</v>
      </c>
      <c r="AF1720">
        <f>IFERROR(__xludf.DUMMYFUNCTION("VALUE(REGEXREPLACE(G1720,""[^[:digit:]]"", """"))"),7847.0)</f>
        <v>7847</v>
      </c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 t="s">
        <v>27</v>
      </c>
    </row>
    <row r="1721">
      <c r="A1721" s="7" t="s">
        <v>432</v>
      </c>
      <c r="B1721" s="7" t="s">
        <v>174</v>
      </c>
      <c r="C1721" s="7">
        <f t="shared" ref="C1721:C1723" si="196">5+1</f>
        <v>6</v>
      </c>
      <c r="D1721" s="7">
        <v>5.0</v>
      </c>
      <c r="E1721" s="7">
        <v>4.0</v>
      </c>
      <c r="F1721" s="7" t="s">
        <v>64</v>
      </c>
      <c r="G1721" s="7" t="s">
        <v>1202</v>
      </c>
      <c r="H1721" s="9" t="s">
        <v>2981</v>
      </c>
      <c r="I1721" t="s">
        <v>3574</v>
      </c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 t="str">
        <f t="shared" si="1"/>
        <v>Land area </v>
      </c>
      <c r="AE1721" s="7" t="str">
        <f t="shared" si="2"/>
        <v> sq. ft.</v>
      </c>
      <c r="AF1721">
        <f>IFERROR(__xludf.DUMMYFUNCTION("VALUE(REGEXREPLACE(G1721,""[^[:digit:]]"", """"))"),4500.0)</f>
        <v>4500</v>
      </c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 t="s">
        <v>22</v>
      </c>
    </row>
    <row r="1722">
      <c r="A1722" s="7" t="s">
        <v>432</v>
      </c>
      <c r="B1722" s="7" t="s">
        <v>120</v>
      </c>
      <c r="C1722" s="7">
        <f t="shared" si="196"/>
        <v>6</v>
      </c>
      <c r="D1722" s="7">
        <v>6.0</v>
      </c>
      <c r="E1722" s="9">
        <v>2.0</v>
      </c>
      <c r="F1722" s="7" t="s">
        <v>300</v>
      </c>
      <c r="G1722" s="7" t="s">
        <v>1487</v>
      </c>
      <c r="H1722" s="9" t="s">
        <v>2981</v>
      </c>
      <c r="I1722" t="s">
        <v>3118</v>
      </c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 t="str">
        <f t="shared" si="1"/>
        <v>Land area </v>
      </c>
      <c r="AE1722" s="7" t="str">
        <f t="shared" si="2"/>
        <v> sq. ft.</v>
      </c>
      <c r="AF1722">
        <f>IFERROR(__xludf.DUMMYFUNCTION("VALUE(REGEXREPLACE(G1722,""[^[:digit:]]"", """"))"),1920.0)</f>
        <v>1920</v>
      </c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 t="s">
        <v>27</v>
      </c>
    </row>
    <row r="1723">
      <c r="A1723" s="7" t="s">
        <v>72</v>
      </c>
      <c r="B1723" s="7" t="s">
        <v>468</v>
      </c>
      <c r="C1723" s="7">
        <f t="shared" si="196"/>
        <v>6</v>
      </c>
      <c r="D1723" s="7">
        <v>5.0</v>
      </c>
      <c r="E1723" s="9">
        <v>2.0</v>
      </c>
      <c r="F1723" s="7" t="s">
        <v>487</v>
      </c>
      <c r="G1723" s="7" t="s">
        <v>1314</v>
      </c>
      <c r="H1723" s="9" t="s">
        <v>2981</v>
      </c>
      <c r="I1723" t="s">
        <v>3640</v>
      </c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 t="str">
        <f t="shared" si="1"/>
        <v>Land area </v>
      </c>
      <c r="AE1723" s="7" t="str">
        <f t="shared" si="2"/>
        <v> sq. ft.</v>
      </c>
      <c r="AF1723">
        <f>IFERROR(__xludf.DUMMYFUNCTION("VALUE(REGEXREPLACE(G1723,""[^[:digit:]]"", """"))"),4200.0)</f>
        <v>4200</v>
      </c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 t="s">
        <v>27</v>
      </c>
    </row>
    <row r="1724">
      <c r="A1724" s="7" t="s">
        <v>358</v>
      </c>
      <c r="B1724" s="7" t="s">
        <v>899</v>
      </c>
      <c r="C1724" s="7">
        <f>3+1</f>
        <v>4</v>
      </c>
      <c r="D1724" s="7">
        <v>4.0</v>
      </c>
      <c r="E1724" s="9">
        <v>2.0</v>
      </c>
      <c r="F1724" s="7" t="s">
        <v>93</v>
      </c>
      <c r="G1724" s="7" t="s">
        <v>1411</v>
      </c>
      <c r="H1724" s="9" t="s">
        <v>2979</v>
      </c>
      <c r="I1724" t="s">
        <v>3696</v>
      </c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 t="str">
        <f t="shared" si="1"/>
        <v>Built-up :</v>
      </c>
      <c r="AE1724" s="7" t="str">
        <f t="shared" si="2"/>
        <v> sq. ft.</v>
      </c>
      <c r="AF1724">
        <f>IFERROR(__xludf.DUMMYFUNCTION("VALUE(REGEXREPLACE(G1724,""[^[:digit:]]"", """"))"),1788.0)</f>
        <v>1788</v>
      </c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 t="s">
        <v>27</v>
      </c>
    </row>
    <row r="1725">
      <c r="A1725" s="7" t="s">
        <v>432</v>
      </c>
      <c r="B1725" s="7" t="s">
        <v>484</v>
      </c>
      <c r="C1725" s="7">
        <f t="shared" ref="C1725:C1728" si="197">5+1</f>
        <v>6</v>
      </c>
      <c r="D1725" s="7">
        <v>5.0</v>
      </c>
      <c r="E1725" s="7">
        <v>4.0</v>
      </c>
      <c r="F1725" s="7" t="s">
        <v>64</v>
      </c>
      <c r="G1725" s="7" t="s">
        <v>860</v>
      </c>
      <c r="H1725" s="9" t="s">
        <v>2981</v>
      </c>
      <c r="I1725" t="s">
        <v>3376</v>
      </c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 t="str">
        <f t="shared" si="1"/>
        <v>Land area </v>
      </c>
      <c r="AE1725" s="7" t="str">
        <f t="shared" si="2"/>
        <v> sq. ft.</v>
      </c>
      <c r="AF1725">
        <f>IFERROR(__xludf.DUMMYFUNCTION("VALUE(REGEXREPLACE(G1725,""[^[:digit:]]"", """"))"),4000.0)</f>
        <v>4000</v>
      </c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 t="s">
        <v>22</v>
      </c>
    </row>
    <row r="1726">
      <c r="A1726" s="7" t="s">
        <v>432</v>
      </c>
      <c r="B1726" s="7" t="s">
        <v>993</v>
      </c>
      <c r="C1726" s="7">
        <f t="shared" si="197"/>
        <v>6</v>
      </c>
      <c r="D1726" s="7">
        <v>6.0</v>
      </c>
      <c r="E1726" s="9">
        <v>2.0</v>
      </c>
      <c r="F1726" s="7" t="s">
        <v>64</v>
      </c>
      <c r="G1726" s="7" t="s">
        <v>944</v>
      </c>
      <c r="H1726" s="9" t="s">
        <v>2981</v>
      </c>
      <c r="I1726" t="s">
        <v>3419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 t="str">
        <f t="shared" si="1"/>
        <v>Land area </v>
      </c>
      <c r="AE1726" s="7" t="str">
        <f t="shared" si="2"/>
        <v> sq. ft.</v>
      </c>
      <c r="AF1726">
        <f>IFERROR(__xludf.DUMMYFUNCTION("VALUE(REGEXREPLACE(G1726,""[^[:digit:]]"", """"))"),3800.0)</f>
        <v>3800</v>
      </c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 t="s">
        <v>27</v>
      </c>
    </row>
    <row r="1727">
      <c r="A1727" s="7" t="s">
        <v>72</v>
      </c>
      <c r="B1727" s="7" t="s">
        <v>69</v>
      </c>
      <c r="C1727" s="7">
        <f t="shared" si="197"/>
        <v>6</v>
      </c>
      <c r="D1727" s="7">
        <v>6.0</v>
      </c>
      <c r="E1727" s="9">
        <v>2.0</v>
      </c>
      <c r="F1727" s="7" t="s">
        <v>64</v>
      </c>
      <c r="G1727" s="7" t="s">
        <v>860</v>
      </c>
      <c r="H1727" s="9" t="s">
        <v>2981</v>
      </c>
      <c r="I1727" t="s">
        <v>3376</v>
      </c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 t="str">
        <f t="shared" si="1"/>
        <v>Land area </v>
      </c>
      <c r="AE1727" s="7" t="str">
        <f t="shared" si="2"/>
        <v> sq. ft.</v>
      </c>
      <c r="AF1727">
        <f>IFERROR(__xludf.DUMMYFUNCTION("VALUE(REGEXREPLACE(G1727,""[^[:digit:]]"", """"))"),4000.0)</f>
        <v>4000</v>
      </c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 t="s">
        <v>27</v>
      </c>
    </row>
    <row r="1728">
      <c r="A1728" s="7" t="s">
        <v>432</v>
      </c>
      <c r="B1728" s="7" t="s">
        <v>63</v>
      </c>
      <c r="C1728" s="7">
        <f t="shared" si="197"/>
        <v>6</v>
      </c>
      <c r="D1728" s="7">
        <v>6.0</v>
      </c>
      <c r="E1728" s="9">
        <v>2.0</v>
      </c>
      <c r="F1728" s="7" t="s">
        <v>64</v>
      </c>
      <c r="G1728" s="7" t="s">
        <v>944</v>
      </c>
      <c r="H1728" s="9" t="s">
        <v>2981</v>
      </c>
      <c r="I1728" t="s">
        <v>3419</v>
      </c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 t="str">
        <f t="shared" si="1"/>
        <v>Land area </v>
      </c>
      <c r="AE1728" s="7" t="str">
        <f t="shared" si="2"/>
        <v> sq. ft.</v>
      </c>
      <c r="AF1728">
        <f>IFERROR(__xludf.DUMMYFUNCTION("VALUE(REGEXREPLACE(G1728,""[^[:digit:]]"", """"))"),3800.0)</f>
        <v>3800</v>
      </c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 t="s">
        <v>27</v>
      </c>
    </row>
    <row r="1729">
      <c r="A1729" s="7" t="s">
        <v>358</v>
      </c>
      <c r="B1729" s="7" t="s">
        <v>1074</v>
      </c>
      <c r="C1729" s="7">
        <f>3+1</f>
        <v>4</v>
      </c>
      <c r="D1729" s="7">
        <v>4.0</v>
      </c>
      <c r="E1729" s="9">
        <v>2.0</v>
      </c>
      <c r="F1729" s="7" t="s">
        <v>93</v>
      </c>
      <c r="G1729" s="7" t="s">
        <v>1411</v>
      </c>
      <c r="H1729" s="9" t="s">
        <v>2979</v>
      </c>
      <c r="I1729" t="s">
        <v>3696</v>
      </c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 t="str">
        <f t="shared" si="1"/>
        <v>Built-up :</v>
      </c>
      <c r="AE1729" s="7" t="str">
        <f t="shared" si="2"/>
        <v> sq. ft.</v>
      </c>
      <c r="AF1729">
        <f>IFERROR(__xludf.DUMMYFUNCTION("VALUE(REGEXREPLACE(G1729,""[^[:digit:]]"", """"))"),1788.0)</f>
        <v>1788</v>
      </c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 t="s">
        <v>27</v>
      </c>
    </row>
    <row r="1730">
      <c r="A1730" s="7" t="s">
        <v>358</v>
      </c>
      <c r="B1730" s="7" t="s">
        <v>316</v>
      </c>
      <c r="C1730" s="7">
        <f t="shared" ref="C1730:C1731" si="198">3</f>
        <v>3</v>
      </c>
      <c r="D1730" s="7">
        <v>2.0</v>
      </c>
      <c r="E1730" s="7">
        <v>2.0</v>
      </c>
      <c r="F1730" s="7" t="s">
        <v>93</v>
      </c>
      <c r="G1730" s="7" t="s">
        <v>1412</v>
      </c>
      <c r="H1730" s="9" t="s">
        <v>2979</v>
      </c>
      <c r="I1730" t="s">
        <v>3697</v>
      </c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 t="str">
        <f t="shared" si="1"/>
        <v>Built-up :</v>
      </c>
      <c r="AE1730" s="7" t="str">
        <f t="shared" si="2"/>
        <v> sq. ft.</v>
      </c>
      <c r="AF1730">
        <f>IFERROR(__xludf.DUMMYFUNCTION("VALUE(REGEXREPLACE(G1730,""[^[:digit:]]"", """"))"),1319.0)</f>
        <v>1319</v>
      </c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 t="s">
        <v>27</v>
      </c>
    </row>
    <row r="1731">
      <c r="A1731" s="7" t="s">
        <v>358</v>
      </c>
      <c r="B1731" s="7" t="s">
        <v>641</v>
      </c>
      <c r="C1731" s="7">
        <f t="shared" si="198"/>
        <v>3</v>
      </c>
      <c r="D1731" s="7">
        <v>2.0</v>
      </c>
      <c r="E1731" s="7">
        <v>2.0</v>
      </c>
      <c r="F1731" s="7" t="s">
        <v>93</v>
      </c>
      <c r="G1731" s="7" t="s">
        <v>1412</v>
      </c>
      <c r="H1731" s="9" t="s">
        <v>2979</v>
      </c>
      <c r="I1731" t="s">
        <v>3697</v>
      </c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 t="str">
        <f t="shared" si="1"/>
        <v>Built-up :</v>
      </c>
      <c r="AE1731" s="7" t="str">
        <f t="shared" si="2"/>
        <v> sq. ft.</v>
      </c>
      <c r="AF1731">
        <f>IFERROR(__xludf.DUMMYFUNCTION("VALUE(REGEXREPLACE(G1731,""[^[:digit:]]"", """"))"),1319.0)</f>
        <v>1319</v>
      </c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 t="s">
        <v>27</v>
      </c>
    </row>
    <row r="1732">
      <c r="A1732" s="7" t="s">
        <v>72</v>
      </c>
      <c r="B1732" s="7" t="s">
        <v>281</v>
      </c>
      <c r="C1732" s="7">
        <f t="shared" ref="C1732:C1733" si="199">5+1</f>
        <v>6</v>
      </c>
      <c r="D1732" s="7">
        <v>6.0</v>
      </c>
      <c r="E1732" s="9">
        <v>2.0</v>
      </c>
      <c r="F1732" s="7" t="s">
        <v>64</v>
      </c>
      <c r="G1732" s="7" t="s">
        <v>1488</v>
      </c>
      <c r="H1732" s="9" t="s">
        <v>2981</v>
      </c>
      <c r="I1732" t="s">
        <v>3739</v>
      </c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 t="str">
        <f t="shared" si="1"/>
        <v>Land area </v>
      </c>
      <c r="AE1732" s="7" t="str">
        <f t="shared" si="2"/>
        <v> sq. ft.</v>
      </c>
      <c r="AF1732">
        <f>IFERROR(__xludf.DUMMYFUNCTION("VALUE(REGEXREPLACE(G1732,""[^[:digit:]]"", """"))"),4002.0)</f>
        <v>4002</v>
      </c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 t="s">
        <v>27</v>
      </c>
    </row>
    <row r="1733">
      <c r="A1733" s="7" t="s">
        <v>358</v>
      </c>
      <c r="B1733" s="7" t="s">
        <v>45</v>
      </c>
      <c r="C1733" s="7">
        <f t="shared" si="199"/>
        <v>6</v>
      </c>
      <c r="D1733" s="7">
        <v>6.0</v>
      </c>
      <c r="E1733" s="7">
        <v>5.0</v>
      </c>
      <c r="F1733" s="7" t="s">
        <v>90</v>
      </c>
      <c r="G1733" s="7" t="s">
        <v>1489</v>
      </c>
      <c r="H1733" s="9" t="s">
        <v>2981</v>
      </c>
      <c r="I1733" t="s">
        <v>3740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 t="str">
        <f t="shared" si="1"/>
        <v>Land area </v>
      </c>
      <c r="AE1733" s="7" t="str">
        <f t="shared" si="2"/>
        <v> sq. ft.</v>
      </c>
      <c r="AF1733">
        <f>IFERROR(__xludf.DUMMYFUNCTION("VALUE(REGEXREPLACE(G1733,""[^[:digit:]]"", """"))"),2239.0)</f>
        <v>2239</v>
      </c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 t="s">
        <v>103</v>
      </c>
    </row>
    <row r="1734">
      <c r="A1734" s="7" t="s">
        <v>72</v>
      </c>
      <c r="B1734" s="7" t="s">
        <v>327</v>
      </c>
      <c r="C1734" s="7">
        <f>3+1</f>
        <v>4</v>
      </c>
      <c r="D1734" s="7">
        <v>3.0</v>
      </c>
      <c r="E1734" s="7">
        <v>2.0</v>
      </c>
      <c r="F1734" s="7" t="s">
        <v>83</v>
      </c>
      <c r="G1734" s="7" t="s">
        <v>1490</v>
      </c>
      <c r="H1734" s="9" t="s">
        <v>2979</v>
      </c>
      <c r="I1734" t="s">
        <v>3741</v>
      </c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 t="str">
        <f t="shared" si="1"/>
        <v>Built-up :</v>
      </c>
      <c r="AE1734" s="7" t="str">
        <f t="shared" si="2"/>
        <v> sq. ft.</v>
      </c>
      <c r="AF1734">
        <f>IFERROR(__xludf.DUMMYFUNCTION("VALUE(REGEXREPLACE(G1734,""[^[:digit:]]"", """"))"),1593.0)</f>
        <v>1593</v>
      </c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 t="s">
        <v>27</v>
      </c>
    </row>
    <row r="1735">
      <c r="A1735" s="7" t="s">
        <v>72</v>
      </c>
      <c r="B1735" s="7" t="s">
        <v>532</v>
      </c>
      <c r="C1735" s="7">
        <f>5+2</f>
        <v>7</v>
      </c>
      <c r="D1735" s="7">
        <v>6.0</v>
      </c>
      <c r="E1735" s="9">
        <v>2.0</v>
      </c>
      <c r="F1735" s="7" t="s">
        <v>67</v>
      </c>
      <c r="G1735" s="7" t="s">
        <v>271</v>
      </c>
      <c r="H1735" s="9" t="s">
        <v>2981</v>
      </c>
      <c r="I1735" t="s">
        <v>3085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 t="str">
        <f t="shared" si="1"/>
        <v>Land area </v>
      </c>
      <c r="AE1735" s="7" t="str">
        <f t="shared" si="2"/>
        <v> sq. ft.</v>
      </c>
      <c r="AF1735">
        <f>IFERROR(__xludf.DUMMYFUNCTION("VALUE(REGEXREPLACE(G1735,""[^[:digit:]]"", """"))"),7500.0)</f>
        <v>7500</v>
      </c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 t="s">
        <v>27</v>
      </c>
    </row>
    <row r="1736">
      <c r="A1736" s="7" t="s">
        <v>72</v>
      </c>
      <c r="B1736" s="7" t="s">
        <v>281</v>
      </c>
      <c r="C1736" s="7">
        <f>5+1</f>
        <v>6</v>
      </c>
      <c r="D1736" s="7">
        <v>6.0</v>
      </c>
      <c r="E1736" s="9">
        <v>2.0</v>
      </c>
      <c r="F1736" s="7" t="s">
        <v>64</v>
      </c>
      <c r="G1736" s="7" t="s">
        <v>1154</v>
      </c>
      <c r="H1736" s="9" t="s">
        <v>2981</v>
      </c>
      <c r="I1736" t="s">
        <v>3543</v>
      </c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 t="str">
        <f t="shared" si="1"/>
        <v>Land area </v>
      </c>
      <c r="AE1736" s="7" t="str">
        <f t="shared" si="2"/>
        <v> sq. ft.</v>
      </c>
      <c r="AF1736">
        <f>IFERROR(__xludf.DUMMYFUNCTION("VALUE(REGEXREPLACE(G1736,""[^[:digit:]]"", """"))"),4300.0)</f>
        <v>4300</v>
      </c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 t="s">
        <v>27</v>
      </c>
    </row>
    <row r="1737">
      <c r="A1737" s="7" t="s">
        <v>72</v>
      </c>
      <c r="B1737" s="7" t="s">
        <v>120</v>
      </c>
      <c r="C1737" s="7">
        <f>5</f>
        <v>5</v>
      </c>
      <c r="D1737" s="7">
        <v>5.0</v>
      </c>
      <c r="E1737" s="9">
        <v>2.0</v>
      </c>
      <c r="F1737" s="7" t="s">
        <v>64</v>
      </c>
      <c r="G1737" s="7" t="s">
        <v>1491</v>
      </c>
      <c r="H1737" s="9" t="s">
        <v>2981</v>
      </c>
      <c r="I1737" t="s">
        <v>3062</v>
      </c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 t="str">
        <f t="shared" si="1"/>
        <v>Land area </v>
      </c>
      <c r="AE1737" s="7" t="str">
        <f t="shared" si="2"/>
        <v> sq. ft.</v>
      </c>
      <c r="AF1737">
        <f>IFERROR(__xludf.DUMMYFUNCTION("VALUE(REGEXREPLACE(G1737,""[^[:digit:]]"", """"))"),2400.0)</f>
        <v>2400</v>
      </c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 t="s">
        <v>27</v>
      </c>
    </row>
    <row r="1738">
      <c r="A1738" s="7" t="s">
        <v>72</v>
      </c>
      <c r="B1738" s="7" t="s">
        <v>1492</v>
      </c>
      <c r="C1738" s="7">
        <f>5+1</f>
        <v>6</v>
      </c>
      <c r="D1738" s="7">
        <v>5.0</v>
      </c>
      <c r="E1738" s="9">
        <v>2.0</v>
      </c>
      <c r="F1738" s="7" t="s">
        <v>64</v>
      </c>
      <c r="G1738" s="7" t="s">
        <v>860</v>
      </c>
      <c r="H1738" s="9" t="s">
        <v>2981</v>
      </c>
      <c r="I1738" t="s">
        <v>3376</v>
      </c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 t="str">
        <f t="shared" si="1"/>
        <v>Land area </v>
      </c>
      <c r="AE1738" s="7" t="str">
        <f t="shared" si="2"/>
        <v> sq. ft.</v>
      </c>
      <c r="AF1738">
        <f>IFERROR(__xludf.DUMMYFUNCTION("VALUE(REGEXREPLACE(G1738,""[^[:digit:]]"", """"))"),4000.0)</f>
        <v>4000</v>
      </c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 t="s">
        <v>27</v>
      </c>
    </row>
    <row r="1739">
      <c r="A1739" s="7" t="s">
        <v>33</v>
      </c>
      <c r="B1739" s="7" t="s">
        <v>1493</v>
      </c>
      <c r="C1739" s="7">
        <f>3</f>
        <v>3</v>
      </c>
      <c r="D1739" s="7">
        <v>2.0</v>
      </c>
      <c r="E1739" s="7">
        <v>2.0</v>
      </c>
      <c r="F1739" s="7" t="s">
        <v>83</v>
      </c>
      <c r="G1739" s="7" t="s">
        <v>734</v>
      </c>
      <c r="H1739" s="9" t="s">
        <v>2979</v>
      </c>
      <c r="I1739" t="s">
        <v>3308</v>
      </c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 t="str">
        <f t="shared" si="1"/>
        <v>Built-up :</v>
      </c>
      <c r="AE1739" s="7" t="str">
        <f t="shared" si="2"/>
        <v> sq. ft.</v>
      </c>
      <c r="AF1739">
        <f>IFERROR(__xludf.DUMMYFUNCTION("VALUE(REGEXREPLACE(G1739,""[^[:digit:]]"", """"))"),1100.0)</f>
        <v>1100</v>
      </c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</row>
    <row r="1740">
      <c r="A1740" s="7" t="s">
        <v>72</v>
      </c>
      <c r="B1740" s="7" t="s">
        <v>372</v>
      </c>
      <c r="C1740" s="7">
        <f>3+1</f>
        <v>4</v>
      </c>
      <c r="D1740" s="7">
        <v>2.0</v>
      </c>
      <c r="E1740" s="9">
        <v>2.0</v>
      </c>
      <c r="F1740" s="7" t="s">
        <v>83</v>
      </c>
      <c r="G1740" s="7" t="s">
        <v>1494</v>
      </c>
      <c r="H1740" s="9" t="s">
        <v>2979</v>
      </c>
      <c r="I1740" t="s">
        <v>3742</v>
      </c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 t="str">
        <f t="shared" si="1"/>
        <v>Built-up :</v>
      </c>
      <c r="AE1740" s="7" t="str">
        <f t="shared" si="2"/>
        <v> sq. ft.</v>
      </c>
      <c r="AF1740">
        <f>IFERROR(__xludf.DUMMYFUNCTION("VALUE(REGEXREPLACE(G1740,""[^[:digit:]]"", """"))"),1598.0)</f>
        <v>1598</v>
      </c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 t="s">
        <v>22</v>
      </c>
    </row>
    <row r="1741">
      <c r="A1741" s="7" t="s">
        <v>72</v>
      </c>
      <c r="B1741" s="7" t="s">
        <v>156</v>
      </c>
      <c r="C1741" s="7">
        <f t="shared" ref="C1741:C1742" si="200">3</f>
        <v>3</v>
      </c>
      <c r="D1741" s="7">
        <v>2.0</v>
      </c>
      <c r="E1741" s="9">
        <v>2.0</v>
      </c>
      <c r="F1741" s="7" t="s">
        <v>83</v>
      </c>
      <c r="G1741" s="7" t="s">
        <v>473</v>
      </c>
      <c r="H1741" s="9" t="s">
        <v>2979</v>
      </c>
      <c r="I1741" t="s">
        <v>3180</v>
      </c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 t="str">
        <f t="shared" si="1"/>
        <v>Built-up :</v>
      </c>
      <c r="AE1741" s="7" t="str">
        <f t="shared" si="2"/>
        <v> sq. ft.</v>
      </c>
      <c r="AF1741">
        <f>IFERROR(__xludf.DUMMYFUNCTION("VALUE(REGEXREPLACE(G1741,""[^[:digit:]]"", """"))"),1690.0)</f>
        <v>1690</v>
      </c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 t="s">
        <v>27</v>
      </c>
    </row>
    <row r="1742">
      <c r="A1742" s="7" t="s">
        <v>33</v>
      </c>
      <c r="B1742" s="7" t="s">
        <v>571</v>
      </c>
      <c r="C1742" s="7">
        <f t="shared" si="200"/>
        <v>3</v>
      </c>
      <c r="D1742" s="7">
        <v>2.0</v>
      </c>
      <c r="E1742" s="7">
        <v>2.0</v>
      </c>
      <c r="F1742" s="7" t="s">
        <v>83</v>
      </c>
      <c r="G1742" s="7" t="s">
        <v>845</v>
      </c>
      <c r="H1742" s="9" t="s">
        <v>2979</v>
      </c>
      <c r="I1742" t="s">
        <v>3367</v>
      </c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 t="str">
        <f t="shared" si="1"/>
        <v>Built-up :</v>
      </c>
      <c r="AE1742" s="7" t="str">
        <f t="shared" si="2"/>
        <v> sq. ft.</v>
      </c>
      <c r="AF1742">
        <f>IFERROR(__xludf.DUMMYFUNCTION("VALUE(REGEXREPLACE(G1742,""[^[:digit:]]"", """"))"),1500.0)</f>
        <v>1500</v>
      </c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</row>
    <row r="1743">
      <c r="A1743" s="7" t="s">
        <v>109</v>
      </c>
      <c r="B1743" s="7" t="s">
        <v>168</v>
      </c>
      <c r="C1743" s="7">
        <f>3+1</f>
        <v>4</v>
      </c>
      <c r="D1743" s="7">
        <v>2.0</v>
      </c>
      <c r="E1743" s="7">
        <v>2.0</v>
      </c>
      <c r="F1743" s="7" t="s">
        <v>83</v>
      </c>
      <c r="G1743" s="7" t="s">
        <v>551</v>
      </c>
      <c r="H1743" s="9" t="s">
        <v>2979</v>
      </c>
      <c r="I1743" t="s">
        <v>3221</v>
      </c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 t="str">
        <f t="shared" si="1"/>
        <v>Built-up :</v>
      </c>
      <c r="AE1743" s="7" t="str">
        <f t="shared" si="2"/>
        <v> sq. ft.</v>
      </c>
      <c r="AF1743">
        <f>IFERROR(__xludf.DUMMYFUNCTION("VALUE(REGEXREPLACE(G1743,""[^[:digit:]]"", """"))"),1590.0)</f>
        <v>1590</v>
      </c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 t="s">
        <v>27</v>
      </c>
    </row>
    <row r="1744">
      <c r="A1744" s="7" t="s">
        <v>432</v>
      </c>
      <c r="B1744" s="7" t="s">
        <v>658</v>
      </c>
      <c r="C1744" s="7">
        <f>4+1</f>
        <v>5</v>
      </c>
      <c r="D1744" s="7">
        <v>6.0</v>
      </c>
      <c r="E1744" s="9">
        <v>2.0</v>
      </c>
      <c r="F1744" s="7" t="s">
        <v>83</v>
      </c>
      <c r="G1744" s="7" t="s">
        <v>1495</v>
      </c>
      <c r="H1744" s="9" t="s">
        <v>2979</v>
      </c>
      <c r="I1744" t="s">
        <v>3743</v>
      </c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 t="str">
        <f t="shared" si="1"/>
        <v>Built-up :</v>
      </c>
      <c r="AE1744" s="7" t="str">
        <f t="shared" si="2"/>
        <v> sq. ft.</v>
      </c>
      <c r="AF1744">
        <f>IFERROR(__xludf.DUMMYFUNCTION("VALUE(REGEXREPLACE(G1744,""[^[:digit:]]"", """"))"),3466.0)</f>
        <v>3466</v>
      </c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 t="s">
        <v>27</v>
      </c>
    </row>
    <row r="1745">
      <c r="A1745" s="7" t="s">
        <v>177</v>
      </c>
      <c r="B1745" s="7" t="s">
        <v>85</v>
      </c>
      <c r="C1745" s="7">
        <f>4</f>
        <v>4</v>
      </c>
      <c r="D1745" s="7">
        <v>3.0</v>
      </c>
      <c r="E1745" s="9">
        <v>2.0</v>
      </c>
      <c r="F1745" s="7" t="s">
        <v>54</v>
      </c>
      <c r="G1745" s="7" t="s">
        <v>47</v>
      </c>
      <c r="H1745" s="9" t="s">
        <v>2981</v>
      </c>
      <c r="I1745" t="s">
        <v>2989</v>
      </c>
      <c r="J1745" s="7"/>
      <c r="K1745" s="7"/>
      <c r="L1745" s="7"/>
      <c r="M1745" s="7"/>
      <c r="N1745" s="7"/>
      <c r="O1745" s="7"/>
      <c r="P1745" s="7"/>
      <c r="Q1745" s="7"/>
      <c r="R1745" s="7"/>
      <c r="S1745" s="7" t="s">
        <v>2990</v>
      </c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 t="str">
        <f t="shared" si="1"/>
        <v>Land area </v>
      </c>
      <c r="AE1745" s="7" t="str">
        <f t="shared" si="2"/>
        <v> sq. ft.</v>
      </c>
      <c r="AF1745">
        <f>IFERROR(__xludf.DUMMYFUNCTION("VALUE(REGEXREPLACE(G1745,""[^[:digit:]]"", """"))"),2575.0)</f>
        <v>2575</v>
      </c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 t="s">
        <v>27</v>
      </c>
    </row>
    <row r="1746">
      <c r="A1746" s="7" t="s">
        <v>177</v>
      </c>
      <c r="B1746" s="7" t="s">
        <v>1146</v>
      </c>
      <c r="C1746" s="7">
        <f>3</f>
        <v>3</v>
      </c>
      <c r="D1746" s="7">
        <v>2.0</v>
      </c>
      <c r="E1746" s="7">
        <v>2.0</v>
      </c>
      <c r="F1746" s="7" t="s">
        <v>494</v>
      </c>
      <c r="G1746" s="7" t="s">
        <v>150</v>
      </c>
      <c r="H1746" s="9" t="s">
        <v>2979</v>
      </c>
      <c r="I1746" t="s">
        <v>3028</v>
      </c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 t="str">
        <f t="shared" si="1"/>
        <v>Built-up :</v>
      </c>
      <c r="AE1746" s="7" t="str">
        <f t="shared" si="2"/>
        <v> sq. ft.</v>
      </c>
      <c r="AF1746">
        <f>IFERROR(__xludf.DUMMYFUNCTION("VALUE(REGEXREPLACE(G1746,""[^[:digit:]]"", """"))"),2250.0)</f>
        <v>2250</v>
      </c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 t="s">
        <v>22</v>
      </c>
    </row>
    <row r="1747">
      <c r="A1747" s="7" t="s">
        <v>177</v>
      </c>
      <c r="B1747" s="7" t="s">
        <v>81</v>
      </c>
      <c r="C1747" s="7">
        <f>4</f>
        <v>4</v>
      </c>
      <c r="D1747" s="7">
        <v>3.0</v>
      </c>
      <c r="E1747" s="7">
        <v>2.0</v>
      </c>
      <c r="F1747" s="7" t="s">
        <v>494</v>
      </c>
      <c r="G1747" s="7" t="s">
        <v>400</v>
      </c>
      <c r="H1747" s="9" t="s">
        <v>2979</v>
      </c>
      <c r="I1747" t="s">
        <v>3145</v>
      </c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 t="str">
        <f t="shared" si="1"/>
        <v>Built-up :</v>
      </c>
      <c r="AE1747" s="7" t="str">
        <f t="shared" si="2"/>
        <v> sq. ft.</v>
      </c>
      <c r="AF1747">
        <f>IFERROR(__xludf.DUMMYFUNCTION("VALUE(REGEXREPLACE(G1747,""[^[:digit:]]"", """"))"),2400.0)</f>
        <v>2400</v>
      </c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 t="s">
        <v>27</v>
      </c>
    </row>
    <row r="1748">
      <c r="A1748" s="7" t="s">
        <v>177</v>
      </c>
      <c r="B1748" s="7" t="s">
        <v>479</v>
      </c>
      <c r="C1748" s="7">
        <f>5</f>
        <v>5</v>
      </c>
      <c r="D1748" s="7">
        <v>5.0</v>
      </c>
      <c r="E1748" s="7">
        <v>4.0</v>
      </c>
      <c r="F1748" s="7" t="s">
        <v>67</v>
      </c>
      <c r="G1748" s="7" t="s">
        <v>1496</v>
      </c>
      <c r="H1748" s="9" t="s">
        <v>2981</v>
      </c>
      <c r="I1748" t="s">
        <v>3744</v>
      </c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 t="str">
        <f t="shared" si="1"/>
        <v>Land area </v>
      </c>
      <c r="AE1748" s="7" t="str">
        <f t="shared" si="2"/>
        <v> sq. ft.</v>
      </c>
      <c r="AF1748">
        <f>IFERROR(__xludf.DUMMYFUNCTION("VALUE(REGEXREPLACE(G1748,""[^[:digit:]]"", """"))"),9300.0)</f>
        <v>9300</v>
      </c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 t="s">
        <v>27</v>
      </c>
    </row>
    <row r="1749">
      <c r="A1749" s="7" t="s">
        <v>177</v>
      </c>
      <c r="B1749" s="7" t="s">
        <v>18</v>
      </c>
      <c r="C1749" s="7">
        <f>5+1</f>
        <v>6</v>
      </c>
      <c r="D1749" s="7">
        <v>2.0</v>
      </c>
      <c r="E1749" s="7">
        <v>2.0</v>
      </c>
      <c r="F1749" s="7" t="s">
        <v>1497</v>
      </c>
      <c r="G1749" s="7" t="s">
        <v>1498</v>
      </c>
      <c r="H1749" s="9" t="s">
        <v>2981</v>
      </c>
      <c r="I1749" t="s">
        <v>2992</v>
      </c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 t="str">
        <f t="shared" si="1"/>
        <v>Land area </v>
      </c>
      <c r="AE1749" s="7" t="str">
        <f t="shared" si="2"/>
        <v> sq. ft.</v>
      </c>
      <c r="AF1749">
        <f>IFERROR(__xludf.DUMMYFUNCTION("VALUE(REGEXREPLACE(G1749,""[^[:digit:]]"", """"))"),1760.0)</f>
        <v>1760</v>
      </c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 t="s">
        <v>27</v>
      </c>
    </row>
    <row r="1750">
      <c r="A1750" s="7" t="s">
        <v>89</v>
      </c>
      <c r="B1750" s="7" t="s">
        <v>353</v>
      </c>
      <c r="C1750" s="7">
        <f>3</f>
        <v>3</v>
      </c>
      <c r="D1750" s="7">
        <v>2.0</v>
      </c>
      <c r="E1750" s="7">
        <v>1.0</v>
      </c>
      <c r="F1750" s="7" t="s">
        <v>83</v>
      </c>
      <c r="G1750" s="7" t="s">
        <v>392</v>
      </c>
      <c r="H1750" s="9" t="s">
        <v>2979</v>
      </c>
      <c r="I1750" t="s">
        <v>3141</v>
      </c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 t="str">
        <f t="shared" si="1"/>
        <v>Built-up :</v>
      </c>
      <c r="AE1750" s="7" t="str">
        <f t="shared" si="2"/>
        <v> sq. ft.</v>
      </c>
      <c r="AF1750">
        <f>IFERROR(__xludf.DUMMYFUNCTION("VALUE(REGEXREPLACE(G1750,""[^[:digit:]]"", """"))"),850.0)</f>
        <v>850</v>
      </c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</row>
    <row r="1751">
      <c r="A1751" s="7" t="s">
        <v>177</v>
      </c>
      <c r="B1751" s="7" t="s">
        <v>361</v>
      </c>
      <c r="C1751" s="7">
        <f>1+1</f>
        <v>2</v>
      </c>
      <c r="D1751" s="7">
        <v>1.0</v>
      </c>
      <c r="E1751" s="9">
        <v>2.0</v>
      </c>
      <c r="F1751" s="7" t="s">
        <v>93</v>
      </c>
      <c r="G1751" s="7" t="s">
        <v>1499</v>
      </c>
      <c r="H1751" s="9" t="s">
        <v>2979</v>
      </c>
      <c r="I1751" t="s">
        <v>3745</v>
      </c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 t="str">
        <f t="shared" si="1"/>
        <v>Built-up :</v>
      </c>
      <c r="AE1751" s="7" t="str">
        <f t="shared" si="2"/>
        <v> sq. ft.</v>
      </c>
      <c r="AF1751">
        <f>IFERROR(__xludf.DUMMYFUNCTION("VALUE(REGEXREPLACE(G1751,""[^[:digit:]]"", """"))"),630.0)</f>
        <v>630</v>
      </c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 t="s">
        <v>22</v>
      </c>
    </row>
    <row r="1752">
      <c r="A1752" s="7" t="s">
        <v>177</v>
      </c>
      <c r="B1752" s="7" t="s">
        <v>139</v>
      </c>
      <c r="C1752" s="7">
        <f>2+1</f>
        <v>3</v>
      </c>
      <c r="D1752" s="7">
        <v>2.0</v>
      </c>
      <c r="E1752" s="7">
        <v>1.0</v>
      </c>
      <c r="F1752" s="7" t="s">
        <v>30</v>
      </c>
      <c r="G1752" s="7" t="s">
        <v>135</v>
      </c>
      <c r="H1752" s="9" t="s">
        <v>2979</v>
      </c>
      <c r="I1752" t="s">
        <v>3023</v>
      </c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 t="str">
        <f t="shared" si="1"/>
        <v>Built-up :</v>
      </c>
      <c r="AE1752" s="7" t="str">
        <f t="shared" si="2"/>
        <v> sq. ft.</v>
      </c>
      <c r="AF1752">
        <f>IFERROR(__xludf.DUMMYFUNCTION("VALUE(REGEXREPLACE(G1752,""[^[:digit:]]"", """"))"),1200.0)</f>
        <v>1200</v>
      </c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 t="s">
        <v>22</v>
      </c>
    </row>
    <row r="1753">
      <c r="A1753" s="7" t="s">
        <v>177</v>
      </c>
      <c r="B1753" s="7" t="s">
        <v>407</v>
      </c>
      <c r="C1753" s="7">
        <f>2+2</f>
        <v>4</v>
      </c>
      <c r="D1753" s="7">
        <v>3.0</v>
      </c>
      <c r="E1753" s="7">
        <v>1.0</v>
      </c>
      <c r="F1753" s="7" t="s">
        <v>30</v>
      </c>
      <c r="G1753" s="7" t="s">
        <v>394</v>
      </c>
      <c r="H1753" s="9" t="s">
        <v>2979</v>
      </c>
      <c r="I1753" t="s">
        <v>3143</v>
      </c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 t="str">
        <f t="shared" si="1"/>
        <v>Built-up :</v>
      </c>
      <c r="AE1753" s="7" t="str">
        <f t="shared" si="2"/>
        <v> sq. ft.</v>
      </c>
      <c r="AF1753">
        <f>IFERROR(__xludf.DUMMYFUNCTION("VALUE(REGEXREPLACE(G1753,""[^[:digit:]]"", """"))"),1350.0)</f>
        <v>1350</v>
      </c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 t="s">
        <v>22</v>
      </c>
    </row>
    <row r="1754">
      <c r="A1754" s="7" t="s">
        <v>72</v>
      </c>
      <c r="B1754" s="7" t="s">
        <v>165</v>
      </c>
      <c r="C1754" s="7">
        <f t="shared" ref="C1754:C1756" si="201">4+1</f>
        <v>5</v>
      </c>
      <c r="D1754" s="7">
        <v>5.0</v>
      </c>
      <c r="E1754" s="7">
        <v>3.0</v>
      </c>
      <c r="F1754" s="7" t="s">
        <v>30</v>
      </c>
      <c r="G1754" s="7" t="s">
        <v>76</v>
      </c>
      <c r="H1754" s="9" t="s">
        <v>2979</v>
      </c>
      <c r="I1754" t="s">
        <v>2999</v>
      </c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 t="str">
        <f t="shared" si="1"/>
        <v>Built-up :</v>
      </c>
      <c r="AE1754" s="7" t="str">
        <f t="shared" si="2"/>
        <v> sq. ft.</v>
      </c>
      <c r="AF1754">
        <f>IFERROR(__xludf.DUMMYFUNCTION("VALUE(REGEXREPLACE(G1754,""[^[:digit:]]"", """"))"),3720.0)</f>
        <v>3720</v>
      </c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 t="s">
        <v>27</v>
      </c>
    </row>
    <row r="1755">
      <c r="A1755" s="7" t="s">
        <v>72</v>
      </c>
      <c r="B1755" s="7" t="s">
        <v>101</v>
      </c>
      <c r="C1755" s="7">
        <f t="shared" si="201"/>
        <v>5</v>
      </c>
      <c r="D1755" s="7">
        <v>5.0</v>
      </c>
      <c r="E1755" s="7">
        <v>3.0</v>
      </c>
      <c r="F1755" s="7" t="s">
        <v>30</v>
      </c>
      <c r="G1755" s="7" t="s">
        <v>76</v>
      </c>
      <c r="H1755" s="9" t="s">
        <v>2979</v>
      </c>
      <c r="I1755" t="s">
        <v>2999</v>
      </c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 t="str">
        <f t="shared" si="1"/>
        <v>Built-up :</v>
      </c>
      <c r="AE1755" s="7" t="str">
        <f t="shared" si="2"/>
        <v> sq. ft.</v>
      </c>
      <c r="AF1755">
        <f>IFERROR(__xludf.DUMMYFUNCTION("VALUE(REGEXREPLACE(G1755,""[^[:digit:]]"", """"))"),3720.0)</f>
        <v>3720</v>
      </c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 t="s">
        <v>27</v>
      </c>
    </row>
    <row r="1756">
      <c r="A1756" s="7" t="s">
        <v>72</v>
      </c>
      <c r="B1756" s="7" t="s">
        <v>849</v>
      </c>
      <c r="C1756" s="7">
        <f t="shared" si="201"/>
        <v>5</v>
      </c>
      <c r="D1756" s="7">
        <v>5.0</v>
      </c>
      <c r="E1756" s="7">
        <v>3.0</v>
      </c>
      <c r="F1756" s="7" t="s">
        <v>30</v>
      </c>
      <c r="G1756" s="7" t="s">
        <v>622</v>
      </c>
      <c r="H1756" s="9" t="s">
        <v>2979</v>
      </c>
      <c r="I1756" t="s">
        <v>3252</v>
      </c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 t="str">
        <f t="shared" si="1"/>
        <v>Built-up :</v>
      </c>
      <c r="AE1756" s="7" t="str">
        <f t="shared" si="2"/>
        <v> sq. ft.</v>
      </c>
      <c r="AF1756">
        <f>IFERROR(__xludf.DUMMYFUNCTION("VALUE(REGEXREPLACE(G1756,""[^[:digit:]]"", """"))"),3478.0)</f>
        <v>3478</v>
      </c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 t="s">
        <v>22</v>
      </c>
    </row>
    <row r="1757">
      <c r="A1757" s="7" t="s">
        <v>72</v>
      </c>
      <c r="B1757" s="7" t="s">
        <v>956</v>
      </c>
      <c r="C1757" s="7">
        <f>2</f>
        <v>2</v>
      </c>
      <c r="D1757" s="7">
        <v>3.0</v>
      </c>
      <c r="E1757" s="7">
        <v>1.0</v>
      </c>
      <c r="F1757" s="7" t="s">
        <v>93</v>
      </c>
      <c r="G1757" s="7" t="s">
        <v>1500</v>
      </c>
      <c r="H1757" s="9" t="s">
        <v>2979</v>
      </c>
      <c r="I1757" t="s">
        <v>3746</v>
      </c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 t="str">
        <f t="shared" si="1"/>
        <v>Built-up :</v>
      </c>
      <c r="AE1757" s="7" t="str">
        <f t="shared" si="2"/>
        <v> sq. ft.</v>
      </c>
      <c r="AF1757">
        <f>IFERROR(__xludf.DUMMYFUNCTION("VALUE(REGEXREPLACE(G1757,""[^[:digit:]]"", """"))"),1240.0)</f>
        <v>1240</v>
      </c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 t="s">
        <v>27</v>
      </c>
    </row>
    <row r="1758">
      <c r="A1758" s="7" t="s">
        <v>72</v>
      </c>
      <c r="B1758" s="7" t="s">
        <v>281</v>
      </c>
      <c r="C1758" s="7">
        <f>3+1</f>
        <v>4</v>
      </c>
      <c r="D1758" s="7">
        <v>3.0</v>
      </c>
      <c r="E1758" s="7">
        <v>2.0</v>
      </c>
      <c r="F1758" s="7" t="s">
        <v>83</v>
      </c>
      <c r="G1758" s="7" t="s">
        <v>1501</v>
      </c>
      <c r="H1758" s="9" t="s">
        <v>2979</v>
      </c>
      <c r="I1758" t="s">
        <v>3747</v>
      </c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 t="str">
        <f t="shared" si="1"/>
        <v>Built-up :</v>
      </c>
      <c r="AE1758" s="7" t="str">
        <f t="shared" si="2"/>
        <v> sq. ft.</v>
      </c>
      <c r="AF1758">
        <f>IFERROR(__xludf.DUMMYFUNCTION("VALUE(REGEXREPLACE(G1758,""[^[:digit:]]"", """"))"),3137.0)</f>
        <v>3137</v>
      </c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 t="s">
        <v>27</v>
      </c>
    </row>
    <row r="1759">
      <c r="A1759" s="7" t="s">
        <v>72</v>
      </c>
      <c r="B1759" s="7" t="s">
        <v>902</v>
      </c>
      <c r="C1759" s="7">
        <f>1</f>
        <v>1</v>
      </c>
      <c r="D1759" s="7">
        <v>1.0</v>
      </c>
      <c r="E1759" s="7">
        <v>1.0</v>
      </c>
      <c r="F1759" s="7" t="s">
        <v>82</v>
      </c>
      <c r="G1759" s="7" t="s">
        <v>850</v>
      </c>
      <c r="H1759" s="9" t="s">
        <v>2979</v>
      </c>
      <c r="I1759" t="s">
        <v>3370</v>
      </c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 t="str">
        <f t="shared" si="1"/>
        <v>Built-up :</v>
      </c>
      <c r="AE1759" s="7" t="str">
        <f t="shared" si="2"/>
        <v> sq. ft.</v>
      </c>
      <c r="AF1759">
        <f>IFERROR(__xludf.DUMMYFUNCTION("VALUE(REGEXREPLACE(G1759,""[^[:digit:]]"", """"))"),633.0)</f>
        <v>633</v>
      </c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 t="s">
        <v>22</v>
      </c>
    </row>
    <row r="1760">
      <c r="A1760" s="7" t="s">
        <v>72</v>
      </c>
      <c r="B1760" s="7" t="s">
        <v>599</v>
      </c>
      <c r="C1760" s="7">
        <f>2</f>
        <v>2</v>
      </c>
      <c r="D1760" s="7">
        <v>2.0</v>
      </c>
      <c r="E1760" s="7">
        <v>2.0</v>
      </c>
      <c r="F1760" s="7" t="s">
        <v>121</v>
      </c>
      <c r="G1760" s="7" t="s">
        <v>1502</v>
      </c>
      <c r="H1760" s="9" t="s">
        <v>2979</v>
      </c>
      <c r="I1760" t="s">
        <v>3748</v>
      </c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 t="str">
        <f t="shared" si="1"/>
        <v>Built-up :</v>
      </c>
      <c r="AE1760" s="7" t="str">
        <f t="shared" si="2"/>
        <v> sq. ft.</v>
      </c>
      <c r="AF1760">
        <f>IFERROR(__xludf.DUMMYFUNCTION("VALUE(REGEXREPLACE(G1760,""[^[:digit:]]"", """"))"),1583.0)</f>
        <v>1583</v>
      </c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 t="s">
        <v>27</v>
      </c>
    </row>
    <row r="1761">
      <c r="A1761" s="7" t="s">
        <v>72</v>
      </c>
      <c r="B1761" s="7" t="s">
        <v>1432</v>
      </c>
      <c r="C1761" s="7">
        <f>3</f>
        <v>3</v>
      </c>
      <c r="D1761" s="7">
        <v>2.0</v>
      </c>
      <c r="E1761" s="7">
        <v>2.0</v>
      </c>
      <c r="F1761" s="7" t="s">
        <v>83</v>
      </c>
      <c r="G1761" s="7" t="s">
        <v>135</v>
      </c>
      <c r="H1761" s="9" t="s">
        <v>2979</v>
      </c>
      <c r="I1761" t="s">
        <v>3023</v>
      </c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 t="str">
        <f t="shared" si="1"/>
        <v>Built-up :</v>
      </c>
      <c r="AE1761" s="7" t="str">
        <f t="shared" si="2"/>
        <v> sq. ft.</v>
      </c>
      <c r="AF1761">
        <f>IFERROR(__xludf.DUMMYFUNCTION("VALUE(REGEXREPLACE(G1761,""[^[:digit:]]"", """"))"),1200.0)</f>
        <v>1200</v>
      </c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</row>
    <row r="1762">
      <c r="A1762" s="7" t="s">
        <v>72</v>
      </c>
      <c r="B1762" s="7" t="s">
        <v>134</v>
      </c>
      <c r="C1762" s="7">
        <f>2</f>
        <v>2</v>
      </c>
      <c r="D1762" s="7">
        <v>2.0</v>
      </c>
      <c r="E1762" s="7">
        <v>1.0</v>
      </c>
      <c r="F1762" s="7" t="s">
        <v>82</v>
      </c>
      <c r="G1762" s="7" t="s">
        <v>747</v>
      </c>
      <c r="H1762" s="9" t="s">
        <v>2979</v>
      </c>
      <c r="I1762" t="s">
        <v>3318</v>
      </c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 t="str">
        <f t="shared" si="1"/>
        <v>Built-up :</v>
      </c>
      <c r="AE1762" s="7" t="str">
        <f t="shared" si="2"/>
        <v> sq. ft.</v>
      </c>
      <c r="AF1762">
        <f>IFERROR(__xludf.DUMMYFUNCTION("VALUE(REGEXREPLACE(G1762,""[^[:digit:]]"", """"))"),1000.0)</f>
        <v>1000</v>
      </c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 t="s">
        <v>27</v>
      </c>
    </row>
    <row r="1763">
      <c r="A1763" s="7" t="s">
        <v>171</v>
      </c>
      <c r="B1763" s="7" t="s">
        <v>268</v>
      </c>
      <c r="C1763" s="7">
        <f>4</f>
        <v>4</v>
      </c>
      <c r="D1763" s="7">
        <v>2.0</v>
      </c>
      <c r="E1763" s="7">
        <v>2.0</v>
      </c>
      <c r="F1763" s="7" t="s">
        <v>93</v>
      </c>
      <c r="G1763" s="7" t="s">
        <v>192</v>
      </c>
      <c r="H1763" s="9" t="s">
        <v>2979</v>
      </c>
      <c r="I1763" t="s">
        <v>3045</v>
      </c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 t="str">
        <f t="shared" si="1"/>
        <v>Built-up :</v>
      </c>
      <c r="AE1763" s="7" t="str">
        <f t="shared" si="2"/>
        <v> sq. ft.</v>
      </c>
      <c r="AF1763">
        <f>IFERROR(__xludf.DUMMYFUNCTION("VALUE(REGEXREPLACE(G1763,""[^[:digit:]]"", """"))"),1313.0)</f>
        <v>1313</v>
      </c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 t="s">
        <v>103</v>
      </c>
    </row>
    <row r="1764">
      <c r="A1764" s="7" t="s">
        <v>100</v>
      </c>
      <c r="B1764" s="7" t="s">
        <v>658</v>
      </c>
      <c r="C1764" s="7">
        <f>5+2</f>
        <v>7</v>
      </c>
      <c r="D1764" s="7">
        <v>6.0</v>
      </c>
      <c r="E1764" s="7">
        <v>4.0</v>
      </c>
      <c r="F1764" s="7" t="s">
        <v>67</v>
      </c>
      <c r="G1764" s="7" t="s">
        <v>1503</v>
      </c>
      <c r="H1764" s="9" t="s">
        <v>2981</v>
      </c>
      <c r="I1764" t="s">
        <v>3749</v>
      </c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 t="str">
        <f t="shared" si="1"/>
        <v>Land area </v>
      </c>
      <c r="AE1764" s="7" t="str">
        <f t="shared" si="2"/>
        <v> sq. ft.</v>
      </c>
      <c r="AF1764">
        <f>IFERROR(__xludf.DUMMYFUNCTION("VALUE(REGEXREPLACE(G1764,""[^[:digit:]]"", """"))"),3068.0)</f>
        <v>3068</v>
      </c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 t="s">
        <v>27</v>
      </c>
    </row>
    <row r="1765">
      <c r="A1765" s="7" t="s">
        <v>267</v>
      </c>
      <c r="B1765" s="7" t="s">
        <v>281</v>
      </c>
      <c r="C1765" s="7">
        <f>5+1</f>
        <v>6</v>
      </c>
      <c r="D1765" s="7">
        <v>3.0</v>
      </c>
      <c r="E1765" s="9">
        <v>2.0</v>
      </c>
      <c r="F1765" s="7" t="s">
        <v>64</v>
      </c>
      <c r="G1765" s="7" t="s">
        <v>1504</v>
      </c>
      <c r="H1765" s="9" t="s">
        <v>2981</v>
      </c>
      <c r="I1765" t="s">
        <v>3574</v>
      </c>
      <c r="J1765" s="7"/>
      <c r="K1765" s="7"/>
      <c r="L1765" s="7"/>
      <c r="M1765" s="7"/>
      <c r="N1765" s="7"/>
      <c r="O1765" s="7"/>
      <c r="P1765" s="7"/>
      <c r="Q1765" s="7"/>
      <c r="R1765" s="7"/>
      <c r="S1765" s="7" t="s">
        <v>3382</v>
      </c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 t="str">
        <f t="shared" si="1"/>
        <v>Land area </v>
      </c>
      <c r="AE1765" s="7" t="str">
        <f t="shared" si="2"/>
        <v> sq. ft.</v>
      </c>
      <c r="AF1765">
        <f>IFERROR(__xludf.DUMMYFUNCTION("VALUE(REGEXREPLACE(G1765,""[^[:digit:]]"", """"))"),45100.0)</f>
        <v>45100</v>
      </c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 t="s">
        <v>27</v>
      </c>
    </row>
    <row r="1766">
      <c r="A1766" s="7" t="s">
        <v>23</v>
      </c>
      <c r="B1766" s="7" t="s">
        <v>191</v>
      </c>
      <c r="C1766" s="7">
        <f>1</f>
        <v>1</v>
      </c>
      <c r="D1766" s="7">
        <v>2.0</v>
      </c>
      <c r="E1766" s="7">
        <v>1.0</v>
      </c>
      <c r="F1766" s="7" t="s">
        <v>20</v>
      </c>
      <c r="G1766" s="7" t="s">
        <v>952</v>
      </c>
      <c r="H1766" s="9" t="s">
        <v>2979</v>
      </c>
      <c r="I1766" t="s">
        <v>3423</v>
      </c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 t="str">
        <f t="shared" si="1"/>
        <v>Built-up :</v>
      </c>
      <c r="AE1766" s="7" t="str">
        <f t="shared" si="2"/>
        <v> sq. ft.</v>
      </c>
      <c r="AF1766">
        <f>IFERROR(__xludf.DUMMYFUNCTION("VALUE(REGEXREPLACE(G1766,""[^[:digit:]]"", """"))"),999.0)</f>
        <v>999</v>
      </c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 t="s">
        <v>22</v>
      </c>
    </row>
    <row r="1767">
      <c r="A1767" s="7" t="s">
        <v>104</v>
      </c>
      <c r="B1767" s="7" t="s">
        <v>1166</v>
      </c>
      <c r="C1767" s="7">
        <f>4</f>
        <v>4</v>
      </c>
      <c r="D1767" s="7">
        <v>3.0</v>
      </c>
      <c r="E1767" s="7">
        <v>2.0</v>
      </c>
      <c r="F1767" s="7" t="s">
        <v>54</v>
      </c>
      <c r="G1767" s="7" t="s">
        <v>1119</v>
      </c>
      <c r="H1767" s="9" t="s">
        <v>2981</v>
      </c>
      <c r="I1767" t="s">
        <v>3516</v>
      </c>
      <c r="J1767" s="7"/>
      <c r="K1767" s="7"/>
      <c r="L1767" s="7"/>
      <c r="M1767" s="7"/>
      <c r="N1767" s="7"/>
      <c r="O1767" s="7"/>
      <c r="P1767" s="7"/>
      <c r="Q1767" s="7"/>
      <c r="R1767" s="7"/>
      <c r="S1767" s="7" t="s">
        <v>3121</v>
      </c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 t="str">
        <f t="shared" si="1"/>
        <v>Land area </v>
      </c>
      <c r="AE1767" s="7" t="str">
        <f t="shared" si="2"/>
        <v> sq. ft.</v>
      </c>
      <c r="AF1767">
        <f>IFERROR(__xludf.DUMMYFUNCTION("VALUE(REGEXREPLACE(G1767,""[^[:digit:]]"", """"))"),2070.0)</f>
        <v>2070</v>
      </c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 t="s">
        <v>27</v>
      </c>
    </row>
    <row r="1768">
      <c r="A1768" s="7" t="s">
        <v>171</v>
      </c>
      <c r="B1768" s="7" t="s">
        <v>563</v>
      </c>
      <c r="C1768" s="7">
        <f t="shared" ref="C1768:C1769" si="202">3</f>
        <v>3</v>
      </c>
      <c r="D1768" s="7">
        <v>4.0</v>
      </c>
      <c r="E1768" s="7">
        <v>2.0</v>
      </c>
      <c r="F1768" s="7" t="s">
        <v>82</v>
      </c>
      <c r="G1768" s="7" t="s">
        <v>1505</v>
      </c>
      <c r="H1768" s="9" t="s">
        <v>2979</v>
      </c>
      <c r="I1768" t="s">
        <v>3750</v>
      </c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 t="str">
        <f t="shared" si="1"/>
        <v>Built-up :</v>
      </c>
      <c r="AE1768" s="7" t="str">
        <f t="shared" si="2"/>
        <v> sq. ft.</v>
      </c>
      <c r="AF1768">
        <f>IFERROR(__xludf.DUMMYFUNCTION("VALUE(REGEXREPLACE(G1768,""[^[:digit:]]"", """"))"),1281.0)</f>
        <v>1281</v>
      </c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 t="s">
        <v>27</v>
      </c>
    </row>
    <row r="1769">
      <c r="A1769" s="7" t="s">
        <v>72</v>
      </c>
      <c r="B1769" s="7" t="s">
        <v>139</v>
      </c>
      <c r="C1769" s="7">
        <f t="shared" si="202"/>
        <v>3</v>
      </c>
      <c r="D1769" s="7">
        <v>2.0</v>
      </c>
      <c r="E1769" s="7">
        <v>2.0</v>
      </c>
      <c r="F1769" s="7" t="s">
        <v>83</v>
      </c>
      <c r="G1769" s="7" t="s">
        <v>234</v>
      </c>
      <c r="H1769" s="9" t="s">
        <v>2979</v>
      </c>
      <c r="I1769" t="s">
        <v>3068</v>
      </c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 t="str">
        <f t="shared" si="1"/>
        <v>Built-up :</v>
      </c>
      <c r="AE1769" s="7" t="str">
        <f t="shared" si="2"/>
        <v> sq. ft.</v>
      </c>
      <c r="AF1769">
        <f>IFERROR(__xludf.DUMMYFUNCTION("VALUE(REGEXREPLACE(G1769,""[^[:digit:]]"", """"))"),1399.0)</f>
        <v>1399</v>
      </c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 t="s">
        <v>22</v>
      </c>
    </row>
    <row r="1770">
      <c r="A1770" s="7" t="s">
        <v>72</v>
      </c>
      <c r="B1770" s="7" t="s">
        <v>1506</v>
      </c>
      <c r="C1770" s="7">
        <f>3+1</f>
        <v>4</v>
      </c>
      <c r="D1770" s="7">
        <v>3.0</v>
      </c>
      <c r="E1770" s="7">
        <v>2.0</v>
      </c>
      <c r="F1770" s="7" t="s">
        <v>83</v>
      </c>
      <c r="G1770" s="7" t="s">
        <v>334</v>
      </c>
      <c r="H1770" s="9" t="s">
        <v>2979</v>
      </c>
      <c r="I1770" t="s">
        <v>3112</v>
      </c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 t="str">
        <f t="shared" si="1"/>
        <v>Built-up :</v>
      </c>
      <c r="AE1770" s="7" t="str">
        <f t="shared" si="2"/>
        <v> sq. ft.</v>
      </c>
      <c r="AF1770">
        <f>IFERROR(__xludf.DUMMYFUNCTION("VALUE(REGEXREPLACE(G1770,""[^[:digit:]]"", """"))"),1496.0)</f>
        <v>1496</v>
      </c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</row>
    <row r="1771">
      <c r="A1771" s="7" t="s">
        <v>148</v>
      </c>
      <c r="B1771" s="7" t="s">
        <v>45</v>
      </c>
      <c r="C1771" s="7">
        <f>5+1</f>
        <v>6</v>
      </c>
      <c r="D1771" s="7">
        <v>6.0</v>
      </c>
      <c r="E1771" s="7">
        <v>4.0</v>
      </c>
      <c r="F1771" s="7" t="s">
        <v>64</v>
      </c>
      <c r="G1771" s="7" t="s">
        <v>1507</v>
      </c>
      <c r="H1771" s="9" t="s">
        <v>2981</v>
      </c>
      <c r="I1771" t="s">
        <v>3333</v>
      </c>
      <c r="J1771" s="7"/>
      <c r="K1771" s="7"/>
      <c r="L1771" s="7"/>
      <c r="M1771" s="7"/>
      <c r="N1771" s="7"/>
      <c r="O1771" s="7"/>
      <c r="P1771" s="7"/>
      <c r="Q1771" s="7"/>
      <c r="R1771" s="7"/>
      <c r="S1771" s="7" t="s">
        <v>2993</v>
      </c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 t="str">
        <f t="shared" si="1"/>
        <v>Land area </v>
      </c>
      <c r="AE1771" s="7" t="str">
        <f t="shared" si="2"/>
        <v> sq. ft.</v>
      </c>
      <c r="AF1771">
        <f>IFERROR(__xludf.DUMMYFUNCTION("VALUE(REGEXREPLACE(G1771,""[^[:digit:]]"", """"))"),3880.0)</f>
        <v>3880</v>
      </c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 t="s">
        <v>103</v>
      </c>
    </row>
    <row r="1772">
      <c r="A1772" s="7" t="s">
        <v>428</v>
      </c>
      <c r="B1772" s="7" t="s">
        <v>931</v>
      </c>
      <c r="C1772" s="7">
        <f>4+1</f>
        <v>5</v>
      </c>
      <c r="D1772" s="7">
        <v>6.0</v>
      </c>
      <c r="E1772" s="7">
        <v>3.0</v>
      </c>
      <c r="F1772" s="7" t="s">
        <v>61</v>
      </c>
      <c r="G1772" s="7" t="s">
        <v>1508</v>
      </c>
      <c r="H1772" s="9" t="s">
        <v>2981</v>
      </c>
      <c r="I1772" t="s">
        <v>3574</v>
      </c>
      <c r="J1772" s="7"/>
      <c r="K1772" s="7"/>
      <c r="L1772" s="7"/>
      <c r="M1772" s="7"/>
      <c r="N1772" s="7"/>
      <c r="O1772" s="7"/>
      <c r="P1772" s="7"/>
      <c r="Q1772" s="7"/>
      <c r="R1772" s="7"/>
      <c r="S1772" s="7" t="s">
        <v>3188</v>
      </c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 t="str">
        <f t="shared" si="1"/>
        <v>Land area </v>
      </c>
      <c r="AE1772" s="7" t="str">
        <f t="shared" si="2"/>
        <v> sq. ft.</v>
      </c>
      <c r="AF1772">
        <f>IFERROR(__xludf.DUMMYFUNCTION("VALUE(REGEXREPLACE(G1772,""[^[:digit:]]"", """"))"),5090.0)</f>
        <v>5090</v>
      </c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 t="s">
        <v>103</v>
      </c>
    </row>
    <row r="1773">
      <c r="A1773" s="7" t="s">
        <v>52</v>
      </c>
      <c r="B1773" s="7" t="s">
        <v>1297</v>
      </c>
      <c r="C1773" s="7">
        <f t="shared" ref="C1773:C1774" si="203">2</f>
        <v>2</v>
      </c>
      <c r="D1773" s="7">
        <v>2.0</v>
      </c>
      <c r="E1773" s="7">
        <v>1.0</v>
      </c>
      <c r="F1773" s="7" t="s">
        <v>82</v>
      </c>
      <c r="G1773" s="7" t="s">
        <v>1509</v>
      </c>
      <c r="H1773" s="9" t="s">
        <v>2979</v>
      </c>
      <c r="I1773" t="s">
        <v>3751</v>
      </c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 t="str">
        <f t="shared" si="1"/>
        <v>Built-up :</v>
      </c>
      <c r="AE1773" s="7" t="str">
        <f t="shared" si="2"/>
        <v> sq. ft.</v>
      </c>
      <c r="AF1773">
        <f>IFERROR(__xludf.DUMMYFUNCTION("VALUE(REGEXREPLACE(G1773,""[^[:digit:]]"", """"))"),990.0)</f>
        <v>990</v>
      </c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 t="s">
        <v>22</v>
      </c>
    </row>
    <row r="1774">
      <c r="A1774" s="7" t="s">
        <v>41</v>
      </c>
      <c r="B1774" s="7" t="s">
        <v>1328</v>
      </c>
      <c r="C1774" s="7">
        <f t="shared" si="203"/>
        <v>2</v>
      </c>
      <c r="D1774" s="7">
        <v>2.0</v>
      </c>
      <c r="E1774" s="7">
        <v>1.0</v>
      </c>
      <c r="F1774" s="7" t="s">
        <v>93</v>
      </c>
      <c r="G1774" s="7" t="s">
        <v>1188</v>
      </c>
      <c r="H1774" s="9" t="s">
        <v>2979</v>
      </c>
      <c r="I1774" t="s">
        <v>3566</v>
      </c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 t="str">
        <f t="shared" si="1"/>
        <v>Built-up :</v>
      </c>
      <c r="AE1774" s="7" t="str">
        <f t="shared" si="2"/>
        <v> sq. ft.</v>
      </c>
      <c r="AF1774">
        <f>IFERROR(__xludf.DUMMYFUNCTION("VALUE(REGEXREPLACE(G1774,""[^[:digit:]]"", """"))"),1067.0)</f>
        <v>1067</v>
      </c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 t="s">
        <v>22</v>
      </c>
    </row>
    <row r="1775">
      <c r="A1775" s="7" t="s">
        <v>177</v>
      </c>
      <c r="B1775" s="7" t="s">
        <v>144</v>
      </c>
      <c r="C1775" s="7">
        <f>6</f>
        <v>6</v>
      </c>
      <c r="D1775" s="7">
        <v>3.0</v>
      </c>
      <c r="E1775" s="7">
        <v>2.0</v>
      </c>
      <c r="F1775" s="7" t="s">
        <v>169</v>
      </c>
      <c r="G1775" s="7" t="s">
        <v>47</v>
      </c>
      <c r="H1775" s="9" t="s">
        <v>2981</v>
      </c>
      <c r="I1775" t="s">
        <v>2989</v>
      </c>
      <c r="J1775" s="7"/>
      <c r="K1775" s="7"/>
      <c r="L1775" s="7"/>
      <c r="M1775" s="7"/>
      <c r="N1775" s="7"/>
      <c r="O1775" s="7"/>
      <c r="P1775" s="7"/>
      <c r="Q1775" s="7"/>
      <c r="R1775" s="7"/>
      <c r="S1775" s="7" t="s">
        <v>2990</v>
      </c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 t="str">
        <f t="shared" si="1"/>
        <v>Land area </v>
      </c>
      <c r="AE1775" s="7" t="str">
        <f t="shared" si="2"/>
        <v> sq. ft.</v>
      </c>
      <c r="AF1775">
        <f>IFERROR(__xludf.DUMMYFUNCTION("VALUE(REGEXREPLACE(G1775,""[^[:digit:]]"", """"))"),2575.0)</f>
        <v>2575</v>
      </c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 t="s">
        <v>27</v>
      </c>
    </row>
    <row r="1776">
      <c r="A1776" s="7" t="s">
        <v>177</v>
      </c>
      <c r="B1776" s="7" t="s">
        <v>24</v>
      </c>
      <c r="E1776" s="7">
        <v>12.0</v>
      </c>
      <c r="F1776" s="7" t="s">
        <v>25</v>
      </c>
      <c r="G1776" s="7" t="s">
        <v>1510</v>
      </c>
      <c r="H1776" s="9" t="s">
        <v>2981</v>
      </c>
      <c r="I1776" t="s">
        <v>3752</v>
      </c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 t="str">
        <f t="shared" si="1"/>
        <v>Land area </v>
      </c>
      <c r="AE1776" s="7" t="str">
        <f t="shared" si="2"/>
        <v> sq. ft.</v>
      </c>
      <c r="AF1776">
        <f>IFERROR(__xludf.DUMMYFUNCTION("VALUE(REGEXREPLACE(G1776,""[^[:digit:]]"", """"))"),10157.0)</f>
        <v>10157</v>
      </c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 t="s">
        <v>103</v>
      </c>
    </row>
    <row r="1777">
      <c r="A1777" s="7" t="s">
        <v>177</v>
      </c>
      <c r="B1777" s="7" t="s">
        <v>1511</v>
      </c>
      <c r="C1777" s="7">
        <f>4</f>
        <v>4</v>
      </c>
      <c r="D1777" s="7">
        <v>3.0</v>
      </c>
      <c r="E1777" s="7">
        <v>2.0</v>
      </c>
      <c r="F1777" s="7" t="s">
        <v>54</v>
      </c>
      <c r="G1777" s="7" t="s">
        <v>719</v>
      </c>
      <c r="H1777" s="9" t="s">
        <v>2981</v>
      </c>
      <c r="I1777" t="s">
        <v>3299</v>
      </c>
      <c r="J1777" s="7"/>
      <c r="K1777" s="7"/>
      <c r="L1777" s="7"/>
      <c r="M1777" s="7"/>
      <c r="N1777" s="7"/>
      <c r="O1777" s="7"/>
      <c r="P1777" s="7"/>
      <c r="Q1777" s="7"/>
      <c r="R1777" s="7"/>
      <c r="S1777" s="7" t="s">
        <v>3101</v>
      </c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 t="str">
        <f t="shared" si="1"/>
        <v>Land area </v>
      </c>
      <c r="AE1777" s="7" t="str">
        <f t="shared" si="2"/>
        <v> sq. ft.</v>
      </c>
      <c r="AF1777">
        <f>IFERROR(__xludf.DUMMYFUNCTION("VALUE(REGEXREPLACE(G1777,""[^[:digit:]]"", """"))"),2285.0)</f>
        <v>2285</v>
      </c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 t="s">
        <v>103</v>
      </c>
    </row>
    <row r="1778">
      <c r="A1778" s="7" t="s">
        <v>177</v>
      </c>
      <c r="B1778" s="7" t="s">
        <v>304</v>
      </c>
      <c r="C1778" s="7">
        <f>5+1</f>
        <v>6</v>
      </c>
      <c r="D1778" s="7">
        <v>5.0</v>
      </c>
      <c r="E1778" s="7">
        <v>4.0</v>
      </c>
      <c r="F1778" s="7" t="s">
        <v>25</v>
      </c>
      <c r="G1778" s="7" t="s">
        <v>1035</v>
      </c>
      <c r="H1778" s="9" t="s">
        <v>2981</v>
      </c>
      <c r="I1778" t="s">
        <v>3469</v>
      </c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 t="str">
        <f t="shared" si="1"/>
        <v>Land area </v>
      </c>
      <c r="AE1778" s="7" t="str">
        <f t="shared" si="2"/>
        <v> sq. ft.</v>
      </c>
      <c r="AF1778">
        <f>IFERROR(__xludf.DUMMYFUNCTION("VALUE(REGEXREPLACE(G1778,""[^[:digit:]]"", """"))"),6800.0)</f>
        <v>6800</v>
      </c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 t="s">
        <v>27</v>
      </c>
    </row>
    <row r="1779">
      <c r="A1779" s="7" t="s">
        <v>177</v>
      </c>
      <c r="B1779" s="7" t="s">
        <v>842</v>
      </c>
      <c r="C1779" s="7">
        <f>5+2</f>
        <v>7</v>
      </c>
      <c r="D1779" s="7">
        <v>5.0</v>
      </c>
      <c r="E1779" s="7">
        <v>5.0</v>
      </c>
      <c r="F1779" s="7" t="s">
        <v>61</v>
      </c>
      <c r="G1779" s="7" t="s">
        <v>264</v>
      </c>
      <c r="H1779" s="9" t="s">
        <v>2981</v>
      </c>
      <c r="I1779" t="s">
        <v>3082</v>
      </c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 t="str">
        <f t="shared" si="1"/>
        <v>Land area </v>
      </c>
      <c r="AE1779" s="7" t="str">
        <f t="shared" si="2"/>
        <v> sq. ft.</v>
      </c>
      <c r="AF1779">
        <f>IFERROR(__xludf.DUMMYFUNCTION("VALUE(REGEXREPLACE(G1779,""[^[:digit:]]"", """"))"),10000.0)</f>
        <v>10000</v>
      </c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 t="s">
        <v>27</v>
      </c>
    </row>
    <row r="1780">
      <c r="A1780" s="7" t="s">
        <v>177</v>
      </c>
      <c r="B1780" s="7" t="s">
        <v>1512</v>
      </c>
      <c r="C1780" s="7">
        <f>5</f>
        <v>5</v>
      </c>
      <c r="D1780" s="7">
        <v>4.0</v>
      </c>
      <c r="E1780" s="7">
        <v>5.0</v>
      </c>
      <c r="F1780" s="7" t="s">
        <v>25</v>
      </c>
      <c r="G1780" s="7" t="s">
        <v>40</v>
      </c>
      <c r="H1780" s="9" t="s">
        <v>2981</v>
      </c>
      <c r="I1780" t="s">
        <v>2987</v>
      </c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 t="str">
        <f t="shared" si="1"/>
        <v>Land area </v>
      </c>
      <c r="AE1780" s="7" t="str">
        <f t="shared" si="2"/>
        <v> sq. ft.</v>
      </c>
      <c r="AF1780">
        <f>IFERROR(__xludf.DUMMYFUNCTION("VALUE(REGEXREPLACE(G1780,""[^[:digit:]]"", """"))"),7200.0)</f>
        <v>7200</v>
      </c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 t="s">
        <v>27</v>
      </c>
    </row>
    <row r="1781">
      <c r="A1781" s="7" t="s">
        <v>177</v>
      </c>
      <c r="B1781" s="7" t="s">
        <v>705</v>
      </c>
      <c r="C1781" s="7">
        <f t="shared" ref="C1781:C1782" si="204">4</f>
        <v>4</v>
      </c>
      <c r="D1781" s="7">
        <v>3.0</v>
      </c>
      <c r="E1781" s="7">
        <v>2.0</v>
      </c>
      <c r="F1781" s="7" t="s">
        <v>54</v>
      </c>
      <c r="G1781" s="7" t="s">
        <v>719</v>
      </c>
      <c r="H1781" s="9" t="s">
        <v>2981</v>
      </c>
      <c r="I1781" t="s">
        <v>3299</v>
      </c>
      <c r="J1781" s="7"/>
      <c r="K1781" s="7"/>
      <c r="L1781" s="7"/>
      <c r="M1781" s="7"/>
      <c r="N1781" s="7"/>
      <c r="O1781" s="7"/>
      <c r="P1781" s="7"/>
      <c r="Q1781" s="7"/>
      <c r="R1781" s="7"/>
      <c r="S1781" s="7" t="s">
        <v>3101</v>
      </c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 t="str">
        <f t="shared" si="1"/>
        <v>Land area </v>
      </c>
      <c r="AE1781" s="7" t="str">
        <f t="shared" si="2"/>
        <v> sq. ft.</v>
      </c>
      <c r="AF1781">
        <f>IFERROR(__xludf.DUMMYFUNCTION("VALUE(REGEXREPLACE(G1781,""[^[:digit:]]"", """"))"),2285.0)</f>
        <v>2285</v>
      </c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 t="s">
        <v>27</v>
      </c>
    </row>
    <row r="1782">
      <c r="A1782" s="7" t="s">
        <v>177</v>
      </c>
      <c r="B1782" s="7" t="s">
        <v>1513</v>
      </c>
      <c r="C1782" s="7">
        <f t="shared" si="204"/>
        <v>4</v>
      </c>
      <c r="D1782" s="7">
        <v>3.0</v>
      </c>
      <c r="E1782" s="7">
        <v>2.0</v>
      </c>
      <c r="F1782" s="7" t="s">
        <v>54</v>
      </c>
      <c r="G1782" s="7" t="s">
        <v>47</v>
      </c>
      <c r="H1782" s="9" t="s">
        <v>2981</v>
      </c>
      <c r="I1782" t="s">
        <v>2989</v>
      </c>
      <c r="J1782" s="7"/>
      <c r="K1782" s="7"/>
      <c r="L1782" s="7"/>
      <c r="M1782" s="7"/>
      <c r="N1782" s="7"/>
      <c r="O1782" s="7"/>
      <c r="P1782" s="7"/>
      <c r="Q1782" s="7"/>
      <c r="R1782" s="7"/>
      <c r="S1782" s="7" t="s">
        <v>2990</v>
      </c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 t="str">
        <f t="shared" si="1"/>
        <v>Land area </v>
      </c>
      <c r="AE1782" s="7" t="str">
        <f t="shared" si="2"/>
        <v> sq. ft.</v>
      </c>
      <c r="AF1782">
        <f>IFERROR(__xludf.DUMMYFUNCTION("VALUE(REGEXREPLACE(G1782,""[^[:digit:]]"", """"))"),2575.0)</f>
        <v>2575</v>
      </c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 t="s">
        <v>27</v>
      </c>
    </row>
    <row r="1783">
      <c r="A1783" s="7" t="s">
        <v>28</v>
      </c>
      <c r="B1783" s="7" t="s">
        <v>139</v>
      </c>
      <c r="C1783" s="7">
        <f>3</f>
        <v>3</v>
      </c>
      <c r="D1783" s="7">
        <v>2.0</v>
      </c>
      <c r="E1783" s="7">
        <v>1.0</v>
      </c>
      <c r="F1783" s="7" t="s">
        <v>30</v>
      </c>
      <c r="G1783" s="7" t="s">
        <v>1514</v>
      </c>
      <c r="H1783" s="9" t="s">
        <v>2979</v>
      </c>
      <c r="I1783" t="s">
        <v>3753</v>
      </c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 t="str">
        <f t="shared" si="1"/>
        <v>Built-up :</v>
      </c>
      <c r="AE1783" s="7" t="str">
        <f t="shared" si="2"/>
        <v> sq. ft.</v>
      </c>
      <c r="AF1783">
        <f>IFERROR(__xludf.DUMMYFUNCTION("VALUE(REGEXREPLACE(G1783,""[^[:digit:]]"", """"))"),1253.0)</f>
        <v>1253</v>
      </c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 t="s">
        <v>103</v>
      </c>
    </row>
    <row r="1784">
      <c r="A1784" s="7" t="s">
        <v>77</v>
      </c>
      <c r="B1784" s="7" t="s">
        <v>1515</v>
      </c>
      <c r="C1784" s="7">
        <f>4+2</f>
        <v>6</v>
      </c>
      <c r="E1784" s="7">
        <v>2.0</v>
      </c>
      <c r="F1784" s="7" t="s">
        <v>282</v>
      </c>
      <c r="G1784" s="7" t="s">
        <v>1516</v>
      </c>
      <c r="H1784" s="9" t="s">
        <v>2981</v>
      </c>
      <c r="I1784" t="s">
        <v>3754</v>
      </c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 t="str">
        <f t="shared" si="1"/>
        <v>Land area </v>
      </c>
      <c r="AE1784" s="7" t="str">
        <f t="shared" si="2"/>
        <v> sq. ft.</v>
      </c>
      <c r="AF1784">
        <f>IFERROR(__xludf.DUMMYFUNCTION("VALUE(REGEXREPLACE(G1784,""[^[:digit:]]"", """"))"),2900.0)</f>
        <v>2900</v>
      </c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 t="s">
        <v>27</v>
      </c>
    </row>
    <row r="1785">
      <c r="A1785" s="7" t="s">
        <v>171</v>
      </c>
      <c r="B1785" s="7" t="s">
        <v>18</v>
      </c>
      <c r="C1785" s="7">
        <f>3+1</f>
        <v>4</v>
      </c>
      <c r="D1785" s="7">
        <v>4.0</v>
      </c>
      <c r="E1785" s="7">
        <v>2.0</v>
      </c>
      <c r="F1785" s="7" t="s">
        <v>83</v>
      </c>
      <c r="G1785" s="7" t="s">
        <v>1007</v>
      </c>
      <c r="H1785" s="9" t="s">
        <v>2979</v>
      </c>
      <c r="I1785" t="s">
        <v>3451</v>
      </c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 t="str">
        <f t="shared" si="1"/>
        <v>Built-up :</v>
      </c>
      <c r="AE1785" s="7" t="str">
        <f t="shared" si="2"/>
        <v> sq. ft.</v>
      </c>
      <c r="AF1785">
        <f>IFERROR(__xludf.DUMMYFUNCTION("VALUE(REGEXREPLACE(G1785,""[^[:digit:]]"", """"))"),1680.0)</f>
        <v>1680</v>
      </c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 t="s">
        <v>27</v>
      </c>
    </row>
    <row r="1786">
      <c r="A1786" s="7" t="s">
        <v>100</v>
      </c>
      <c r="B1786" s="7" t="s">
        <v>56</v>
      </c>
      <c r="C1786" s="7">
        <f t="shared" ref="C1786:C1788" si="205">4</f>
        <v>4</v>
      </c>
      <c r="D1786" s="7">
        <v>3.0</v>
      </c>
      <c r="E1786" s="7">
        <v>3.0</v>
      </c>
      <c r="F1786" s="7" t="s">
        <v>83</v>
      </c>
      <c r="G1786" s="7" t="s">
        <v>735</v>
      </c>
      <c r="H1786" s="9" t="s">
        <v>2979</v>
      </c>
      <c r="I1786" t="s">
        <v>3309</v>
      </c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 t="str">
        <f t="shared" si="1"/>
        <v>Built-up :</v>
      </c>
      <c r="AE1786" s="7" t="str">
        <f t="shared" si="2"/>
        <v> sq. ft.</v>
      </c>
      <c r="AF1786">
        <f>IFERROR(__xludf.DUMMYFUNCTION("VALUE(REGEXREPLACE(G1786,""[^[:digit:]]"", """"))"),2638.0)</f>
        <v>2638</v>
      </c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 t="s">
        <v>22</v>
      </c>
    </row>
    <row r="1787">
      <c r="A1787" s="7" t="s">
        <v>100</v>
      </c>
      <c r="B1787" s="7" t="s">
        <v>372</v>
      </c>
      <c r="C1787" s="7">
        <f t="shared" si="205"/>
        <v>4</v>
      </c>
      <c r="D1787" s="7">
        <v>2.0</v>
      </c>
      <c r="E1787" s="7">
        <v>2.0</v>
      </c>
      <c r="F1787" s="7" t="s">
        <v>83</v>
      </c>
      <c r="G1787" s="7" t="s">
        <v>716</v>
      </c>
      <c r="H1787" s="9" t="s">
        <v>2979</v>
      </c>
      <c r="I1787" t="s">
        <v>3296</v>
      </c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 t="str">
        <f t="shared" si="1"/>
        <v>Built-up :</v>
      </c>
      <c r="AE1787" s="7" t="str">
        <f t="shared" si="2"/>
        <v> sq. ft.</v>
      </c>
      <c r="AF1787">
        <f>IFERROR(__xludf.DUMMYFUNCTION("VALUE(REGEXREPLACE(G1787,""[^[:digit:]]"", """"))"),1073.0)</f>
        <v>1073</v>
      </c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 t="s">
        <v>27</v>
      </c>
    </row>
    <row r="1788">
      <c r="A1788" s="7" t="s">
        <v>32</v>
      </c>
      <c r="B1788" s="7" t="s">
        <v>191</v>
      </c>
      <c r="C1788" s="7">
        <f t="shared" si="205"/>
        <v>4</v>
      </c>
      <c r="D1788" s="7">
        <v>4.0</v>
      </c>
      <c r="E1788" s="7">
        <v>2.0</v>
      </c>
      <c r="F1788" s="7" t="s">
        <v>54</v>
      </c>
      <c r="G1788" s="7" t="s">
        <v>1121</v>
      </c>
      <c r="H1788" s="9" t="s">
        <v>2981</v>
      </c>
      <c r="I1788" t="s">
        <v>3518</v>
      </c>
      <c r="J1788" s="7"/>
      <c r="K1788" s="7"/>
      <c r="L1788" s="7"/>
      <c r="M1788" s="7"/>
      <c r="N1788" s="7"/>
      <c r="O1788" s="7"/>
      <c r="P1788" s="7"/>
      <c r="Q1788" s="7"/>
      <c r="R1788" s="7"/>
      <c r="S1788" s="7" t="s">
        <v>3121</v>
      </c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 t="str">
        <f t="shared" si="1"/>
        <v>Land area </v>
      </c>
      <c r="AE1788" s="7" t="str">
        <f t="shared" si="2"/>
        <v> sq. ft.</v>
      </c>
      <c r="AF1788">
        <f>IFERROR(__xludf.DUMMYFUNCTION("VALUE(REGEXREPLACE(G1788,""[^[:digit:]]"", """"))"),2270.0)</f>
        <v>2270</v>
      </c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 t="s">
        <v>27</v>
      </c>
    </row>
    <row r="1789">
      <c r="A1789" s="7" t="s">
        <v>37</v>
      </c>
      <c r="B1789" s="7" t="s">
        <v>329</v>
      </c>
      <c r="C1789" s="7">
        <f t="shared" ref="C1789:C1790" si="206">3</f>
        <v>3</v>
      </c>
      <c r="D1789" s="7">
        <v>2.0</v>
      </c>
      <c r="E1789" s="9">
        <v>2.0</v>
      </c>
      <c r="F1789" s="7" t="s">
        <v>1185</v>
      </c>
      <c r="G1789" s="7" t="s">
        <v>344</v>
      </c>
      <c r="H1789" s="9" t="s">
        <v>2981</v>
      </c>
      <c r="I1789" t="s">
        <v>3118</v>
      </c>
      <c r="J1789" s="7"/>
      <c r="K1789" s="7"/>
      <c r="L1789" s="7"/>
      <c r="M1789" s="7"/>
      <c r="N1789" s="7"/>
      <c r="O1789" s="7"/>
      <c r="P1789" s="7"/>
      <c r="Q1789" s="7"/>
      <c r="R1789" s="7"/>
      <c r="S1789" s="7" t="s">
        <v>2993</v>
      </c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 t="str">
        <f t="shared" si="1"/>
        <v>Land area </v>
      </c>
      <c r="AE1789" s="7" t="str">
        <f t="shared" si="2"/>
        <v> sq. ft.</v>
      </c>
      <c r="AF1789">
        <f>IFERROR(__xludf.DUMMYFUNCTION("VALUE(REGEXREPLACE(G1789,""[^[:digit:]]"", """"))"),2480.0)</f>
        <v>2480</v>
      </c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</row>
    <row r="1790">
      <c r="A1790" s="7" t="s">
        <v>33</v>
      </c>
      <c r="B1790" s="7" t="s">
        <v>1517</v>
      </c>
      <c r="C1790" s="7">
        <f t="shared" si="206"/>
        <v>3</v>
      </c>
      <c r="D1790" s="7">
        <v>2.0</v>
      </c>
      <c r="E1790" s="7">
        <v>2.0</v>
      </c>
      <c r="F1790" s="7" t="s">
        <v>20</v>
      </c>
      <c r="G1790" s="7" t="s">
        <v>1112</v>
      </c>
      <c r="H1790" s="9" t="s">
        <v>2979</v>
      </c>
      <c r="I1790" t="s">
        <v>3510</v>
      </c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 t="str">
        <f t="shared" si="1"/>
        <v>Built-up :</v>
      </c>
      <c r="AE1790" s="7" t="str">
        <f t="shared" si="2"/>
        <v> sq. ft.</v>
      </c>
      <c r="AF1790">
        <f>IFERROR(__xludf.DUMMYFUNCTION("VALUE(REGEXREPLACE(G1790,""[^[:digit:]]"", """"))"),1218.0)</f>
        <v>1218</v>
      </c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 t="s">
        <v>22</v>
      </c>
    </row>
    <row r="1791">
      <c r="A1791" s="7" t="s">
        <v>17</v>
      </c>
      <c r="B1791" s="7" t="s">
        <v>940</v>
      </c>
      <c r="C1791" s="7">
        <f>5+1</f>
        <v>6</v>
      </c>
      <c r="D1791" s="7">
        <v>6.0</v>
      </c>
      <c r="E1791" s="9">
        <v>2.0</v>
      </c>
      <c r="F1791" s="7" t="s">
        <v>145</v>
      </c>
      <c r="G1791" s="7" t="s">
        <v>1182</v>
      </c>
      <c r="H1791" s="9" t="s">
        <v>2979</v>
      </c>
      <c r="I1791" t="s">
        <v>3563</v>
      </c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 t="str">
        <f t="shared" si="1"/>
        <v>Built-up :</v>
      </c>
      <c r="AE1791" s="7" t="str">
        <f t="shared" si="2"/>
        <v> sq. ft.</v>
      </c>
      <c r="AF1791">
        <f>IFERROR(__xludf.DUMMYFUNCTION("VALUE(REGEXREPLACE(G1791,""[^[:digit:]]"", """"))"),5421.0)</f>
        <v>5421</v>
      </c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 t="s">
        <v>27</v>
      </c>
    </row>
    <row r="1792">
      <c r="A1792" s="7" t="s">
        <v>77</v>
      </c>
      <c r="B1792" s="7" t="s">
        <v>134</v>
      </c>
      <c r="C1792" s="7">
        <f>2+1</f>
        <v>3</v>
      </c>
      <c r="D1792" s="7">
        <v>2.0</v>
      </c>
      <c r="E1792" s="9">
        <v>2.0</v>
      </c>
      <c r="F1792" s="7" t="s">
        <v>83</v>
      </c>
      <c r="G1792" s="7" t="s">
        <v>446</v>
      </c>
      <c r="H1792" s="9" t="s">
        <v>2979</v>
      </c>
      <c r="I1792" t="s">
        <v>3165</v>
      </c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 t="str">
        <f t="shared" si="1"/>
        <v>Built-up :</v>
      </c>
      <c r="AE1792" s="7" t="str">
        <f t="shared" si="2"/>
        <v> sq. ft.</v>
      </c>
      <c r="AF1792">
        <f>IFERROR(__xludf.DUMMYFUNCTION("VALUE(REGEXREPLACE(G1792,""[^[:digit:]]"", """"))"),1271.0)</f>
        <v>1271</v>
      </c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 t="s">
        <v>103</v>
      </c>
    </row>
    <row r="1793">
      <c r="A1793" s="7" t="s">
        <v>77</v>
      </c>
      <c r="B1793" s="7" t="s">
        <v>81</v>
      </c>
      <c r="C1793" s="7">
        <f t="shared" ref="C1793:C1795" si="207">3</f>
        <v>3</v>
      </c>
      <c r="D1793" s="7">
        <v>4.0</v>
      </c>
      <c r="E1793" s="7">
        <v>3.0</v>
      </c>
      <c r="F1793" s="7" t="s">
        <v>83</v>
      </c>
      <c r="G1793" s="7" t="s">
        <v>80</v>
      </c>
      <c r="H1793" s="9" t="s">
        <v>2979</v>
      </c>
      <c r="I1793" t="s">
        <v>3000</v>
      </c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 t="str">
        <f t="shared" si="1"/>
        <v>Built-up :</v>
      </c>
      <c r="AE1793" s="7" t="str">
        <f t="shared" si="2"/>
        <v> sq. ft.</v>
      </c>
      <c r="AF1793">
        <f>IFERROR(__xludf.DUMMYFUNCTION("VALUE(REGEXREPLACE(G1793,""[^[:digit:]]"", """"))"),1798.0)</f>
        <v>1798</v>
      </c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 t="s">
        <v>103</v>
      </c>
    </row>
    <row r="1794">
      <c r="A1794" s="7" t="s">
        <v>77</v>
      </c>
      <c r="B1794" s="7" t="s">
        <v>18</v>
      </c>
      <c r="C1794" s="7">
        <f t="shared" si="207"/>
        <v>3</v>
      </c>
      <c r="D1794" s="7">
        <v>4.0</v>
      </c>
      <c r="E1794" s="7">
        <v>2.0</v>
      </c>
      <c r="F1794" s="7" t="s">
        <v>83</v>
      </c>
      <c r="G1794" s="7" t="s">
        <v>1518</v>
      </c>
      <c r="H1794" s="9" t="s">
        <v>2979</v>
      </c>
      <c r="I1794" t="s">
        <v>3755</v>
      </c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 t="str">
        <f t="shared" si="1"/>
        <v>Built-up :</v>
      </c>
      <c r="AE1794" s="7" t="str">
        <f t="shared" si="2"/>
        <v> sq. ft.</v>
      </c>
      <c r="AF1794">
        <f>IFERROR(__xludf.DUMMYFUNCTION("VALUE(REGEXREPLACE(G1794,""[^[:digit:]]"", """"))"),1540.0)</f>
        <v>1540</v>
      </c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 t="s">
        <v>103</v>
      </c>
    </row>
    <row r="1795">
      <c r="A1795" s="7" t="s">
        <v>77</v>
      </c>
      <c r="B1795" s="7" t="s">
        <v>327</v>
      </c>
      <c r="C1795" s="7">
        <f t="shared" si="207"/>
        <v>3</v>
      </c>
      <c r="D1795" s="7">
        <v>2.0</v>
      </c>
      <c r="E1795" s="7">
        <v>2.0</v>
      </c>
      <c r="F1795" s="7" t="s">
        <v>83</v>
      </c>
      <c r="G1795" s="7" t="s">
        <v>1519</v>
      </c>
      <c r="H1795" s="9" t="s">
        <v>2979</v>
      </c>
      <c r="I1795" t="s">
        <v>3756</v>
      </c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 t="str">
        <f t="shared" si="1"/>
        <v>Built-up :</v>
      </c>
      <c r="AE1795" s="7" t="str">
        <f t="shared" si="2"/>
        <v> sq. ft.</v>
      </c>
      <c r="AF1795">
        <f>IFERROR(__xludf.DUMMYFUNCTION("VALUE(REGEXREPLACE(G1795,""[^[:digit:]]"", """"))"),1454.0)</f>
        <v>1454</v>
      </c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 t="s">
        <v>103</v>
      </c>
    </row>
    <row r="1796">
      <c r="A1796" s="7" t="s">
        <v>77</v>
      </c>
      <c r="B1796" s="7" t="s">
        <v>138</v>
      </c>
      <c r="C1796" s="7">
        <f>2</f>
        <v>2</v>
      </c>
      <c r="D1796" s="7">
        <v>2.0</v>
      </c>
      <c r="E1796" s="7">
        <v>2.0</v>
      </c>
      <c r="F1796" s="7" t="s">
        <v>83</v>
      </c>
      <c r="G1796" s="7" t="s">
        <v>1520</v>
      </c>
      <c r="H1796" s="9" t="s">
        <v>2979</v>
      </c>
      <c r="I1796" t="s">
        <v>3757</v>
      </c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 t="str">
        <f t="shared" si="1"/>
        <v>Built-up :</v>
      </c>
      <c r="AE1796" s="7" t="str">
        <f t="shared" si="2"/>
        <v> sq. ft.</v>
      </c>
      <c r="AF1796">
        <f>IFERROR(__xludf.DUMMYFUNCTION("VALUE(REGEXREPLACE(G1796,""[^[:digit:]]"", """"))"),1077.0)</f>
        <v>1077</v>
      </c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 t="s">
        <v>103</v>
      </c>
    </row>
    <row r="1797">
      <c r="A1797" s="7" t="s">
        <v>17</v>
      </c>
      <c r="B1797" s="7" t="s">
        <v>125</v>
      </c>
      <c r="C1797" s="7">
        <f>3+1</f>
        <v>4</v>
      </c>
      <c r="D1797" s="7">
        <v>4.0</v>
      </c>
      <c r="E1797" s="7">
        <v>2.0</v>
      </c>
      <c r="F1797" s="7" t="s">
        <v>121</v>
      </c>
      <c r="G1797" s="7" t="s">
        <v>176</v>
      </c>
      <c r="H1797" s="9" t="s">
        <v>2979</v>
      </c>
      <c r="I1797" t="s">
        <v>3039</v>
      </c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 t="str">
        <f t="shared" si="1"/>
        <v>Built-up :</v>
      </c>
      <c r="AE1797" s="7" t="str">
        <f t="shared" si="2"/>
        <v> sq. ft.</v>
      </c>
      <c r="AF1797">
        <f>IFERROR(__xludf.DUMMYFUNCTION("VALUE(REGEXREPLACE(G1797,""[^[:digit:]]"", """"))"),3000.0)</f>
        <v>3000</v>
      </c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 t="s">
        <v>27</v>
      </c>
    </row>
    <row r="1798">
      <c r="A1798" s="7" t="s">
        <v>33</v>
      </c>
      <c r="B1798" s="7" t="s">
        <v>236</v>
      </c>
      <c r="C1798" s="7">
        <f>4</f>
        <v>4</v>
      </c>
      <c r="D1798" s="7">
        <v>3.0</v>
      </c>
      <c r="E1798" s="7">
        <v>3.0</v>
      </c>
      <c r="F1798" s="7" t="s">
        <v>312</v>
      </c>
      <c r="G1798" s="7" t="s">
        <v>1269</v>
      </c>
      <c r="H1798" s="9" t="s">
        <v>2979</v>
      </c>
      <c r="I1798" t="s">
        <v>3612</v>
      </c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 t="str">
        <f t="shared" si="1"/>
        <v>Built-up :</v>
      </c>
      <c r="AE1798" s="7" t="str">
        <f t="shared" si="2"/>
        <v> sq. ft.</v>
      </c>
      <c r="AF1798">
        <f>IFERROR(__xludf.DUMMYFUNCTION("VALUE(REGEXREPLACE(G1798,""[^[:digit:]]"", """"))"),2563.0)</f>
        <v>2563</v>
      </c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 t="s">
        <v>27</v>
      </c>
    </row>
    <row r="1799">
      <c r="A1799" s="7" t="s">
        <v>33</v>
      </c>
      <c r="B1799" s="7" t="s">
        <v>206</v>
      </c>
      <c r="C1799" s="7">
        <f t="shared" ref="C1799:C1801" si="208">3+1</f>
        <v>4</v>
      </c>
      <c r="D1799" s="7">
        <v>3.0</v>
      </c>
      <c r="E1799" s="7">
        <v>2.0</v>
      </c>
      <c r="F1799" s="7" t="s">
        <v>93</v>
      </c>
      <c r="G1799" s="7" t="s">
        <v>36</v>
      </c>
      <c r="H1799" s="9" t="s">
        <v>2979</v>
      </c>
      <c r="I1799" t="s">
        <v>2986</v>
      </c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 t="str">
        <f t="shared" si="1"/>
        <v>Built-up :</v>
      </c>
      <c r="AE1799" s="7" t="str">
        <f t="shared" si="2"/>
        <v> sq. ft.</v>
      </c>
      <c r="AF1799">
        <f>IFERROR(__xludf.DUMMYFUNCTION("VALUE(REGEXREPLACE(G1799,""[^[:digit:]]"", """"))"),1513.0)</f>
        <v>1513</v>
      </c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 t="s">
        <v>27</v>
      </c>
    </row>
    <row r="1800">
      <c r="A1800" s="7" t="s">
        <v>371</v>
      </c>
      <c r="C1800" s="7">
        <f t="shared" si="208"/>
        <v>4</v>
      </c>
      <c r="D1800" s="7">
        <v>3.0</v>
      </c>
      <c r="E1800" s="9">
        <v>2.0</v>
      </c>
      <c r="F1800" s="7" t="s">
        <v>30</v>
      </c>
      <c r="G1800" s="7" t="s">
        <v>1521</v>
      </c>
      <c r="H1800" s="9" t="s">
        <v>2979</v>
      </c>
      <c r="I1800" t="s">
        <v>3758</v>
      </c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 t="str">
        <f t="shared" si="1"/>
        <v>Built-up :</v>
      </c>
      <c r="AE1800" s="7" t="str">
        <f t="shared" si="2"/>
        <v> sq. ft.</v>
      </c>
      <c r="AF1800">
        <f>IFERROR(__xludf.DUMMYFUNCTION("VALUE(REGEXREPLACE(G1800,""[^[:digit:]]"", """"))"),1267.0)</f>
        <v>1267</v>
      </c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 t="s">
        <v>22</v>
      </c>
    </row>
    <row r="1801">
      <c r="A1801" s="7" t="s">
        <v>371</v>
      </c>
      <c r="B1801" s="7" t="s">
        <v>890</v>
      </c>
      <c r="C1801" s="7">
        <f t="shared" si="208"/>
        <v>4</v>
      </c>
      <c r="D1801" s="7">
        <v>3.0</v>
      </c>
      <c r="E1801" s="9">
        <v>2.0</v>
      </c>
      <c r="F1801" s="7" t="s">
        <v>30</v>
      </c>
      <c r="G1801" s="7" t="s">
        <v>1521</v>
      </c>
      <c r="H1801" s="9" t="s">
        <v>2979</v>
      </c>
      <c r="I1801" t="s">
        <v>3758</v>
      </c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 t="str">
        <f t="shared" si="1"/>
        <v>Built-up :</v>
      </c>
      <c r="AE1801" s="7" t="str">
        <f t="shared" si="2"/>
        <v> sq. ft.</v>
      </c>
      <c r="AF1801">
        <f>IFERROR(__xludf.DUMMYFUNCTION("VALUE(REGEXREPLACE(G1801,""[^[:digit:]]"", """"))"),1267.0)</f>
        <v>1267</v>
      </c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 t="s">
        <v>27</v>
      </c>
    </row>
    <row r="1802">
      <c r="A1802" s="7" t="s">
        <v>41</v>
      </c>
      <c r="B1802" s="7" t="s">
        <v>201</v>
      </c>
      <c r="C1802" s="7">
        <f t="shared" ref="C1802:C1803" si="209">3</f>
        <v>3</v>
      </c>
      <c r="D1802" s="7">
        <v>2.0</v>
      </c>
      <c r="E1802" s="7">
        <v>1.0</v>
      </c>
      <c r="F1802" s="7" t="s">
        <v>83</v>
      </c>
      <c r="G1802" s="7" t="s">
        <v>1522</v>
      </c>
      <c r="H1802" s="9" t="s">
        <v>2979</v>
      </c>
      <c r="I1802" t="s">
        <v>3759</v>
      </c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 t="str">
        <f t="shared" si="1"/>
        <v>Built-up :</v>
      </c>
      <c r="AE1802" s="7" t="str">
        <f t="shared" si="2"/>
        <v> sq. ft.</v>
      </c>
      <c r="AF1802">
        <f>IFERROR(__xludf.DUMMYFUNCTION("VALUE(REGEXREPLACE(G1802,""[^[:digit:]]"", """"))"),1290.0)</f>
        <v>1290</v>
      </c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 t="s">
        <v>27</v>
      </c>
    </row>
    <row r="1803">
      <c r="A1803" s="7" t="s">
        <v>100</v>
      </c>
      <c r="B1803" s="7" t="s">
        <v>1101</v>
      </c>
      <c r="C1803" s="7">
        <f t="shared" si="209"/>
        <v>3</v>
      </c>
      <c r="D1803" s="7">
        <v>3.0</v>
      </c>
      <c r="E1803" s="7">
        <v>2.0</v>
      </c>
      <c r="F1803" s="7" t="s">
        <v>83</v>
      </c>
      <c r="G1803" s="7" t="s">
        <v>1115</v>
      </c>
      <c r="H1803" s="9" t="s">
        <v>2979</v>
      </c>
      <c r="I1803" t="s">
        <v>3512</v>
      </c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 t="str">
        <f t="shared" si="1"/>
        <v>Built-up :</v>
      </c>
      <c r="AE1803" s="7" t="str">
        <f t="shared" si="2"/>
        <v> sq. ft.</v>
      </c>
      <c r="AF1803">
        <f>IFERROR(__xludf.DUMMYFUNCTION("VALUE(REGEXREPLACE(G1803,""[^[:digit:]]"", """"))"),1578.0)</f>
        <v>1578</v>
      </c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 t="s">
        <v>22</v>
      </c>
    </row>
    <row r="1804">
      <c r="A1804" s="7" t="s">
        <v>77</v>
      </c>
      <c r="B1804" s="7" t="s">
        <v>125</v>
      </c>
      <c r="C1804" s="7">
        <f>4+1</f>
        <v>5</v>
      </c>
      <c r="D1804" s="7">
        <v>4.0</v>
      </c>
      <c r="E1804" s="9">
        <v>2.0</v>
      </c>
      <c r="F1804" s="7" t="s">
        <v>54</v>
      </c>
      <c r="G1804" s="7" t="s">
        <v>1523</v>
      </c>
      <c r="H1804" s="9" t="s">
        <v>2981</v>
      </c>
      <c r="I1804" t="s">
        <v>2992</v>
      </c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 t="str">
        <f t="shared" si="1"/>
        <v>Land area </v>
      </c>
      <c r="AE1804" s="7" t="str">
        <f t="shared" si="2"/>
        <v> sq. ft.</v>
      </c>
      <c r="AF1804">
        <f>IFERROR(__xludf.DUMMYFUNCTION("VALUE(REGEXREPLACE(G1804,""[^[:digit:]]"", """"))"),2280.0)</f>
        <v>2280</v>
      </c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 t="s">
        <v>27</v>
      </c>
    </row>
    <row r="1805">
      <c r="A1805" s="7" t="s">
        <v>17</v>
      </c>
      <c r="B1805" s="7" t="s">
        <v>1328</v>
      </c>
      <c r="C1805" s="7">
        <f>1</f>
        <v>1</v>
      </c>
      <c r="D1805" s="7">
        <v>1.0</v>
      </c>
      <c r="E1805" s="7">
        <v>1.0</v>
      </c>
      <c r="F1805" s="7" t="s">
        <v>20</v>
      </c>
      <c r="G1805" s="7" t="s">
        <v>1524</v>
      </c>
      <c r="H1805" s="9" t="s">
        <v>2979</v>
      </c>
      <c r="I1805" t="s">
        <v>3760</v>
      </c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 t="str">
        <f t="shared" si="1"/>
        <v>Built-up :</v>
      </c>
      <c r="AE1805" s="7" t="str">
        <f t="shared" si="2"/>
        <v> sq. ft.</v>
      </c>
      <c r="AF1805">
        <f>IFERROR(__xludf.DUMMYFUNCTION("VALUE(REGEXREPLACE(G1805,""[^[:digit:]]"", """"))"),450.0)</f>
        <v>450</v>
      </c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 t="s">
        <v>27</v>
      </c>
    </row>
    <row r="1806">
      <c r="A1806" s="7" t="s">
        <v>100</v>
      </c>
      <c r="B1806" s="7" t="s">
        <v>603</v>
      </c>
      <c r="C1806" s="7">
        <f>3</f>
        <v>3</v>
      </c>
      <c r="D1806" s="7">
        <v>2.0</v>
      </c>
      <c r="E1806" s="7">
        <v>2.0</v>
      </c>
      <c r="F1806" s="7" t="s">
        <v>20</v>
      </c>
      <c r="G1806" s="7" t="s">
        <v>1525</v>
      </c>
      <c r="H1806" s="9" t="s">
        <v>2979</v>
      </c>
      <c r="I1806" t="s">
        <v>3761</v>
      </c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 t="str">
        <f t="shared" si="1"/>
        <v>Built-up :</v>
      </c>
      <c r="AE1806" s="7" t="str">
        <f t="shared" si="2"/>
        <v> sq. ft.</v>
      </c>
      <c r="AF1806">
        <f>IFERROR(__xludf.DUMMYFUNCTION("VALUE(REGEXREPLACE(G1806,""[^[:digit:]]"", """"))"),909.0)</f>
        <v>909</v>
      </c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 t="s">
        <v>27</v>
      </c>
    </row>
    <row r="1807">
      <c r="A1807" s="7" t="s">
        <v>100</v>
      </c>
      <c r="B1807" s="7" t="s">
        <v>715</v>
      </c>
      <c r="C1807" s="7">
        <f>2</f>
        <v>2</v>
      </c>
      <c r="D1807" s="7">
        <v>2.0</v>
      </c>
      <c r="E1807" s="7">
        <v>1.0</v>
      </c>
      <c r="F1807" s="7" t="s">
        <v>20</v>
      </c>
      <c r="G1807" s="7" t="s">
        <v>1210</v>
      </c>
      <c r="H1807" s="9" t="s">
        <v>2979</v>
      </c>
      <c r="I1807" t="s">
        <v>3579</v>
      </c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 t="str">
        <f t="shared" si="1"/>
        <v>Built-up :</v>
      </c>
      <c r="AE1807" s="7" t="str">
        <f t="shared" si="2"/>
        <v> sq. ft.</v>
      </c>
      <c r="AF1807">
        <f>IFERROR(__xludf.DUMMYFUNCTION("VALUE(REGEXREPLACE(G1807,""[^[:digit:]]"", """"))"),680.0)</f>
        <v>680</v>
      </c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 t="s">
        <v>27</v>
      </c>
    </row>
    <row r="1808">
      <c r="A1808" s="7" t="s">
        <v>100</v>
      </c>
      <c r="B1808" s="7" t="s">
        <v>286</v>
      </c>
      <c r="C1808" s="7">
        <f>3</f>
        <v>3</v>
      </c>
      <c r="D1808" s="7">
        <v>2.0</v>
      </c>
      <c r="E1808" s="7">
        <v>1.0</v>
      </c>
      <c r="F1808" s="7" t="s">
        <v>20</v>
      </c>
      <c r="G1808" s="7" t="s">
        <v>1526</v>
      </c>
      <c r="H1808" s="9" t="s">
        <v>2979</v>
      </c>
      <c r="I1808" t="s">
        <v>3762</v>
      </c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 t="str">
        <f t="shared" si="1"/>
        <v>Built-up :</v>
      </c>
      <c r="AE1808" s="7" t="str">
        <f t="shared" si="2"/>
        <v> sq. ft.</v>
      </c>
      <c r="AF1808">
        <f>IFERROR(__xludf.DUMMYFUNCTION("VALUE(REGEXREPLACE(G1808,""[^[:digit:]]"", """"))"),1202.0)</f>
        <v>1202</v>
      </c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 t="s">
        <v>27</v>
      </c>
    </row>
    <row r="1809">
      <c r="A1809" s="7" t="s">
        <v>33</v>
      </c>
      <c r="B1809" s="7" t="s">
        <v>34</v>
      </c>
      <c r="C1809" s="7">
        <f t="shared" ref="C1809:C1810" si="210">4+1</f>
        <v>5</v>
      </c>
      <c r="D1809" s="7">
        <v>4.0</v>
      </c>
      <c r="E1809" s="7">
        <v>3.0</v>
      </c>
      <c r="F1809" s="7" t="s">
        <v>83</v>
      </c>
      <c r="G1809" s="7" t="s">
        <v>36</v>
      </c>
      <c r="H1809" s="9" t="s">
        <v>2979</v>
      </c>
      <c r="I1809" t="s">
        <v>2986</v>
      </c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 t="str">
        <f t="shared" si="1"/>
        <v>Built-up :</v>
      </c>
      <c r="AE1809" s="7" t="str">
        <f t="shared" si="2"/>
        <v> sq. ft.</v>
      </c>
      <c r="AF1809">
        <f>IFERROR(__xludf.DUMMYFUNCTION("VALUE(REGEXREPLACE(G1809,""[^[:digit:]]"", """"))"),1513.0)</f>
        <v>1513</v>
      </c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 t="s">
        <v>27</v>
      </c>
    </row>
    <row r="1810">
      <c r="A1810" s="7" t="s">
        <v>33</v>
      </c>
      <c r="B1810" s="7" t="s">
        <v>1527</v>
      </c>
      <c r="C1810" s="7">
        <f t="shared" si="210"/>
        <v>5</v>
      </c>
      <c r="D1810" s="7">
        <v>4.0</v>
      </c>
      <c r="E1810" s="7">
        <v>3.0</v>
      </c>
      <c r="F1810" s="7" t="s">
        <v>20</v>
      </c>
      <c r="G1810" s="7" t="s">
        <v>1269</v>
      </c>
      <c r="H1810" s="9" t="s">
        <v>2979</v>
      </c>
      <c r="I1810" t="s">
        <v>3612</v>
      </c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 t="str">
        <f t="shared" si="1"/>
        <v>Built-up :</v>
      </c>
      <c r="AE1810" s="7" t="str">
        <f t="shared" si="2"/>
        <v> sq. ft.</v>
      </c>
      <c r="AF1810">
        <f>IFERROR(__xludf.DUMMYFUNCTION("VALUE(REGEXREPLACE(G1810,""[^[:digit:]]"", """"))"),2563.0)</f>
        <v>2563</v>
      </c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 t="s">
        <v>27</v>
      </c>
    </row>
    <row r="1811">
      <c r="A1811" s="7" t="s">
        <v>100</v>
      </c>
      <c r="B1811" s="7" t="s">
        <v>116</v>
      </c>
      <c r="C1811" s="7">
        <f>3+2</f>
        <v>5</v>
      </c>
      <c r="D1811" s="7">
        <v>4.0</v>
      </c>
      <c r="E1811" s="7">
        <v>3.0</v>
      </c>
      <c r="F1811" s="7" t="s">
        <v>83</v>
      </c>
      <c r="G1811" s="7" t="s">
        <v>117</v>
      </c>
      <c r="H1811" s="9" t="s">
        <v>2979</v>
      </c>
      <c r="I1811" t="s">
        <v>3014</v>
      </c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 t="str">
        <f t="shared" si="1"/>
        <v>Built-up :</v>
      </c>
      <c r="AE1811" s="7" t="str">
        <f t="shared" si="2"/>
        <v> sq. ft.</v>
      </c>
      <c r="AF1811">
        <f>IFERROR(__xludf.DUMMYFUNCTION("VALUE(REGEXREPLACE(G1811,""[^[:digit:]]"", """"))"),2378.0)</f>
        <v>2378</v>
      </c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 t="s">
        <v>22</v>
      </c>
    </row>
    <row r="1812">
      <c r="A1812" s="7" t="s">
        <v>100</v>
      </c>
      <c r="B1812" s="7" t="s">
        <v>637</v>
      </c>
      <c r="C1812" s="7">
        <f>2+1</f>
        <v>3</v>
      </c>
      <c r="D1812" s="7">
        <v>3.0</v>
      </c>
      <c r="E1812" s="7">
        <v>2.0</v>
      </c>
      <c r="F1812" s="7" t="s">
        <v>83</v>
      </c>
      <c r="G1812" s="7" t="s">
        <v>732</v>
      </c>
      <c r="H1812" s="9" t="s">
        <v>2979</v>
      </c>
      <c r="I1812" t="s">
        <v>3307</v>
      </c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 t="str">
        <f t="shared" si="1"/>
        <v>Built-up :</v>
      </c>
      <c r="AE1812" s="7" t="str">
        <f t="shared" si="2"/>
        <v> sq. ft.</v>
      </c>
      <c r="AF1812">
        <f>IFERROR(__xludf.DUMMYFUNCTION("VALUE(REGEXREPLACE(G1812,""[^[:digit:]]"", """"))"),1523.0)</f>
        <v>1523</v>
      </c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 t="s">
        <v>27</v>
      </c>
    </row>
    <row r="1813">
      <c r="A1813" s="7" t="s">
        <v>358</v>
      </c>
      <c r="B1813" s="7" t="s">
        <v>620</v>
      </c>
      <c r="C1813" s="7">
        <f t="shared" ref="C1813:C1814" si="211">3</f>
        <v>3</v>
      </c>
      <c r="D1813" s="7">
        <v>2.0</v>
      </c>
      <c r="E1813" s="9">
        <v>2.0</v>
      </c>
      <c r="F1813" s="7" t="s">
        <v>83</v>
      </c>
      <c r="G1813" s="7" t="s">
        <v>1412</v>
      </c>
      <c r="H1813" s="9" t="s">
        <v>2979</v>
      </c>
      <c r="I1813" t="s">
        <v>3697</v>
      </c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 t="str">
        <f t="shared" si="1"/>
        <v>Built-up :</v>
      </c>
      <c r="AE1813" s="7" t="str">
        <f t="shared" si="2"/>
        <v> sq. ft.</v>
      </c>
      <c r="AF1813">
        <f>IFERROR(__xludf.DUMMYFUNCTION("VALUE(REGEXREPLACE(G1813,""[^[:digit:]]"", """"))"),1319.0)</f>
        <v>1319</v>
      </c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 t="s">
        <v>103</v>
      </c>
    </row>
    <row r="1814">
      <c r="A1814" s="7" t="s">
        <v>77</v>
      </c>
      <c r="B1814" s="7" t="s">
        <v>327</v>
      </c>
      <c r="C1814" s="7">
        <f t="shared" si="211"/>
        <v>3</v>
      </c>
      <c r="D1814" s="7">
        <v>3.0</v>
      </c>
      <c r="E1814" s="9">
        <v>2.0</v>
      </c>
      <c r="F1814" s="7" t="s">
        <v>93</v>
      </c>
      <c r="G1814" s="7" t="s">
        <v>762</v>
      </c>
      <c r="H1814" s="9" t="s">
        <v>2979</v>
      </c>
      <c r="I1814" t="s">
        <v>3324</v>
      </c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 t="str">
        <f t="shared" si="1"/>
        <v>Built-up :</v>
      </c>
      <c r="AE1814" s="7" t="str">
        <f t="shared" si="2"/>
        <v> sq. ft.</v>
      </c>
      <c r="AF1814">
        <f>IFERROR(__xludf.DUMMYFUNCTION("VALUE(REGEXREPLACE(G1814,""[^[:digit:]]"", """"))"),1582.0)</f>
        <v>1582</v>
      </c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 t="s">
        <v>27</v>
      </c>
    </row>
    <row r="1815">
      <c r="A1815" s="7" t="s">
        <v>72</v>
      </c>
      <c r="B1815" s="7" t="s">
        <v>56</v>
      </c>
      <c r="C1815" s="7">
        <f>4+1</f>
        <v>5</v>
      </c>
      <c r="D1815" s="7">
        <v>4.0</v>
      </c>
      <c r="E1815" s="7">
        <v>2.0</v>
      </c>
      <c r="F1815" s="7" t="s">
        <v>83</v>
      </c>
      <c r="G1815" s="7" t="s">
        <v>238</v>
      </c>
      <c r="H1815" s="9" t="s">
        <v>2979</v>
      </c>
      <c r="I1815" t="s">
        <v>3070</v>
      </c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 t="str">
        <f t="shared" si="1"/>
        <v>Built-up :</v>
      </c>
      <c r="AE1815" s="7" t="str">
        <f t="shared" si="2"/>
        <v> sq. ft.</v>
      </c>
      <c r="AF1815">
        <f>IFERROR(__xludf.DUMMYFUNCTION("VALUE(REGEXREPLACE(G1815,""[^[:digit:]]"", """"))"),2065.0)</f>
        <v>2065</v>
      </c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 t="s">
        <v>27</v>
      </c>
    </row>
    <row r="1816">
      <c r="A1816" s="7" t="s">
        <v>89</v>
      </c>
      <c r="B1816" s="7" t="s">
        <v>361</v>
      </c>
      <c r="C1816" s="7">
        <f t="shared" ref="C1816:C1817" si="212">3</f>
        <v>3</v>
      </c>
      <c r="D1816" s="7">
        <v>2.0</v>
      </c>
      <c r="E1816" s="7">
        <v>1.0</v>
      </c>
      <c r="F1816" s="7" t="s">
        <v>93</v>
      </c>
      <c r="G1816" s="7" t="s">
        <v>595</v>
      </c>
      <c r="H1816" s="9" t="s">
        <v>2979</v>
      </c>
      <c r="I1816" t="s">
        <v>3241</v>
      </c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 t="str">
        <f t="shared" si="1"/>
        <v>Built-up :</v>
      </c>
      <c r="AE1816" s="7" t="str">
        <f t="shared" si="2"/>
        <v> sq. ft.</v>
      </c>
      <c r="AF1816">
        <f>IFERROR(__xludf.DUMMYFUNCTION("VALUE(REGEXREPLACE(G1816,""[^[:digit:]]"", """"))"),1103.0)</f>
        <v>1103</v>
      </c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 t="s">
        <v>27</v>
      </c>
    </row>
    <row r="1817">
      <c r="A1817" s="7" t="s">
        <v>32</v>
      </c>
      <c r="B1817" s="7" t="s">
        <v>1140</v>
      </c>
      <c r="C1817" s="7">
        <f t="shared" si="212"/>
        <v>3</v>
      </c>
      <c r="D1817" s="7">
        <v>2.0</v>
      </c>
      <c r="E1817" s="7">
        <v>1.0</v>
      </c>
      <c r="F1817" s="7" t="s">
        <v>93</v>
      </c>
      <c r="G1817" s="7" t="s">
        <v>948</v>
      </c>
      <c r="H1817" s="9" t="s">
        <v>2979</v>
      </c>
      <c r="I1817" t="s">
        <v>3421</v>
      </c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 t="str">
        <f t="shared" si="1"/>
        <v>Built-up :</v>
      </c>
      <c r="AE1817" s="7" t="str">
        <f t="shared" si="2"/>
        <v> sq. ft.</v>
      </c>
      <c r="AF1817">
        <f>IFERROR(__xludf.DUMMYFUNCTION("VALUE(REGEXREPLACE(G1817,""[^[:digit:]]"", """"))"),960.0)</f>
        <v>960</v>
      </c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 t="s">
        <v>103</v>
      </c>
    </row>
    <row r="1818">
      <c r="A1818" s="7" t="s">
        <v>32</v>
      </c>
      <c r="B1818" s="7" t="s">
        <v>34</v>
      </c>
      <c r="C1818" s="7">
        <f>4</f>
        <v>4</v>
      </c>
      <c r="D1818" s="7">
        <v>3.0</v>
      </c>
      <c r="E1818" s="7">
        <v>2.0</v>
      </c>
      <c r="F1818" s="7" t="s">
        <v>54</v>
      </c>
      <c r="G1818" s="7" t="s">
        <v>719</v>
      </c>
      <c r="H1818" s="9" t="s">
        <v>2981</v>
      </c>
      <c r="I1818" t="s">
        <v>3299</v>
      </c>
      <c r="J1818" s="7"/>
      <c r="K1818" s="7"/>
      <c r="L1818" s="7"/>
      <c r="M1818" s="7"/>
      <c r="N1818" s="7"/>
      <c r="O1818" s="7"/>
      <c r="P1818" s="7"/>
      <c r="Q1818" s="7"/>
      <c r="R1818" s="7"/>
      <c r="S1818" s="7" t="s">
        <v>3101</v>
      </c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 t="str">
        <f t="shared" si="1"/>
        <v>Land area </v>
      </c>
      <c r="AE1818" s="7" t="str">
        <f t="shared" si="2"/>
        <v> sq. ft.</v>
      </c>
      <c r="AF1818">
        <f>IFERROR(__xludf.DUMMYFUNCTION("VALUE(REGEXREPLACE(G1818,""[^[:digit:]]"", """"))"),2285.0)</f>
        <v>2285</v>
      </c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 t="s">
        <v>27</v>
      </c>
    </row>
    <row r="1819">
      <c r="A1819" s="7" t="s">
        <v>33</v>
      </c>
      <c r="B1819" s="7" t="s">
        <v>245</v>
      </c>
      <c r="C1819" s="7">
        <f t="shared" ref="C1819:C1820" si="213">3</f>
        <v>3</v>
      </c>
      <c r="D1819" s="7">
        <v>2.0</v>
      </c>
      <c r="E1819" s="7">
        <v>2.0</v>
      </c>
      <c r="F1819" s="7" t="s">
        <v>82</v>
      </c>
      <c r="G1819" s="7" t="s">
        <v>795</v>
      </c>
      <c r="H1819" s="9" t="s">
        <v>2979</v>
      </c>
      <c r="I1819" t="s">
        <v>3344</v>
      </c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 t="str">
        <f t="shared" si="1"/>
        <v>Built-up :</v>
      </c>
      <c r="AE1819" s="7" t="str">
        <f t="shared" si="2"/>
        <v> sq. ft.</v>
      </c>
      <c r="AF1819">
        <f>IFERROR(__xludf.DUMMYFUNCTION("VALUE(REGEXREPLACE(G1819,""[^[:digit:]]"", """"))"),1170.0)</f>
        <v>1170</v>
      </c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 t="s">
        <v>22</v>
      </c>
    </row>
    <row r="1820">
      <c r="A1820" s="7" t="s">
        <v>33</v>
      </c>
      <c r="B1820" s="7" t="s">
        <v>361</v>
      </c>
      <c r="C1820" s="7">
        <f t="shared" si="213"/>
        <v>3</v>
      </c>
      <c r="D1820" s="7">
        <v>3.0</v>
      </c>
      <c r="E1820" s="7">
        <v>2.0</v>
      </c>
      <c r="F1820" s="7" t="s">
        <v>93</v>
      </c>
      <c r="G1820" s="7" t="s">
        <v>1156</v>
      </c>
      <c r="H1820" s="9" t="s">
        <v>2979</v>
      </c>
      <c r="I1820" t="s">
        <v>3545</v>
      </c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 t="str">
        <f t="shared" si="1"/>
        <v>Built-up :</v>
      </c>
      <c r="AE1820" s="7" t="str">
        <f t="shared" si="2"/>
        <v> sq. ft.</v>
      </c>
      <c r="AF1820">
        <f>IFERROR(__xludf.DUMMYFUNCTION("VALUE(REGEXREPLACE(G1820,""[^[:digit:]]"", """"))"),1003.0)</f>
        <v>1003</v>
      </c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 t="s">
        <v>27</v>
      </c>
    </row>
    <row r="1821">
      <c r="A1821" s="7" t="s">
        <v>32</v>
      </c>
      <c r="B1821" s="7" t="s">
        <v>852</v>
      </c>
      <c r="C1821" s="7">
        <f>2</f>
        <v>2</v>
      </c>
      <c r="D1821" s="7">
        <v>2.0</v>
      </c>
      <c r="E1821" s="7">
        <v>1.0</v>
      </c>
      <c r="F1821" s="7" t="s">
        <v>83</v>
      </c>
      <c r="G1821" s="7" t="s">
        <v>853</v>
      </c>
      <c r="H1821" s="9" t="s">
        <v>2979</v>
      </c>
      <c r="I1821" t="s">
        <v>3371</v>
      </c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 t="str">
        <f t="shared" si="1"/>
        <v>Built-up :</v>
      </c>
      <c r="AE1821" s="7" t="str">
        <f t="shared" si="2"/>
        <v> sq. ft.</v>
      </c>
      <c r="AF1821">
        <f>IFERROR(__xludf.DUMMYFUNCTION("VALUE(REGEXREPLACE(G1821,""[^[:digit:]]"", """"))"),970.0)</f>
        <v>970</v>
      </c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 t="s">
        <v>27</v>
      </c>
    </row>
    <row r="1822">
      <c r="A1822" s="7" t="s">
        <v>148</v>
      </c>
      <c r="B1822" s="7" t="s">
        <v>1528</v>
      </c>
      <c r="C1822" s="7">
        <f>4</f>
        <v>4</v>
      </c>
      <c r="D1822" s="7">
        <v>4.0</v>
      </c>
      <c r="E1822" s="7">
        <v>3.0</v>
      </c>
      <c r="F1822" s="7" t="s">
        <v>82</v>
      </c>
      <c r="G1822" s="7" t="s">
        <v>1529</v>
      </c>
      <c r="H1822" s="9" t="s">
        <v>2979</v>
      </c>
      <c r="I1822" t="s">
        <v>3763</v>
      </c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 t="str">
        <f t="shared" si="1"/>
        <v>Built-up :</v>
      </c>
      <c r="AE1822" s="7" t="str">
        <f t="shared" si="2"/>
        <v> sq. ft.</v>
      </c>
      <c r="AF1822">
        <f>IFERROR(__xludf.DUMMYFUNCTION("VALUE(REGEXREPLACE(G1822,""[^[:digit:]]"", """"))"),1705.0)</f>
        <v>1705</v>
      </c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 t="s">
        <v>103</v>
      </c>
    </row>
    <row r="1823">
      <c r="A1823" s="7" t="s">
        <v>32</v>
      </c>
      <c r="B1823" s="7" t="s">
        <v>1530</v>
      </c>
      <c r="C1823" s="7">
        <f>3</f>
        <v>3</v>
      </c>
      <c r="D1823" s="7">
        <v>2.0</v>
      </c>
      <c r="E1823" s="7">
        <v>1.0</v>
      </c>
      <c r="F1823" s="7" t="s">
        <v>50</v>
      </c>
      <c r="G1823" s="7" t="s">
        <v>226</v>
      </c>
      <c r="H1823" s="9" t="s">
        <v>2979</v>
      </c>
      <c r="I1823" t="s">
        <v>3063</v>
      </c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 t="str">
        <f t="shared" si="1"/>
        <v>Built-up :</v>
      </c>
      <c r="AE1823" s="7" t="str">
        <f t="shared" si="2"/>
        <v> sq. ft.</v>
      </c>
      <c r="AF1823">
        <f>IFERROR(__xludf.DUMMYFUNCTION("VALUE(REGEXREPLACE(G1823,""[^[:digit:]]"", """"))"),728.0)</f>
        <v>728</v>
      </c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 t="s">
        <v>27</v>
      </c>
    </row>
    <row r="1824">
      <c r="A1824" s="7" t="s">
        <v>32</v>
      </c>
      <c r="B1824" s="7" t="s">
        <v>156</v>
      </c>
      <c r="C1824" s="7">
        <f>5</f>
        <v>5</v>
      </c>
      <c r="D1824" s="7">
        <v>2.0</v>
      </c>
      <c r="E1824" s="9">
        <v>2.0</v>
      </c>
      <c r="F1824" s="7" t="s">
        <v>54</v>
      </c>
      <c r="G1824" s="7" t="s">
        <v>283</v>
      </c>
      <c r="H1824" s="9" t="s">
        <v>2981</v>
      </c>
      <c r="I1824" t="s">
        <v>3091</v>
      </c>
      <c r="J1824" s="7"/>
      <c r="K1824" s="7"/>
      <c r="L1824" s="7"/>
      <c r="M1824" s="7"/>
      <c r="N1824" s="7"/>
      <c r="O1824" s="7"/>
      <c r="P1824" s="7"/>
      <c r="Q1824" s="7"/>
      <c r="R1824" s="7"/>
      <c r="S1824" s="7" t="s">
        <v>2990</v>
      </c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 t="str">
        <f t="shared" si="1"/>
        <v>Land area </v>
      </c>
      <c r="AE1824" s="7" t="str">
        <f t="shared" si="2"/>
        <v> sq. ft.</v>
      </c>
      <c r="AF1824">
        <f>IFERROR(__xludf.DUMMYFUNCTION("VALUE(REGEXREPLACE(G1824,""[^[:digit:]]"", """"))"),2275.0)</f>
        <v>2275</v>
      </c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 t="s">
        <v>27</v>
      </c>
    </row>
    <row r="1825">
      <c r="A1825" s="7" t="s">
        <v>89</v>
      </c>
      <c r="B1825" s="7" t="s">
        <v>1531</v>
      </c>
      <c r="C1825" s="7">
        <f>3</f>
        <v>3</v>
      </c>
      <c r="D1825" s="7">
        <v>2.0</v>
      </c>
      <c r="E1825" s="7">
        <v>3.0</v>
      </c>
      <c r="F1825" s="7" t="s">
        <v>93</v>
      </c>
      <c r="G1825" s="7" t="s">
        <v>1532</v>
      </c>
      <c r="H1825" s="9" t="s">
        <v>2979</v>
      </c>
      <c r="I1825" t="s">
        <v>3764</v>
      </c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 t="str">
        <f t="shared" si="1"/>
        <v>Built-up :</v>
      </c>
      <c r="AE1825" s="7" t="str">
        <f t="shared" si="2"/>
        <v> sq. ft.</v>
      </c>
      <c r="AF1825">
        <f>IFERROR(__xludf.DUMMYFUNCTION("VALUE(REGEXREPLACE(G1825,""[^[:digit:]]"", """"))"),1044.0)</f>
        <v>1044</v>
      </c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 t="s">
        <v>22</v>
      </c>
    </row>
    <row r="1826">
      <c r="A1826" s="7" t="s">
        <v>32</v>
      </c>
      <c r="B1826" s="7" t="s">
        <v>852</v>
      </c>
      <c r="C1826" s="7">
        <f t="shared" ref="C1826:C1827" si="214">3+1</f>
        <v>4</v>
      </c>
      <c r="D1826" s="7">
        <v>2.0</v>
      </c>
      <c r="E1826" s="7">
        <v>1.0</v>
      </c>
      <c r="F1826" s="7" t="s">
        <v>30</v>
      </c>
      <c r="G1826" s="7" t="s">
        <v>1173</v>
      </c>
      <c r="H1826" s="9" t="s">
        <v>2979</v>
      </c>
      <c r="I1826" t="s">
        <v>3558</v>
      </c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 t="str">
        <f t="shared" si="1"/>
        <v>Built-up :</v>
      </c>
      <c r="AE1826" s="7" t="str">
        <f t="shared" si="2"/>
        <v> sq. ft.</v>
      </c>
      <c r="AF1826">
        <f>IFERROR(__xludf.DUMMYFUNCTION("VALUE(REGEXREPLACE(G1826,""[^[:digit:]]"", """"))"),903.0)</f>
        <v>903</v>
      </c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 t="s">
        <v>27</v>
      </c>
    </row>
    <row r="1827">
      <c r="A1827" s="7" t="s">
        <v>28</v>
      </c>
      <c r="B1827" s="7" t="s">
        <v>635</v>
      </c>
      <c r="C1827" s="7">
        <f t="shared" si="214"/>
        <v>4</v>
      </c>
      <c r="D1827" s="7">
        <v>3.0</v>
      </c>
      <c r="E1827" s="7">
        <v>2.0</v>
      </c>
      <c r="F1827" s="7" t="s">
        <v>93</v>
      </c>
      <c r="G1827" s="7" t="s">
        <v>1153</v>
      </c>
      <c r="H1827" s="9" t="s">
        <v>2979</v>
      </c>
      <c r="I1827" t="s">
        <v>3542</v>
      </c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 t="str">
        <f t="shared" si="1"/>
        <v>Built-up :</v>
      </c>
      <c r="AE1827" s="7" t="str">
        <f t="shared" si="2"/>
        <v> sq. ft.</v>
      </c>
      <c r="AF1827">
        <f>IFERROR(__xludf.DUMMYFUNCTION("VALUE(REGEXREPLACE(G1827,""[^[:digit:]]"", """"))"),1356.0)</f>
        <v>1356</v>
      </c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 t="s">
        <v>27</v>
      </c>
    </row>
    <row r="1828">
      <c r="A1828" s="7" t="s">
        <v>100</v>
      </c>
      <c r="B1828" s="7" t="s">
        <v>975</v>
      </c>
      <c r="C1828" s="7">
        <f>3</f>
        <v>3</v>
      </c>
      <c r="D1828" s="7">
        <v>2.0</v>
      </c>
      <c r="E1828" s="9">
        <v>2.0</v>
      </c>
      <c r="F1828" s="7" t="s">
        <v>83</v>
      </c>
      <c r="G1828" s="7" t="s">
        <v>734</v>
      </c>
      <c r="H1828" s="9" t="s">
        <v>2979</v>
      </c>
      <c r="I1828" t="s">
        <v>3308</v>
      </c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 t="str">
        <f t="shared" si="1"/>
        <v>Built-up :</v>
      </c>
      <c r="AE1828" s="7" t="str">
        <f t="shared" si="2"/>
        <v> sq. ft.</v>
      </c>
      <c r="AF1828">
        <f>IFERROR(__xludf.DUMMYFUNCTION("VALUE(REGEXREPLACE(G1828,""[^[:digit:]]"", """"))"),1100.0)</f>
        <v>1100</v>
      </c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 t="s">
        <v>27</v>
      </c>
    </row>
    <row r="1829">
      <c r="A1829" s="7" t="s">
        <v>72</v>
      </c>
      <c r="B1829" s="7" t="s">
        <v>403</v>
      </c>
      <c r="C1829" s="7">
        <f>3+1</f>
        <v>4</v>
      </c>
      <c r="D1829" s="7">
        <v>4.0</v>
      </c>
      <c r="E1829" s="7">
        <v>2.0</v>
      </c>
      <c r="F1829" s="7" t="s">
        <v>30</v>
      </c>
      <c r="G1829" s="7" t="s">
        <v>404</v>
      </c>
      <c r="H1829" s="9" t="s">
        <v>2979</v>
      </c>
      <c r="I1829" t="s">
        <v>3147</v>
      </c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 t="str">
        <f t="shared" si="1"/>
        <v>Built-up :</v>
      </c>
      <c r="AE1829" s="7" t="str">
        <f t="shared" si="2"/>
        <v> sq. ft.</v>
      </c>
      <c r="AF1829">
        <f>IFERROR(__xludf.DUMMYFUNCTION("VALUE(REGEXREPLACE(G1829,""[^[:digit:]]"", """"))"),1878.0)</f>
        <v>1878</v>
      </c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</row>
    <row r="1830">
      <c r="A1830" s="7" t="s">
        <v>104</v>
      </c>
      <c r="B1830" s="7" t="s">
        <v>245</v>
      </c>
      <c r="C1830" s="7">
        <f>3</f>
        <v>3</v>
      </c>
      <c r="D1830" s="7">
        <v>2.0</v>
      </c>
      <c r="E1830" s="9">
        <v>2.0</v>
      </c>
      <c r="F1830" s="7" t="s">
        <v>1185</v>
      </c>
      <c r="G1830" s="7" t="s">
        <v>283</v>
      </c>
      <c r="H1830" s="9" t="s">
        <v>2981</v>
      </c>
      <c r="I1830" t="s">
        <v>3091</v>
      </c>
      <c r="J1830" s="7"/>
      <c r="K1830" s="7"/>
      <c r="L1830" s="7"/>
      <c r="M1830" s="7"/>
      <c r="N1830" s="7"/>
      <c r="O1830" s="7"/>
      <c r="P1830" s="7"/>
      <c r="Q1830" s="7"/>
      <c r="R1830" s="7"/>
      <c r="S1830" s="7" t="s">
        <v>2990</v>
      </c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 t="str">
        <f t="shared" si="1"/>
        <v>Land area </v>
      </c>
      <c r="AE1830" s="7" t="str">
        <f t="shared" si="2"/>
        <v> sq. ft.</v>
      </c>
      <c r="AF1830">
        <f>IFERROR(__xludf.DUMMYFUNCTION("VALUE(REGEXREPLACE(G1830,""[^[:digit:]]"", """"))"),2275.0)</f>
        <v>2275</v>
      </c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</row>
    <row r="1831">
      <c r="A1831" s="7" t="s">
        <v>48</v>
      </c>
      <c r="B1831" s="7" t="s">
        <v>1533</v>
      </c>
      <c r="C1831" s="7">
        <f>4</f>
        <v>4</v>
      </c>
      <c r="D1831" s="7">
        <v>3.0</v>
      </c>
      <c r="E1831" s="7">
        <v>2.0</v>
      </c>
      <c r="F1831" s="7" t="s">
        <v>54</v>
      </c>
      <c r="G1831" s="7" t="s">
        <v>1534</v>
      </c>
      <c r="H1831" s="9" t="s">
        <v>2981</v>
      </c>
      <c r="I1831" t="s">
        <v>2992</v>
      </c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 t="str">
        <f t="shared" si="1"/>
        <v>Land area </v>
      </c>
      <c r="AE1831" s="7" t="str">
        <f t="shared" si="2"/>
        <v> sq. ft.</v>
      </c>
      <c r="AF1831">
        <f>IFERROR(__xludf.DUMMYFUNCTION("VALUE(REGEXREPLACE(G1831,""[^[:digit:]]"", """"))"),1760.0)</f>
        <v>1760</v>
      </c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 t="s">
        <v>103</v>
      </c>
    </row>
    <row r="1832">
      <c r="A1832" s="7" t="s">
        <v>368</v>
      </c>
      <c r="B1832" s="7" t="s">
        <v>1140</v>
      </c>
      <c r="C1832" s="7">
        <f>3</f>
        <v>3</v>
      </c>
      <c r="D1832" s="7">
        <v>2.0</v>
      </c>
      <c r="E1832" s="9">
        <v>2.0</v>
      </c>
      <c r="F1832" s="7" t="s">
        <v>470</v>
      </c>
      <c r="G1832" s="7" t="s">
        <v>1535</v>
      </c>
      <c r="H1832" s="9" t="s">
        <v>2979</v>
      </c>
      <c r="I1832" t="s">
        <v>3765</v>
      </c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 t="str">
        <f t="shared" si="1"/>
        <v>Built-up :</v>
      </c>
      <c r="AE1832" s="7" t="str">
        <f t="shared" si="2"/>
        <v> sq. ft.</v>
      </c>
      <c r="AF1832">
        <f>IFERROR(__xludf.DUMMYFUNCTION("VALUE(REGEXREPLACE(G1832,""[^[:digit:]]"", """"))"),1275.0)</f>
        <v>1275</v>
      </c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 t="s">
        <v>27</v>
      </c>
    </row>
    <row r="1833">
      <c r="A1833" s="7" t="s">
        <v>164</v>
      </c>
      <c r="B1833" s="7" t="s">
        <v>1075</v>
      </c>
      <c r="C1833" s="7">
        <f>1</f>
        <v>1</v>
      </c>
      <c r="D1833" s="7">
        <v>1.0</v>
      </c>
      <c r="E1833" s="7">
        <v>1.0</v>
      </c>
      <c r="F1833" s="7" t="s">
        <v>82</v>
      </c>
      <c r="G1833" s="7" t="s">
        <v>242</v>
      </c>
      <c r="H1833" s="9" t="s">
        <v>2979</v>
      </c>
      <c r="I1833" t="s">
        <v>3072</v>
      </c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 t="str">
        <f t="shared" si="1"/>
        <v>Built-up :</v>
      </c>
      <c r="AE1833" s="7" t="str">
        <f t="shared" si="2"/>
        <v> sq. ft.</v>
      </c>
      <c r="AF1833">
        <f>IFERROR(__xludf.DUMMYFUNCTION("VALUE(REGEXREPLACE(G1833,""[^[:digit:]]"", """"))"),650.0)</f>
        <v>650</v>
      </c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 t="s">
        <v>27</v>
      </c>
    </row>
    <row r="1834">
      <c r="A1834" s="7" t="s">
        <v>72</v>
      </c>
      <c r="B1834" s="7" t="s">
        <v>1536</v>
      </c>
      <c r="C1834" s="7">
        <f>4+1</f>
        <v>5</v>
      </c>
      <c r="D1834" s="7">
        <v>4.0</v>
      </c>
      <c r="E1834" s="7">
        <v>2.0</v>
      </c>
      <c r="F1834" s="7" t="s">
        <v>30</v>
      </c>
      <c r="G1834" s="7" t="s">
        <v>238</v>
      </c>
      <c r="H1834" s="9" t="s">
        <v>2979</v>
      </c>
      <c r="I1834" t="s">
        <v>3070</v>
      </c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 t="str">
        <f t="shared" si="1"/>
        <v>Built-up :</v>
      </c>
      <c r="AE1834" s="7" t="str">
        <f t="shared" si="2"/>
        <v> sq. ft.</v>
      </c>
      <c r="AF1834">
        <f>IFERROR(__xludf.DUMMYFUNCTION("VALUE(REGEXREPLACE(G1834,""[^[:digit:]]"", """"))"),2065.0)</f>
        <v>2065</v>
      </c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 t="s">
        <v>27</v>
      </c>
    </row>
    <row r="1835">
      <c r="A1835" s="7" t="s">
        <v>164</v>
      </c>
      <c r="B1835" s="7" t="s">
        <v>984</v>
      </c>
      <c r="C1835" s="7">
        <f>3</f>
        <v>3</v>
      </c>
      <c r="D1835" s="7">
        <v>3.0</v>
      </c>
      <c r="E1835" s="7">
        <v>2.0</v>
      </c>
      <c r="F1835" s="7" t="s">
        <v>121</v>
      </c>
      <c r="G1835" s="7" t="s">
        <v>764</v>
      </c>
      <c r="H1835" s="9" t="s">
        <v>2979</v>
      </c>
      <c r="I1835" t="s">
        <v>3325</v>
      </c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 t="str">
        <f t="shared" si="1"/>
        <v>Built-up :</v>
      </c>
      <c r="AE1835" s="7" t="str">
        <f t="shared" si="2"/>
        <v> sq. ft.</v>
      </c>
      <c r="AF1835">
        <f>IFERROR(__xludf.DUMMYFUNCTION("VALUE(REGEXREPLACE(G1835,""[^[:digit:]]"", """"))"),1025.0)</f>
        <v>1025</v>
      </c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 t="s">
        <v>27</v>
      </c>
    </row>
    <row r="1836">
      <c r="A1836" s="7" t="s">
        <v>143</v>
      </c>
      <c r="B1836" s="7" t="s">
        <v>1065</v>
      </c>
      <c r="C1836" s="7">
        <f>2</f>
        <v>2</v>
      </c>
      <c r="D1836" s="7">
        <v>2.0</v>
      </c>
      <c r="E1836" s="7">
        <v>1.0</v>
      </c>
      <c r="F1836" s="7" t="s">
        <v>121</v>
      </c>
      <c r="G1836" s="7" t="s">
        <v>738</v>
      </c>
      <c r="H1836" s="9" t="s">
        <v>2979</v>
      </c>
      <c r="I1836" t="s">
        <v>3311</v>
      </c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 t="str">
        <f t="shared" si="1"/>
        <v>Built-up :</v>
      </c>
      <c r="AE1836" s="7" t="str">
        <f t="shared" si="2"/>
        <v> sq. ft.</v>
      </c>
      <c r="AF1836">
        <f>IFERROR(__xludf.DUMMYFUNCTION("VALUE(REGEXREPLACE(G1836,""[^[:digit:]]"", """"))"),907.0)</f>
        <v>907</v>
      </c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</row>
    <row r="1837">
      <c r="A1837" s="7" t="s">
        <v>143</v>
      </c>
      <c r="B1837" s="7" t="s">
        <v>984</v>
      </c>
      <c r="C1837" s="7">
        <f>1+1</f>
        <v>2</v>
      </c>
      <c r="D1837" s="7">
        <v>1.0</v>
      </c>
      <c r="E1837" s="9">
        <v>2.0</v>
      </c>
      <c r="F1837" s="7" t="s">
        <v>82</v>
      </c>
      <c r="G1837" s="7" t="s">
        <v>1537</v>
      </c>
      <c r="H1837" s="9" t="s">
        <v>2979</v>
      </c>
      <c r="I1837" t="s">
        <v>3766</v>
      </c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 t="str">
        <f t="shared" si="1"/>
        <v>Built-up :</v>
      </c>
      <c r="AE1837" s="7" t="str">
        <f t="shared" si="2"/>
        <v> sq. ft.</v>
      </c>
      <c r="AF1837">
        <f>IFERROR(__xludf.DUMMYFUNCTION("VALUE(REGEXREPLACE(G1837,""[^[:digit:]]"", """"))"),625.0)</f>
        <v>625</v>
      </c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 t="s">
        <v>27</v>
      </c>
    </row>
    <row r="1838">
      <c r="A1838" s="7" t="s">
        <v>72</v>
      </c>
      <c r="B1838" s="7" t="s">
        <v>81</v>
      </c>
      <c r="C1838" s="7">
        <f t="shared" ref="C1838:C1839" si="215">3+1</f>
        <v>4</v>
      </c>
      <c r="D1838" s="7">
        <v>4.0</v>
      </c>
      <c r="E1838" s="7">
        <v>2.0</v>
      </c>
      <c r="F1838" s="7" t="s">
        <v>30</v>
      </c>
      <c r="G1838" s="7" t="s">
        <v>1538</v>
      </c>
      <c r="H1838" s="9" t="s">
        <v>2979</v>
      </c>
      <c r="I1838" t="s">
        <v>3767</v>
      </c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 t="str">
        <f t="shared" si="1"/>
        <v>Built-up :</v>
      </c>
      <c r="AE1838" s="7" t="str">
        <f t="shared" si="2"/>
        <v> sq. ft.</v>
      </c>
      <c r="AF1838">
        <f>IFERROR(__xludf.DUMMYFUNCTION("VALUE(REGEXREPLACE(G1838,""[^[:digit:]]"", """"))"),1603.0)</f>
        <v>1603</v>
      </c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 t="s">
        <v>27</v>
      </c>
    </row>
    <row r="1839">
      <c r="A1839" s="7" t="s">
        <v>72</v>
      </c>
      <c r="B1839" s="7" t="s">
        <v>1539</v>
      </c>
      <c r="C1839" s="7">
        <f t="shared" si="215"/>
        <v>4</v>
      </c>
      <c r="D1839" s="7">
        <v>3.0</v>
      </c>
      <c r="E1839" s="7">
        <v>2.0</v>
      </c>
      <c r="F1839" s="7" t="s">
        <v>93</v>
      </c>
      <c r="G1839" s="7" t="s">
        <v>1175</v>
      </c>
      <c r="H1839" s="9" t="s">
        <v>2979</v>
      </c>
      <c r="I1839" t="s">
        <v>3560</v>
      </c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 t="str">
        <f t="shared" si="1"/>
        <v>Built-up :</v>
      </c>
      <c r="AE1839" s="7" t="str">
        <f t="shared" si="2"/>
        <v> sq. ft.</v>
      </c>
      <c r="AF1839">
        <f>IFERROR(__xludf.DUMMYFUNCTION("VALUE(REGEXREPLACE(G1839,""[^[:digit:]]"", """"))"),1756.0)</f>
        <v>1756</v>
      </c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 t="s">
        <v>22</v>
      </c>
    </row>
    <row r="1840">
      <c r="A1840" s="7" t="s">
        <v>32</v>
      </c>
      <c r="B1840" s="7" t="s">
        <v>87</v>
      </c>
      <c r="C1840" s="7">
        <f>3</f>
        <v>3</v>
      </c>
      <c r="D1840" s="7">
        <v>2.0</v>
      </c>
      <c r="E1840" s="7">
        <v>2.0</v>
      </c>
      <c r="F1840" s="7" t="s">
        <v>83</v>
      </c>
      <c r="G1840" s="7" t="s">
        <v>1540</v>
      </c>
      <c r="H1840" s="9" t="s">
        <v>2979</v>
      </c>
      <c r="I1840" t="s">
        <v>3768</v>
      </c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 t="str">
        <f t="shared" si="1"/>
        <v>Built-up :</v>
      </c>
      <c r="AE1840" s="7" t="str">
        <f t="shared" si="2"/>
        <v> sq. ft.</v>
      </c>
      <c r="AF1840">
        <f>IFERROR(__xludf.DUMMYFUNCTION("VALUE(REGEXREPLACE(G1840,""[^[:digit:]]"", """"))"),1220.0)</f>
        <v>1220</v>
      </c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 t="s">
        <v>22</v>
      </c>
    </row>
    <row r="1841">
      <c r="A1841" s="7" t="s">
        <v>262</v>
      </c>
      <c r="B1841" s="7" t="s">
        <v>1541</v>
      </c>
      <c r="E1841" s="9">
        <v>2.0</v>
      </c>
      <c r="F1841" s="7" t="s">
        <v>667</v>
      </c>
      <c r="G1841" s="7" t="s">
        <v>1542</v>
      </c>
      <c r="H1841" s="9" t="s">
        <v>2981</v>
      </c>
      <c r="I1841" t="s">
        <v>3769</v>
      </c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 t="str">
        <f t="shared" si="1"/>
        <v>Land area </v>
      </c>
      <c r="AE1841" s="7" t="str">
        <f t="shared" si="2"/>
        <v> sq. ft.</v>
      </c>
      <c r="AF1841">
        <f>IFERROR(__xludf.DUMMYFUNCTION("VALUE(REGEXREPLACE(G1841,""[^[:digit:]]"", """"))"),10689.0)</f>
        <v>10689</v>
      </c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</row>
    <row r="1842">
      <c r="A1842" s="7" t="s">
        <v>262</v>
      </c>
      <c r="B1842" s="7" t="s">
        <v>934</v>
      </c>
      <c r="C1842" s="7">
        <f>7</f>
        <v>7</v>
      </c>
      <c r="D1842" s="7">
        <v>8.0</v>
      </c>
      <c r="E1842" s="7">
        <v>4.0</v>
      </c>
      <c r="F1842" s="7" t="s">
        <v>61</v>
      </c>
      <c r="G1842" s="7" t="s">
        <v>935</v>
      </c>
      <c r="H1842" s="9" t="s">
        <v>2981</v>
      </c>
      <c r="I1842" t="s">
        <v>3415</v>
      </c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 t="str">
        <f t="shared" si="1"/>
        <v>Land area </v>
      </c>
      <c r="AE1842" s="7" t="str">
        <f t="shared" si="2"/>
        <v> sq. ft.</v>
      </c>
      <c r="AF1842">
        <f>IFERROR(__xludf.DUMMYFUNCTION("VALUE(REGEXREPLACE(G1842,""[^[:digit:]]"", """"))"),8622.0)</f>
        <v>8622</v>
      </c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 t="s">
        <v>27</v>
      </c>
    </row>
    <row r="1843">
      <c r="A1843" s="7" t="s">
        <v>262</v>
      </c>
      <c r="B1843" s="7" t="s">
        <v>390</v>
      </c>
      <c r="E1843" s="9">
        <v>2.0</v>
      </c>
      <c r="F1843" s="7" t="s">
        <v>667</v>
      </c>
      <c r="G1843" s="7" t="s">
        <v>1089</v>
      </c>
      <c r="H1843" s="9" t="s">
        <v>2981</v>
      </c>
      <c r="I1843" t="s">
        <v>3497</v>
      </c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 t="str">
        <f t="shared" si="1"/>
        <v>Land area </v>
      </c>
      <c r="AE1843" s="7" t="str">
        <f t="shared" si="2"/>
        <v> sq. ft.</v>
      </c>
      <c r="AF1843">
        <f>IFERROR(__xludf.DUMMYFUNCTION("VALUE(REGEXREPLACE(G1843,""[^[:digit:]]"", """"))"),14000.0)</f>
        <v>14000</v>
      </c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</row>
    <row r="1844">
      <c r="A1844" s="7" t="s">
        <v>32</v>
      </c>
      <c r="B1844" s="7" t="s">
        <v>1543</v>
      </c>
      <c r="C1844" s="7">
        <f>8</f>
        <v>8</v>
      </c>
      <c r="D1844" s="7">
        <v>3.0</v>
      </c>
      <c r="E1844" s="9">
        <v>2.0</v>
      </c>
      <c r="F1844" s="7" t="s">
        <v>54</v>
      </c>
      <c r="G1844" s="7" t="s">
        <v>283</v>
      </c>
      <c r="H1844" s="9" t="s">
        <v>2981</v>
      </c>
      <c r="I1844" t="s">
        <v>3091</v>
      </c>
      <c r="J1844" s="7"/>
      <c r="K1844" s="7"/>
      <c r="L1844" s="7"/>
      <c r="M1844" s="7"/>
      <c r="N1844" s="7"/>
      <c r="O1844" s="7"/>
      <c r="P1844" s="7"/>
      <c r="Q1844" s="7"/>
      <c r="R1844" s="7"/>
      <c r="S1844" s="7" t="s">
        <v>2990</v>
      </c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 t="str">
        <f t="shared" si="1"/>
        <v>Land area </v>
      </c>
      <c r="AE1844" s="7" t="str">
        <f t="shared" si="2"/>
        <v> sq. ft.</v>
      </c>
      <c r="AF1844">
        <f>IFERROR(__xludf.DUMMYFUNCTION("VALUE(REGEXREPLACE(G1844,""[^[:digit:]]"", """"))"),2275.0)</f>
        <v>2275</v>
      </c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 t="s">
        <v>103</v>
      </c>
    </row>
    <row r="1845">
      <c r="A1845" s="7" t="s">
        <v>32</v>
      </c>
      <c r="B1845" s="7" t="s">
        <v>691</v>
      </c>
      <c r="C1845" s="7">
        <f t="shared" ref="C1845:C1849" si="216">3</f>
        <v>3</v>
      </c>
      <c r="D1845" s="7">
        <v>2.0</v>
      </c>
      <c r="E1845" s="7">
        <v>2.0</v>
      </c>
      <c r="F1845" s="7" t="s">
        <v>343</v>
      </c>
      <c r="G1845" s="7" t="s">
        <v>718</v>
      </c>
      <c r="H1845" s="9" t="s">
        <v>2981</v>
      </c>
      <c r="I1845" t="s">
        <v>3297</v>
      </c>
      <c r="J1845" s="7"/>
      <c r="K1845" s="7"/>
      <c r="L1845" s="7"/>
      <c r="M1845" s="7"/>
      <c r="N1845" s="7"/>
      <c r="O1845" s="7"/>
      <c r="P1845" s="7"/>
      <c r="Q1845" s="7"/>
      <c r="R1845" s="7"/>
      <c r="S1845" s="7" t="s">
        <v>3298</v>
      </c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 t="str">
        <f t="shared" si="1"/>
        <v>Land area </v>
      </c>
      <c r="AE1845" s="7" t="str">
        <f t="shared" si="2"/>
        <v> sq. ft.</v>
      </c>
      <c r="AF1845">
        <f>IFERROR(__xludf.DUMMYFUNCTION("VALUE(REGEXREPLACE(G1845,""[^[:digit:]]"", """"))"),2065.0)</f>
        <v>2065</v>
      </c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 t="s">
        <v>103</v>
      </c>
    </row>
    <row r="1846">
      <c r="A1846" s="7" t="s">
        <v>155</v>
      </c>
      <c r="B1846" s="7" t="s">
        <v>1544</v>
      </c>
      <c r="C1846" s="7">
        <f t="shared" si="216"/>
        <v>3</v>
      </c>
      <c r="D1846" s="7">
        <v>2.0</v>
      </c>
      <c r="E1846" s="7">
        <v>1.0</v>
      </c>
      <c r="F1846" s="7" t="s">
        <v>93</v>
      </c>
      <c r="G1846" s="7" t="s">
        <v>1545</v>
      </c>
      <c r="H1846" s="9" t="s">
        <v>2979</v>
      </c>
      <c r="I1846" t="s">
        <v>3770</v>
      </c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 t="str">
        <f t="shared" si="1"/>
        <v>Built-up :</v>
      </c>
      <c r="AE1846" s="7" t="str">
        <f t="shared" si="2"/>
        <v> sq. ft.</v>
      </c>
      <c r="AF1846">
        <f>IFERROR(__xludf.DUMMYFUNCTION("VALUE(REGEXREPLACE(G1846,""[^[:digit:]]"", """"))"),973.0)</f>
        <v>973</v>
      </c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 t="s">
        <v>103</v>
      </c>
    </row>
    <row r="1847">
      <c r="A1847" s="7" t="s">
        <v>100</v>
      </c>
      <c r="B1847" s="7" t="s">
        <v>975</v>
      </c>
      <c r="C1847" s="7">
        <f t="shared" si="216"/>
        <v>3</v>
      </c>
      <c r="D1847" s="7">
        <v>2.0</v>
      </c>
      <c r="E1847" s="7">
        <v>2.0</v>
      </c>
      <c r="F1847" s="7" t="s">
        <v>30</v>
      </c>
      <c r="G1847" s="7" t="s">
        <v>1546</v>
      </c>
      <c r="H1847" s="9" t="s">
        <v>2981</v>
      </c>
      <c r="I1847" t="s">
        <v>3771</v>
      </c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 t="str">
        <f t="shared" si="1"/>
        <v>Land area </v>
      </c>
      <c r="AE1847" s="7" t="str">
        <f t="shared" si="2"/>
        <v> sq. ft.</v>
      </c>
      <c r="AF1847">
        <f>IFERROR(__xludf.DUMMYFUNCTION("VALUE(REGEXREPLACE(G1847,""[^[:digit:]]"", """"))"),1175.0)</f>
        <v>1175</v>
      </c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 t="s">
        <v>27</v>
      </c>
    </row>
    <row r="1848">
      <c r="A1848" s="7" t="s">
        <v>33</v>
      </c>
      <c r="B1848" s="7" t="s">
        <v>1547</v>
      </c>
      <c r="C1848" s="7">
        <f t="shared" si="216"/>
        <v>3</v>
      </c>
      <c r="D1848" s="7">
        <v>2.0</v>
      </c>
      <c r="E1848" s="7">
        <v>1.0</v>
      </c>
      <c r="F1848" s="7" t="s">
        <v>50</v>
      </c>
      <c r="G1848" s="7" t="s">
        <v>1548</v>
      </c>
      <c r="H1848" s="9" t="s">
        <v>2979</v>
      </c>
      <c r="I1848" t="s">
        <v>3772</v>
      </c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 t="str">
        <f t="shared" si="1"/>
        <v>Built-up :</v>
      </c>
      <c r="AE1848" s="7" t="str">
        <f t="shared" si="2"/>
        <v> sq. ft.</v>
      </c>
      <c r="AF1848">
        <f>IFERROR(__xludf.DUMMYFUNCTION("VALUE(REGEXREPLACE(G1848,""[^[:digit:]]"", """"))"),952.0)</f>
        <v>952</v>
      </c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 t="s">
        <v>27</v>
      </c>
    </row>
    <row r="1849">
      <c r="A1849" s="7" t="s">
        <v>33</v>
      </c>
      <c r="B1849" s="7" t="s">
        <v>969</v>
      </c>
      <c r="C1849" s="7">
        <f t="shared" si="216"/>
        <v>3</v>
      </c>
      <c r="D1849" s="7">
        <v>2.0</v>
      </c>
      <c r="E1849" s="7">
        <v>1.0</v>
      </c>
      <c r="F1849" s="7" t="s">
        <v>503</v>
      </c>
      <c r="G1849" s="7" t="s">
        <v>1549</v>
      </c>
      <c r="H1849" s="9" t="s">
        <v>2979</v>
      </c>
      <c r="I1849" t="s">
        <v>3773</v>
      </c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 t="str">
        <f t="shared" si="1"/>
        <v>Built-up :</v>
      </c>
      <c r="AE1849" s="7" t="str">
        <f t="shared" si="2"/>
        <v> sq. ft.</v>
      </c>
      <c r="AF1849">
        <f>IFERROR(__xludf.DUMMYFUNCTION("VALUE(REGEXREPLACE(G1849,""[^[:digit:]]"", """"))"),1048.0)</f>
        <v>1048</v>
      </c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 t="s">
        <v>22</v>
      </c>
    </row>
    <row r="1850">
      <c r="A1850" s="7" t="s">
        <v>32</v>
      </c>
      <c r="B1850" s="7" t="s">
        <v>993</v>
      </c>
      <c r="C1850" s="7">
        <f>6</f>
        <v>6</v>
      </c>
      <c r="D1850" s="7">
        <v>6.0</v>
      </c>
      <c r="E1850" s="9">
        <v>2.0</v>
      </c>
      <c r="F1850" s="7" t="s">
        <v>61</v>
      </c>
      <c r="G1850" s="7" t="s">
        <v>1550</v>
      </c>
      <c r="H1850" s="9" t="s">
        <v>2981</v>
      </c>
      <c r="I1850" t="s">
        <v>3774</v>
      </c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 t="str">
        <f t="shared" si="1"/>
        <v>Land area </v>
      </c>
      <c r="AE1850" s="7" t="str">
        <f t="shared" si="2"/>
        <v> sq. ft.</v>
      </c>
      <c r="AF1850">
        <f>IFERROR(__xludf.DUMMYFUNCTION("VALUE(REGEXREPLACE(G1850,""[^[:digit:]]"", """"))"),7057.0)</f>
        <v>7057</v>
      </c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 t="s">
        <v>103</v>
      </c>
    </row>
    <row r="1851">
      <c r="A1851" s="7" t="s">
        <v>428</v>
      </c>
      <c r="B1851" s="7" t="s">
        <v>1551</v>
      </c>
      <c r="C1851" s="7" t="s">
        <v>325</v>
      </c>
      <c r="D1851" s="7">
        <v>1.0</v>
      </c>
      <c r="E1851" s="7">
        <v>1.0</v>
      </c>
      <c r="F1851" s="7" t="s">
        <v>82</v>
      </c>
      <c r="G1851" s="7" t="s">
        <v>1552</v>
      </c>
      <c r="H1851" s="9" t="s">
        <v>2979</v>
      </c>
      <c r="I1851" t="s">
        <v>3775</v>
      </c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 t="str">
        <f t="shared" si="1"/>
        <v>Built-up :</v>
      </c>
      <c r="AE1851" s="7" t="str">
        <f t="shared" si="2"/>
        <v> sq. ft.</v>
      </c>
      <c r="AF1851">
        <f>IFERROR(__xludf.DUMMYFUNCTION("VALUE(REGEXREPLACE(G1851,""[^[:digit:]]"", """"))"),502.0)</f>
        <v>502</v>
      </c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 t="s">
        <v>27</v>
      </c>
    </row>
    <row r="1852">
      <c r="A1852" s="7" t="s">
        <v>241</v>
      </c>
      <c r="B1852" s="7" t="s">
        <v>1111</v>
      </c>
      <c r="C1852" s="7">
        <f>3</f>
        <v>3</v>
      </c>
      <c r="D1852" s="7">
        <v>2.0</v>
      </c>
      <c r="E1852" s="7">
        <v>1.0</v>
      </c>
      <c r="F1852" s="7" t="s">
        <v>82</v>
      </c>
      <c r="G1852" s="7" t="s">
        <v>954</v>
      </c>
      <c r="H1852" s="9" t="s">
        <v>2979</v>
      </c>
      <c r="I1852" t="s">
        <v>3424</v>
      </c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 t="str">
        <f t="shared" si="1"/>
        <v>Built-up :</v>
      </c>
      <c r="AE1852" s="7" t="str">
        <f t="shared" si="2"/>
        <v> sq. ft.</v>
      </c>
      <c r="AF1852">
        <f>IFERROR(__xludf.DUMMYFUNCTION("VALUE(REGEXREPLACE(G1852,""[^[:digit:]]"", """"))"),935.0)</f>
        <v>935</v>
      </c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 t="s">
        <v>27</v>
      </c>
    </row>
    <row r="1853">
      <c r="A1853" s="7" t="s">
        <v>77</v>
      </c>
      <c r="B1853" s="7" t="s">
        <v>1038</v>
      </c>
      <c r="C1853" s="7">
        <f>7+1</f>
        <v>8</v>
      </c>
      <c r="D1853" s="7">
        <v>9.0</v>
      </c>
      <c r="E1853" s="9">
        <v>2.0</v>
      </c>
      <c r="F1853" s="7" t="s">
        <v>1036</v>
      </c>
      <c r="G1853" s="7" t="s">
        <v>305</v>
      </c>
      <c r="H1853" s="9" t="s">
        <v>2981</v>
      </c>
      <c r="I1853" t="s">
        <v>3100</v>
      </c>
      <c r="J1853" s="7"/>
      <c r="K1853" s="7"/>
      <c r="L1853" s="7"/>
      <c r="M1853" s="7"/>
      <c r="N1853" s="7"/>
      <c r="O1853" s="7"/>
      <c r="P1853" s="7"/>
      <c r="Q1853" s="7"/>
      <c r="R1853" s="7"/>
      <c r="S1853" s="7" t="s">
        <v>3101</v>
      </c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 t="str">
        <f t="shared" si="1"/>
        <v>Land area </v>
      </c>
      <c r="AE1853" s="7" t="str">
        <f t="shared" si="2"/>
        <v> sq. ft.</v>
      </c>
      <c r="AF1853">
        <f>IFERROR(__xludf.DUMMYFUNCTION("VALUE(REGEXREPLACE(G1853,""[^[:digit:]]"", """"))"),3385.0)</f>
        <v>3385</v>
      </c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 t="s">
        <v>27</v>
      </c>
    </row>
    <row r="1854">
      <c r="A1854" s="7" t="s">
        <v>28</v>
      </c>
      <c r="B1854" s="7" t="s">
        <v>513</v>
      </c>
      <c r="C1854" s="7">
        <v>7.0</v>
      </c>
      <c r="D1854" s="7">
        <v>8.0</v>
      </c>
      <c r="E1854" s="7">
        <v>6.0</v>
      </c>
      <c r="F1854" s="7" t="s">
        <v>25</v>
      </c>
      <c r="G1854" s="7" t="s">
        <v>991</v>
      </c>
      <c r="H1854" s="9" t="s">
        <v>2981</v>
      </c>
      <c r="I1854" t="s">
        <v>3439</v>
      </c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 t="str">
        <f t="shared" si="1"/>
        <v>Land area </v>
      </c>
      <c r="AE1854" s="7" t="str">
        <f t="shared" si="2"/>
        <v> sq. ft.</v>
      </c>
      <c r="AF1854">
        <f>IFERROR(__xludf.DUMMYFUNCTION("VALUE(REGEXREPLACE(G1854,""[^[:digit:]]"", """"))"),10345.0)</f>
        <v>10345</v>
      </c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 t="s">
        <v>103</v>
      </c>
    </row>
    <row r="1855">
      <c r="A1855" s="7" t="s">
        <v>77</v>
      </c>
      <c r="B1855" s="7" t="s">
        <v>744</v>
      </c>
      <c r="C1855" s="7">
        <f>5</f>
        <v>5</v>
      </c>
      <c r="D1855" s="7">
        <v>6.0</v>
      </c>
      <c r="E1855" s="7">
        <v>4.0</v>
      </c>
      <c r="F1855" s="7" t="s">
        <v>25</v>
      </c>
      <c r="G1855" s="7" t="s">
        <v>26</v>
      </c>
      <c r="H1855" s="9" t="s">
        <v>2981</v>
      </c>
      <c r="I1855" t="s">
        <v>2982</v>
      </c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 t="str">
        <f t="shared" si="1"/>
        <v>Land area </v>
      </c>
      <c r="AE1855" s="7" t="str">
        <f t="shared" si="2"/>
        <v> sq. ft.</v>
      </c>
      <c r="AF1855">
        <f>IFERROR(__xludf.DUMMYFUNCTION("VALUE(REGEXREPLACE(G1855,""[^[:digit:]]"", """"))"),6900.0)</f>
        <v>6900</v>
      </c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 t="s">
        <v>27</v>
      </c>
    </row>
    <row r="1856">
      <c r="A1856" s="7" t="s">
        <v>77</v>
      </c>
      <c r="B1856" s="7" t="s">
        <v>69</v>
      </c>
      <c r="C1856" s="7">
        <f>3+2</f>
        <v>5</v>
      </c>
      <c r="D1856" s="7">
        <v>5.0</v>
      </c>
      <c r="E1856" s="9">
        <v>2.0</v>
      </c>
      <c r="F1856" s="7" t="s">
        <v>203</v>
      </c>
      <c r="G1856" s="7" t="s">
        <v>805</v>
      </c>
      <c r="H1856" s="9" t="s">
        <v>2981</v>
      </c>
      <c r="I1856" t="s">
        <v>3349</v>
      </c>
      <c r="J1856" s="7"/>
      <c r="K1856" s="7"/>
      <c r="L1856" s="7"/>
      <c r="M1856" s="7"/>
      <c r="N1856" s="7"/>
      <c r="O1856" s="7"/>
      <c r="P1856" s="7"/>
      <c r="Q1856" s="7"/>
      <c r="R1856" s="7"/>
      <c r="S1856" s="7" t="s">
        <v>3121</v>
      </c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 t="str">
        <f t="shared" si="1"/>
        <v>Land area </v>
      </c>
      <c r="AE1856" s="7" t="str">
        <f t="shared" si="2"/>
        <v> sq. ft.</v>
      </c>
      <c r="AF1856">
        <f>IFERROR(__xludf.DUMMYFUNCTION("VALUE(REGEXREPLACE(G1856,""[^[:digit:]]"", """"))"),3170.0)</f>
        <v>3170</v>
      </c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 t="s">
        <v>103</v>
      </c>
    </row>
    <row r="1857">
      <c r="A1857" s="7" t="s">
        <v>72</v>
      </c>
      <c r="B1857" s="7" t="s">
        <v>311</v>
      </c>
      <c r="C1857" s="7">
        <f>3</f>
        <v>3</v>
      </c>
      <c r="D1857" s="7">
        <v>2.0</v>
      </c>
      <c r="E1857" s="7">
        <v>2.0</v>
      </c>
      <c r="F1857" s="7" t="s">
        <v>83</v>
      </c>
      <c r="G1857" s="7" t="s">
        <v>135</v>
      </c>
      <c r="H1857" s="9" t="s">
        <v>2979</v>
      </c>
      <c r="I1857" t="s">
        <v>3023</v>
      </c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 t="str">
        <f t="shared" si="1"/>
        <v>Built-up :</v>
      </c>
      <c r="AE1857" s="7" t="str">
        <f t="shared" si="2"/>
        <v> sq. ft.</v>
      </c>
      <c r="AF1857">
        <f>IFERROR(__xludf.DUMMYFUNCTION("VALUE(REGEXREPLACE(G1857,""[^[:digit:]]"", """"))"),1200.0)</f>
        <v>1200</v>
      </c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 t="s">
        <v>27</v>
      </c>
    </row>
    <row r="1858">
      <c r="A1858" s="7" t="s">
        <v>28</v>
      </c>
      <c r="B1858" s="7" t="s">
        <v>1553</v>
      </c>
      <c r="C1858" s="7">
        <v>7.0</v>
      </c>
      <c r="D1858" s="7">
        <v>7.0</v>
      </c>
      <c r="E1858" s="7">
        <v>4.0</v>
      </c>
      <c r="F1858" s="7" t="s">
        <v>25</v>
      </c>
      <c r="G1858" s="7" t="s">
        <v>1554</v>
      </c>
      <c r="H1858" s="9" t="s">
        <v>2981</v>
      </c>
      <c r="I1858" t="s">
        <v>3776</v>
      </c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 t="str">
        <f t="shared" si="1"/>
        <v>Land area </v>
      </c>
      <c r="AE1858" s="7" t="str">
        <f t="shared" si="2"/>
        <v> sq. ft.</v>
      </c>
      <c r="AF1858">
        <f>IFERROR(__xludf.DUMMYFUNCTION("VALUE(REGEXREPLACE(G1858,""[^[:digit:]]"", """"))"),9826.0)</f>
        <v>9826</v>
      </c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 t="s">
        <v>103</v>
      </c>
    </row>
    <row r="1859">
      <c r="A1859" s="7" t="s">
        <v>72</v>
      </c>
      <c r="B1859" s="7" t="s">
        <v>950</v>
      </c>
      <c r="C1859" s="7">
        <f>4</f>
        <v>4</v>
      </c>
      <c r="D1859" s="7">
        <v>4.0</v>
      </c>
      <c r="E1859" s="7">
        <v>2.0</v>
      </c>
      <c r="F1859" s="7" t="s">
        <v>83</v>
      </c>
      <c r="G1859" s="7" t="s">
        <v>99</v>
      </c>
      <c r="H1859" s="9" t="s">
        <v>2979</v>
      </c>
      <c r="I1859" t="s">
        <v>3006</v>
      </c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 t="str">
        <f t="shared" si="1"/>
        <v>Built-up :</v>
      </c>
      <c r="AE1859" s="7" t="str">
        <f t="shared" si="2"/>
        <v> sq. ft.</v>
      </c>
      <c r="AF1859">
        <f>IFERROR(__xludf.DUMMYFUNCTION("VALUE(REGEXREPLACE(G1859,""[^[:digit:]]"", """"))"),1668.0)</f>
        <v>1668</v>
      </c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 t="s">
        <v>27</v>
      </c>
    </row>
    <row r="1860">
      <c r="A1860" s="7" t="s">
        <v>72</v>
      </c>
      <c r="B1860" s="7" t="s">
        <v>448</v>
      </c>
      <c r="C1860" s="7">
        <f>3+1</f>
        <v>4</v>
      </c>
      <c r="D1860" s="7">
        <v>4.0</v>
      </c>
      <c r="E1860" s="7">
        <v>2.0</v>
      </c>
      <c r="F1860" s="7" t="s">
        <v>83</v>
      </c>
      <c r="G1860" s="7" t="s">
        <v>334</v>
      </c>
      <c r="H1860" s="9" t="s">
        <v>2979</v>
      </c>
      <c r="I1860" t="s">
        <v>3112</v>
      </c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 t="str">
        <f t="shared" si="1"/>
        <v>Built-up :</v>
      </c>
      <c r="AE1860" s="7" t="str">
        <f t="shared" si="2"/>
        <v> sq. ft.</v>
      </c>
      <c r="AF1860">
        <f>IFERROR(__xludf.DUMMYFUNCTION("VALUE(REGEXREPLACE(G1860,""[^[:digit:]]"", """"))"),1496.0)</f>
        <v>1496</v>
      </c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 t="s">
        <v>27</v>
      </c>
    </row>
    <row r="1861">
      <c r="A1861" s="7" t="s">
        <v>77</v>
      </c>
      <c r="B1861" s="7" t="s">
        <v>350</v>
      </c>
      <c r="C1861" s="7">
        <f>7+1</f>
        <v>8</v>
      </c>
      <c r="D1861" s="7">
        <v>7.0</v>
      </c>
      <c r="E1861" s="9">
        <v>2.0</v>
      </c>
      <c r="F1861" s="7" t="s">
        <v>1036</v>
      </c>
      <c r="G1861" s="7" t="s">
        <v>305</v>
      </c>
      <c r="H1861" s="9" t="s">
        <v>2981</v>
      </c>
      <c r="I1861" t="s">
        <v>3100</v>
      </c>
      <c r="J1861" s="7"/>
      <c r="K1861" s="7"/>
      <c r="L1861" s="7"/>
      <c r="M1861" s="7"/>
      <c r="N1861" s="7"/>
      <c r="O1861" s="7"/>
      <c r="P1861" s="7"/>
      <c r="Q1861" s="7"/>
      <c r="R1861" s="7"/>
      <c r="S1861" s="7" t="s">
        <v>3101</v>
      </c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 t="str">
        <f t="shared" si="1"/>
        <v>Land area </v>
      </c>
      <c r="AE1861" s="7" t="str">
        <f t="shared" si="2"/>
        <v> sq. ft.</v>
      </c>
      <c r="AF1861">
        <f>IFERROR(__xludf.DUMMYFUNCTION("VALUE(REGEXREPLACE(G1861,""[^[:digit:]]"", """"))"),3385.0)</f>
        <v>3385</v>
      </c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 t="s">
        <v>27</v>
      </c>
    </row>
    <row r="1862">
      <c r="A1862" s="7" t="s">
        <v>72</v>
      </c>
      <c r="B1862" s="7" t="s">
        <v>158</v>
      </c>
      <c r="C1862" s="7">
        <f>4+2</f>
        <v>6</v>
      </c>
      <c r="D1862" s="7">
        <v>4.0</v>
      </c>
      <c r="E1862" s="7">
        <v>2.0</v>
      </c>
      <c r="F1862" s="7" t="s">
        <v>83</v>
      </c>
      <c r="G1862" s="7" t="s">
        <v>74</v>
      </c>
      <c r="H1862" s="9" t="s">
        <v>2979</v>
      </c>
      <c r="I1862" t="s">
        <v>2998</v>
      </c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 t="str">
        <f t="shared" si="1"/>
        <v>Built-up :</v>
      </c>
      <c r="AE1862" s="7" t="str">
        <f t="shared" si="2"/>
        <v> sq. ft.</v>
      </c>
      <c r="AF1862">
        <f>IFERROR(__xludf.DUMMYFUNCTION("VALUE(REGEXREPLACE(G1862,""[^[:digit:]]"", """"))"),1830.0)</f>
        <v>1830</v>
      </c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 t="s">
        <v>27</v>
      </c>
    </row>
    <row r="1863">
      <c r="A1863" s="7" t="s">
        <v>72</v>
      </c>
      <c r="B1863" s="7" t="s">
        <v>239</v>
      </c>
      <c r="C1863" s="7">
        <f>3+1</f>
        <v>4</v>
      </c>
      <c r="D1863" s="7">
        <v>3.0</v>
      </c>
      <c r="E1863" s="7">
        <v>2.0</v>
      </c>
      <c r="F1863" s="7" t="s">
        <v>93</v>
      </c>
      <c r="G1863" s="7" t="s">
        <v>99</v>
      </c>
      <c r="H1863" s="9" t="s">
        <v>2979</v>
      </c>
      <c r="I1863" t="s">
        <v>3006</v>
      </c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 t="str">
        <f t="shared" si="1"/>
        <v>Built-up :</v>
      </c>
      <c r="AE1863" s="7" t="str">
        <f t="shared" si="2"/>
        <v> sq. ft.</v>
      </c>
      <c r="AF1863">
        <f>IFERROR(__xludf.DUMMYFUNCTION("VALUE(REGEXREPLACE(G1863,""[^[:digit:]]"", """"))"),1668.0)</f>
        <v>1668</v>
      </c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 t="s">
        <v>27</v>
      </c>
    </row>
    <row r="1864">
      <c r="A1864" s="7" t="s">
        <v>77</v>
      </c>
      <c r="B1864" s="7" t="s">
        <v>1180</v>
      </c>
      <c r="C1864" s="7">
        <f>3+2</f>
        <v>5</v>
      </c>
      <c r="D1864" s="7">
        <v>5.0</v>
      </c>
      <c r="E1864" s="9">
        <v>2.0</v>
      </c>
      <c r="F1864" s="7" t="s">
        <v>203</v>
      </c>
      <c r="G1864" s="7" t="s">
        <v>805</v>
      </c>
      <c r="H1864" s="9" t="s">
        <v>2981</v>
      </c>
      <c r="I1864" t="s">
        <v>3349</v>
      </c>
      <c r="J1864" s="7"/>
      <c r="K1864" s="7"/>
      <c r="L1864" s="7"/>
      <c r="M1864" s="7"/>
      <c r="N1864" s="7"/>
      <c r="O1864" s="7"/>
      <c r="P1864" s="7"/>
      <c r="Q1864" s="7"/>
      <c r="R1864" s="7"/>
      <c r="S1864" s="7" t="s">
        <v>3121</v>
      </c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 t="str">
        <f t="shared" si="1"/>
        <v>Land area </v>
      </c>
      <c r="AE1864" s="7" t="str">
        <f t="shared" si="2"/>
        <v> sq. ft.</v>
      </c>
      <c r="AF1864">
        <f>IFERROR(__xludf.DUMMYFUNCTION("VALUE(REGEXREPLACE(G1864,""[^[:digit:]]"", """"))"),3170.0)</f>
        <v>3170</v>
      </c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 t="s">
        <v>103</v>
      </c>
    </row>
    <row r="1865">
      <c r="A1865" s="7" t="s">
        <v>72</v>
      </c>
      <c r="B1865" s="7" t="s">
        <v>403</v>
      </c>
      <c r="C1865" s="7">
        <f>3+1</f>
        <v>4</v>
      </c>
      <c r="D1865" s="7">
        <v>3.0</v>
      </c>
      <c r="E1865" s="9">
        <v>2.0</v>
      </c>
      <c r="F1865" s="7" t="s">
        <v>83</v>
      </c>
      <c r="G1865" s="7" t="s">
        <v>119</v>
      </c>
      <c r="H1865" s="9" t="s">
        <v>2979</v>
      </c>
      <c r="I1865" t="s">
        <v>3015</v>
      </c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 t="str">
        <f t="shared" si="1"/>
        <v>Built-up :</v>
      </c>
      <c r="AE1865" s="7" t="str">
        <f t="shared" si="2"/>
        <v> sq. ft.</v>
      </c>
      <c r="AF1865">
        <f>IFERROR(__xludf.DUMMYFUNCTION("VALUE(REGEXREPLACE(G1865,""[^[:digit:]]"", """"))"),2020.0)</f>
        <v>2020</v>
      </c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 t="s">
        <v>27</v>
      </c>
    </row>
    <row r="1866">
      <c r="A1866" s="7" t="s">
        <v>72</v>
      </c>
      <c r="B1866" s="7" t="s">
        <v>156</v>
      </c>
      <c r="C1866" s="7">
        <f t="shared" ref="C1866:C1868" si="217">3</f>
        <v>3</v>
      </c>
      <c r="D1866" s="7">
        <v>2.0</v>
      </c>
      <c r="E1866" s="7">
        <v>2.0</v>
      </c>
      <c r="F1866" s="7" t="s">
        <v>93</v>
      </c>
      <c r="G1866" s="7" t="s">
        <v>1555</v>
      </c>
      <c r="H1866" s="9" t="s">
        <v>2979</v>
      </c>
      <c r="I1866" t="s">
        <v>3777</v>
      </c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 t="str">
        <f t="shared" si="1"/>
        <v>Built-up :</v>
      </c>
      <c r="AE1866" s="7" t="str">
        <f t="shared" si="2"/>
        <v> sq. ft.</v>
      </c>
      <c r="AF1866">
        <f>IFERROR(__xludf.DUMMYFUNCTION("VALUE(REGEXREPLACE(G1866,""[^[:digit:]]"", """"))"),1238.0)</f>
        <v>1238</v>
      </c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 t="s">
        <v>22</v>
      </c>
    </row>
    <row r="1867">
      <c r="A1867" s="7" t="s">
        <v>72</v>
      </c>
      <c r="B1867" s="7" t="s">
        <v>316</v>
      </c>
      <c r="C1867" s="7">
        <f t="shared" si="217"/>
        <v>3</v>
      </c>
      <c r="D1867" s="7">
        <v>2.0</v>
      </c>
      <c r="E1867" s="7">
        <v>1.0</v>
      </c>
      <c r="F1867" s="7" t="s">
        <v>93</v>
      </c>
      <c r="G1867" s="7" t="s">
        <v>1556</v>
      </c>
      <c r="H1867" s="9" t="s">
        <v>2979</v>
      </c>
      <c r="I1867" t="s">
        <v>3778</v>
      </c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 t="str">
        <f t="shared" si="1"/>
        <v>Built-up :</v>
      </c>
      <c r="AE1867" s="7" t="str">
        <f t="shared" si="2"/>
        <v> sq. ft.</v>
      </c>
      <c r="AF1867">
        <f>IFERROR(__xludf.DUMMYFUNCTION("VALUE(REGEXREPLACE(G1867,""[^[:digit:]]"", """"))"),1241.0)</f>
        <v>1241</v>
      </c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 t="s">
        <v>22</v>
      </c>
    </row>
    <row r="1868">
      <c r="A1868" s="7" t="s">
        <v>709</v>
      </c>
      <c r="B1868" s="7" t="s">
        <v>635</v>
      </c>
      <c r="C1868" s="7">
        <f t="shared" si="217"/>
        <v>3</v>
      </c>
      <c r="D1868" s="7">
        <v>2.0</v>
      </c>
      <c r="E1868" s="7">
        <v>2.0</v>
      </c>
      <c r="F1868" s="7" t="s">
        <v>30</v>
      </c>
      <c r="G1868" s="7" t="s">
        <v>1557</v>
      </c>
      <c r="H1868" s="9" t="s">
        <v>2979</v>
      </c>
      <c r="I1868" t="s">
        <v>3779</v>
      </c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 t="str">
        <f t="shared" si="1"/>
        <v>Built-up :</v>
      </c>
      <c r="AE1868" s="7" t="str">
        <f t="shared" si="2"/>
        <v> sq. ft.</v>
      </c>
      <c r="AF1868">
        <f>IFERROR(__xludf.DUMMYFUNCTION("VALUE(REGEXREPLACE(G1868,""[^[:digit:]]"", """"))"),1019.0)</f>
        <v>1019</v>
      </c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 t="s">
        <v>22</v>
      </c>
    </row>
    <row r="1869">
      <c r="A1869" s="7" t="s">
        <v>267</v>
      </c>
      <c r="B1869" s="7" t="s">
        <v>85</v>
      </c>
      <c r="C1869" s="7">
        <f>4</f>
        <v>4</v>
      </c>
      <c r="D1869" s="7">
        <v>3.0</v>
      </c>
      <c r="E1869" s="7">
        <v>2.0</v>
      </c>
      <c r="F1869" s="7" t="s">
        <v>54</v>
      </c>
      <c r="G1869" s="7" t="s">
        <v>1558</v>
      </c>
      <c r="H1869" s="9" t="s">
        <v>2981</v>
      </c>
      <c r="I1869" t="s">
        <v>3780</v>
      </c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 t="str">
        <f t="shared" si="1"/>
        <v>Land area </v>
      </c>
      <c r="AE1869" s="7" t="str">
        <f t="shared" si="2"/>
        <v> sq. ft.</v>
      </c>
      <c r="AF1869">
        <f>IFERROR(__xludf.DUMMYFUNCTION("VALUE(REGEXREPLACE(G1869,""[^[:digit:]]"", """"))"),2021585.0)</f>
        <v>2021585</v>
      </c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</row>
    <row r="1870">
      <c r="A1870" s="7" t="s">
        <v>267</v>
      </c>
      <c r="B1870" s="7" t="s">
        <v>63</v>
      </c>
      <c r="C1870" s="7">
        <f>6</f>
        <v>6</v>
      </c>
      <c r="D1870" s="7">
        <v>5.0</v>
      </c>
      <c r="E1870" s="7">
        <v>6.0</v>
      </c>
      <c r="F1870" s="7" t="s">
        <v>64</v>
      </c>
      <c r="G1870" s="7" t="s">
        <v>631</v>
      </c>
      <c r="H1870" s="9" t="s">
        <v>2981</v>
      </c>
      <c r="I1870" t="s">
        <v>3258</v>
      </c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 t="str">
        <f t="shared" si="1"/>
        <v>Land area </v>
      </c>
      <c r="AE1870" s="7" t="str">
        <f t="shared" si="2"/>
        <v> sq. ft.</v>
      </c>
      <c r="AF1870">
        <f>IFERROR(__xludf.DUMMYFUNCTION("VALUE(REGEXREPLACE(G1870,""[^[:digit:]]"", """"))"),5000.0)</f>
        <v>5000</v>
      </c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</row>
    <row r="1871">
      <c r="A1871" s="7" t="s">
        <v>109</v>
      </c>
      <c r="B1871" s="7" t="s">
        <v>975</v>
      </c>
      <c r="C1871" s="7">
        <f t="shared" ref="C1871:C1872" si="218">3</f>
        <v>3</v>
      </c>
      <c r="D1871" s="7">
        <v>2.0</v>
      </c>
      <c r="E1871" s="7">
        <v>1.0</v>
      </c>
      <c r="F1871" s="7" t="s">
        <v>83</v>
      </c>
      <c r="G1871" s="7" t="s">
        <v>734</v>
      </c>
      <c r="H1871" s="9" t="s">
        <v>2979</v>
      </c>
      <c r="I1871" t="s">
        <v>3308</v>
      </c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 t="str">
        <f t="shared" si="1"/>
        <v>Built-up :</v>
      </c>
      <c r="AE1871" s="7" t="str">
        <f t="shared" si="2"/>
        <v> sq. ft.</v>
      </c>
      <c r="AF1871">
        <f>IFERROR(__xludf.DUMMYFUNCTION("VALUE(REGEXREPLACE(G1871,""[^[:digit:]]"", """"))"),1100.0)</f>
        <v>1100</v>
      </c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 t="s">
        <v>27</v>
      </c>
    </row>
    <row r="1872">
      <c r="A1872" s="7" t="s">
        <v>241</v>
      </c>
      <c r="B1872" s="7" t="s">
        <v>1559</v>
      </c>
      <c r="C1872" s="7">
        <f t="shared" si="218"/>
        <v>3</v>
      </c>
      <c r="D1872" s="7">
        <v>2.0</v>
      </c>
      <c r="E1872" s="7">
        <v>1.0</v>
      </c>
      <c r="F1872" s="7" t="s">
        <v>83</v>
      </c>
      <c r="G1872" s="7" t="s">
        <v>1560</v>
      </c>
      <c r="H1872" s="9" t="s">
        <v>2979</v>
      </c>
      <c r="I1872" t="s">
        <v>3781</v>
      </c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 t="str">
        <f t="shared" si="1"/>
        <v>Built-up :</v>
      </c>
      <c r="AE1872" s="7" t="str">
        <f t="shared" si="2"/>
        <v> sq. ft.</v>
      </c>
      <c r="AF1872">
        <f>IFERROR(__xludf.DUMMYFUNCTION("VALUE(REGEXREPLACE(G1872,""[^[:digit:]]"", """"))"),905.0)</f>
        <v>905</v>
      </c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 t="s">
        <v>27</v>
      </c>
    </row>
    <row r="1873">
      <c r="A1873" s="7" t="s">
        <v>28</v>
      </c>
      <c r="B1873" s="7" t="s">
        <v>1380</v>
      </c>
      <c r="C1873" s="7">
        <f>3+1</f>
        <v>4</v>
      </c>
      <c r="D1873" s="7">
        <v>5.0</v>
      </c>
      <c r="E1873" s="7">
        <v>2.0</v>
      </c>
      <c r="F1873" s="7" t="s">
        <v>30</v>
      </c>
      <c r="G1873" s="7" t="s">
        <v>31</v>
      </c>
      <c r="H1873" s="9" t="s">
        <v>2979</v>
      </c>
      <c r="I1873" t="s">
        <v>2983</v>
      </c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 t="str">
        <f t="shared" si="1"/>
        <v>Built-up :</v>
      </c>
      <c r="AE1873" s="7" t="str">
        <f t="shared" si="2"/>
        <v> sq. ft.</v>
      </c>
      <c r="AF1873">
        <f>IFERROR(__xludf.DUMMYFUNCTION("VALUE(REGEXREPLACE(G1873,""[^[:digit:]]"", """"))"),1875.0)</f>
        <v>1875</v>
      </c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 t="s">
        <v>27</v>
      </c>
    </row>
    <row r="1874">
      <c r="A1874" s="7" t="s">
        <v>77</v>
      </c>
      <c r="B1874" s="7" t="s">
        <v>1135</v>
      </c>
      <c r="C1874" s="7">
        <f>3</f>
        <v>3</v>
      </c>
      <c r="D1874" s="7">
        <v>2.0</v>
      </c>
      <c r="E1874" s="7">
        <v>2.0</v>
      </c>
      <c r="F1874" s="7" t="s">
        <v>83</v>
      </c>
      <c r="G1874" s="7" t="s">
        <v>1561</v>
      </c>
      <c r="H1874" s="9" t="s">
        <v>2979</v>
      </c>
      <c r="I1874" t="s">
        <v>3782</v>
      </c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 t="str">
        <f t="shared" si="1"/>
        <v>Built-up :</v>
      </c>
      <c r="AE1874" s="7" t="str">
        <f t="shared" si="2"/>
        <v> sq. ft.</v>
      </c>
      <c r="AF1874">
        <f>IFERROR(__xludf.DUMMYFUNCTION("VALUE(REGEXREPLACE(G1874,""[^[:digit:]]"", """"))"),1561.0)</f>
        <v>1561</v>
      </c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</row>
    <row r="1875">
      <c r="A1875" s="7" t="s">
        <v>33</v>
      </c>
      <c r="B1875" s="7" t="s">
        <v>1562</v>
      </c>
      <c r="C1875" s="7">
        <f>5</f>
        <v>5</v>
      </c>
      <c r="D1875" s="7">
        <v>3.0</v>
      </c>
      <c r="E1875" s="9">
        <v>2.0</v>
      </c>
      <c r="F1875" s="7" t="s">
        <v>83</v>
      </c>
      <c r="G1875" s="7" t="s">
        <v>330</v>
      </c>
      <c r="H1875" s="9" t="s">
        <v>2979</v>
      </c>
      <c r="I1875" t="s">
        <v>3111</v>
      </c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 t="str">
        <f t="shared" si="1"/>
        <v>Built-up :</v>
      </c>
      <c r="AE1875" s="7" t="str">
        <f t="shared" si="2"/>
        <v> sq. ft.</v>
      </c>
      <c r="AF1875">
        <f>IFERROR(__xludf.DUMMYFUNCTION("VALUE(REGEXREPLACE(G1875,""[^[:digit:]]"", """"))"),1930.0)</f>
        <v>1930</v>
      </c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</row>
    <row r="1876">
      <c r="A1876" s="7" t="s">
        <v>428</v>
      </c>
      <c r="B1876" s="7" t="s">
        <v>415</v>
      </c>
      <c r="E1876" s="9">
        <v>2.0</v>
      </c>
      <c r="F1876" s="7" t="s">
        <v>1453</v>
      </c>
      <c r="G1876" s="7" t="s">
        <v>1563</v>
      </c>
      <c r="H1876" s="9" t="s">
        <v>2981</v>
      </c>
      <c r="I1876" t="s">
        <v>3783</v>
      </c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 t="str">
        <f t="shared" si="1"/>
        <v>Land area </v>
      </c>
      <c r="AE1876" s="7" t="str">
        <f t="shared" si="2"/>
        <v> sq. ft.</v>
      </c>
      <c r="AF1876">
        <f>IFERROR(__xludf.DUMMYFUNCTION("VALUE(REGEXREPLACE(G1876,""[^[:digit:]]"", """"))"),6400.0)</f>
        <v>6400</v>
      </c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</row>
    <row r="1877">
      <c r="A1877" s="7" t="s">
        <v>23</v>
      </c>
      <c r="B1877" s="7" t="s">
        <v>530</v>
      </c>
      <c r="C1877" s="7">
        <f>7</f>
        <v>7</v>
      </c>
      <c r="D1877" s="7">
        <v>6.0</v>
      </c>
      <c r="E1877" s="9">
        <v>2.0</v>
      </c>
      <c r="F1877" s="7" t="s">
        <v>25</v>
      </c>
      <c r="G1877" s="7" t="s">
        <v>1564</v>
      </c>
      <c r="H1877" s="9" t="s">
        <v>2981</v>
      </c>
      <c r="I1877" t="s">
        <v>3784</v>
      </c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 t="str">
        <f t="shared" si="1"/>
        <v>Land area </v>
      </c>
      <c r="AE1877" s="7" t="str">
        <f t="shared" si="2"/>
        <v> sq. ft.</v>
      </c>
      <c r="AF1877">
        <f>IFERROR(__xludf.DUMMYFUNCTION("VALUE(REGEXREPLACE(G1877,""[^[:digit:]]"", """"))"),6780.0)</f>
        <v>6780</v>
      </c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 t="s">
        <v>22</v>
      </c>
    </row>
    <row r="1878">
      <c r="A1878" s="7" t="s">
        <v>104</v>
      </c>
      <c r="B1878" s="7" t="s">
        <v>1565</v>
      </c>
      <c r="C1878" s="7">
        <f>3</f>
        <v>3</v>
      </c>
      <c r="D1878" s="7">
        <v>2.0</v>
      </c>
      <c r="E1878" s="7">
        <v>1.0</v>
      </c>
      <c r="F1878" s="7" t="s">
        <v>1566</v>
      </c>
      <c r="G1878" s="7" t="s">
        <v>1567</v>
      </c>
      <c r="H1878" s="9" t="s">
        <v>2979</v>
      </c>
      <c r="I1878" t="s">
        <v>3785</v>
      </c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 t="str">
        <f t="shared" si="1"/>
        <v>Built-up :</v>
      </c>
      <c r="AE1878" s="7" t="str">
        <f t="shared" si="2"/>
        <v> sq. ft.</v>
      </c>
      <c r="AF1878">
        <f>IFERROR(__xludf.DUMMYFUNCTION("VALUE(REGEXREPLACE(G1878,""[^[:digit:]]"", """"))"),861.0)</f>
        <v>861</v>
      </c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 t="s">
        <v>27</v>
      </c>
    </row>
    <row r="1879">
      <c r="A1879" s="7" t="s">
        <v>28</v>
      </c>
      <c r="B1879" s="7" t="s">
        <v>81</v>
      </c>
      <c r="C1879" s="7">
        <f>4+2</f>
        <v>6</v>
      </c>
      <c r="D1879" s="7">
        <v>4.0</v>
      </c>
      <c r="E1879" s="9">
        <v>2.0</v>
      </c>
      <c r="F1879" s="7" t="s">
        <v>83</v>
      </c>
      <c r="G1879" s="7" t="s">
        <v>1291</v>
      </c>
      <c r="H1879" s="9" t="s">
        <v>2979</v>
      </c>
      <c r="I1879" t="s">
        <v>3626</v>
      </c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 t="str">
        <f t="shared" si="1"/>
        <v>Built-up :</v>
      </c>
      <c r="AE1879" s="7" t="str">
        <f t="shared" si="2"/>
        <v> sq. ft.</v>
      </c>
      <c r="AF1879">
        <f>IFERROR(__xludf.DUMMYFUNCTION("VALUE(REGEXREPLACE(G1879,""[^[:digit:]]"", """"))"),2412.0)</f>
        <v>2412</v>
      </c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 t="s">
        <v>22</v>
      </c>
    </row>
    <row r="1880">
      <c r="A1880" s="7" t="s">
        <v>188</v>
      </c>
      <c r="B1880" s="7" t="s">
        <v>1568</v>
      </c>
      <c r="C1880" s="7">
        <f>1</f>
        <v>1</v>
      </c>
      <c r="D1880" s="7">
        <v>1.0</v>
      </c>
      <c r="E1880" s="7">
        <v>1.0</v>
      </c>
      <c r="F1880" s="7" t="s">
        <v>93</v>
      </c>
      <c r="G1880" s="7" t="s">
        <v>1569</v>
      </c>
      <c r="H1880" s="9" t="s">
        <v>2979</v>
      </c>
      <c r="I1880" t="s">
        <v>3786</v>
      </c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 t="str">
        <f t="shared" si="1"/>
        <v>Built-up :</v>
      </c>
      <c r="AE1880" s="7" t="str">
        <f t="shared" si="2"/>
        <v> sq. ft.</v>
      </c>
      <c r="AF1880">
        <f>IFERROR(__xludf.DUMMYFUNCTION("VALUE(REGEXREPLACE(G1880,""[^[:digit:]]"", """"))"),538.0)</f>
        <v>538</v>
      </c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 t="s">
        <v>22</v>
      </c>
    </row>
    <row r="1881">
      <c r="A1881" s="7" t="s">
        <v>23</v>
      </c>
      <c r="B1881" s="7" t="s">
        <v>1570</v>
      </c>
      <c r="E1881" s="9">
        <v>2.0</v>
      </c>
      <c r="F1881" s="7" t="s">
        <v>25</v>
      </c>
      <c r="G1881" s="7" t="s">
        <v>1571</v>
      </c>
      <c r="H1881" s="9" t="s">
        <v>2981</v>
      </c>
      <c r="I1881" t="s">
        <v>3787</v>
      </c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 t="str">
        <f t="shared" si="1"/>
        <v>Land area </v>
      </c>
      <c r="AE1881" s="7" t="str">
        <f t="shared" si="2"/>
        <v> sq. ft.</v>
      </c>
      <c r="AF1881">
        <f>IFERROR(__xludf.DUMMYFUNCTION("VALUE(REGEXREPLACE(G1881,""[^[:digit:]]"", """"))"),8142.0)</f>
        <v>8142</v>
      </c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 t="s">
        <v>103</v>
      </c>
    </row>
    <row r="1882">
      <c r="A1882" s="7" t="s">
        <v>177</v>
      </c>
      <c r="B1882" s="7" t="s">
        <v>1572</v>
      </c>
      <c r="C1882" s="7">
        <f>4+1</f>
        <v>5</v>
      </c>
      <c r="D1882" s="7">
        <v>6.0</v>
      </c>
      <c r="E1882" s="9">
        <v>2.0</v>
      </c>
      <c r="F1882" s="7" t="s">
        <v>61</v>
      </c>
      <c r="G1882" s="7" t="s">
        <v>1496</v>
      </c>
      <c r="H1882" s="9" t="s">
        <v>2981</v>
      </c>
      <c r="I1882" t="s">
        <v>3744</v>
      </c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 t="str">
        <f t="shared" si="1"/>
        <v>Land area </v>
      </c>
      <c r="AE1882" s="7" t="str">
        <f t="shared" si="2"/>
        <v> sq. ft.</v>
      </c>
      <c r="AF1882">
        <f>IFERROR(__xludf.DUMMYFUNCTION("VALUE(REGEXREPLACE(G1882,""[^[:digit:]]"", """"))"),9300.0)</f>
        <v>9300</v>
      </c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 t="s">
        <v>27</v>
      </c>
    </row>
    <row r="1883">
      <c r="A1883" s="7" t="s">
        <v>23</v>
      </c>
      <c r="B1883" s="7" t="s">
        <v>1573</v>
      </c>
      <c r="C1883" s="7">
        <f>5+1</f>
        <v>6</v>
      </c>
      <c r="D1883" s="7">
        <v>4.0</v>
      </c>
      <c r="E1883" s="9">
        <v>2.0</v>
      </c>
      <c r="F1883" s="7" t="s">
        <v>25</v>
      </c>
      <c r="G1883" s="7" t="s">
        <v>1574</v>
      </c>
      <c r="H1883" s="9" t="s">
        <v>2981</v>
      </c>
      <c r="I1883" t="s">
        <v>3788</v>
      </c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 t="str">
        <f t="shared" si="1"/>
        <v>Land area </v>
      </c>
      <c r="AE1883" s="7" t="str">
        <f t="shared" si="2"/>
        <v> sq. ft.</v>
      </c>
      <c r="AF1883">
        <f>IFERROR(__xludf.DUMMYFUNCTION("VALUE(REGEXREPLACE(G1883,""[^[:digit:]]"", """"))"),932155.0)</f>
        <v>932155</v>
      </c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 t="s">
        <v>27</v>
      </c>
    </row>
    <row r="1884">
      <c r="A1884" s="7" t="s">
        <v>188</v>
      </c>
      <c r="B1884" s="7" t="s">
        <v>629</v>
      </c>
      <c r="C1884" s="7">
        <f t="shared" ref="C1884:C1886" si="219">1</f>
        <v>1</v>
      </c>
      <c r="D1884" s="7">
        <v>1.0</v>
      </c>
      <c r="E1884" s="7">
        <v>1.0</v>
      </c>
      <c r="F1884" s="7" t="s">
        <v>93</v>
      </c>
      <c r="G1884" s="7" t="s">
        <v>1575</v>
      </c>
      <c r="H1884" s="9" t="s">
        <v>2979</v>
      </c>
      <c r="I1884" t="s">
        <v>3789</v>
      </c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 t="str">
        <f t="shared" si="1"/>
        <v>Built-up :</v>
      </c>
      <c r="AE1884" s="7" t="str">
        <f t="shared" si="2"/>
        <v> sq. ft.</v>
      </c>
      <c r="AF1884">
        <f>IFERROR(__xludf.DUMMYFUNCTION("VALUE(REGEXREPLACE(G1884,""[^[:digit:]]"", """"))"),527.0)</f>
        <v>527</v>
      </c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 t="s">
        <v>22</v>
      </c>
    </row>
    <row r="1885">
      <c r="A1885" s="7" t="s">
        <v>188</v>
      </c>
      <c r="B1885" s="7" t="s">
        <v>1576</v>
      </c>
      <c r="C1885" s="7">
        <f t="shared" si="219"/>
        <v>1</v>
      </c>
      <c r="D1885" s="7">
        <v>1.0</v>
      </c>
      <c r="E1885" s="7">
        <v>1.0</v>
      </c>
      <c r="F1885" s="7" t="s">
        <v>93</v>
      </c>
      <c r="G1885" s="7" t="s">
        <v>1575</v>
      </c>
      <c r="H1885" s="9" t="s">
        <v>2979</v>
      </c>
      <c r="I1885" t="s">
        <v>3789</v>
      </c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 t="str">
        <f t="shared" si="1"/>
        <v>Built-up :</v>
      </c>
      <c r="AE1885" s="7" t="str">
        <f t="shared" si="2"/>
        <v> sq. ft.</v>
      </c>
      <c r="AF1885">
        <f>IFERROR(__xludf.DUMMYFUNCTION("VALUE(REGEXREPLACE(G1885,""[^[:digit:]]"", """"))"),527.0)</f>
        <v>527</v>
      </c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 t="s">
        <v>22</v>
      </c>
    </row>
    <row r="1886">
      <c r="A1886" s="7" t="s">
        <v>188</v>
      </c>
      <c r="B1886" s="7" t="s">
        <v>1098</v>
      </c>
      <c r="C1886" s="7">
        <f t="shared" si="219"/>
        <v>1</v>
      </c>
      <c r="D1886" s="7">
        <v>1.0</v>
      </c>
      <c r="E1886" s="7">
        <v>1.0</v>
      </c>
      <c r="F1886" s="7" t="s">
        <v>93</v>
      </c>
      <c r="G1886" s="7" t="s">
        <v>1569</v>
      </c>
      <c r="H1886" s="9" t="s">
        <v>2979</v>
      </c>
      <c r="I1886" t="s">
        <v>3786</v>
      </c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 t="str">
        <f t="shared" si="1"/>
        <v>Built-up :</v>
      </c>
      <c r="AE1886" s="7" t="str">
        <f t="shared" si="2"/>
        <v> sq. ft.</v>
      </c>
      <c r="AF1886">
        <f>IFERROR(__xludf.DUMMYFUNCTION("VALUE(REGEXREPLACE(G1886,""[^[:digit:]]"", """"))"),538.0)</f>
        <v>538</v>
      </c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 t="s">
        <v>22</v>
      </c>
    </row>
    <row r="1887">
      <c r="A1887" s="7" t="s">
        <v>177</v>
      </c>
      <c r="B1887" s="7" t="s">
        <v>1032</v>
      </c>
      <c r="E1887" s="7">
        <v>4.0</v>
      </c>
      <c r="F1887" s="7" t="s">
        <v>61</v>
      </c>
      <c r="G1887" s="7" t="s">
        <v>1577</v>
      </c>
      <c r="H1887" s="9" t="s">
        <v>2981</v>
      </c>
      <c r="I1887" t="s">
        <v>2992</v>
      </c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 t="str">
        <f t="shared" si="1"/>
        <v>Land area </v>
      </c>
      <c r="AE1887" s="7" t="str">
        <f t="shared" si="2"/>
        <v> sq. ft.</v>
      </c>
      <c r="AF1887">
        <f>IFERROR(__xludf.DUMMYFUNCTION("VALUE(REGEXREPLACE(G1887,""[^[:digit:]]"", """"))"),3255.0)</f>
        <v>3255</v>
      </c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 t="s">
        <v>22</v>
      </c>
    </row>
    <row r="1888">
      <c r="A1888" s="7" t="s">
        <v>164</v>
      </c>
      <c r="B1888" s="7" t="s">
        <v>309</v>
      </c>
      <c r="C1888" s="7">
        <f>2+1</f>
        <v>3</v>
      </c>
      <c r="D1888" s="7">
        <v>4.0</v>
      </c>
      <c r="E1888" s="7">
        <v>1.0</v>
      </c>
      <c r="F1888" s="7" t="s">
        <v>20</v>
      </c>
      <c r="G1888" s="7" t="s">
        <v>303</v>
      </c>
      <c r="H1888" s="9" t="s">
        <v>2979</v>
      </c>
      <c r="I1888" t="s">
        <v>3099</v>
      </c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 t="str">
        <f t="shared" si="1"/>
        <v>Built-up :</v>
      </c>
      <c r="AE1888" s="7" t="str">
        <f t="shared" si="2"/>
        <v> sq. ft.</v>
      </c>
      <c r="AF1888">
        <f>IFERROR(__xludf.DUMMYFUNCTION("VALUE(REGEXREPLACE(G1888,""[^[:digit:]]"", """"))"),1485.0)</f>
        <v>1485</v>
      </c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 t="s">
        <v>22</v>
      </c>
    </row>
    <row r="1889">
      <c r="A1889" s="7" t="s">
        <v>1241</v>
      </c>
      <c r="B1889" s="7" t="s">
        <v>81</v>
      </c>
      <c r="C1889" s="7">
        <f>3+1</f>
        <v>4</v>
      </c>
      <c r="D1889" s="7">
        <v>4.0</v>
      </c>
      <c r="E1889" s="7">
        <v>2.0</v>
      </c>
      <c r="F1889" s="7" t="s">
        <v>121</v>
      </c>
      <c r="G1889" s="7" t="s">
        <v>1578</v>
      </c>
      <c r="H1889" s="9" t="s">
        <v>2979</v>
      </c>
      <c r="I1889" t="s">
        <v>3790</v>
      </c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 t="str">
        <f t="shared" si="1"/>
        <v>Built-up :</v>
      </c>
      <c r="AE1889" s="7" t="str">
        <f t="shared" si="2"/>
        <v> sq. ft.</v>
      </c>
      <c r="AF1889">
        <f>IFERROR(__xludf.DUMMYFUNCTION("VALUE(REGEXREPLACE(G1889,""[^[:digit:]]"", """"))"),1539.0)</f>
        <v>1539</v>
      </c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 t="s">
        <v>22</v>
      </c>
    </row>
    <row r="1890">
      <c r="A1890" s="7" t="s">
        <v>104</v>
      </c>
      <c r="B1890" s="7" t="s">
        <v>210</v>
      </c>
      <c r="C1890" s="7">
        <f>5+1</f>
        <v>6</v>
      </c>
      <c r="D1890" s="7">
        <v>6.0</v>
      </c>
      <c r="E1890" s="7">
        <v>4.0</v>
      </c>
      <c r="F1890" s="7" t="s">
        <v>90</v>
      </c>
      <c r="G1890" s="7" t="s">
        <v>211</v>
      </c>
      <c r="H1890" s="9" t="s">
        <v>2981</v>
      </c>
      <c r="I1890" t="s">
        <v>2992</v>
      </c>
      <c r="J1890" s="7"/>
      <c r="K1890" s="7"/>
      <c r="L1890" s="7"/>
      <c r="M1890" s="7"/>
      <c r="N1890" s="7"/>
      <c r="O1890" s="7"/>
      <c r="P1890" s="7"/>
      <c r="Q1890" s="7"/>
      <c r="R1890" s="7"/>
      <c r="S1890" s="7" t="s">
        <v>2993</v>
      </c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 t="str">
        <f t="shared" si="1"/>
        <v>Land area </v>
      </c>
      <c r="AE1890" s="7" t="str">
        <f t="shared" si="2"/>
        <v> sq. ft.</v>
      </c>
      <c r="AF1890">
        <f>IFERROR(__xludf.DUMMYFUNCTION("VALUE(REGEXREPLACE(G1890,""[^[:digit:]]"", """"))"),2280.0)</f>
        <v>2280</v>
      </c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 t="s">
        <v>22</v>
      </c>
    </row>
    <row r="1891">
      <c r="A1891" s="7" t="s">
        <v>104</v>
      </c>
      <c r="B1891" s="7" t="s">
        <v>81</v>
      </c>
      <c r="C1891" s="7">
        <f>5</f>
        <v>5</v>
      </c>
      <c r="D1891" s="7">
        <v>4.0</v>
      </c>
      <c r="E1891" s="7">
        <v>4.0</v>
      </c>
      <c r="F1891" s="7" t="s">
        <v>90</v>
      </c>
      <c r="G1891" s="7" t="s">
        <v>719</v>
      </c>
      <c r="H1891" s="9" t="s">
        <v>2981</v>
      </c>
      <c r="I1891" t="s">
        <v>3299</v>
      </c>
      <c r="J1891" s="7"/>
      <c r="K1891" s="7"/>
      <c r="L1891" s="7"/>
      <c r="M1891" s="7"/>
      <c r="N1891" s="7"/>
      <c r="O1891" s="7"/>
      <c r="P1891" s="7"/>
      <c r="Q1891" s="7"/>
      <c r="R1891" s="7"/>
      <c r="S1891" s="7" t="s">
        <v>3101</v>
      </c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 t="str">
        <f t="shared" si="1"/>
        <v>Land area </v>
      </c>
      <c r="AE1891" s="7" t="str">
        <f t="shared" si="2"/>
        <v> sq. ft.</v>
      </c>
      <c r="AF1891">
        <f>IFERROR(__xludf.DUMMYFUNCTION("VALUE(REGEXREPLACE(G1891,""[^[:digit:]]"", """"))"),2285.0)</f>
        <v>2285</v>
      </c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 t="s">
        <v>27</v>
      </c>
    </row>
    <row r="1892">
      <c r="A1892" s="7" t="s">
        <v>104</v>
      </c>
      <c r="B1892" s="7" t="s">
        <v>229</v>
      </c>
      <c r="C1892" s="7">
        <f>4+1</f>
        <v>5</v>
      </c>
      <c r="D1892" s="7">
        <v>2.0</v>
      </c>
      <c r="E1892" s="7">
        <v>4.0</v>
      </c>
      <c r="F1892" s="7" t="s">
        <v>1579</v>
      </c>
      <c r="G1892" s="7" t="s">
        <v>1580</v>
      </c>
      <c r="H1892" s="9" t="s">
        <v>2981</v>
      </c>
      <c r="I1892" t="s">
        <v>3791</v>
      </c>
      <c r="J1892" s="7"/>
      <c r="K1892" s="7"/>
      <c r="L1892" s="7"/>
      <c r="M1892" s="7"/>
      <c r="N1892" s="7"/>
      <c r="O1892" s="7"/>
      <c r="P1892" s="7"/>
      <c r="Q1892" s="7"/>
      <c r="R1892" s="7"/>
      <c r="S1892" s="7" t="s">
        <v>3121</v>
      </c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 t="str">
        <f t="shared" si="1"/>
        <v>Land area </v>
      </c>
      <c r="AE1892" s="7" t="str">
        <f t="shared" si="2"/>
        <v> sq. ft.</v>
      </c>
      <c r="AF1892">
        <f>IFERROR(__xludf.DUMMYFUNCTION("VALUE(REGEXREPLACE(G1892,""[^[:digit:]]"", """"))"),4270.0)</f>
        <v>4270</v>
      </c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 t="s">
        <v>27</v>
      </c>
    </row>
    <row r="1893">
      <c r="A1893" s="7" t="s">
        <v>104</v>
      </c>
      <c r="B1893" s="7" t="s">
        <v>552</v>
      </c>
      <c r="C1893" s="7">
        <f>3</f>
        <v>3</v>
      </c>
      <c r="D1893" s="7">
        <v>2.0</v>
      </c>
      <c r="E1893" s="9">
        <v>2.0</v>
      </c>
      <c r="F1893" s="7" t="s">
        <v>30</v>
      </c>
      <c r="G1893" s="7" t="s">
        <v>1332</v>
      </c>
      <c r="H1893" s="9" t="s">
        <v>2979</v>
      </c>
      <c r="I1893" t="s">
        <v>3652</v>
      </c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 t="str">
        <f t="shared" si="1"/>
        <v>Built-up :</v>
      </c>
      <c r="AE1893" s="7" t="str">
        <f t="shared" si="2"/>
        <v> sq. ft.</v>
      </c>
      <c r="AF1893">
        <f>IFERROR(__xludf.DUMMYFUNCTION("VALUE(REGEXREPLACE(G1893,""[^[:digit:]]"", """"))"),1164.0)</f>
        <v>1164</v>
      </c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 t="s">
        <v>22</v>
      </c>
    </row>
    <row r="1894">
      <c r="A1894" s="7" t="s">
        <v>104</v>
      </c>
      <c r="B1894" s="7" t="s">
        <v>1446</v>
      </c>
      <c r="C1894" s="7">
        <f t="shared" ref="C1894:C1895" si="220">4</f>
        <v>4</v>
      </c>
      <c r="D1894" s="7">
        <v>3.0</v>
      </c>
      <c r="E1894" s="7">
        <v>4.0</v>
      </c>
      <c r="F1894" s="7" t="s">
        <v>184</v>
      </c>
      <c r="G1894" s="7" t="s">
        <v>1581</v>
      </c>
      <c r="H1894" s="9" t="s">
        <v>2981</v>
      </c>
      <c r="I1894" t="s">
        <v>3062</v>
      </c>
      <c r="J1894" s="7"/>
      <c r="K1894" s="7"/>
      <c r="L1894" s="7"/>
      <c r="M1894" s="7"/>
      <c r="N1894" s="7"/>
      <c r="O1894" s="7"/>
      <c r="P1894" s="7"/>
      <c r="Q1894" s="7"/>
      <c r="R1894" s="7"/>
      <c r="S1894" s="7" t="s">
        <v>3372</v>
      </c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 t="str">
        <f t="shared" si="1"/>
        <v>Land area </v>
      </c>
      <c r="AE1894" s="7" t="str">
        <f t="shared" si="2"/>
        <v> sq. ft.</v>
      </c>
      <c r="AF1894">
        <f>IFERROR(__xludf.DUMMYFUNCTION("VALUE(REGEXREPLACE(G1894,""[^[:digit:]]"", """"))"),4060.0)</f>
        <v>4060</v>
      </c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 t="s">
        <v>27</v>
      </c>
    </row>
    <row r="1895">
      <c r="A1895" s="7" t="s">
        <v>104</v>
      </c>
      <c r="B1895" s="7" t="s">
        <v>206</v>
      </c>
      <c r="C1895" s="7">
        <f t="shared" si="220"/>
        <v>4</v>
      </c>
      <c r="D1895" s="7">
        <v>3.0</v>
      </c>
      <c r="E1895" s="7">
        <v>4.0</v>
      </c>
      <c r="F1895" s="7" t="s">
        <v>46</v>
      </c>
      <c r="G1895" s="7" t="s">
        <v>1121</v>
      </c>
      <c r="H1895" s="9" t="s">
        <v>2981</v>
      </c>
      <c r="I1895" t="s">
        <v>3518</v>
      </c>
      <c r="J1895" s="7"/>
      <c r="K1895" s="7"/>
      <c r="L1895" s="7"/>
      <c r="M1895" s="7"/>
      <c r="N1895" s="7"/>
      <c r="O1895" s="7"/>
      <c r="P1895" s="7"/>
      <c r="Q1895" s="7"/>
      <c r="R1895" s="7"/>
      <c r="S1895" s="7" t="s">
        <v>3121</v>
      </c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 t="str">
        <f t="shared" si="1"/>
        <v>Land area </v>
      </c>
      <c r="AE1895" s="7" t="str">
        <f t="shared" si="2"/>
        <v> sq. ft.</v>
      </c>
      <c r="AF1895">
        <f>IFERROR(__xludf.DUMMYFUNCTION("VALUE(REGEXREPLACE(G1895,""[^[:digit:]]"", """"))"),2270.0)</f>
        <v>2270</v>
      </c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 t="s">
        <v>27</v>
      </c>
    </row>
    <row r="1896">
      <c r="A1896" s="7" t="s">
        <v>32</v>
      </c>
      <c r="B1896" s="7" t="s">
        <v>327</v>
      </c>
      <c r="E1896" s="9">
        <v>2.0</v>
      </c>
      <c r="F1896" s="7" t="s">
        <v>90</v>
      </c>
      <c r="G1896" s="7" t="s">
        <v>280</v>
      </c>
      <c r="H1896" s="9" t="s">
        <v>2981</v>
      </c>
      <c r="I1896" t="s">
        <v>3037</v>
      </c>
      <c r="J1896" s="7"/>
      <c r="K1896" s="7"/>
      <c r="L1896" s="7"/>
      <c r="M1896" s="7"/>
      <c r="N1896" s="7"/>
      <c r="O1896" s="7"/>
      <c r="P1896" s="7"/>
      <c r="Q1896" s="7"/>
      <c r="R1896" s="7"/>
      <c r="S1896" s="7" t="s">
        <v>2990</v>
      </c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 t="str">
        <f t="shared" si="1"/>
        <v>Land area </v>
      </c>
      <c r="AE1896" s="7" t="str">
        <f t="shared" si="2"/>
        <v> sq. ft.</v>
      </c>
      <c r="AF1896">
        <f>IFERROR(__xludf.DUMMYFUNCTION("VALUE(REGEXREPLACE(G1896,""[^[:digit:]]"", """"))"),2475.0)</f>
        <v>2475</v>
      </c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 t="s">
        <v>27</v>
      </c>
    </row>
    <row r="1897">
      <c r="A1897" s="7" t="s">
        <v>104</v>
      </c>
      <c r="B1897" s="7" t="s">
        <v>132</v>
      </c>
      <c r="C1897" s="7">
        <f>5</f>
        <v>5</v>
      </c>
      <c r="D1897" s="7">
        <v>4.0</v>
      </c>
      <c r="E1897" s="7">
        <v>4.0</v>
      </c>
      <c r="F1897" s="7" t="s">
        <v>54</v>
      </c>
      <c r="G1897" s="7" t="s">
        <v>719</v>
      </c>
      <c r="H1897" s="9" t="s">
        <v>2981</v>
      </c>
      <c r="I1897" t="s">
        <v>3299</v>
      </c>
      <c r="J1897" s="7"/>
      <c r="K1897" s="7"/>
      <c r="L1897" s="7"/>
      <c r="M1897" s="7"/>
      <c r="N1897" s="7"/>
      <c r="O1897" s="7"/>
      <c r="P1897" s="7"/>
      <c r="Q1897" s="7"/>
      <c r="R1897" s="7"/>
      <c r="S1897" s="7" t="s">
        <v>3101</v>
      </c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 t="str">
        <f t="shared" si="1"/>
        <v>Land area </v>
      </c>
      <c r="AE1897" s="7" t="str">
        <f t="shared" si="2"/>
        <v> sq. ft.</v>
      </c>
      <c r="AF1897">
        <f>IFERROR(__xludf.DUMMYFUNCTION("VALUE(REGEXREPLACE(G1897,""[^[:digit:]]"", """"))"),2285.0)</f>
        <v>2285</v>
      </c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 t="s">
        <v>27</v>
      </c>
    </row>
    <row r="1898">
      <c r="A1898" s="7" t="s">
        <v>32</v>
      </c>
      <c r="B1898" s="7" t="s">
        <v>85</v>
      </c>
      <c r="C1898" s="7">
        <f>5+1</f>
        <v>6</v>
      </c>
      <c r="D1898" s="7">
        <v>5.0</v>
      </c>
      <c r="E1898" s="7">
        <v>4.0</v>
      </c>
      <c r="F1898" s="7" t="s">
        <v>90</v>
      </c>
      <c r="G1898" s="7" t="s">
        <v>280</v>
      </c>
      <c r="H1898" s="9" t="s">
        <v>2981</v>
      </c>
      <c r="I1898" t="s">
        <v>3037</v>
      </c>
      <c r="J1898" s="7"/>
      <c r="K1898" s="7"/>
      <c r="L1898" s="7"/>
      <c r="M1898" s="7"/>
      <c r="N1898" s="7"/>
      <c r="O1898" s="7"/>
      <c r="P1898" s="7"/>
      <c r="Q1898" s="7"/>
      <c r="R1898" s="7"/>
      <c r="S1898" s="7" t="s">
        <v>2990</v>
      </c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 t="str">
        <f t="shared" si="1"/>
        <v>Land area </v>
      </c>
      <c r="AE1898" s="7" t="str">
        <f t="shared" si="2"/>
        <v> sq. ft.</v>
      </c>
      <c r="AF1898">
        <f>IFERROR(__xludf.DUMMYFUNCTION("VALUE(REGEXREPLACE(G1898,""[^[:digit:]]"", """"))"),2475.0)</f>
        <v>2475</v>
      </c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 t="s">
        <v>22</v>
      </c>
    </row>
    <row r="1899">
      <c r="A1899" s="7" t="s">
        <v>72</v>
      </c>
      <c r="B1899" s="7" t="s">
        <v>372</v>
      </c>
      <c r="C1899" s="7">
        <f>2</f>
        <v>2</v>
      </c>
      <c r="D1899" s="7">
        <v>2.0</v>
      </c>
      <c r="E1899" s="7">
        <v>2.0</v>
      </c>
      <c r="F1899" s="7" t="s">
        <v>82</v>
      </c>
      <c r="G1899" s="7" t="s">
        <v>1582</v>
      </c>
      <c r="H1899" s="9" t="s">
        <v>2979</v>
      </c>
      <c r="I1899" t="s">
        <v>3792</v>
      </c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 t="str">
        <f t="shared" si="1"/>
        <v>Built-up :</v>
      </c>
      <c r="AE1899" s="7" t="str">
        <f t="shared" si="2"/>
        <v> sq. ft.</v>
      </c>
      <c r="AF1899">
        <f>IFERROR(__xludf.DUMMYFUNCTION("VALUE(REGEXREPLACE(G1899,""[^[:digit:]]"", """"))"),913.0)</f>
        <v>913</v>
      </c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 t="s">
        <v>22</v>
      </c>
    </row>
    <row r="1900">
      <c r="A1900" s="7" t="s">
        <v>28</v>
      </c>
      <c r="B1900" s="7" t="s">
        <v>890</v>
      </c>
      <c r="C1900" s="7">
        <f>3</f>
        <v>3</v>
      </c>
      <c r="D1900" s="7">
        <v>2.0</v>
      </c>
      <c r="E1900" s="7">
        <v>1.0</v>
      </c>
      <c r="F1900" s="7" t="s">
        <v>83</v>
      </c>
      <c r="H1900" s="9" t="s">
        <v>2984</v>
      </c>
      <c r="I1900" t="s">
        <v>2985</v>
      </c>
      <c r="AD1900" s="7" t="str">
        <f t="shared" si="1"/>
        <v/>
      </c>
      <c r="AE1900" s="7" t="str">
        <f t="shared" si="2"/>
        <v/>
      </c>
      <c r="AF1900">
        <f>IFERROR(__xludf.DUMMYFUNCTION("VALUE(REGEXREPLACE(G1900,""[^[:digit:]]"", """"))"),0.0)</f>
        <v>0</v>
      </c>
      <c r="AS1900" s="7" t="s">
        <v>27</v>
      </c>
    </row>
    <row r="1901">
      <c r="A1901" s="7" t="s">
        <v>77</v>
      </c>
      <c r="B1901" s="7" t="s">
        <v>1349</v>
      </c>
      <c r="C1901" s="7">
        <f>3+1</f>
        <v>4</v>
      </c>
      <c r="D1901" s="7">
        <v>4.0</v>
      </c>
      <c r="E1901" s="7">
        <v>2.0</v>
      </c>
      <c r="F1901" s="7" t="s">
        <v>470</v>
      </c>
      <c r="G1901" s="7" t="s">
        <v>1583</v>
      </c>
      <c r="H1901" s="9" t="s">
        <v>2979</v>
      </c>
      <c r="I1901" t="s">
        <v>3793</v>
      </c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 t="str">
        <f t="shared" si="1"/>
        <v>Built-up :</v>
      </c>
      <c r="AE1901" s="7" t="str">
        <f t="shared" si="2"/>
        <v> sq. ft.</v>
      </c>
      <c r="AF1901">
        <f>IFERROR(__xludf.DUMMYFUNCTION("VALUE(REGEXREPLACE(G1901,""[^[:digit:]]"", """"))"),2820.0)</f>
        <v>2820</v>
      </c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</row>
    <row r="1902">
      <c r="A1902" s="7" t="s">
        <v>143</v>
      </c>
      <c r="B1902" s="7" t="s">
        <v>316</v>
      </c>
      <c r="C1902" s="7">
        <f>1</f>
        <v>1</v>
      </c>
      <c r="D1902" s="7">
        <v>1.0</v>
      </c>
      <c r="E1902" s="7">
        <v>1.0</v>
      </c>
      <c r="F1902" s="7" t="s">
        <v>20</v>
      </c>
      <c r="G1902" s="7" t="s">
        <v>252</v>
      </c>
      <c r="H1902" s="9" t="s">
        <v>2979</v>
      </c>
      <c r="I1902" t="s">
        <v>3077</v>
      </c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 t="str">
        <f t="shared" si="1"/>
        <v>Built-up :</v>
      </c>
      <c r="AE1902" s="7" t="str">
        <f t="shared" si="2"/>
        <v> sq. ft.</v>
      </c>
      <c r="AF1902">
        <f>IFERROR(__xludf.DUMMYFUNCTION("VALUE(REGEXREPLACE(G1902,""[^[:digit:]]"", """"))"),657.0)</f>
        <v>657</v>
      </c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</row>
    <row r="1903">
      <c r="A1903" s="7" t="s">
        <v>33</v>
      </c>
      <c r="B1903" s="7" t="s">
        <v>599</v>
      </c>
      <c r="C1903" s="7">
        <f>4+1</f>
        <v>5</v>
      </c>
      <c r="D1903" s="7">
        <v>3.0</v>
      </c>
      <c r="E1903" s="7">
        <v>2.0</v>
      </c>
      <c r="F1903" s="7" t="s">
        <v>83</v>
      </c>
      <c r="G1903" s="7" t="s">
        <v>36</v>
      </c>
      <c r="H1903" s="9" t="s">
        <v>2979</v>
      </c>
      <c r="I1903" t="s">
        <v>2986</v>
      </c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 t="str">
        <f t="shared" si="1"/>
        <v>Built-up :</v>
      </c>
      <c r="AE1903" s="7" t="str">
        <f t="shared" si="2"/>
        <v> sq. ft.</v>
      </c>
      <c r="AF1903">
        <f>IFERROR(__xludf.DUMMYFUNCTION("VALUE(REGEXREPLACE(G1903,""[^[:digit:]]"", """"))"),1513.0)</f>
        <v>1513</v>
      </c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</row>
    <row r="1904">
      <c r="A1904" s="7" t="s">
        <v>371</v>
      </c>
      <c r="B1904" s="7" t="s">
        <v>1584</v>
      </c>
      <c r="C1904" s="7">
        <f t="shared" ref="C1904:C1905" si="221">3+1</f>
        <v>4</v>
      </c>
      <c r="D1904" s="7">
        <v>3.0</v>
      </c>
      <c r="E1904" s="7">
        <v>2.0</v>
      </c>
      <c r="F1904" s="7" t="s">
        <v>83</v>
      </c>
      <c r="G1904" s="7" t="s">
        <v>99</v>
      </c>
      <c r="H1904" s="9" t="s">
        <v>2979</v>
      </c>
      <c r="I1904" t="s">
        <v>3006</v>
      </c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 t="str">
        <f t="shared" si="1"/>
        <v>Built-up :</v>
      </c>
      <c r="AE1904" s="7" t="str">
        <f t="shared" si="2"/>
        <v> sq. ft.</v>
      </c>
      <c r="AF1904">
        <f>IFERROR(__xludf.DUMMYFUNCTION("VALUE(REGEXREPLACE(G1904,""[^[:digit:]]"", """"))"),1668.0)</f>
        <v>1668</v>
      </c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 t="s">
        <v>27</v>
      </c>
    </row>
    <row r="1905">
      <c r="A1905" s="7" t="s">
        <v>371</v>
      </c>
      <c r="B1905" s="7" t="s">
        <v>34</v>
      </c>
      <c r="C1905" s="7">
        <f t="shared" si="221"/>
        <v>4</v>
      </c>
      <c r="D1905" s="7">
        <v>3.0</v>
      </c>
      <c r="E1905" s="7">
        <v>2.0</v>
      </c>
      <c r="F1905" s="7" t="s">
        <v>83</v>
      </c>
      <c r="G1905" s="7" t="s">
        <v>1585</v>
      </c>
      <c r="H1905" s="9" t="s">
        <v>2979</v>
      </c>
      <c r="I1905" t="s">
        <v>3794</v>
      </c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 t="str">
        <f t="shared" si="1"/>
        <v>Built-up :</v>
      </c>
      <c r="AE1905" s="7" t="str">
        <f t="shared" si="2"/>
        <v> sq. ft.</v>
      </c>
      <c r="AF1905">
        <f>IFERROR(__xludf.DUMMYFUNCTION("VALUE(REGEXREPLACE(G1905,""[^[:digit:]]"", """"))"),1529.0)</f>
        <v>1529</v>
      </c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 t="s">
        <v>27</v>
      </c>
    </row>
    <row r="1906">
      <c r="A1906" s="7" t="s">
        <v>33</v>
      </c>
      <c r="B1906" s="7" t="s">
        <v>603</v>
      </c>
      <c r="C1906" s="7">
        <f>2</f>
        <v>2</v>
      </c>
      <c r="D1906" s="7">
        <v>2.0</v>
      </c>
      <c r="E1906" s="7">
        <v>2.0</v>
      </c>
      <c r="F1906" s="7" t="s">
        <v>82</v>
      </c>
      <c r="G1906" s="7" t="s">
        <v>222</v>
      </c>
      <c r="H1906" s="9" t="s">
        <v>2979</v>
      </c>
      <c r="I1906" t="s">
        <v>3061</v>
      </c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 t="str">
        <f t="shared" si="1"/>
        <v>Built-up :</v>
      </c>
      <c r="AE1906" s="7" t="str">
        <f t="shared" si="2"/>
        <v> sq. ft.</v>
      </c>
      <c r="AF1906">
        <f>IFERROR(__xludf.DUMMYFUNCTION("VALUE(REGEXREPLACE(G1906,""[^[:digit:]]"", """"))"),791.0)</f>
        <v>791</v>
      </c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 t="s">
        <v>27</v>
      </c>
    </row>
    <row r="1907">
      <c r="A1907" s="7" t="s">
        <v>72</v>
      </c>
      <c r="B1907" s="7" t="s">
        <v>85</v>
      </c>
      <c r="C1907" s="7">
        <f t="shared" ref="C1907:C1908" si="222">4</f>
        <v>4</v>
      </c>
      <c r="D1907" s="7">
        <v>4.0</v>
      </c>
      <c r="E1907" s="9">
        <v>2.0</v>
      </c>
      <c r="F1907" s="7" t="s">
        <v>83</v>
      </c>
      <c r="G1907" s="7" t="s">
        <v>84</v>
      </c>
      <c r="H1907" s="9" t="s">
        <v>2979</v>
      </c>
      <c r="I1907" t="s">
        <v>3001</v>
      </c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 t="str">
        <f t="shared" si="1"/>
        <v>Built-up :</v>
      </c>
      <c r="AE1907" s="7" t="str">
        <f t="shared" si="2"/>
        <v> sq. ft.</v>
      </c>
      <c r="AF1907">
        <f>IFERROR(__xludf.DUMMYFUNCTION("VALUE(REGEXREPLACE(G1907,""[^[:digit:]]"", """"))"),2163.0)</f>
        <v>2163</v>
      </c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 t="s">
        <v>22</v>
      </c>
    </row>
    <row r="1908">
      <c r="A1908" s="7" t="s">
        <v>32</v>
      </c>
      <c r="B1908" s="7" t="s">
        <v>134</v>
      </c>
      <c r="C1908" s="7">
        <f t="shared" si="222"/>
        <v>4</v>
      </c>
      <c r="D1908" s="7">
        <v>3.0</v>
      </c>
      <c r="E1908" s="9">
        <v>2.0</v>
      </c>
      <c r="F1908" s="7" t="s">
        <v>184</v>
      </c>
      <c r="G1908" s="7" t="s">
        <v>400</v>
      </c>
      <c r="H1908" s="9" t="s">
        <v>2979</v>
      </c>
      <c r="I1908" t="s">
        <v>3145</v>
      </c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 t="str">
        <f t="shared" si="1"/>
        <v>Built-up :</v>
      </c>
      <c r="AE1908" s="7" t="str">
        <f t="shared" si="2"/>
        <v> sq. ft.</v>
      </c>
      <c r="AF1908">
        <f>IFERROR(__xludf.DUMMYFUNCTION("VALUE(REGEXREPLACE(G1908,""[^[:digit:]]"", """"))"),2400.0)</f>
        <v>2400</v>
      </c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</row>
    <row r="1909">
      <c r="A1909" s="7" t="s">
        <v>72</v>
      </c>
      <c r="B1909" s="7" t="s">
        <v>191</v>
      </c>
      <c r="C1909" s="7">
        <f t="shared" ref="C1909:C1910" si="223">2</f>
        <v>2</v>
      </c>
      <c r="D1909" s="7">
        <v>2.0</v>
      </c>
      <c r="E1909" s="7">
        <v>1.0</v>
      </c>
      <c r="F1909" s="7" t="s">
        <v>20</v>
      </c>
      <c r="G1909" s="7" t="s">
        <v>964</v>
      </c>
      <c r="H1909" s="9" t="s">
        <v>2979</v>
      </c>
      <c r="I1909" t="s">
        <v>3429</v>
      </c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 t="str">
        <f t="shared" si="1"/>
        <v>Built-up :</v>
      </c>
      <c r="AE1909" s="7" t="str">
        <f t="shared" si="2"/>
        <v> sq. ft.</v>
      </c>
      <c r="AF1909">
        <f>IFERROR(__xludf.DUMMYFUNCTION("VALUE(REGEXREPLACE(G1909,""[^[:digit:]]"", """"))"),926.0)</f>
        <v>926</v>
      </c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 t="s">
        <v>22</v>
      </c>
    </row>
    <row r="1910">
      <c r="A1910" s="7" t="s">
        <v>371</v>
      </c>
      <c r="B1910" s="7" t="s">
        <v>1586</v>
      </c>
      <c r="C1910" s="7">
        <f t="shared" si="223"/>
        <v>2</v>
      </c>
      <c r="D1910" s="7">
        <v>2.0</v>
      </c>
      <c r="E1910" s="7">
        <v>2.0</v>
      </c>
      <c r="F1910" s="7" t="s">
        <v>30</v>
      </c>
      <c r="G1910" s="7" t="s">
        <v>1395</v>
      </c>
      <c r="H1910" s="9" t="s">
        <v>2979</v>
      </c>
      <c r="I1910" t="s">
        <v>3687</v>
      </c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 t="str">
        <f t="shared" si="1"/>
        <v>Built-up :</v>
      </c>
      <c r="AE1910" s="7" t="str">
        <f t="shared" si="2"/>
        <v> sq. ft.</v>
      </c>
      <c r="AF1910">
        <f>IFERROR(__xludf.DUMMYFUNCTION("VALUE(REGEXREPLACE(G1910,""[^[:digit:]]"", """"))"),1033.0)</f>
        <v>1033</v>
      </c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 t="s">
        <v>27</v>
      </c>
    </row>
    <row r="1911">
      <c r="A1911" s="7" t="s">
        <v>371</v>
      </c>
      <c r="B1911" s="7" t="s">
        <v>635</v>
      </c>
      <c r="C1911" s="7">
        <f t="shared" ref="C1911:C1915" si="224">3+1</f>
        <v>4</v>
      </c>
      <c r="D1911" s="7">
        <v>3.0</v>
      </c>
      <c r="E1911" s="7">
        <v>2.0</v>
      </c>
      <c r="F1911" s="7" t="s">
        <v>30</v>
      </c>
      <c r="G1911" s="7" t="s">
        <v>1587</v>
      </c>
      <c r="H1911" s="9" t="s">
        <v>2979</v>
      </c>
      <c r="I1911" t="s">
        <v>3795</v>
      </c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 t="str">
        <f t="shared" si="1"/>
        <v>Built-up :</v>
      </c>
      <c r="AE1911" s="7" t="str">
        <f t="shared" si="2"/>
        <v> sq. ft.</v>
      </c>
      <c r="AF1911">
        <f>IFERROR(__xludf.DUMMYFUNCTION("VALUE(REGEXREPLACE(G1911,""[^[:digit:]]"", """"))"),1647.0)</f>
        <v>1647</v>
      </c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 t="s">
        <v>22</v>
      </c>
    </row>
    <row r="1912">
      <c r="A1912" s="7" t="s">
        <v>371</v>
      </c>
      <c r="B1912" s="7" t="s">
        <v>902</v>
      </c>
      <c r="C1912" s="7">
        <f t="shared" si="224"/>
        <v>4</v>
      </c>
      <c r="D1912" s="7">
        <v>3.0</v>
      </c>
      <c r="E1912" s="7">
        <v>2.0</v>
      </c>
      <c r="F1912" s="7" t="s">
        <v>96</v>
      </c>
      <c r="G1912" s="7" t="s">
        <v>1587</v>
      </c>
      <c r="H1912" s="9" t="s">
        <v>2979</v>
      </c>
      <c r="I1912" t="s">
        <v>3795</v>
      </c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 t="str">
        <f t="shared" si="1"/>
        <v>Built-up :</v>
      </c>
      <c r="AE1912" s="7" t="str">
        <f t="shared" si="2"/>
        <v> sq. ft.</v>
      </c>
      <c r="AF1912">
        <f>IFERROR(__xludf.DUMMYFUNCTION("VALUE(REGEXREPLACE(G1912,""[^[:digit:]]"", """"))"),1647.0)</f>
        <v>1647</v>
      </c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 t="s">
        <v>27</v>
      </c>
    </row>
    <row r="1913">
      <c r="A1913" s="7" t="s">
        <v>148</v>
      </c>
      <c r="B1913" s="7" t="s">
        <v>1588</v>
      </c>
      <c r="C1913" s="7">
        <f t="shared" si="224"/>
        <v>4</v>
      </c>
      <c r="D1913" s="7">
        <v>4.0</v>
      </c>
      <c r="E1913" s="7">
        <v>3.0</v>
      </c>
      <c r="F1913" s="7" t="s">
        <v>1325</v>
      </c>
      <c r="G1913" s="7" t="s">
        <v>1589</v>
      </c>
      <c r="H1913" s="9" t="s">
        <v>2979</v>
      </c>
      <c r="I1913" t="s">
        <v>3796</v>
      </c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 t="str">
        <f t="shared" si="1"/>
        <v>Built-up :</v>
      </c>
      <c r="AE1913" s="7" t="str">
        <f t="shared" si="2"/>
        <v> sq. ft.</v>
      </c>
      <c r="AF1913">
        <f>IFERROR(__xludf.DUMMYFUNCTION("VALUE(REGEXREPLACE(G1913,""[^[:digit:]]"", """"))"),2293.0)</f>
        <v>2293</v>
      </c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 t="s">
        <v>22</v>
      </c>
    </row>
    <row r="1914">
      <c r="A1914" s="7" t="s">
        <v>371</v>
      </c>
      <c r="B1914" s="7" t="s">
        <v>761</v>
      </c>
      <c r="C1914" s="7">
        <f t="shared" si="224"/>
        <v>4</v>
      </c>
      <c r="D1914" s="7">
        <v>3.0</v>
      </c>
      <c r="E1914" s="7">
        <v>2.0</v>
      </c>
      <c r="F1914" s="7" t="s">
        <v>30</v>
      </c>
      <c r="G1914" s="7" t="s">
        <v>1521</v>
      </c>
      <c r="H1914" s="9" t="s">
        <v>2979</v>
      </c>
      <c r="I1914" t="s">
        <v>3758</v>
      </c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 t="str">
        <f t="shared" si="1"/>
        <v>Built-up :</v>
      </c>
      <c r="AE1914" s="7" t="str">
        <f t="shared" si="2"/>
        <v> sq. ft.</v>
      </c>
      <c r="AF1914">
        <f>IFERROR(__xludf.DUMMYFUNCTION("VALUE(REGEXREPLACE(G1914,""[^[:digit:]]"", """"))"),1267.0)</f>
        <v>1267</v>
      </c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 t="s">
        <v>27</v>
      </c>
    </row>
    <row r="1915">
      <c r="A1915" s="7" t="s">
        <v>371</v>
      </c>
      <c r="B1915" s="7" t="s">
        <v>759</v>
      </c>
      <c r="C1915" s="7">
        <f t="shared" si="224"/>
        <v>4</v>
      </c>
      <c r="D1915" s="7">
        <v>3.0</v>
      </c>
      <c r="E1915" s="7">
        <v>2.0</v>
      </c>
      <c r="F1915" s="7" t="s">
        <v>83</v>
      </c>
      <c r="G1915" s="7" t="s">
        <v>1521</v>
      </c>
      <c r="H1915" s="9" t="s">
        <v>2979</v>
      </c>
      <c r="I1915" t="s">
        <v>3758</v>
      </c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 t="str">
        <f t="shared" si="1"/>
        <v>Built-up :</v>
      </c>
      <c r="AE1915" s="7" t="str">
        <f t="shared" si="2"/>
        <v> sq. ft.</v>
      </c>
      <c r="AF1915">
        <f>IFERROR(__xludf.DUMMYFUNCTION("VALUE(REGEXREPLACE(G1915,""[^[:digit:]]"", """"))"),1267.0)</f>
        <v>1267</v>
      </c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 t="s">
        <v>22</v>
      </c>
    </row>
    <row r="1916">
      <c r="A1916" s="7" t="s">
        <v>177</v>
      </c>
      <c r="B1916" s="7" t="s">
        <v>1590</v>
      </c>
      <c r="C1916" s="7">
        <f>4+1</f>
        <v>5</v>
      </c>
      <c r="D1916" s="7">
        <v>5.0</v>
      </c>
      <c r="E1916" s="7">
        <v>4.0</v>
      </c>
      <c r="F1916" s="7" t="s">
        <v>25</v>
      </c>
      <c r="G1916" s="7" t="s">
        <v>1591</v>
      </c>
      <c r="H1916" s="9" t="s">
        <v>2981</v>
      </c>
      <c r="I1916" t="s">
        <v>3797</v>
      </c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 t="str">
        <f t="shared" si="1"/>
        <v>Land area </v>
      </c>
      <c r="AE1916" s="7" t="str">
        <f t="shared" si="2"/>
        <v> sq. ft.</v>
      </c>
      <c r="AF1916">
        <f>IFERROR(__xludf.DUMMYFUNCTION("VALUE(REGEXREPLACE(G1916,""[^[:digit:]]"", """"))"),4650.0)</f>
        <v>4650</v>
      </c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 t="s">
        <v>27</v>
      </c>
    </row>
    <row r="1917">
      <c r="A1917" s="7" t="s">
        <v>371</v>
      </c>
      <c r="B1917" s="7" t="s">
        <v>214</v>
      </c>
      <c r="C1917" s="7">
        <f>3+1</f>
        <v>4</v>
      </c>
      <c r="D1917" s="7">
        <v>4.0</v>
      </c>
      <c r="E1917" s="7">
        <v>3.0</v>
      </c>
      <c r="F1917" s="7" t="s">
        <v>30</v>
      </c>
      <c r="G1917" s="7" t="s">
        <v>1356</v>
      </c>
      <c r="H1917" s="9" t="s">
        <v>2979</v>
      </c>
      <c r="I1917" t="s">
        <v>3666</v>
      </c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 t="str">
        <f t="shared" si="1"/>
        <v>Built-up :</v>
      </c>
      <c r="AE1917" s="7" t="str">
        <f t="shared" si="2"/>
        <v> sq. ft.</v>
      </c>
      <c r="AF1917">
        <f>IFERROR(__xludf.DUMMYFUNCTION("VALUE(REGEXREPLACE(G1917,""[^[:digit:]]"", """"))"),1967.0)</f>
        <v>1967</v>
      </c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 t="s">
        <v>103</v>
      </c>
    </row>
    <row r="1918">
      <c r="A1918" s="7" t="s">
        <v>371</v>
      </c>
      <c r="B1918" s="7" t="s">
        <v>229</v>
      </c>
      <c r="C1918" s="7">
        <f>3</f>
        <v>3</v>
      </c>
      <c r="D1918" s="7">
        <v>2.0</v>
      </c>
      <c r="E1918" s="7">
        <v>2.0</v>
      </c>
      <c r="F1918" s="7" t="s">
        <v>30</v>
      </c>
      <c r="G1918" s="7" t="s">
        <v>1592</v>
      </c>
      <c r="H1918" s="9" t="s">
        <v>2979</v>
      </c>
      <c r="I1918" t="s">
        <v>3798</v>
      </c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 t="str">
        <f t="shared" si="1"/>
        <v>Built-up :</v>
      </c>
      <c r="AE1918" s="7" t="str">
        <f t="shared" si="2"/>
        <v> sq. ft.</v>
      </c>
      <c r="AF1918">
        <f>IFERROR(__xludf.DUMMYFUNCTION("VALUE(REGEXREPLACE(G1918,""[^[:digit:]]"", """"))"),1528.0)</f>
        <v>1528</v>
      </c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 t="s">
        <v>103</v>
      </c>
    </row>
    <row r="1919">
      <c r="A1919" s="7" t="s">
        <v>371</v>
      </c>
      <c r="B1919" s="7" t="s">
        <v>214</v>
      </c>
      <c r="C1919" s="7">
        <f t="shared" ref="C1919:C1921" si="225">3+1</f>
        <v>4</v>
      </c>
      <c r="D1919" s="7">
        <v>4.0</v>
      </c>
      <c r="E1919" s="7">
        <v>3.0</v>
      </c>
      <c r="F1919" s="7" t="s">
        <v>30</v>
      </c>
      <c r="G1919" s="7" t="s">
        <v>1593</v>
      </c>
      <c r="H1919" s="9" t="s">
        <v>2981</v>
      </c>
      <c r="I1919" t="s">
        <v>3799</v>
      </c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 t="str">
        <f t="shared" si="1"/>
        <v>Land area </v>
      </c>
      <c r="AE1919" s="7" t="str">
        <f t="shared" si="2"/>
        <v> sq. ft.</v>
      </c>
      <c r="AF1919">
        <f>IFERROR(__xludf.DUMMYFUNCTION("VALUE(REGEXREPLACE(G1919,""[^[:digit:]]"", """"))"),1967.0)</f>
        <v>1967</v>
      </c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 t="s">
        <v>103</v>
      </c>
    </row>
    <row r="1920">
      <c r="A1920" s="7" t="s">
        <v>371</v>
      </c>
      <c r="B1920" s="7" t="s">
        <v>844</v>
      </c>
      <c r="C1920" s="7">
        <f t="shared" si="225"/>
        <v>4</v>
      </c>
      <c r="D1920" s="7">
        <v>4.0</v>
      </c>
      <c r="E1920" s="7">
        <v>4.0</v>
      </c>
      <c r="F1920" s="7" t="s">
        <v>30</v>
      </c>
      <c r="G1920" s="7" t="s">
        <v>1594</v>
      </c>
      <c r="H1920" s="9" t="s">
        <v>2981</v>
      </c>
      <c r="I1920" t="s">
        <v>3800</v>
      </c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 t="str">
        <f t="shared" si="1"/>
        <v>Land area </v>
      </c>
      <c r="AE1920" s="7" t="str">
        <f t="shared" si="2"/>
        <v> sq. ft.</v>
      </c>
      <c r="AF1920">
        <f>IFERROR(__xludf.DUMMYFUNCTION("VALUE(REGEXREPLACE(G1920,""[^[:digit:]]"", """"))"),2700.0)</f>
        <v>2700</v>
      </c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 t="s">
        <v>103</v>
      </c>
    </row>
    <row r="1921">
      <c r="A1921" s="7" t="s">
        <v>180</v>
      </c>
      <c r="B1921" s="7" t="s">
        <v>1595</v>
      </c>
      <c r="C1921" s="7">
        <f t="shared" si="225"/>
        <v>4</v>
      </c>
      <c r="D1921" s="7">
        <v>3.0</v>
      </c>
      <c r="E1921" s="7">
        <v>1.0</v>
      </c>
      <c r="F1921" s="7" t="s">
        <v>30</v>
      </c>
      <c r="G1921" s="7" t="s">
        <v>1596</v>
      </c>
      <c r="H1921" s="9" t="s">
        <v>2979</v>
      </c>
      <c r="I1921" t="s">
        <v>3801</v>
      </c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 t="str">
        <f t="shared" si="1"/>
        <v>Built-up :</v>
      </c>
      <c r="AE1921" s="7" t="str">
        <f t="shared" si="2"/>
        <v> sq. ft.</v>
      </c>
      <c r="AF1921">
        <f>IFERROR(__xludf.DUMMYFUNCTION("VALUE(REGEXREPLACE(G1921,""[^[:digit:]]"", """"))"),1890.0)</f>
        <v>1890</v>
      </c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 t="s">
        <v>27</v>
      </c>
    </row>
    <row r="1922">
      <c r="A1922" s="7" t="s">
        <v>143</v>
      </c>
      <c r="B1922" s="7" t="s">
        <v>407</v>
      </c>
      <c r="C1922" s="7">
        <f>2</f>
        <v>2</v>
      </c>
      <c r="D1922" s="7">
        <v>2.0</v>
      </c>
      <c r="E1922" s="7">
        <v>1.0</v>
      </c>
      <c r="F1922" s="7" t="s">
        <v>83</v>
      </c>
      <c r="G1922" s="7" t="s">
        <v>1597</v>
      </c>
      <c r="H1922" s="9" t="s">
        <v>2979</v>
      </c>
      <c r="I1922" t="s">
        <v>3802</v>
      </c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 t="str">
        <f t="shared" si="1"/>
        <v>Built-up :</v>
      </c>
      <c r="AE1922" s="7" t="str">
        <f t="shared" si="2"/>
        <v> sq. ft.</v>
      </c>
      <c r="AF1922">
        <f>IFERROR(__xludf.DUMMYFUNCTION("VALUE(REGEXREPLACE(G1922,""[^[:digit:]]"", """"))"),1056.0)</f>
        <v>1056</v>
      </c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 t="s">
        <v>22</v>
      </c>
    </row>
    <row r="1923">
      <c r="A1923" s="7" t="s">
        <v>72</v>
      </c>
      <c r="B1923" s="7" t="s">
        <v>1598</v>
      </c>
      <c r="C1923" s="7">
        <f>3+1</f>
        <v>4</v>
      </c>
      <c r="D1923" s="7">
        <v>5.0</v>
      </c>
      <c r="E1923" s="7">
        <v>3.0</v>
      </c>
      <c r="F1923" s="7" t="s">
        <v>378</v>
      </c>
      <c r="G1923" s="7" t="s">
        <v>1599</v>
      </c>
      <c r="H1923" s="9" t="s">
        <v>2979</v>
      </c>
      <c r="I1923" t="s">
        <v>3803</v>
      </c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 t="str">
        <f t="shared" si="1"/>
        <v>Built-up :</v>
      </c>
      <c r="AE1923" s="7" t="str">
        <f t="shared" si="2"/>
        <v> sq. ft.</v>
      </c>
      <c r="AF1923">
        <f>IFERROR(__xludf.DUMMYFUNCTION("VALUE(REGEXREPLACE(G1923,""[^[:digit:]]"", """"))"),2691.0)</f>
        <v>2691</v>
      </c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 t="s">
        <v>27</v>
      </c>
    </row>
    <row r="1924">
      <c r="A1924" s="7" t="s">
        <v>86</v>
      </c>
      <c r="B1924" s="7" t="s">
        <v>1600</v>
      </c>
      <c r="C1924" s="7">
        <f t="shared" ref="C1924:C1925" si="226">2</f>
        <v>2</v>
      </c>
      <c r="D1924" s="7">
        <v>2.0</v>
      </c>
      <c r="E1924" s="9">
        <v>2.0</v>
      </c>
      <c r="F1924" s="7" t="s">
        <v>20</v>
      </c>
      <c r="G1924" s="7" t="s">
        <v>416</v>
      </c>
      <c r="H1924" s="9" t="s">
        <v>2979</v>
      </c>
      <c r="I1924" t="s">
        <v>3153</v>
      </c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 t="str">
        <f t="shared" si="1"/>
        <v>Built-up :</v>
      </c>
      <c r="AE1924" s="7" t="str">
        <f t="shared" si="2"/>
        <v> sq. ft.</v>
      </c>
      <c r="AF1924">
        <f>IFERROR(__xludf.DUMMYFUNCTION("VALUE(REGEXREPLACE(G1924,""[^[:digit:]]"", """"))"),823.0)</f>
        <v>823</v>
      </c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</row>
    <row r="1925">
      <c r="A1925" s="7" t="s">
        <v>33</v>
      </c>
      <c r="B1925" s="7" t="s">
        <v>268</v>
      </c>
      <c r="C1925" s="7">
        <f t="shared" si="226"/>
        <v>2</v>
      </c>
      <c r="D1925" s="7">
        <v>1.0</v>
      </c>
      <c r="E1925" s="7">
        <v>1.0</v>
      </c>
      <c r="F1925" s="7" t="s">
        <v>20</v>
      </c>
      <c r="G1925" s="7" t="s">
        <v>978</v>
      </c>
      <c r="H1925" s="9" t="s">
        <v>2979</v>
      </c>
      <c r="I1925" t="s">
        <v>3433</v>
      </c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 t="str">
        <f t="shared" si="1"/>
        <v>Built-up :</v>
      </c>
      <c r="AE1925" s="7" t="str">
        <f t="shared" si="2"/>
        <v> sq. ft.</v>
      </c>
      <c r="AF1925">
        <f>IFERROR(__xludf.DUMMYFUNCTION("VALUE(REGEXREPLACE(G1925,""[^[:digit:]]"", """"))"),667.0)</f>
        <v>667</v>
      </c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</row>
    <row r="1926">
      <c r="A1926" s="7" t="s">
        <v>32</v>
      </c>
      <c r="B1926" s="7" t="s">
        <v>361</v>
      </c>
      <c r="C1926" s="7">
        <f>1</f>
        <v>1</v>
      </c>
      <c r="D1926" s="7">
        <v>1.0</v>
      </c>
      <c r="E1926" s="7">
        <v>1.0</v>
      </c>
      <c r="F1926" s="7" t="s">
        <v>20</v>
      </c>
      <c r="G1926" s="7" t="s">
        <v>678</v>
      </c>
      <c r="H1926" s="9" t="s">
        <v>2979</v>
      </c>
      <c r="I1926" t="s">
        <v>3280</v>
      </c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 t="str">
        <f t="shared" si="1"/>
        <v>Built-up :</v>
      </c>
      <c r="AE1926" s="7" t="str">
        <f t="shared" si="2"/>
        <v> sq. ft.</v>
      </c>
      <c r="AF1926">
        <f>IFERROR(__xludf.DUMMYFUNCTION("VALUE(REGEXREPLACE(G1926,""[^[:digit:]]"", """"))"),762.0)</f>
        <v>762</v>
      </c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</row>
    <row r="1927">
      <c r="A1927" s="7" t="s">
        <v>72</v>
      </c>
      <c r="B1927" s="7" t="s">
        <v>329</v>
      </c>
      <c r="C1927" s="7">
        <f>3+1</f>
        <v>4</v>
      </c>
      <c r="D1927" s="7">
        <v>3.0</v>
      </c>
      <c r="E1927" s="7">
        <v>2.0</v>
      </c>
      <c r="F1927" s="7" t="s">
        <v>83</v>
      </c>
      <c r="G1927" s="7" t="s">
        <v>99</v>
      </c>
      <c r="H1927" s="9" t="s">
        <v>2979</v>
      </c>
      <c r="I1927" t="s">
        <v>3006</v>
      </c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 t="str">
        <f t="shared" si="1"/>
        <v>Built-up :</v>
      </c>
      <c r="AE1927" s="7" t="str">
        <f t="shared" si="2"/>
        <v> sq. ft.</v>
      </c>
      <c r="AF1927">
        <f>IFERROR(__xludf.DUMMYFUNCTION("VALUE(REGEXREPLACE(G1927,""[^[:digit:]]"", """"))"),1668.0)</f>
        <v>1668</v>
      </c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</row>
    <row r="1928">
      <c r="A1928" s="7" t="s">
        <v>171</v>
      </c>
      <c r="B1928" s="7" t="s">
        <v>1601</v>
      </c>
      <c r="C1928" s="7" t="s">
        <v>325</v>
      </c>
      <c r="D1928" s="7">
        <v>1.0</v>
      </c>
      <c r="E1928" s="7">
        <v>1.0</v>
      </c>
      <c r="F1928" s="7" t="s">
        <v>82</v>
      </c>
      <c r="G1928" s="7" t="s">
        <v>688</v>
      </c>
      <c r="H1928" s="9" t="s">
        <v>2979</v>
      </c>
      <c r="I1928" t="s">
        <v>3286</v>
      </c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 t="str">
        <f t="shared" si="1"/>
        <v>Built-up :</v>
      </c>
      <c r="AE1928" s="7" t="str">
        <f t="shared" si="2"/>
        <v> sq. ft.</v>
      </c>
      <c r="AF1928">
        <f>IFERROR(__xludf.DUMMYFUNCTION("VALUE(REGEXREPLACE(G1928,""[^[:digit:]]"", """"))"),618.0)</f>
        <v>618</v>
      </c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 t="s">
        <v>22</v>
      </c>
    </row>
    <row r="1929">
      <c r="A1929" s="7" t="s">
        <v>32</v>
      </c>
      <c r="B1929" s="7" t="s">
        <v>172</v>
      </c>
      <c r="C1929" s="7">
        <f t="shared" ref="C1929:C1930" si="227">4</f>
        <v>4</v>
      </c>
      <c r="D1929" s="7">
        <v>2.0</v>
      </c>
      <c r="E1929" s="7">
        <v>3.0</v>
      </c>
      <c r="F1929" s="7" t="s">
        <v>717</v>
      </c>
      <c r="G1929" s="7" t="s">
        <v>91</v>
      </c>
      <c r="H1929" s="9" t="s">
        <v>2981</v>
      </c>
      <c r="I1929" t="s">
        <v>3003</v>
      </c>
      <c r="J1929" s="7"/>
      <c r="K1929" s="7"/>
      <c r="L1929" s="7"/>
      <c r="M1929" s="7"/>
      <c r="N1929" s="7"/>
      <c r="O1929" s="7"/>
      <c r="P1929" s="7"/>
      <c r="Q1929" s="7"/>
      <c r="R1929" s="7"/>
      <c r="S1929" s="7" t="s">
        <v>2990</v>
      </c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 t="str">
        <f t="shared" si="1"/>
        <v>Land area </v>
      </c>
      <c r="AE1929" s="7" t="str">
        <f t="shared" si="2"/>
        <v> sq. ft.</v>
      </c>
      <c r="AF1929">
        <f>IFERROR(__xludf.DUMMYFUNCTION("VALUE(REGEXREPLACE(G1929,""[^[:digit:]]"", """"))"),2075.0)</f>
        <v>2075</v>
      </c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 t="s">
        <v>27</v>
      </c>
    </row>
    <row r="1930">
      <c r="A1930" s="7" t="s">
        <v>33</v>
      </c>
      <c r="B1930" s="7" t="s">
        <v>575</v>
      </c>
      <c r="C1930" s="7">
        <f t="shared" si="227"/>
        <v>4</v>
      </c>
      <c r="D1930" s="7">
        <v>2.0</v>
      </c>
      <c r="E1930" s="7">
        <v>2.0</v>
      </c>
      <c r="F1930" s="7" t="s">
        <v>30</v>
      </c>
      <c r="G1930" s="7" t="s">
        <v>868</v>
      </c>
      <c r="H1930" s="9" t="s">
        <v>2979</v>
      </c>
      <c r="I1930" t="s">
        <v>3380</v>
      </c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 t="str">
        <f t="shared" si="1"/>
        <v>Built-up :</v>
      </c>
      <c r="AE1930" s="7" t="str">
        <f t="shared" si="2"/>
        <v> sq. ft.</v>
      </c>
      <c r="AF1930">
        <f>IFERROR(__xludf.DUMMYFUNCTION("VALUE(REGEXREPLACE(G1930,""[^[:digit:]]"", """"))"),1404.0)</f>
        <v>1404</v>
      </c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 t="s">
        <v>27</v>
      </c>
    </row>
    <row r="1931">
      <c r="A1931" s="7" t="s">
        <v>89</v>
      </c>
      <c r="B1931" s="7" t="s">
        <v>1166</v>
      </c>
      <c r="C1931" s="7">
        <f>2</f>
        <v>2</v>
      </c>
      <c r="D1931" s="7">
        <v>2.0</v>
      </c>
      <c r="E1931" s="7">
        <v>2.0</v>
      </c>
      <c r="F1931" s="7" t="s">
        <v>145</v>
      </c>
      <c r="G1931" s="7" t="s">
        <v>1602</v>
      </c>
      <c r="H1931" s="9" t="s">
        <v>2979</v>
      </c>
      <c r="I1931" t="s">
        <v>3804</v>
      </c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 t="str">
        <f t="shared" si="1"/>
        <v>Built-up :</v>
      </c>
      <c r="AE1931" s="7" t="str">
        <f t="shared" si="2"/>
        <v> sq. ft.</v>
      </c>
      <c r="AF1931">
        <f>IFERROR(__xludf.DUMMYFUNCTION("VALUE(REGEXREPLACE(G1931,""[^[:digit:]]"", """"))"),1317.0)</f>
        <v>1317</v>
      </c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</row>
    <row r="1932">
      <c r="A1932" s="7" t="s">
        <v>104</v>
      </c>
      <c r="B1932" s="7" t="s">
        <v>1603</v>
      </c>
      <c r="C1932" s="7">
        <f t="shared" ref="C1932:C1934" si="228">3</f>
        <v>3</v>
      </c>
      <c r="D1932" s="7">
        <v>2.0</v>
      </c>
      <c r="E1932" s="7">
        <v>3.0</v>
      </c>
      <c r="F1932" s="7" t="s">
        <v>494</v>
      </c>
      <c r="G1932" s="7" t="s">
        <v>135</v>
      </c>
      <c r="H1932" s="9" t="s">
        <v>2979</v>
      </c>
      <c r="I1932" t="s">
        <v>3023</v>
      </c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 t="str">
        <f t="shared" si="1"/>
        <v>Built-up :</v>
      </c>
      <c r="AE1932" s="7" t="str">
        <f t="shared" si="2"/>
        <v> sq. ft.</v>
      </c>
      <c r="AF1932">
        <f>IFERROR(__xludf.DUMMYFUNCTION("VALUE(REGEXREPLACE(G1932,""[^[:digit:]]"", """"))"),1200.0)</f>
        <v>1200</v>
      </c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 t="s">
        <v>103</v>
      </c>
    </row>
    <row r="1933">
      <c r="A1933" s="7" t="s">
        <v>104</v>
      </c>
      <c r="B1933" s="7" t="s">
        <v>353</v>
      </c>
      <c r="C1933" s="7">
        <f t="shared" si="228"/>
        <v>3</v>
      </c>
      <c r="D1933" s="7">
        <v>2.0</v>
      </c>
      <c r="E1933" s="7">
        <v>2.0</v>
      </c>
      <c r="F1933" s="7" t="s">
        <v>203</v>
      </c>
      <c r="G1933" s="7" t="s">
        <v>200</v>
      </c>
      <c r="H1933" s="9" t="s">
        <v>2979</v>
      </c>
      <c r="I1933" t="s">
        <v>3049</v>
      </c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 t="str">
        <f t="shared" si="1"/>
        <v>Built-up :</v>
      </c>
      <c r="AE1933" s="7" t="str">
        <f t="shared" si="2"/>
        <v> sq. ft.</v>
      </c>
      <c r="AF1933">
        <f>IFERROR(__xludf.DUMMYFUNCTION("VALUE(REGEXREPLACE(G1933,""[^[:digit:]]"", """"))"),700.0)</f>
        <v>700</v>
      </c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 t="s">
        <v>27</v>
      </c>
    </row>
    <row r="1934">
      <c r="A1934" s="7" t="s">
        <v>72</v>
      </c>
      <c r="B1934" s="7" t="s">
        <v>156</v>
      </c>
      <c r="C1934" s="7">
        <f t="shared" si="228"/>
        <v>3</v>
      </c>
      <c r="D1934" s="7">
        <v>2.0</v>
      </c>
      <c r="E1934" s="7">
        <v>2.0</v>
      </c>
      <c r="F1934" s="7" t="s">
        <v>83</v>
      </c>
      <c r="G1934" s="7" t="s">
        <v>1604</v>
      </c>
      <c r="H1934" s="9" t="s">
        <v>2979</v>
      </c>
      <c r="I1934" t="s">
        <v>3805</v>
      </c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 t="str">
        <f t="shared" si="1"/>
        <v>Built-up :</v>
      </c>
      <c r="AE1934" s="7" t="str">
        <f t="shared" si="2"/>
        <v> sq. ft.</v>
      </c>
      <c r="AF1934">
        <f>IFERROR(__xludf.DUMMYFUNCTION("VALUE(REGEXREPLACE(G1934,""[^[:digit:]]"", """"))"),1280.0)</f>
        <v>1280</v>
      </c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 t="s">
        <v>22</v>
      </c>
    </row>
    <row r="1935">
      <c r="A1935" s="7" t="s">
        <v>155</v>
      </c>
      <c r="B1935" s="7" t="s">
        <v>1605</v>
      </c>
      <c r="C1935" s="7">
        <f>2+1</f>
        <v>3</v>
      </c>
      <c r="D1935" s="7">
        <v>1.0</v>
      </c>
      <c r="E1935" s="7">
        <v>1.0</v>
      </c>
      <c r="F1935" s="7" t="s">
        <v>20</v>
      </c>
      <c r="G1935" s="7" t="s">
        <v>471</v>
      </c>
      <c r="H1935" s="9" t="s">
        <v>2979</v>
      </c>
      <c r="I1935" t="s">
        <v>3179</v>
      </c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 t="str">
        <f t="shared" si="1"/>
        <v>Built-up :</v>
      </c>
      <c r="AE1935" s="7" t="str">
        <f t="shared" si="2"/>
        <v> sq. ft.</v>
      </c>
      <c r="AF1935">
        <f>IFERROR(__xludf.DUMMYFUNCTION("VALUE(REGEXREPLACE(G1935,""[^[:digit:]]"", """"))"),1400.0)</f>
        <v>1400</v>
      </c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 t="s">
        <v>103</v>
      </c>
    </row>
    <row r="1936">
      <c r="A1936" s="7" t="s">
        <v>72</v>
      </c>
      <c r="B1936" s="7" t="s">
        <v>45</v>
      </c>
      <c r="C1936" s="7">
        <f t="shared" ref="C1936:C1937" si="229">3+1</f>
        <v>4</v>
      </c>
      <c r="D1936" s="7">
        <v>5.0</v>
      </c>
      <c r="E1936" s="7">
        <v>3.0</v>
      </c>
      <c r="F1936" s="7" t="s">
        <v>30</v>
      </c>
      <c r="G1936" s="7" t="s">
        <v>561</v>
      </c>
      <c r="H1936" s="9" t="s">
        <v>2979</v>
      </c>
      <c r="I1936" t="s">
        <v>3226</v>
      </c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 t="str">
        <f t="shared" si="1"/>
        <v>Built-up :</v>
      </c>
      <c r="AE1936" s="7" t="str">
        <f t="shared" si="2"/>
        <v> sq. ft.</v>
      </c>
      <c r="AF1936">
        <f>IFERROR(__xludf.DUMMYFUNCTION("VALUE(REGEXREPLACE(G1936,""[^[:digit:]]"", """"))"),2535.0)</f>
        <v>2535</v>
      </c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 t="s">
        <v>22</v>
      </c>
    </row>
    <row r="1937">
      <c r="A1937" s="7" t="s">
        <v>72</v>
      </c>
      <c r="B1937" s="7" t="s">
        <v>158</v>
      </c>
      <c r="C1937" s="7">
        <f t="shared" si="229"/>
        <v>4</v>
      </c>
      <c r="D1937" s="7">
        <v>5.0</v>
      </c>
      <c r="E1937" s="9">
        <v>2.0</v>
      </c>
      <c r="F1937" s="7" t="s">
        <v>30</v>
      </c>
      <c r="G1937" s="7" t="s">
        <v>561</v>
      </c>
      <c r="H1937" s="9" t="s">
        <v>2979</v>
      </c>
      <c r="I1937" t="s">
        <v>3226</v>
      </c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 t="str">
        <f t="shared" si="1"/>
        <v>Built-up :</v>
      </c>
      <c r="AE1937" s="7" t="str">
        <f t="shared" si="2"/>
        <v> sq. ft.</v>
      </c>
      <c r="AF1937">
        <f>IFERROR(__xludf.DUMMYFUNCTION("VALUE(REGEXREPLACE(G1937,""[^[:digit:]]"", """"))"),2535.0)</f>
        <v>2535</v>
      </c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 t="s">
        <v>22</v>
      </c>
    </row>
    <row r="1938">
      <c r="A1938" s="7" t="s">
        <v>89</v>
      </c>
      <c r="B1938" s="7" t="s">
        <v>890</v>
      </c>
      <c r="C1938" s="7">
        <f>2</f>
        <v>2</v>
      </c>
      <c r="D1938" s="7">
        <v>2.0</v>
      </c>
      <c r="E1938" s="9">
        <v>2.0</v>
      </c>
      <c r="F1938" s="7" t="s">
        <v>93</v>
      </c>
      <c r="G1938" s="7" t="s">
        <v>1606</v>
      </c>
      <c r="H1938" s="9" t="s">
        <v>2981</v>
      </c>
      <c r="I1938" t="s">
        <v>3806</v>
      </c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 t="str">
        <f t="shared" si="1"/>
        <v>Land area </v>
      </c>
      <c r="AE1938" s="7" t="str">
        <f t="shared" si="2"/>
        <v> sq. ft.</v>
      </c>
      <c r="AF1938">
        <f>IFERROR(__xludf.DUMMYFUNCTION("VALUE(REGEXREPLACE(G1938,""[^[:digit:]]"", """"))"),855.0)</f>
        <v>855</v>
      </c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 t="s">
        <v>103</v>
      </c>
    </row>
    <row r="1939">
      <c r="A1939" s="7" t="s">
        <v>109</v>
      </c>
      <c r="B1939" s="7" t="s">
        <v>172</v>
      </c>
      <c r="C1939" s="7">
        <f>3</f>
        <v>3</v>
      </c>
      <c r="D1939" s="7">
        <v>2.0</v>
      </c>
      <c r="E1939" s="9">
        <v>2.0</v>
      </c>
      <c r="F1939" s="7" t="s">
        <v>83</v>
      </c>
      <c r="G1939" s="7" t="s">
        <v>1607</v>
      </c>
      <c r="H1939" s="9" t="s">
        <v>2979</v>
      </c>
      <c r="I1939" t="s">
        <v>3807</v>
      </c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 t="str">
        <f t="shared" si="1"/>
        <v>Built-up :</v>
      </c>
      <c r="AE1939" s="7" t="str">
        <f t="shared" si="2"/>
        <v> sq. ft.</v>
      </c>
      <c r="AF1939">
        <f>IFERROR(__xludf.DUMMYFUNCTION("VALUE(REGEXREPLACE(G1939,""[^[:digit:]]"", """"))"),1295.0)</f>
        <v>1295</v>
      </c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 t="s">
        <v>22</v>
      </c>
    </row>
    <row r="1940">
      <c r="A1940" s="7" t="s">
        <v>77</v>
      </c>
      <c r="B1940" s="7" t="s">
        <v>45</v>
      </c>
      <c r="C1940" s="7">
        <f t="shared" ref="C1940:C1941" si="230">3+1</f>
        <v>4</v>
      </c>
      <c r="D1940" s="7">
        <v>3.0</v>
      </c>
      <c r="E1940" s="7">
        <v>2.0</v>
      </c>
      <c r="F1940" s="7" t="s">
        <v>93</v>
      </c>
      <c r="G1940" s="7" t="s">
        <v>1608</v>
      </c>
      <c r="H1940" s="9" t="s">
        <v>2979</v>
      </c>
      <c r="I1940" t="s">
        <v>3808</v>
      </c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 t="str">
        <f t="shared" si="1"/>
        <v>Built-up :</v>
      </c>
      <c r="AE1940" s="7" t="str">
        <f t="shared" si="2"/>
        <v> sq. ft.</v>
      </c>
      <c r="AF1940">
        <f>IFERROR(__xludf.DUMMYFUNCTION("VALUE(REGEXREPLACE(G1940,""[^[:digit:]]"", """"))"),1693.0)</f>
        <v>1693</v>
      </c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 t="s">
        <v>27</v>
      </c>
    </row>
    <row r="1941">
      <c r="A1941" s="7" t="s">
        <v>77</v>
      </c>
      <c r="B1941" s="7" t="s">
        <v>279</v>
      </c>
      <c r="C1941" s="7">
        <f t="shared" si="230"/>
        <v>4</v>
      </c>
      <c r="D1941" s="7">
        <v>3.0</v>
      </c>
      <c r="E1941" s="7">
        <v>2.0</v>
      </c>
      <c r="F1941" s="7" t="s">
        <v>93</v>
      </c>
      <c r="G1941" s="7" t="s">
        <v>318</v>
      </c>
      <c r="H1941" s="9" t="s">
        <v>2979</v>
      </c>
      <c r="I1941" t="s">
        <v>3105</v>
      </c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 t="str">
        <f t="shared" si="1"/>
        <v>Built-up :</v>
      </c>
      <c r="AE1941" s="7" t="str">
        <f t="shared" si="2"/>
        <v> sq. ft.</v>
      </c>
      <c r="AF1941">
        <f>IFERROR(__xludf.DUMMYFUNCTION("VALUE(REGEXREPLACE(G1941,""[^[:digit:]]"", """"))"),1572.0)</f>
        <v>1572</v>
      </c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 t="s">
        <v>22</v>
      </c>
    </row>
    <row r="1942">
      <c r="A1942" s="7" t="s">
        <v>77</v>
      </c>
      <c r="B1942" s="7" t="s">
        <v>18</v>
      </c>
      <c r="C1942" s="7">
        <f>2</f>
        <v>2</v>
      </c>
      <c r="D1942" s="7">
        <v>2.0</v>
      </c>
      <c r="E1942" s="7">
        <v>2.0</v>
      </c>
      <c r="F1942" s="7" t="s">
        <v>83</v>
      </c>
      <c r="G1942" s="7" t="s">
        <v>1505</v>
      </c>
      <c r="H1942" s="9" t="s">
        <v>2979</v>
      </c>
      <c r="I1942" t="s">
        <v>3750</v>
      </c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 t="str">
        <f t="shared" si="1"/>
        <v>Built-up :</v>
      </c>
      <c r="AE1942" s="7" t="str">
        <f t="shared" si="2"/>
        <v> sq. ft.</v>
      </c>
      <c r="AF1942">
        <f>IFERROR(__xludf.DUMMYFUNCTION("VALUE(REGEXREPLACE(G1942,""[^[:digit:]]"", """"))"),1281.0)</f>
        <v>1281</v>
      </c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 t="s">
        <v>27</v>
      </c>
    </row>
    <row r="1943">
      <c r="A1943" s="7" t="s">
        <v>104</v>
      </c>
      <c r="B1943" s="7" t="s">
        <v>460</v>
      </c>
      <c r="C1943" s="7">
        <f>4</f>
        <v>4</v>
      </c>
      <c r="D1943" s="7">
        <v>3.0</v>
      </c>
      <c r="E1943" s="9">
        <v>2.0</v>
      </c>
      <c r="F1943" s="7" t="s">
        <v>169</v>
      </c>
      <c r="G1943" s="7" t="s">
        <v>333</v>
      </c>
      <c r="H1943" s="9" t="s">
        <v>2981</v>
      </c>
      <c r="I1943" t="s">
        <v>3091</v>
      </c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 t="str">
        <f t="shared" si="1"/>
        <v>Land area </v>
      </c>
      <c r="AE1943" s="7" t="str">
        <f t="shared" si="2"/>
        <v> sq. ft.</v>
      </c>
      <c r="AF1943">
        <f>IFERROR(__xludf.DUMMYFUNCTION("VALUE(REGEXREPLACE(G1943,""[^[:digit:]]"", """"))"),1650.0)</f>
        <v>1650</v>
      </c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 t="s">
        <v>22</v>
      </c>
    </row>
    <row r="1944">
      <c r="A1944" s="7" t="s">
        <v>17</v>
      </c>
      <c r="C1944" s="7">
        <f t="shared" ref="C1944:C1945" si="231">3+1</f>
        <v>4</v>
      </c>
      <c r="D1944" s="7">
        <v>5.0</v>
      </c>
      <c r="E1944" s="9">
        <v>2.0</v>
      </c>
      <c r="F1944" s="7" t="s">
        <v>121</v>
      </c>
      <c r="G1944" s="7" t="s">
        <v>1609</v>
      </c>
      <c r="H1944" s="9" t="s">
        <v>2979</v>
      </c>
      <c r="I1944" t="s">
        <v>3809</v>
      </c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 t="str">
        <f t="shared" si="1"/>
        <v>Built-up :</v>
      </c>
      <c r="AE1944" s="7" t="str">
        <f t="shared" si="2"/>
        <v> sq. ft.</v>
      </c>
      <c r="AF1944">
        <f>IFERROR(__xludf.DUMMYFUNCTION("VALUE(REGEXREPLACE(G1944,""[^[:digit:]]"", """"))"),3513.0)</f>
        <v>3513</v>
      </c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 t="s">
        <v>27</v>
      </c>
    </row>
    <row r="1945">
      <c r="A1945" s="7" t="s">
        <v>17</v>
      </c>
      <c r="B1945" s="7" t="s">
        <v>1610</v>
      </c>
      <c r="C1945" s="7">
        <f t="shared" si="231"/>
        <v>4</v>
      </c>
      <c r="D1945" s="7">
        <v>5.0</v>
      </c>
      <c r="E1945" s="7">
        <v>2.0</v>
      </c>
      <c r="F1945" s="7" t="s">
        <v>121</v>
      </c>
      <c r="G1945" s="7" t="s">
        <v>1611</v>
      </c>
      <c r="H1945" s="9" t="s">
        <v>2979</v>
      </c>
      <c r="I1945" t="s">
        <v>3810</v>
      </c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 t="str">
        <f t="shared" si="1"/>
        <v>Built-up :</v>
      </c>
      <c r="AE1945" s="7" t="str">
        <f t="shared" si="2"/>
        <v> sq. ft.</v>
      </c>
      <c r="AF1945">
        <f>IFERROR(__xludf.DUMMYFUNCTION("VALUE(REGEXREPLACE(G1945,""[^[:digit:]]"", """"))"),3100.0)</f>
        <v>3100</v>
      </c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 t="s">
        <v>22</v>
      </c>
    </row>
    <row r="1946">
      <c r="A1946" s="7" t="s">
        <v>104</v>
      </c>
      <c r="B1946" s="7" t="s">
        <v>1517</v>
      </c>
      <c r="C1946" s="7">
        <f>4</f>
        <v>4</v>
      </c>
      <c r="D1946" s="7">
        <v>3.0</v>
      </c>
      <c r="E1946" s="9">
        <v>2.0</v>
      </c>
      <c r="F1946" s="7" t="s">
        <v>54</v>
      </c>
      <c r="G1946" s="7" t="s">
        <v>333</v>
      </c>
      <c r="H1946" s="9" t="s">
        <v>2981</v>
      </c>
      <c r="I1946" t="s">
        <v>3091</v>
      </c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 t="str">
        <f t="shared" si="1"/>
        <v>Land area </v>
      </c>
      <c r="AE1946" s="7" t="str">
        <f t="shared" si="2"/>
        <v> sq. ft.</v>
      </c>
      <c r="AF1946">
        <f>IFERROR(__xludf.DUMMYFUNCTION("VALUE(REGEXREPLACE(G1946,""[^[:digit:]]"", """"))"),1650.0)</f>
        <v>1650</v>
      </c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 t="s">
        <v>27</v>
      </c>
    </row>
    <row r="1947">
      <c r="A1947" s="7" t="s">
        <v>77</v>
      </c>
      <c r="B1947" s="7" t="s">
        <v>81</v>
      </c>
      <c r="C1947" s="7">
        <f t="shared" ref="C1947:C1948" si="232">3</f>
        <v>3</v>
      </c>
      <c r="D1947" s="7">
        <v>4.0</v>
      </c>
      <c r="E1947" s="9">
        <v>2.0</v>
      </c>
      <c r="F1947" s="7" t="s">
        <v>30</v>
      </c>
      <c r="G1947" s="7" t="s">
        <v>142</v>
      </c>
      <c r="H1947" s="9" t="s">
        <v>2979</v>
      </c>
      <c r="I1947" t="s">
        <v>3025</v>
      </c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 t="str">
        <f t="shared" si="1"/>
        <v>Built-up :</v>
      </c>
      <c r="AE1947" s="7" t="str">
        <f t="shared" si="2"/>
        <v> sq. ft.</v>
      </c>
      <c r="AF1947">
        <f>IFERROR(__xludf.DUMMYFUNCTION("VALUE(REGEXREPLACE(G1947,""[^[:digit:]]"", """"))"),2066.0)</f>
        <v>2066</v>
      </c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 t="s">
        <v>27</v>
      </c>
    </row>
    <row r="1948">
      <c r="A1948" s="7" t="s">
        <v>77</v>
      </c>
      <c r="B1948" s="7" t="s">
        <v>81</v>
      </c>
      <c r="C1948" s="7">
        <f t="shared" si="232"/>
        <v>3</v>
      </c>
      <c r="D1948" s="7">
        <v>4.0</v>
      </c>
      <c r="E1948" s="9">
        <v>2.0</v>
      </c>
      <c r="F1948" s="7" t="s">
        <v>83</v>
      </c>
      <c r="G1948" s="7" t="s">
        <v>142</v>
      </c>
      <c r="H1948" s="9" t="s">
        <v>2979</v>
      </c>
      <c r="I1948" t="s">
        <v>3025</v>
      </c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 t="str">
        <f t="shared" si="1"/>
        <v>Built-up :</v>
      </c>
      <c r="AE1948" s="7" t="str">
        <f t="shared" si="2"/>
        <v> sq. ft.</v>
      </c>
      <c r="AF1948">
        <f>IFERROR(__xludf.DUMMYFUNCTION("VALUE(REGEXREPLACE(G1948,""[^[:digit:]]"", """"))"),2066.0)</f>
        <v>2066</v>
      </c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 t="s">
        <v>27</v>
      </c>
    </row>
    <row r="1949">
      <c r="A1949" s="7" t="s">
        <v>77</v>
      </c>
      <c r="B1949" s="7" t="s">
        <v>132</v>
      </c>
      <c r="C1949" s="7">
        <f>2</f>
        <v>2</v>
      </c>
      <c r="D1949" s="7">
        <v>3.0</v>
      </c>
      <c r="E1949" s="7">
        <v>2.0</v>
      </c>
      <c r="F1949" s="7" t="s">
        <v>93</v>
      </c>
      <c r="G1949" s="7" t="s">
        <v>490</v>
      </c>
      <c r="H1949" s="9" t="s">
        <v>2979</v>
      </c>
      <c r="I1949" t="s">
        <v>3189</v>
      </c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 t="str">
        <f t="shared" si="1"/>
        <v>Built-up :</v>
      </c>
      <c r="AE1949" s="7" t="str">
        <f t="shared" si="2"/>
        <v> sq. ft.</v>
      </c>
      <c r="AF1949">
        <f>IFERROR(__xludf.DUMMYFUNCTION("VALUE(REGEXREPLACE(G1949,""[^[:digit:]]"", """"))"),1378.0)</f>
        <v>1378</v>
      </c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 t="s">
        <v>27</v>
      </c>
    </row>
    <row r="1950">
      <c r="A1950" s="7" t="s">
        <v>89</v>
      </c>
      <c r="B1950" s="7" t="s">
        <v>1612</v>
      </c>
      <c r="C1950" s="7">
        <f>1</f>
        <v>1</v>
      </c>
      <c r="D1950" s="7">
        <v>1.0</v>
      </c>
      <c r="E1950" s="7">
        <v>1.0</v>
      </c>
      <c r="F1950" s="7" t="s">
        <v>20</v>
      </c>
      <c r="G1950" s="7" t="s">
        <v>924</v>
      </c>
      <c r="H1950" s="9" t="s">
        <v>2979</v>
      </c>
      <c r="I1950" t="s">
        <v>3406</v>
      </c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 t="str">
        <f t="shared" si="1"/>
        <v>Built-up :</v>
      </c>
      <c r="AE1950" s="7" t="str">
        <f t="shared" si="2"/>
        <v> sq. ft.</v>
      </c>
      <c r="AF1950">
        <f>IFERROR(__xludf.DUMMYFUNCTION("VALUE(REGEXREPLACE(G1950,""[^[:digit:]]"", """"))"),750.0)</f>
        <v>750</v>
      </c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</row>
    <row r="1951">
      <c r="A1951" s="7" t="s">
        <v>72</v>
      </c>
      <c r="B1951" s="7" t="s">
        <v>728</v>
      </c>
      <c r="C1951" s="7">
        <f>3</f>
        <v>3</v>
      </c>
      <c r="D1951" s="7">
        <v>3.0</v>
      </c>
      <c r="E1951" s="7">
        <v>2.0</v>
      </c>
      <c r="F1951" s="7" t="s">
        <v>145</v>
      </c>
      <c r="G1951" s="7" t="s">
        <v>1613</v>
      </c>
      <c r="H1951" s="9" t="s">
        <v>2979</v>
      </c>
      <c r="I1951" t="s">
        <v>3811</v>
      </c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 t="str">
        <f t="shared" si="1"/>
        <v>Built-up :</v>
      </c>
      <c r="AE1951" s="7" t="str">
        <f t="shared" si="2"/>
        <v> sq. ft.</v>
      </c>
      <c r="AF1951">
        <f>IFERROR(__xludf.DUMMYFUNCTION("VALUE(REGEXREPLACE(G1951,""[^[:digit:]]"", """"))"),2190.0)</f>
        <v>2190</v>
      </c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 t="s">
        <v>27</v>
      </c>
    </row>
    <row r="1952">
      <c r="A1952" s="7" t="s">
        <v>72</v>
      </c>
      <c r="B1952" s="7" t="s">
        <v>98</v>
      </c>
      <c r="C1952" s="7">
        <f>3+1</f>
        <v>4</v>
      </c>
      <c r="D1952" s="7">
        <v>5.0</v>
      </c>
      <c r="E1952" s="7">
        <v>3.0</v>
      </c>
      <c r="F1952" s="7" t="s">
        <v>30</v>
      </c>
      <c r="G1952" s="7" t="s">
        <v>555</v>
      </c>
      <c r="H1952" s="9" t="s">
        <v>2979</v>
      </c>
      <c r="I1952" t="s">
        <v>3222</v>
      </c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 t="str">
        <f t="shared" si="1"/>
        <v>Built-up :</v>
      </c>
      <c r="AE1952" s="7" t="str">
        <f t="shared" si="2"/>
        <v> sq. ft.</v>
      </c>
      <c r="AF1952">
        <f>IFERROR(__xludf.DUMMYFUNCTION("VALUE(REGEXREPLACE(G1952,""[^[:digit:]]"", """"))"),2648.0)</f>
        <v>2648</v>
      </c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 t="s">
        <v>27</v>
      </c>
    </row>
    <row r="1953">
      <c r="A1953" s="7" t="s">
        <v>358</v>
      </c>
      <c r="B1953" s="7" t="s">
        <v>353</v>
      </c>
      <c r="C1953" s="7">
        <f>3</f>
        <v>3</v>
      </c>
      <c r="D1953" s="7">
        <v>2.0</v>
      </c>
      <c r="E1953" s="9">
        <v>2.0</v>
      </c>
      <c r="F1953" s="7" t="s">
        <v>50</v>
      </c>
      <c r="G1953" s="7" t="s">
        <v>1614</v>
      </c>
      <c r="H1953" s="9" t="s">
        <v>2979</v>
      </c>
      <c r="I1953" t="s">
        <v>3812</v>
      </c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 t="str">
        <f t="shared" si="1"/>
        <v>Built-up :</v>
      </c>
      <c r="AE1953" s="7" t="str">
        <f t="shared" si="2"/>
        <v> sq. ft.</v>
      </c>
      <c r="AF1953">
        <f>IFERROR(__xludf.DUMMYFUNCTION("VALUE(REGEXREPLACE(G1953,""[^[:digit:]]"", """"))"),1049.0)</f>
        <v>1049</v>
      </c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 t="s">
        <v>27</v>
      </c>
    </row>
    <row r="1954">
      <c r="A1954" s="7" t="s">
        <v>32</v>
      </c>
      <c r="B1954" s="7" t="s">
        <v>1615</v>
      </c>
      <c r="C1954" s="7">
        <f>1+1</f>
        <v>2</v>
      </c>
      <c r="D1954" s="7">
        <v>1.0</v>
      </c>
      <c r="E1954" s="7">
        <v>1.0</v>
      </c>
      <c r="F1954" s="7" t="s">
        <v>121</v>
      </c>
      <c r="G1954" s="7" t="s">
        <v>1616</v>
      </c>
      <c r="H1954" s="9" t="s">
        <v>2979</v>
      </c>
      <c r="I1954" t="s">
        <v>3813</v>
      </c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 t="str">
        <f t="shared" si="1"/>
        <v>Built-up :</v>
      </c>
      <c r="AE1954" s="7" t="str">
        <f t="shared" si="2"/>
        <v> sq. ft.</v>
      </c>
      <c r="AF1954">
        <f>IFERROR(__xludf.DUMMYFUNCTION("VALUE(REGEXREPLACE(G1954,""[^[:digit:]]"", """"))"),694.0)</f>
        <v>694</v>
      </c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 t="s">
        <v>27</v>
      </c>
    </row>
    <row r="1955">
      <c r="A1955" s="7" t="s">
        <v>171</v>
      </c>
      <c r="B1955" s="7" t="s">
        <v>761</v>
      </c>
      <c r="C1955" s="7">
        <f>3+1</f>
        <v>4</v>
      </c>
      <c r="D1955" s="7">
        <v>2.0</v>
      </c>
      <c r="E1955" s="7">
        <v>2.0</v>
      </c>
      <c r="F1955" s="7" t="s">
        <v>20</v>
      </c>
      <c r="G1955" s="7" t="s">
        <v>1617</v>
      </c>
      <c r="H1955" s="9" t="s">
        <v>2981</v>
      </c>
      <c r="I1955" t="s">
        <v>3814</v>
      </c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 t="str">
        <f t="shared" si="1"/>
        <v>Land area </v>
      </c>
      <c r="AE1955" s="7" t="str">
        <f t="shared" si="2"/>
        <v> sq. ft.</v>
      </c>
      <c r="AF1955">
        <f>IFERROR(__xludf.DUMMYFUNCTION("VALUE(REGEXREPLACE(G1955,""[^[:digit:]]"", """"))"),17.0)</f>
        <v>17</v>
      </c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 t="s">
        <v>103</v>
      </c>
    </row>
    <row r="1956">
      <c r="A1956" s="7" t="s">
        <v>171</v>
      </c>
      <c r="B1956" s="7" t="s">
        <v>890</v>
      </c>
      <c r="C1956" s="7">
        <f t="shared" ref="C1956:C1957" si="233">3</f>
        <v>3</v>
      </c>
      <c r="D1956" s="7">
        <v>2.0</v>
      </c>
      <c r="E1956" s="7">
        <v>2.0</v>
      </c>
      <c r="F1956" s="7" t="s">
        <v>20</v>
      </c>
      <c r="G1956" s="7" t="s">
        <v>1354</v>
      </c>
      <c r="H1956" s="9" t="s">
        <v>2979</v>
      </c>
      <c r="I1956" t="s">
        <v>3664</v>
      </c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 t="str">
        <f t="shared" si="1"/>
        <v>Built-up :</v>
      </c>
      <c r="AE1956" s="7" t="str">
        <f t="shared" si="2"/>
        <v> sq. ft.</v>
      </c>
      <c r="AF1956">
        <f>IFERROR(__xludf.DUMMYFUNCTION("VALUE(REGEXREPLACE(G1956,""[^[:digit:]]"", """"))"),842.0)</f>
        <v>842</v>
      </c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 t="s">
        <v>103</v>
      </c>
    </row>
    <row r="1957">
      <c r="A1957" s="7" t="s">
        <v>241</v>
      </c>
      <c r="B1957" s="7" t="s">
        <v>107</v>
      </c>
      <c r="C1957" s="7">
        <f t="shared" si="233"/>
        <v>3</v>
      </c>
      <c r="D1957" s="7">
        <v>2.0</v>
      </c>
      <c r="E1957" s="7">
        <v>2.0</v>
      </c>
      <c r="F1957" s="7" t="s">
        <v>82</v>
      </c>
      <c r="G1957" s="7" t="s">
        <v>954</v>
      </c>
      <c r="H1957" s="9" t="s">
        <v>2979</v>
      </c>
      <c r="I1957" t="s">
        <v>3424</v>
      </c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 t="str">
        <f t="shared" si="1"/>
        <v>Built-up :</v>
      </c>
      <c r="AE1957" s="7" t="str">
        <f t="shared" si="2"/>
        <v> sq. ft.</v>
      </c>
      <c r="AF1957">
        <f>IFERROR(__xludf.DUMMYFUNCTION("VALUE(REGEXREPLACE(G1957,""[^[:digit:]]"", """"))"),935.0)</f>
        <v>935</v>
      </c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 t="s">
        <v>27</v>
      </c>
    </row>
    <row r="1958">
      <c r="A1958" s="7" t="s">
        <v>155</v>
      </c>
      <c r="B1958" s="7" t="s">
        <v>1605</v>
      </c>
      <c r="C1958" s="7">
        <f>2+1</f>
        <v>3</v>
      </c>
      <c r="D1958" s="7">
        <v>2.0</v>
      </c>
      <c r="E1958" s="7">
        <v>1.0</v>
      </c>
      <c r="F1958" s="7" t="s">
        <v>20</v>
      </c>
      <c r="G1958" s="7" t="s">
        <v>471</v>
      </c>
      <c r="H1958" s="9" t="s">
        <v>2979</v>
      </c>
      <c r="I1958" t="s">
        <v>3179</v>
      </c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 t="str">
        <f t="shared" si="1"/>
        <v>Built-up :</v>
      </c>
      <c r="AE1958" s="7" t="str">
        <f t="shared" si="2"/>
        <v> sq. ft.</v>
      </c>
      <c r="AF1958">
        <f>IFERROR(__xludf.DUMMYFUNCTION("VALUE(REGEXREPLACE(G1958,""[^[:digit:]]"", """"))"),1400.0)</f>
        <v>1400</v>
      </c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 t="s">
        <v>103</v>
      </c>
    </row>
    <row r="1959">
      <c r="A1959" s="7" t="s">
        <v>358</v>
      </c>
      <c r="B1959" s="7" t="s">
        <v>353</v>
      </c>
      <c r="C1959" s="7">
        <f>2</f>
        <v>2</v>
      </c>
      <c r="D1959" s="7">
        <v>2.0</v>
      </c>
      <c r="E1959" s="9">
        <v>2.0</v>
      </c>
      <c r="F1959" s="7" t="s">
        <v>169</v>
      </c>
      <c r="G1959" s="7" t="s">
        <v>1141</v>
      </c>
      <c r="H1959" s="9" t="s">
        <v>2981</v>
      </c>
      <c r="I1959" t="s">
        <v>3531</v>
      </c>
      <c r="J1959" s="7"/>
      <c r="K1959" s="7"/>
      <c r="L1959" s="7"/>
      <c r="M1959" s="7"/>
      <c r="N1959" s="7"/>
      <c r="O1959" s="7"/>
      <c r="P1959" s="7"/>
      <c r="Q1959" s="7"/>
      <c r="R1959" s="7"/>
      <c r="S1959" s="7" t="s">
        <v>3532</v>
      </c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 t="str">
        <f t="shared" si="1"/>
        <v>Land area </v>
      </c>
      <c r="AE1959" s="7" t="str">
        <f t="shared" si="2"/>
        <v> sq. ft.</v>
      </c>
      <c r="AF1959">
        <f>IFERROR(__xludf.DUMMYFUNCTION("VALUE(REGEXREPLACE(G1959,""[^[:digit:]]"", """"))"),1443.0)</f>
        <v>1443</v>
      </c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 t="s">
        <v>22</v>
      </c>
    </row>
    <row r="1960">
      <c r="A1960" s="7" t="s">
        <v>72</v>
      </c>
      <c r="B1960" s="7" t="s">
        <v>260</v>
      </c>
      <c r="C1960" s="7">
        <f t="shared" ref="C1960:C1961" si="234">3+1</f>
        <v>4</v>
      </c>
      <c r="D1960" s="7">
        <v>3.0</v>
      </c>
      <c r="E1960" s="7">
        <v>2.0</v>
      </c>
      <c r="F1960" s="7" t="s">
        <v>30</v>
      </c>
      <c r="G1960" s="7" t="s">
        <v>1618</v>
      </c>
      <c r="H1960" s="9" t="s">
        <v>2979</v>
      </c>
      <c r="I1960" t="s">
        <v>3815</v>
      </c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 t="str">
        <f t="shared" si="1"/>
        <v>Built-up :</v>
      </c>
      <c r="AE1960" s="7" t="str">
        <f t="shared" si="2"/>
        <v> sq. ft.</v>
      </c>
      <c r="AF1960">
        <f>IFERROR(__xludf.DUMMYFUNCTION("VALUE(REGEXREPLACE(G1960,""[^[:digit:]]"", """"))"),1871.0)</f>
        <v>1871</v>
      </c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 t="s">
        <v>22</v>
      </c>
    </row>
    <row r="1961">
      <c r="A1961" s="7" t="s">
        <v>77</v>
      </c>
      <c r="B1961" s="7" t="s">
        <v>712</v>
      </c>
      <c r="C1961" s="7">
        <f t="shared" si="234"/>
        <v>4</v>
      </c>
      <c r="D1961" s="7">
        <v>3.0</v>
      </c>
      <c r="E1961" s="7">
        <v>3.0</v>
      </c>
      <c r="F1961" s="7" t="s">
        <v>30</v>
      </c>
      <c r="G1961" s="7" t="s">
        <v>1125</v>
      </c>
      <c r="H1961" s="9" t="s">
        <v>2979</v>
      </c>
      <c r="I1961" t="s">
        <v>3519</v>
      </c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 t="str">
        <f t="shared" si="1"/>
        <v>Built-up :</v>
      </c>
      <c r="AE1961" s="7" t="str">
        <f t="shared" si="2"/>
        <v> sq. ft.</v>
      </c>
      <c r="AF1961">
        <f>IFERROR(__xludf.DUMMYFUNCTION("VALUE(REGEXREPLACE(G1961,""[^[:digit:]]"", """"))"),1948.0)</f>
        <v>1948</v>
      </c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 t="s">
        <v>22</v>
      </c>
    </row>
    <row r="1962">
      <c r="A1962" s="7" t="s">
        <v>32</v>
      </c>
      <c r="B1962" s="7" t="s">
        <v>1308</v>
      </c>
      <c r="C1962" s="7">
        <f>3</f>
        <v>3</v>
      </c>
      <c r="D1962" s="7">
        <v>2.0</v>
      </c>
      <c r="E1962" s="9">
        <v>2.0</v>
      </c>
      <c r="F1962" s="7" t="s">
        <v>83</v>
      </c>
      <c r="G1962" s="7" t="s">
        <v>948</v>
      </c>
      <c r="H1962" s="9" t="s">
        <v>2979</v>
      </c>
      <c r="I1962" t="s">
        <v>3421</v>
      </c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 t="str">
        <f t="shared" si="1"/>
        <v>Built-up :</v>
      </c>
      <c r="AE1962" s="7" t="str">
        <f t="shared" si="2"/>
        <v> sq. ft.</v>
      </c>
      <c r="AF1962">
        <f>IFERROR(__xludf.DUMMYFUNCTION("VALUE(REGEXREPLACE(G1962,""[^[:digit:]]"", """"))"),960.0)</f>
        <v>960</v>
      </c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 t="s">
        <v>27</v>
      </c>
    </row>
    <row r="1963">
      <c r="A1963" s="7" t="s">
        <v>262</v>
      </c>
      <c r="B1963" s="7" t="s">
        <v>934</v>
      </c>
      <c r="C1963" s="7">
        <f>7</f>
        <v>7</v>
      </c>
      <c r="D1963" s="7">
        <v>8.0</v>
      </c>
      <c r="E1963" s="7">
        <v>6.0</v>
      </c>
      <c r="F1963" s="7" t="s">
        <v>25</v>
      </c>
      <c r="G1963" s="7" t="s">
        <v>935</v>
      </c>
      <c r="H1963" s="9" t="s">
        <v>2981</v>
      </c>
      <c r="I1963" t="s">
        <v>3415</v>
      </c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 t="str">
        <f t="shared" si="1"/>
        <v>Land area </v>
      </c>
      <c r="AE1963" s="7" t="str">
        <f t="shared" si="2"/>
        <v> sq. ft.</v>
      </c>
      <c r="AF1963">
        <f>IFERROR(__xludf.DUMMYFUNCTION("VALUE(REGEXREPLACE(G1963,""[^[:digit:]]"", """"))"),8622.0)</f>
        <v>8622</v>
      </c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 t="s">
        <v>27</v>
      </c>
    </row>
    <row r="1964">
      <c r="A1964" s="7" t="s">
        <v>428</v>
      </c>
      <c r="B1964" s="7" t="s">
        <v>245</v>
      </c>
      <c r="C1964" s="7">
        <f>3+1</f>
        <v>4</v>
      </c>
      <c r="D1964" s="7">
        <v>3.0</v>
      </c>
      <c r="E1964" s="9">
        <v>2.0</v>
      </c>
      <c r="F1964" s="7" t="s">
        <v>20</v>
      </c>
      <c r="G1964" s="7" t="s">
        <v>1619</v>
      </c>
      <c r="H1964" s="9" t="s">
        <v>2979</v>
      </c>
      <c r="I1964" t="s">
        <v>3816</v>
      </c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 t="str">
        <f t="shared" si="1"/>
        <v>Built-up :</v>
      </c>
      <c r="AE1964" s="7" t="str">
        <f t="shared" si="2"/>
        <v> sq. ft.</v>
      </c>
      <c r="AF1964">
        <f>IFERROR(__xludf.DUMMYFUNCTION("VALUE(REGEXREPLACE(G1964,""[^[:digit:]]"", """"))"),1570.0)</f>
        <v>1570</v>
      </c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 t="s">
        <v>27</v>
      </c>
    </row>
    <row r="1965">
      <c r="A1965" s="7" t="s">
        <v>32</v>
      </c>
      <c r="B1965" s="7" t="s">
        <v>1620</v>
      </c>
      <c r="C1965" s="7">
        <f>3</f>
        <v>3</v>
      </c>
      <c r="D1965" s="7">
        <v>2.0</v>
      </c>
      <c r="E1965" s="7">
        <v>2.0</v>
      </c>
      <c r="F1965" s="7" t="s">
        <v>121</v>
      </c>
      <c r="G1965" s="7" t="s">
        <v>1330</v>
      </c>
      <c r="H1965" s="9" t="s">
        <v>2979</v>
      </c>
      <c r="I1965" t="s">
        <v>3650</v>
      </c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 t="str">
        <f t="shared" si="1"/>
        <v>Built-up :</v>
      </c>
      <c r="AE1965" s="7" t="str">
        <f t="shared" si="2"/>
        <v> sq. ft.</v>
      </c>
      <c r="AF1965">
        <f>IFERROR(__xludf.DUMMYFUNCTION("VALUE(REGEXREPLACE(G1965,""[^[:digit:]]"", """"))"),819.0)</f>
        <v>819</v>
      </c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 t="s">
        <v>27</v>
      </c>
    </row>
    <row r="1966">
      <c r="A1966" s="7" t="s">
        <v>23</v>
      </c>
      <c r="B1966" s="7" t="s">
        <v>270</v>
      </c>
      <c r="C1966" s="7">
        <f>5+1</f>
        <v>6</v>
      </c>
      <c r="D1966" s="7">
        <v>7.0</v>
      </c>
      <c r="E1966" s="7">
        <v>4.0</v>
      </c>
      <c r="F1966" s="7" t="s">
        <v>25</v>
      </c>
      <c r="G1966" s="7" t="s">
        <v>1621</v>
      </c>
      <c r="H1966" s="9" t="s">
        <v>2981</v>
      </c>
      <c r="I1966" t="s">
        <v>3817</v>
      </c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 t="str">
        <f t="shared" si="1"/>
        <v>Land area </v>
      </c>
      <c r="AE1966" s="7" t="str">
        <f t="shared" si="2"/>
        <v> sq. ft.</v>
      </c>
      <c r="AF1966">
        <f>IFERROR(__xludf.DUMMYFUNCTION("VALUE(REGEXREPLACE(G1966,""[^[:digit:]]"", """"))"),7468.0)</f>
        <v>7468</v>
      </c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 t="s">
        <v>27</v>
      </c>
    </row>
    <row r="1967">
      <c r="A1967" s="7" t="s">
        <v>171</v>
      </c>
      <c r="B1967" s="7" t="s">
        <v>761</v>
      </c>
      <c r="C1967" s="7">
        <f>3+1</f>
        <v>4</v>
      </c>
      <c r="D1967" s="7">
        <v>2.0</v>
      </c>
      <c r="E1967" s="7">
        <v>2.0</v>
      </c>
      <c r="F1967" s="7" t="s">
        <v>20</v>
      </c>
      <c r="G1967" s="7" t="s">
        <v>1622</v>
      </c>
      <c r="H1967" s="9" t="s">
        <v>2979</v>
      </c>
      <c r="I1967" t="s">
        <v>3818</v>
      </c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 t="str">
        <f t="shared" si="1"/>
        <v>Built-up :</v>
      </c>
      <c r="AE1967" s="7" t="str">
        <f t="shared" si="2"/>
        <v> sq. ft.</v>
      </c>
      <c r="AF1967">
        <f>IFERROR(__xludf.DUMMYFUNCTION("VALUE(REGEXREPLACE(G1967,""[^[:digit:]]"", """"))"),2550.0)</f>
        <v>2550</v>
      </c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 t="s">
        <v>103</v>
      </c>
    </row>
    <row r="1968">
      <c r="A1968" s="7" t="s">
        <v>171</v>
      </c>
      <c r="B1968" s="7" t="s">
        <v>890</v>
      </c>
      <c r="C1968" s="7">
        <f>3</f>
        <v>3</v>
      </c>
      <c r="D1968" s="7">
        <v>2.0</v>
      </c>
      <c r="E1968" s="7">
        <v>2.0</v>
      </c>
      <c r="F1968" s="7" t="s">
        <v>20</v>
      </c>
      <c r="H1968" s="9" t="s">
        <v>2984</v>
      </c>
      <c r="I1968" t="s">
        <v>2985</v>
      </c>
      <c r="AD1968" s="7" t="str">
        <f t="shared" si="1"/>
        <v/>
      </c>
      <c r="AE1968" s="7" t="str">
        <f t="shared" si="2"/>
        <v/>
      </c>
      <c r="AF1968">
        <f>IFERROR(__xludf.DUMMYFUNCTION("VALUE(REGEXREPLACE(G1968,""[^[:digit:]]"", """"))"),0.0)</f>
        <v>0</v>
      </c>
      <c r="AS1968" s="7" t="s">
        <v>103</v>
      </c>
    </row>
    <row r="1969">
      <c r="A1969" s="7" t="s">
        <v>143</v>
      </c>
      <c r="B1969" s="7" t="s">
        <v>953</v>
      </c>
      <c r="C1969" s="7">
        <f>1</f>
        <v>1</v>
      </c>
      <c r="D1969" s="7">
        <v>1.0</v>
      </c>
      <c r="E1969" s="7">
        <v>1.0</v>
      </c>
      <c r="F1969" s="7" t="s">
        <v>82</v>
      </c>
      <c r="G1969" s="7" t="s">
        <v>1623</v>
      </c>
      <c r="H1969" s="9" t="s">
        <v>2981</v>
      </c>
      <c r="I1969" t="s">
        <v>3670</v>
      </c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 t="str">
        <f t="shared" si="1"/>
        <v>Land area </v>
      </c>
      <c r="AE1969" s="7" t="str">
        <f t="shared" si="2"/>
        <v> sq. ft.</v>
      </c>
      <c r="AF1969">
        <f>IFERROR(__xludf.DUMMYFUNCTION("VALUE(REGEXREPLACE(G1969,""[^[:digit:]]"", """"))"),744.0)</f>
        <v>744</v>
      </c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 t="s">
        <v>22</v>
      </c>
    </row>
    <row r="1970">
      <c r="A1970" s="7" t="s">
        <v>32</v>
      </c>
      <c r="B1970" s="7" t="s">
        <v>1624</v>
      </c>
      <c r="C1970" s="7">
        <f>3</f>
        <v>3</v>
      </c>
      <c r="D1970" s="7">
        <v>2.0</v>
      </c>
      <c r="E1970" s="7">
        <v>1.0</v>
      </c>
      <c r="F1970" s="7" t="s">
        <v>121</v>
      </c>
      <c r="G1970" s="7" t="s">
        <v>1330</v>
      </c>
      <c r="H1970" s="9" t="s">
        <v>2979</v>
      </c>
      <c r="I1970" t="s">
        <v>3650</v>
      </c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 t="str">
        <f t="shared" si="1"/>
        <v>Built-up :</v>
      </c>
      <c r="AE1970" s="7" t="str">
        <f t="shared" si="2"/>
        <v> sq. ft.</v>
      </c>
      <c r="AF1970">
        <f>IFERROR(__xludf.DUMMYFUNCTION("VALUE(REGEXREPLACE(G1970,""[^[:digit:]]"", """"))"),819.0)</f>
        <v>819</v>
      </c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 t="s">
        <v>27</v>
      </c>
    </row>
    <row r="1971">
      <c r="A1971" s="7" t="s">
        <v>77</v>
      </c>
      <c r="B1971" s="7" t="s">
        <v>1625</v>
      </c>
      <c r="C1971" s="7">
        <f>1</f>
        <v>1</v>
      </c>
      <c r="D1971" s="7">
        <v>1.0</v>
      </c>
      <c r="E1971" s="7">
        <v>1.0</v>
      </c>
      <c r="F1971" s="7" t="s">
        <v>83</v>
      </c>
      <c r="G1971" s="7" t="s">
        <v>51</v>
      </c>
      <c r="H1971" s="9" t="s">
        <v>2979</v>
      </c>
      <c r="I1971" t="s">
        <v>2991</v>
      </c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 t="str">
        <f t="shared" si="1"/>
        <v>Built-up :</v>
      </c>
      <c r="AE1971" s="7" t="str">
        <f t="shared" si="2"/>
        <v> sq. ft.</v>
      </c>
      <c r="AF1971">
        <f>IFERROR(__xludf.DUMMYFUNCTION("VALUE(REGEXREPLACE(G1971,""[^[:digit:]]"", """"))"),904.0)</f>
        <v>904</v>
      </c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 t="s">
        <v>22</v>
      </c>
    </row>
    <row r="1972">
      <c r="A1972" s="7" t="s">
        <v>77</v>
      </c>
      <c r="B1972" s="7" t="s">
        <v>813</v>
      </c>
      <c r="C1972" s="7">
        <f>3+1</f>
        <v>4</v>
      </c>
      <c r="D1972" s="7">
        <v>3.0</v>
      </c>
      <c r="E1972" s="9">
        <v>2.0</v>
      </c>
      <c r="F1972" s="7" t="s">
        <v>169</v>
      </c>
      <c r="G1972" s="7" t="s">
        <v>307</v>
      </c>
      <c r="H1972" s="9" t="s">
        <v>2979</v>
      </c>
      <c r="I1972" t="s">
        <v>3102</v>
      </c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 t="str">
        <f t="shared" si="1"/>
        <v>Built-up :</v>
      </c>
      <c r="AE1972" s="7" t="str">
        <f t="shared" si="2"/>
        <v> sq. ft.</v>
      </c>
      <c r="AF1972">
        <f>IFERROR(__xludf.DUMMYFUNCTION("VALUE(REGEXREPLACE(G1972,""[^[:digit:]]"", """"))"),2500.0)</f>
        <v>2500</v>
      </c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 t="s">
        <v>27</v>
      </c>
    </row>
    <row r="1973">
      <c r="A1973" s="7" t="s">
        <v>432</v>
      </c>
      <c r="B1973" s="7" t="s">
        <v>313</v>
      </c>
      <c r="C1973" s="7">
        <f t="shared" ref="C1973:C1975" si="235">4+1</f>
        <v>5</v>
      </c>
      <c r="D1973" s="7">
        <v>5.0</v>
      </c>
      <c r="E1973" s="7">
        <v>3.0</v>
      </c>
      <c r="F1973" s="7" t="s">
        <v>83</v>
      </c>
      <c r="G1973" s="7" t="s">
        <v>1495</v>
      </c>
      <c r="H1973" s="9" t="s">
        <v>2979</v>
      </c>
      <c r="I1973" t="s">
        <v>3743</v>
      </c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 t="str">
        <f t="shared" si="1"/>
        <v>Built-up :</v>
      </c>
      <c r="AE1973" s="7" t="str">
        <f t="shared" si="2"/>
        <v> sq. ft.</v>
      </c>
      <c r="AF1973">
        <f>IFERROR(__xludf.DUMMYFUNCTION("VALUE(REGEXREPLACE(G1973,""[^[:digit:]]"", """"))"),3466.0)</f>
        <v>3466</v>
      </c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 t="s">
        <v>22</v>
      </c>
    </row>
    <row r="1974">
      <c r="A1974" s="7" t="s">
        <v>432</v>
      </c>
      <c r="B1974" s="7" t="s">
        <v>63</v>
      </c>
      <c r="C1974" s="7">
        <f t="shared" si="235"/>
        <v>5</v>
      </c>
      <c r="D1974" s="7">
        <v>5.0</v>
      </c>
      <c r="E1974" s="7">
        <v>3.0</v>
      </c>
      <c r="F1974" s="7" t="s">
        <v>83</v>
      </c>
      <c r="G1974" s="7" t="s">
        <v>1626</v>
      </c>
      <c r="H1974" s="9" t="s">
        <v>2979</v>
      </c>
      <c r="I1974" t="s">
        <v>3819</v>
      </c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 t="str">
        <f t="shared" si="1"/>
        <v>Built-up :</v>
      </c>
      <c r="AE1974" s="7" t="str">
        <f t="shared" si="2"/>
        <v> sq. ft.</v>
      </c>
      <c r="AF1974">
        <f>IFERROR(__xludf.DUMMYFUNCTION("VALUE(REGEXREPLACE(G1974,""[^[:digit:]]"", """"))"),3983.0)</f>
        <v>3983</v>
      </c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 t="s">
        <v>27</v>
      </c>
    </row>
    <row r="1975">
      <c r="A1975" s="7" t="s">
        <v>432</v>
      </c>
      <c r="B1975" s="7" t="s">
        <v>101</v>
      </c>
      <c r="C1975" s="7">
        <f t="shared" si="235"/>
        <v>5</v>
      </c>
      <c r="D1975" s="7">
        <v>5.0</v>
      </c>
      <c r="E1975" s="7">
        <v>3.0</v>
      </c>
      <c r="F1975" s="7" t="s">
        <v>83</v>
      </c>
      <c r="G1975" s="7" t="s">
        <v>1626</v>
      </c>
      <c r="H1975" s="9" t="s">
        <v>2979</v>
      </c>
      <c r="I1975" t="s">
        <v>3819</v>
      </c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 t="str">
        <f t="shared" si="1"/>
        <v>Built-up :</v>
      </c>
      <c r="AE1975" s="7" t="str">
        <f t="shared" si="2"/>
        <v> sq. ft.</v>
      </c>
      <c r="AF1975">
        <f>IFERROR(__xludf.DUMMYFUNCTION("VALUE(REGEXREPLACE(G1975,""[^[:digit:]]"", """"))"),3983.0)</f>
        <v>3983</v>
      </c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 t="s">
        <v>27</v>
      </c>
    </row>
    <row r="1976">
      <c r="A1976" s="7" t="s">
        <v>432</v>
      </c>
      <c r="B1976" s="7" t="s">
        <v>309</v>
      </c>
      <c r="C1976" s="7">
        <f>3+1</f>
        <v>4</v>
      </c>
      <c r="D1976" s="7">
        <v>3.0</v>
      </c>
      <c r="E1976" s="9">
        <v>2.0</v>
      </c>
      <c r="F1976" s="7" t="s">
        <v>83</v>
      </c>
      <c r="G1976" s="7" t="s">
        <v>1627</v>
      </c>
      <c r="H1976" s="9" t="s">
        <v>2979</v>
      </c>
      <c r="I1976" t="s">
        <v>3820</v>
      </c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 t="str">
        <f t="shared" si="1"/>
        <v>Built-up :</v>
      </c>
      <c r="AE1976" s="7" t="str">
        <f t="shared" si="2"/>
        <v> sq. ft.</v>
      </c>
      <c r="AF1976">
        <f>IFERROR(__xludf.DUMMYFUNCTION("VALUE(REGEXREPLACE(G1976,""[^[:digit:]]"", """"))"),2573.0)</f>
        <v>2573</v>
      </c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 t="s">
        <v>27</v>
      </c>
    </row>
    <row r="1977">
      <c r="A1977" s="7" t="s">
        <v>432</v>
      </c>
      <c r="B1977" s="7" t="s">
        <v>313</v>
      </c>
      <c r="C1977" s="7">
        <f t="shared" ref="C1977:C1978" si="236">4+1</f>
        <v>5</v>
      </c>
      <c r="D1977" s="7">
        <v>5.0</v>
      </c>
      <c r="E1977" s="9">
        <v>2.0</v>
      </c>
      <c r="F1977" s="7" t="s">
        <v>83</v>
      </c>
      <c r="G1977" s="7" t="s">
        <v>1628</v>
      </c>
      <c r="H1977" s="9" t="s">
        <v>2979</v>
      </c>
      <c r="I1977" t="s">
        <v>3821</v>
      </c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 t="str">
        <f t="shared" si="1"/>
        <v>Built-up :</v>
      </c>
      <c r="AE1977" s="7" t="str">
        <f t="shared" si="2"/>
        <v> sq. ft.</v>
      </c>
      <c r="AF1977">
        <f>IFERROR(__xludf.DUMMYFUNCTION("VALUE(REGEXREPLACE(G1977,""[^[:digit:]]"", """"))"),3660.0)</f>
        <v>3660</v>
      </c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 t="s">
        <v>27</v>
      </c>
    </row>
    <row r="1978">
      <c r="A1978" s="7" t="s">
        <v>432</v>
      </c>
      <c r="B1978" s="7" t="s">
        <v>475</v>
      </c>
      <c r="C1978" s="7">
        <f t="shared" si="236"/>
        <v>5</v>
      </c>
      <c r="D1978" s="7">
        <v>5.0</v>
      </c>
      <c r="E1978" s="9">
        <v>2.0</v>
      </c>
      <c r="F1978" s="7" t="s">
        <v>83</v>
      </c>
      <c r="G1978" s="7" t="s">
        <v>1626</v>
      </c>
      <c r="H1978" s="9" t="s">
        <v>2979</v>
      </c>
      <c r="I1978" t="s">
        <v>3819</v>
      </c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 t="str">
        <f t="shared" si="1"/>
        <v>Built-up :</v>
      </c>
      <c r="AE1978" s="7" t="str">
        <f t="shared" si="2"/>
        <v> sq. ft.</v>
      </c>
      <c r="AF1978">
        <f>IFERROR(__xludf.DUMMYFUNCTION("VALUE(REGEXREPLACE(G1978,""[^[:digit:]]"", """"))"),3983.0)</f>
        <v>3983</v>
      </c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 t="s">
        <v>27</v>
      </c>
    </row>
    <row r="1979">
      <c r="A1979" s="7" t="s">
        <v>77</v>
      </c>
      <c r="B1979" s="7" t="s">
        <v>243</v>
      </c>
      <c r="C1979" s="7">
        <f>2+2</f>
        <v>4</v>
      </c>
      <c r="D1979" s="7">
        <v>2.0</v>
      </c>
      <c r="E1979" s="9">
        <v>2.0</v>
      </c>
      <c r="F1979" s="7" t="s">
        <v>83</v>
      </c>
      <c r="G1979" s="7" t="s">
        <v>1147</v>
      </c>
      <c r="H1979" s="9" t="s">
        <v>2979</v>
      </c>
      <c r="I1979" t="s">
        <v>3537</v>
      </c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 t="str">
        <f t="shared" si="1"/>
        <v>Built-up :</v>
      </c>
      <c r="AE1979" s="7" t="str">
        <f t="shared" si="2"/>
        <v> sq. ft.</v>
      </c>
      <c r="AF1979">
        <f>IFERROR(__xludf.DUMMYFUNCTION("VALUE(REGEXREPLACE(G1979,""[^[:digit:]]"", """"))"),1357.0)</f>
        <v>1357</v>
      </c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 t="s">
        <v>27</v>
      </c>
    </row>
    <row r="1980">
      <c r="A1980" s="7" t="s">
        <v>580</v>
      </c>
      <c r="B1980" s="7" t="s">
        <v>429</v>
      </c>
      <c r="C1980" s="7">
        <f>5+1</f>
        <v>6</v>
      </c>
      <c r="D1980" s="7">
        <v>5.0</v>
      </c>
      <c r="E1980" s="9">
        <v>2.0</v>
      </c>
      <c r="F1980" s="7" t="s">
        <v>64</v>
      </c>
      <c r="G1980" s="7" t="s">
        <v>1629</v>
      </c>
      <c r="H1980" s="9" t="s">
        <v>2981</v>
      </c>
      <c r="I1980" t="s">
        <v>3822</v>
      </c>
      <c r="J1980" s="7"/>
      <c r="K1980" s="7"/>
      <c r="L1980" s="7"/>
      <c r="M1980" s="7"/>
      <c r="N1980" s="7"/>
      <c r="O1980" s="7"/>
      <c r="P1980" s="7"/>
      <c r="Q1980" s="7"/>
      <c r="R1980" s="7"/>
      <c r="S1980" s="7" t="s">
        <v>3823</v>
      </c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 t="str">
        <f t="shared" si="1"/>
        <v>Land area </v>
      </c>
      <c r="AE1980" s="7" t="str">
        <f t="shared" si="2"/>
        <v> sq. ft.</v>
      </c>
      <c r="AF1980">
        <f>IFERROR(__xludf.DUMMYFUNCTION("VALUE(REGEXREPLACE(G1980,""[^[:digit:]]"", """"))"),45109.0)</f>
        <v>45109</v>
      </c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 t="s">
        <v>27</v>
      </c>
    </row>
    <row r="1981">
      <c r="A1981" s="7" t="s">
        <v>28</v>
      </c>
      <c r="B1981" s="7" t="s">
        <v>761</v>
      </c>
      <c r="C1981" s="7">
        <f>3</f>
        <v>3</v>
      </c>
      <c r="D1981" s="7">
        <v>2.0</v>
      </c>
      <c r="E1981" s="7">
        <v>2.0</v>
      </c>
      <c r="F1981" s="7" t="s">
        <v>93</v>
      </c>
      <c r="G1981" s="7" t="s">
        <v>1630</v>
      </c>
      <c r="H1981" s="9" t="s">
        <v>2979</v>
      </c>
      <c r="I1981" t="s">
        <v>3824</v>
      </c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 t="str">
        <f t="shared" si="1"/>
        <v>Built-up :</v>
      </c>
      <c r="AE1981" s="7" t="str">
        <f t="shared" si="2"/>
        <v> sq. ft.</v>
      </c>
      <c r="AF1981">
        <f>IFERROR(__xludf.DUMMYFUNCTION("VALUE(REGEXREPLACE(G1981,""[^[:digit:]]"", """"))"),1108.0)</f>
        <v>1108</v>
      </c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 t="s">
        <v>103</v>
      </c>
    </row>
    <row r="1982">
      <c r="A1982" s="7" t="s">
        <v>148</v>
      </c>
      <c r="B1982" s="7" t="s">
        <v>56</v>
      </c>
      <c r="C1982" s="7">
        <f>3+1</f>
        <v>4</v>
      </c>
      <c r="D1982" s="7">
        <v>4.0</v>
      </c>
      <c r="E1982" s="9">
        <v>2.0</v>
      </c>
      <c r="F1982" s="7" t="s">
        <v>470</v>
      </c>
      <c r="G1982" s="7" t="s">
        <v>400</v>
      </c>
      <c r="H1982" s="9" t="s">
        <v>2979</v>
      </c>
      <c r="I1982" t="s">
        <v>3145</v>
      </c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 t="str">
        <f t="shared" si="1"/>
        <v>Built-up :</v>
      </c>
      <c r="AE1982" s="7" t="str">
        <f t="shared" si="2"/>
        <v> sq. ft.</v>
      </c>
      <c r="AF1982">
        <f>IFERROR(__xludf.DUMMYFUNCTION("VALUE(REGEXREPLACE(G1982,""[^[:digit:]]"", """"))"),2400.0)</f>
        <v>2400</v>
      </c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</row>
    <row r="1983">
      <c r="A1983" s="7" t="s">
        <v>171</v>
      </c>
      <c r="B1983" s="7" t="s">
        <v>975</v>
      </c>
      <c r="C1983" s="7">
        <f t="shared" ref="C1983:C1984" si="237">3</f>
        <v>3</v>
      </c>
      <c r="D1983" s="7">
        <v>2.0</v>
      </c>
      <c r="E1983" s="7">
        <v>2.0</v>
      </c>
      <c r="F1983" s="7" t="s">
        <v>20</v>
      </c>
      <c r="G1983" s="7" t="s">
        <v>1354</v>
      </c>
      <c r="H1983" s="9" t="s">
        <v>2979</v>
      </c>
      <c r="I1983" t="s">
        <v>3664</v>
      </c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 t="str">
        <f t="shared" si="1"/>
        <v>Built-up :</v>
      </c>
      <c r="AE1983" s="7" t="str">
        <f t="shared" si="2"/>
        <v> sq. ft.</v>
      </c>
      <c r="AF1983">
        <f>IFERROR(__xludf.DUMMYFUNCTION("VALUE(REGEXREPLACE(G1983,""[^[:digit:]]"", """"))"),842.0)</f>
        <v>842</v>
      </c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</row>
    <row r="1984">
      <c r="A1984" s="7" t="s">
        <v>148</v>
      </c>
      <c r="B1984" s="7" t="s">
        <v>81</v>
      </c>
      <c r="C1984" s="7">
        <f t="shared" si="237"/>
        <v>3</v>
      </c>
      <c r="D1984" s="7">
        <v>3.0</v>
      </c>
      <c r="E1984" s="9">
        <v>2.0</v>
      </c>
      <c r="F1984" s="7" t="s">
        <v>470</v>
      </c>
      <c r="G1984" s="7" t="s">
        <v>400</v>
      </c>
      <c r="H1984" s="9" t="s">
        <v>2979</v>
      </c>
      <c r="I1984" t="s">
        <v>3145</v>
      </c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 t="str">
        <f t="shared" si="1"/>
        <v>Built-up :</v>
      </c>
      <c r="AE1984" s="7" t="str">
        <f t="shared" si="2"/>
        <v> sq. ft.</v>
      </c>
      <c r="AF1984">
        <f>IFERROR(__xludf.DUMMYFUNCTION("VALUE(REGEXREPLACE(G1984,""[^[:digit:]]"", """"))"),2400.0)</f>
        <v>2400</v>
      </c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 t="s">
        <v>103</v>
      </c>
    </row>
    <row r="1985">
      <c r="A1985" s="7" t="s">
        <v>580</v>
      </c>
      <c r="B1985" s="7" t="s">
        <v>499</v>
      </c>
      <c r="C1985" s="7">
        <f>5+1</f>
        <v>6</v>
      </c>
      <c r="D1985" s="7">
        <v>6.0</v>
      </c>
      <c r="E1985" s="9">
        <v>2.0</v>
      </c>
      <c r="F1985" s="7" t="s">
        <v>487</v>
      </c>
      <c r="G1985" s="7" t="s">
        <v>1631</v>
      </c>
      <c r="H1985" s="9" t="s">
        <v>2981</v>
      </c>
      <c r="I1985" t="s">
        <v>3825</v>
      </c>
      <c r="J1985" s="7"/>
      <c r="K1985" s="7"/>
      <c r="L1985" s="7"/>
      <c r="M1985" s="7"/>
      <c r="N1985" s="7"/>
      <c r="O1985" s="7"/>
      <c r="P1985" s="7"/>
      <c r="Q1985" s="7"/>
      <c r="R1985" s="7"/>
      <c r="S1985" s="7" t="s">
        <v>3101</v>
      </c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 t="str">
        <f t="shared" si="1"/>
        <v>Land area </v>
      </c>
      <c r="AE1985" s="7" t="str">
        <f t="shared" si="2"/>
        <v> sq. ft.</v>
      </c>
      <c r="AF1985">
        <f>IFERROR(__xludf.DUMMYFUNCTION("VALUE(REGEXREPLACE(G1985,""[^[:digit:]]"", """"))"),5585.0)</f>
        <v>5585</v>
      </c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 t="s">
        <v>22</v>
      </c>
    </row>
    <row r="1986">
      <c r="A1986" s="7" t="s">
        <v>104</v>
      </c>
      <c r="B1986" s="7" t="s">
        <v>206</v>
      </c>
      <c r="C1986" s="7">
        <f>4</f>
        <v>4</v>
      </c>
      <c r="D1986" s="7">
        <v>3.0</v>
      </c>
      <c r="E1986" s="9">
        <v>2.0</v>
      </c>
      <c r="F1986" s="7" t="s">
        <v>46</v>
      </c>
      <c r="G1986" s="7" t="s">
        <v>1632</v>
      </c>
      <c r="H1986" s="9" t="s">
        <v>2981</v>
      </c>
      <c r="I1986" t="s">
        <v>3518</v>
      </c>
      <c r="J1986" s="7"/>
      <c r="K1986" s="7"/>
      <c r="L1986" s="7"/>
      <c r="M1986" s="7"/>
      <c r="N1986" s="7"/>
      <c r="O1986" s="7"/>
      <c r="P1986" s="7"/>
      <c r="Q1986" s="7"/>
      <c r="R1986" s="7"/>
      <c r="S1986" s="7" t="s">
        <v>3121</v>
      </c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 t="str">
        <f t="shared" si="1"/>
        <v>Land area </v>
      </c>
      <c r="AE1986" s="7" t="str">
        <f t="shared" si="2"/>
        <v> sq. ft.</v>
      </c>
      <c r="AF1986" s="7">
        <v>1540.0</v>
      </c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 t="s">
        <v>27</v>
      </c>
    </row>
    <row r="1987">
      <c r="A1987" s="7" t="s">
        <v>23</v>
      </c>
      <c r="B1987" s="7" t="s">
        <v>1633</v>
      </c>
      <c r="C1987" s="7">
        <f t="shared" ref="C1987:C1988" si="238">2</f>
        <v>2</v>
      </c>
      <c r="D1987" s="7">
        <v>2.0</v>
      </c>
      <c r="E1987" s="7">
        <v>1.0</v>
      </c>
      <c r="F1987" s="7" t="s">
        <v>83</v>
      </c>
      <c r="G1987" s="7" t="s">
        <v>1630</v>
      </c>
      <c r="H1987" s="9" t="s">
        <v>2979</v>
      </c>
      <c r="I1987" t="s">
        <v>3824</v>
      </c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 t="str">
        <f t="shared" si="1"/>
        <v>Built-up :</v>
      </c>
      <c r="AE1987" s="7" t="str">
        <f t="shared" si="2"/>
        <v> sq. ft.</v>
      </c>
      <c r="AF1987">
        <f>IFERROR(__xludf.DUMMYFUNCTION("VALUE(REGEXREPLACE(G1987,""[^[:digit:]]"", """"))"),1108.0)</f>
        <v>1108</v>
      </c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 t="s">
        <v>103</v>
      </c>
    </row>
    <row r="1988">
      <c r="A1988" s="7" t="s">
        <v>37</v>
      </c>
      <c r="B1988" s="7" t="s">
        <v>245</v>
      </c>
      <c r="C1988" s="7">
        <f t="shared" si="238"/>
        <v>2</v>
      </c>
      <c r="D1988" s="7">
        <v>2.0</v>
      </c>
      <c r="E1988" s="7">
        <v>1.0</v>
      </c>
      <c r="F1988" s="7" t="s">
        <v>20</v>
      </c>
      <c r="G1988" s="7" t="s">
        <v>1634</v>
      </c>
      <c r="H1988" s="9" t="s">
        <v>2979</v>
      </c>
      <c r="I1988" t="s">
        <v>3826</v>
      </c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 t="str">
        <f t="shared" si="1"/>
        <v>Built-up :</v>
      </c>
      <c r="AE1988" s="7" t="str">
        <f t="shared" si="2"/>
        <v> sq. ft.</v>
      </c>
      <c r="AF1988">
        <f>IFERROR(__xludf.DUMMYFUNCTION("VALUE(REGEXREPLACE(G1988,""[^[:digit:]]"", """"))"),875.0)</f>
        <v>875</v>
      </c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 t="s">
        <v>27</v>
      </c>
    </row>
    <row r="1989">
      <c r="A1989" s="7" t="s">
        <v>37</v>
      </c>
      <c r="B1989" s="7" t="s">
        <v>641</v>
      </c>
      <c r="C1989" s="7">
        <f t="shared" ref="C1989:C1990" si="239">3</f>
        <v>3</v>
      </c>
      <c r="D1989" s="7">
        <v>2.0</v>
      </c>
      <c r="E1989" s="7">
        <v>1.0</v>
      </c>
      <c r="F1989" s="7" t="s">
        <v>20</v>
      </c>
      <c r="G1989" s="7" t="s">
        <v>1635</v>
      </c>
      <c r="H1989" s="9" t="s">
        <v>2979</v>
      </c>
      <c r="I1989" t="s">
        <v>3827</v>
      </c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 t="str">
        <f t="shared" si="1"/>
        <v>Built-up :</v>
      </c>
      <c r="AE1989" s="7" t="str">
        <f t="shared" si="2"/>
        <v> sq. ft.</v>
      </c>
      <c r="AF1989">
        <f>IFERROR(__xludf.DUMMYFUNCTION("VALUE(REGEXREPLACE(G1989,""[^[:digit:]]"", """"))"),1010.0)</f>
        <v>1010</v>
      </c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 t="s">
        <v>22</v>
      </c>
    </row>
    <row r="1990">
      <c r="A1990" s="7" t="s">
        <v>100</v>
      </c>
      <c r="B1990" s="7" t="s">
        <v>619</v>
      </c>
      <c r="C1990" s="7">
        <f t="shared" si="239"/>
        <v>3</v>
      </c>
      <c r="D1990" s="7">
        <v>2.0</v>
      </c>
      <c r="E1990" s="7">
        <v>2.0</v>
      </c>
      <c r="F1990" s="7" t="s">
        <v>83</v>
      </c>
      <c r="G1990" s="7" t="s">
        <v>954</v>
      </c>
      <c r="H1990" s="9" t="s">
        <v>2979</v>
      </c>
      <c r="I1990" t="s">
        <v>3424</v>
      </c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 t="str">
        <f t="shared" si="1"/>
        <v>Built-up :</v>
      </c>
      <c r="AE1990" s="7" t="str">
        <f t="shared" si="2"/>
        <v> sq. ft.</v>
      </c>
      <c r="AF1990">
        <f>IFERROR(__xludf.DUMMYFUNCTION("VALUE(REGEXREPLACE(G1990,""[^[:digit:]]"", """"))"),935.0)</f>
        <v>935</v>
      </c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 t="s">
        <v>27</v>
      </c>
    </row>
    <row r="1991">
      <c r="A1991" s="7" t="s">
        <v>23</v>
      </c>
      <c r="B1991" s="7" t="s">
        <v>69</v>
      </c>
      <c r="C1991" s="7">
        <f>4+1</f>
        <v>5</v>
      </c>
      <c r="D1991" s="7">
        <v>4.0</v>
      </c>
      <c r="E1991" s="9">
        <v>2.0</v>
      </c>
      <c r="F1991" s="7" t="s">
        <v>64</v>
      </c>
      <c r="G1991" s="7" t="s">
        <v>44</v>
      </c>
      <c r="H1991" s="9" t="s">
        <v>2981</v>
      </c>
      <c r="I1991" t="s">
        <v>2988</v>
      </c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 t="str">
        <f t="shared" si="1"/>
        <v>Land area </v>
      </c>
      <c r="AE1991" s="7" t="str">
        <f t="shared" si="2"/>
        <v> sq. ft.</v>
      </c>
      <c r="AF1991">
        <f>IFERROR(__xludf.DUMMYFUNCTION("VALUE(REGEXREPLACE(G1991,""[^[:digit:]]"", """"))"),3600.0)</f>
        <v>3600</v>
      </c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 t="s">
        <v>27</v>
      </c>
    </row>
    <row r="1992">
      <c r="A1992" s="7" t="s">
        <v>41</v>
      </c>
      <c r="B1992" s="7" t="s">
        <v>1636</v>
      </c>
      <c r="C1992" s="7">
        <v>8.0</v>
      </c>
      <c r="D1992" s="7">
        <v>6.0</v>
      </c>
      <c r="E1992" s="7">
        <v>6.0</v>
      </c>
      <c r="F1992" s="7" t="s">
        <v>67</v>
      </c>
      <c r="G1992" s="7" t="s">
        <v>1638</v>
      </c>
      <c r="H1992" s="9" t="s">
        <v>2981</v>
      </c>
      <c r="I1992" t="s">
        <v>3828</v>
      </c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 t="str">
        <f t="shared" si="1"/>
        <v>Land area </v>
      </c>
      <c r="AE1992" s="7" t="str">
        <f t="shared" si="2"/>
        <v> sq. ft.</v>
      </c>
      <c r="AF1992">
        <f>IFERROR(__xludf.DUMMYFUNCTION("VALUE(REGEXREPLACE(G1992,""[^[:digit:]]"", """"))"),7265.0)</f>
        <v>7265</v>
      </c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 t="s">
        <v>27</v>
      </c>
    </row>
    <row r="1993">
      <c r="A1993" s="7" t="s">
        <v>41</v>
      </c>
      <c r="B1993" s="7" t="s">
        <v>120</v>
      </c>
      <c r="C1993" s="7">
        <f>4+1</f>
        <v>5</v>
      </c>
      <c r="D1993" s="7">
        <v>5.0</v>
      </c>
      <c r="E1993" s="7">
        <v>2.0</v>
      </c>
      <c r="F1993" s="7" t="s">
        <v>43</v>
      </c>
      <c r="G1993" s="7" t="s">
        <v>876</v>
      </c>
      <c r="H1993" s="9" t="s">
        <v>2981</v>
      </c>
      <c r="I1993" t="s">
        <v>3384</v>
      </c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 t="str">
        <f t="shared" si="1"/>
        <v>Land area </v>
      </c>
      <c r="AE1993" s="7" t="str">
        <f t="shared" si="2"/>
        <v> sq. ft.</v>
      </c>
      <c r="AF1993">
        <f>IFERROR(__xludf.DUMMYFUNCTION("VALUE(REGEXREPLACE(G1993,""[^[:digit:]]"", """"))"),3400.0)</f>
        <v>3400</v>
      </c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 t="s">
        <v>27</v>
      </c>
    </row>
    <row r="1994">
      <c r="A1994" s="7" t="s">
        <v>41</v>
      </c>
      <c r="B1994" s="7" t="s">
        <v>635</v>
      </c>
      <c r="C1994" s="7">
        <f>2</f>
        <v>2</v>
      </c>
      <c r="D1994" s="7">
        <v>2.0</v>
      </c>
      <c r="E1994" s="7">
        <v>1.0</v>
      </c>
      <c r="F1994" s="7" t="s">
        <v>83</v>
      </c>
      <c r="G1994" s="7" t="s">
        <v>1532</v>
      </c>
      <c r="H1994" s="9" t="s">
        <v>2979</v>
      </c>
      <c r="I1994" t="s">
        <v>3764</v>
      </c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 t="str">
        <f t="shared" si="1"/>
        <v>Built-up :</v>
      </c>
      <c r="AE1994" s="7" t="str">
        <f t="shared" si="2"/>
        <v> sq. ft.</v>
      </c>
      <c r="AF1994">
        <f>IFERROR(__xludf.DUMMYFUNCTION("VALUE(REGEXREPLACE(G1994,""[^[:digit:]]"", """"))"),1044.0)</f>
        <v>1044</v>
      </c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 t="s">
        <v>27</v>
      </c>
    </row>
    <row r="1995">
      <c r="A1995" s="7" t="s">
        <v>77</v>
      </c>
      <c r="B1995" s="7" t="s">
        <v>42</v>
      </c>
      <c r="C1995" s="7">
        <f>5+1</f>
        <v>6</v>
      </c>
      <c r="D1995" s="7">
        <v>6.0</v>
      </c>
      <c r="E1995" s="7">
        <v>2.0</v>
      </c>
      <c r="F1995" s="7" t="s">
        <v>90</v>
      </c>
      <c r="G1995" s="7" t="s">
        <v>211</v>
      </c>
      <c r="H1995" s="9" t="s">
        <v>2981</v>
      </c>
      <c r="I1995" t="s">
        <v>2992</v>
      </c>
      <c r="J1995" s="7"/>
      <c r="K1995" s="7"/>
      <c r="L1995" s="7"/>
      <c r="M1995" s="7"/>
      <c r="N1995" s="7"/>
      <c r="O1995" s="7"/>
      <c r="P1995" s="7"/>
      <c r="Q1995" s="7"/>
      <c r="R1995" s="7"/>
      <c r="S1995" s="7" t="s">
        <v>2993</v>
      </c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 t="str">
        <f t="shared" si="1"/>
        <v>Land area </v>
      </c>
      <c r="AE1995" s="7" t="str">
        <f t="shared" si="2"/>
        <v> sq. ft.</v>
      </c>
      <c r="AF1995">
        <f>IFERROR(__xludf.DUMMYFUNCTION("VALUE(REGEXREPLACE(G1995,""[^[:digit:]]"", """"))"),2280.0)</f>
        <v>2280</v>
      </c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 t="s">
        <v>27</v>
      </c>
    </row>
    <row r="1996">
      <c r="A1996" s="7" t="s">
        <v>41</v>
      </c>
      <c r="B1996" s="7" t="s">
        <v>1639</v>
      </c>
      <c r="C1996" s="7">
        <f>6+1</f>
        <v>7</v>
      </c>
      <c r="D1996" s="7">
        <v>6.0</v>
      </c>
      <c r="E1996" s="9">
        <v>2.0</v>
      </c>
      <c r="F1996" s="7" t="s">
        <v>67</v>
      </c>
      <c r="G1996" s="7" t="s">
        <v>1640</v>
      </c>
      <c r="H1996" s="9" t="s">
        <v>2981</v>
      </c>
      <c r="I1996" t="s">
        <v>3829</v>
      </c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 t="str">
        <f t="shared" si="1"/>
        <v>Land area </v>
      </c>
      <c r="AE1996" s="7" t="str">
        <f t="shared" si="2"/>
        <v> sq. ft.</v>
      </c>
      <c r="AF1996">
        <f>IFERROR(__xludf.DUMMYFUNCTION("VALUE(REGEXREPLACE(G1996,""[^[:digit:]]"", """"))"),8812.0)</f>
        <v>8812</v>
      </c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 t="s">
        <v>22</v>
      </c>
    </row>
    <row r="1997">
      <c r="A1997" s="7" t="s">
        <v>41</v>
      </c>
      <c r="B1997" s="7" t="s">
        <v>1641</v>
      </c>
      <c r="E1997" s="9">
        <v>2.0</v>
      </c>
      <c r="F1997" s="7" t="s">
        <v>1642</v>
      </c>
      <c r="G1997" s="7" t="s">
        <v>1643</v>
      </c>
      <c r="H1997" s="9" t="s">
        <v>2981</v>
      </c>
      <c r="I1997" t="s">
        <v>3830</v>
      </c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 t="str">
        <f t="shared" si="1"/>
        <v>Land area </v>
      </c>
      <c r="AE1997" s="7" t="str">
        <f t="shared" si="2"/>
        <v> sq. ft.</v>
      </c>
      <c r="AF1997">
        <f>IFERROR(__xludf.DUMMYFUNCTION("VALUE(REGEXREPLACE(G1997,""[^[:digit:]]"", """"))"),9884.0)</f>
        <v>9884</v>
      </c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 t="s">
        <v>251</v>
      </c>
    </row>
    <row r="1998">
      <c r="A1998" s="7" t="s">
        <v>267</v>
      </c>
      <c r="B1998" s="7" t="s">
        <v>386</v>
      </c>
      <c r="C1998" s="7">
        <f>5+1</f>
        <v>6</v>
      </c>
      <c r="D1998" s="7">
        <v>4.0</v>
      </c>
      <c r="E1998" s="9">
        <v>2.0</v>
      </c>
      <c r="F1998" s="7" t="s">
        <v>736</v>
      </c>
      <c r="G1998" s="7" t="s">
        <v>1644</v>
      </c>
      <c r="H1998" s="9" t="s">
        <v>2981</v>
      </c>
      <c r="I1998" t="s">
        <v>3831</v>
      </c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 t="str">
        <f t="shared" si="1"/>
        <v>Land area </v>
      </c>
      <c r="AE1998" s="7" t="str">
        <f t="shared" si="2"/>
        <v> sq. ft.</v>
      </c>
      <c r="AF1998">
        <f>IFERROR(__xludf.DUMMYFUNCTION("VALUE(REGEXREPLACE(G1998,""[^[:digit:]]"", """"))"),3000.0)</f>
        <v>3000</v>
      </c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 t="s">
        <v>27</v>
      </c>
    </row>
    <row r="1999">
      <c r="A1999" s="7" t="s">
        <v>41</v>
      </c>
      <c r="B1999" s="7" t="s">
        <v>63</v>
      </c>
      <c r="C1999" s="7">
        <f t="shared" ref="C1999:C2000" si="240">4+1</f>
        <v>5</v>
      </c>
      <c r="D1999" s="7">
        <v>4.0</v>
      </c>
      <c r="E1999" s="9">
        <v>2.0</v>
      </c>
      <c r="F1999" s="7" t="s">
        <v>64</v>
      </c>
      <c r="G1999" s="7" t="s">
        <v>478</v>
      </c>
      <c r="H1999" s="9" t="s">
        <v>2981</v>
      </c>
      <c r="I1999" t="s">
        <v>3183</v>
      </c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 t="str">
        <f t="shared" si="1"/>
        <v>Land area </v>
      </c>
      <c r="AE1999" s="7" t="str">
        <f t="shared" si="2"/>
        <v> sq. ft.</v>
      </c>
      <c r="AF1999">
        <f>IFERROR(__xludf.DUMMYFUNCTION("VALUE(REGEXREPLACE(G1999,""[^[:digit:]]"", """"))"),3200.0)</f>
        <v>3200</v>
      </c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 t="s">
        <v>27</v>
      </c>
    </row>
    <row r="2000">
      <c r="A2000" s="7" t="s">
        <v>41</v>
      </c>
      <c r="B2000" s="7" t="s">
        <v>1030</v>
      </c>
      <c r="C2000" s="7">
        <f t="shared" si="240"/>
        <v>5</v>
      </c>
      <c r="D2000" s="7">
        <v>4.0</v>
      </c>
      <c r="E2000" s="9">
        <v>2.0</v>
      </c>
      <c r="F2000" s="7" t="s">
        <v>64</v>
      </c>
      <c r="G2000" s="7" t="s">
        <v>478</v>
      </c>
      <c r="H2000" s="9" t="s">
        <v>2981</v>
      </c>
      <c r="I2000" t="s">
        <v>3183</v>
      </c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 t="str">
        <f t="shared" si="1"/>
        <v>Land area </v>
      </c>
      <c r="AE2000" s="7" t="str">
        <f t="shared" si="2"/>
        <v> sq. ft.</v>
      </c>
      <c r="AF2000">
        <f>IFERROR(__xludf.DUMMYFUNCTION("VALUE(REGEXREPLACE(G2000,""[^[:digit:]]"", """"))"),3200.0)</f>
        <v>3200</v>
      </c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 t="s">
        <v>27</v>
      </c>
    </row>
    <row r="2001">
      <c r="A2001" s="7" t="s">
        <v>41</v>
      </c>
      <c r="B2001" s="7" t="s">
        <v>881</v>
      </c>
      <c r="C2001" s="7">
        <f t="shared" ref="C2001:C2002" si="241">5+1</f>
        <v>6</v>
      </c>
      <c r="D2001" s="7">
        <v>6.0</v>
      </c>
      <c r="E2001" s="7">
        <v>6.0</v>
      </c>
      <c r="F2001" s="7" t="s">
        <v>61</v>
      </c>
      <c r="G2001" s="7" t="s">
        <v>1645</v>
      </c>
      <c r="H2001" s="9" t="s">
        <v>2981</v>
      </c>
      <c r="I2001" t="s">
        <v>3832</v>
      </c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 t="str">
        <f t="shared" si="1"/>
        <v>Land area </v>
      </c>
      <c r="AE2001" s="7" t="str">
        <f t="shared" si="2"/>
        <v> sq. ft.</v>
      </c>
      <c r="AF2001">
        <f>IFERROR(__xludf.DUMMYFUNCTION("VALUE(REGEXREPLACE(G2001,""[^[:digit:]]"", """"))"),5931.0)</f>
        <v>5931</v>
      </c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 t="s">
        <v>27</v>
      </c>
    </row>
    <row r="2002">
      <c r="A2002" s="7" t="s">
        <v>41</v>
      </c>
      <c r="B2002" s="7" t="s">
        <v>842</v>
      </c>
      <c r="C2002" s="7">
        <f t="shared" si="241"/>
        <v>6</v>
      </c>
      <c r="D2002" s="7">
        <v>6.0</v>
      </c>
      <c r="E2002" s="9">
        <v>2.0</v>
      </c>
      <c r="F2002" s="7" t="s">
        <v>67</v>
      </c>
      <c r="G2002" s="7" t="s">
        <v>219</v>
      </c>
      <c r="H2002" s="9" t="s">
        <v>2981</v>
      </c>
      <c r="I2002" t="s">
        <v>3059</v>
      </c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 t="str">
        <f t="shared" si="1"/>
        <v>Land area </v>
      </c>
      <c r="AE2002" s="7" t="str">
        <f t="shared" si="2"/>
        <v> sq. ft.</v>
      </c>
      <c r="AF2002">
        <f>IFERROR(__xludf.DUMMYFUNCTION("VALUE(REGEXREPLACE(G2002,""[^[:digit:]]"", """"))"),7000.0)</f>
        <v>7000</v>
      </c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 t="s">
        <v>27</v>
      </c>
    </row>
    <row r="2003">
      <c r="A2003" s="7" t="s">
        <v>267</v>
      </c>
      <c r="B2003" s="7" t="s">
        <v>390</v>
      </c>
      <c r="C2003" s="7">
        <f>5</f>
        <v>5</v>
      </c>
      <c r="D2003" s="7">
        <v>4.0</v>
      </c>
      <c r="E2003" s="7">
        <v>4.0</v>
      </c>
      <c r="F2003" s="7" t="s">
        <v>61</v>
      </c>
      <c r="G2003" s="7" t="s">
        <v>40</v>
      </c>
      <c r="H2003" s="9" t="s">
        <v>2981</v>
      </c>
      <c r="I2003" t="s">
        <v>2987</v>
      </c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 t="str">
        <f t="shared" si="1"/>
        <v>Land area </v>
      </c>
      <c r="AE2003" s="7" t="str">
        <f t="shared" si="2"/>
        <v> sq. ft.</v>
      </c>
      <c r="AF2003">
        <f>IFERROR(__xludf.DUMMYFUNCTION("VALUE(REGEXREPLACE(G2003,""[^[:digit:]]"", """"))"),7200.0)</f>
        <v>7200</v>
      </c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 t="s">
        <v>27</v>
      </c>
    </row>
    <row r="2004">
      <c r="A2004" s="7" t="s">
        <v>41</v>
      </c>
      <c r="B2004" s="7" t="s">
        <v>1646</v>
      </c>
      <c r="C2004" s="7">
        <f t="shared" ref="C2004:C2005" si="242">4+1</f>
        <v>5</v>
      </c>
      <c r="D2004" s="7">
        <v>5.0</v>
      </c>
      <c r="E2004" s="9">
        <v>2.0</v>
      </c>
      <c r="F2004" s="7" t="s">
        <v>61</v>
      </c>
      <c r="G2004" s="7" t="s">
        <v>631</v>
      </c>
      <c r="H2004" s="9" t="s">
        <v>2981</v>
      </c>
      <c r="I2004" t="s">
        <v>3258</v>
      </c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 t="str">
        <f t="shared" si="1"/>
        <v>Land area </v>
      </c>
      <c r="AE2004" s="7" t="str">
        <f t="shared" si="2"/>
        <v> sq. ft.</v>
      </c>
      <c r="AF2004">
        <f>IFERROR(__xludf.DUMMYFUNCTION("VALUE(REGEXREPLACE(G2004,""[^[:digit:]]"", """"))"),5000.0)</f>
        <v>5000</v>
      </c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 t="s">
        <v>27</v>
      </c>
    </row>
    <row r="2005">
      <c r="A2005" s="7" t="s">
        <v>41</v>
      </c>
      <c r="B2005" s="7" t="s">
        <v>69</v>
      </c>
      <c r="C2005" s="7">
        <f t="shared" si="242"/>
        <v>5</v>
      </c>
      <c r="D2005" s="7">
        <v>5.0</v>
      </c>
      <c r="E2005" s="7">
        <v>2.0</v>
      </c>
      <c r="F2005" s="7" t="s">
        <v>64</v>
      </c>
      <c r="G2005" s="7" t="s">
        <v>863</v>
      </c>
      <c r="H2005" s="9" t="s">
        <v>2981</v>
      </c>
      <c r="I2005" t="s">
        <v>3377</v>
      </c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 t="str">
        <f t="shared" si="1"/>
        <v>Land area </v>
      </c>
      <c r="AE2005" s="7" t="str">
        <f t="shared" si="2"/>
        <v> sq. ft.</v>
      </c>
      <c r="AF2005">
        <f>IFERROR(__xludf.DUMMYFUNCTION("VALUE(REGEXREPLACE(G2005,""[^[:digit:]]"", """"))"),3500.0)</f>
        <v>3500</v>
      </c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 t="s">
        <v>27</v>
      </c>
    </row>
    <row r="2006">
      <c r="A2006" s="7" t="s">
        <v>41</v>
      </c>
      <c r="B2006" s="7" t="s">
        <v>243</v>
      </c>
      <c r="C2006" s="7">
        <f>4</f>
        <v>4</v>
      </c>
      <c r="D2006" s="7">
        <v>3.0</v>
      </c>
      <c r="E2006" s="7">
        <v>2.0</v>
      </c>
      <c r="F2006" s="7" t="s">
        <v>90</v>
      </c>
      <c r="G2006" s="7" t="s">
        <v>1195</v>
      </c>
      <c r="H2006" s="9" t="s">
        <v>2981</v>
      </c>
      <c r="I2006" t="s">
        <v>3020</v>
      </c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 t="str">
        <f t="shared" si="1"/>
        <v>Land area </v>
      </c>
      <c r="AE2006" s="7" t="str">
        <f t="shared" si="2"/>
        <v> sq. ft.</v>
      </c>
      <c r="AF2006">
        <f>IFERROR(__xludf.DUMMYFUNCTION("VALUE(REGEXREPLACE(G2006,""[^[:digit:]]"", """"))"),1600.0)</f>
        <v>1600</v>
      </c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 t="s">
        <v>27</v>
      </c>
    </row>
    <row r="2007">
      <c r="A2007" s="7" t="s">
        <v>41</v>
      </c>
      <c r="B2007" s="7" t="s">
        <v>1222</v>
      </c>
      <c r="E2007" s="9">
        <v>2.0</v>
      </c>
      <c r="F2007" s="7" t="s">
        <v>1642</v>
      </c>
      <c r="G2007" s="7" t="s">
        <v>1647</v>
      </c>
      <c r="H2007" s="9" t="s">
        <v>2981</v>
      </c>
      <c r="I2007" t="s">
        <v>3833</v>
      </c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 t="str">
        <f t="shared" si="1"/>
        <v>Land area </v>
      </c>
      <c r="AE2007" s="7" t="str">
        <f t="shared" si="2"/>
        <v> sq. ft.</v>
      </c>
      <c r="AF2007">
        <f>IFERROR(__xludf.DUMMYFUNCTION("VALUE(REGEXREPLACE(G2007,""[^[:digit:]]"", """"))"),10583.0)</f>
        <v>10583</v>
      </c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</row>
    <row r="2008">
      <c r="A2008" s="7" t="s">
        <v>41</v>
      </c>
      <c r="B2008" s="7" t="s">
        <v>1648</v>
      </c>
      <c r="C2008" s="7">
        <f>5+1</f>
        <v>6</v>
      </c>
      <c r="D2008" s="7">
        <v>6.0</v>
      </c>
      <c r="E2008" s="9">
        <v>2.0</v>
      </c>
      <c r="F2008" s="7" t="s">
        <v>25</v>
      </c>
      <c r="G2008" s="7" t="s">
        <v>1649</v>
      </c>
      <c r="H2008" s="9" t="s">
        <v>2981</v>
      </c>
      <c r="I2008" t="s">
        <v>3834</v>
      </c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 t="str">
        <f t="shared" si="1"/>
        <v>Land area </v>
      </c>
      <c r="AE2008" s="7" t="str">
        <f t="shared" si="2"/>
        <v> sq. ft.</v>
      </c>
      <c r="AF2008">
        <f>IFERROR(__xludf.DUMMYFUNCTION("VALUE(REGEXREPLACE(G2008,""[^[:digit:]]"", """"))"),5442.0)</f>
        <v>5442</v>
      </c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 t="s">
        <v>27</v>
      </c>
    </row>
    <row r="2009">
      <c r="A2009" s="7" t="s">
        <v>41</v>
      </c>
      <c r="B2009" s="7" t="s">
        <v>1650</v>
      </c>
      <c r="C2009" s="7">
        <f t="shared" ref="C2009:C2010" si="243">3</f>
        <v>3</v>
      </c>
      <c r="D2009" s="7">
        <v>2.0</v>
      </c>
      <c r="E2009" s="7">
        <v>2.0</v>
      </c>
      <c r="F2009" s="7" t="s">
        <v>83</v>
      </c>
      <c r="G2009" s="7" t="s">
        <v>471</v>
      </c>
      <c r="H2009" s="9" t="s">
        <v>2979</v>
      </c>
      <c r="I2009" t="s">
        <v>3179</v>
      </c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 t="str">
        <f t="shared" si="1"/>
        <v>Built-up :</v>
      </c>
      <c r="AE2009" s="7" t="str">
        <f t="shared" si="2"/>
        <v> sq. ft.</v>
      </c>
      <c r="AF2009">
        <f>IFERROR(__xludf.DUMMYFUNCTION("VALUE(REGEXREPLACE(G2009,""[^[:digit:]]"", """"))"),1400.0)</f>
        <v>1400</v>
      </c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 t="s">
        <v>27</v>
      </c>
    </row>
    <row r="2010">
      <c r="A2010" s="7" t="s">
        <v>171</v>
      </c>
      <c r="B2010" s="7" t="s">
        <v>206</v>
      </c>
      <c r="C2010" s="7">
        <f t="shared" si="243"/>
        <v>3</v>
      </c>
      <c r="D2010" s="7">
        <v>3.0</v>
      </c>
      <c r="E2010" s="7">
        <v>2.0</v>
      </c>
      <c r="F2010" s="7" t="s">
        <v>83</v>
      </c>
      <c r="G2010" s="7" t="s">
        <v>1651</v>
      </c>
      <c r="H2010" s="9" t="s">
        <v>2979</v>
      </c>
      <c r="I2010" t="s">
        <v>3835</v>
      </c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 t="str">
        <f t="shared" si="1"/>
        <v>Built-up :</v>
      </c>
      <c r="AE2010" s="7" t="str">
        <f t="shared" si="2"/>
        <v> sq. ft.</v>
      </c>
      <c r="AF2010">
        <f>IFERROR(__xludf.DUMMYFUNCTION("VALUE(REGEXREPLACE(G2010,""[^[:digit:]]"", """"))"),1554.0)</f>
        <v>1554</v>
      </c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 t="s">
        <v>103</v>
      </c>
    </row>
    <row r="2011">
      <c r="A2011" s="7" t="s">
        <v>41</v>
      </c>
      <c r="B2011" s="7" t="s">
        <v>1060</v>
      </c>
      <c r="C2011" s="7">
        <f t="shared" ref="C2011:C2012" si="244">5+1</f>
        <v>6</v>
      </c>
      <c r="D2011" s="7">
        <v>6.0</v>
      </c>
      <c r="E2011" s="9">
        <v>2.0</v>
      </c>
      <c r="F2011" s="7" t="s">
        <v>67</v>
      </c>
      <c r="G2011" s="7" t="s">
        <v>219</v>
      </c>
      <c r="H2011" s="9" t="s">
        <v>2981</v>
      </c>
      <c r="I2011" t="s">
        <v>3059</v>
      </c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 t="str">
        <f t="shared" si="1"/>
        <v>Land area </v>
      </c>
      <c r="AE2011" s="7" t="str">
        <f t="shared" si="2"/>
        <v> sq. ft.</v>
      </c>
      <c r="AF2011">
        <f>IFERROR(__xludf.DUMMYFUNCTION("VALUE(REGEXREPLACE(G2011,""[^[:digit:]]"", """"))"),7000.0)</f>
        <v>7000</v>
      </c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 t="s">
        <v>27</v>
      </c>
    </row>
    <row r="2012">
      <c r="A2012" s="7" t="s">
        <v>41</v>
      </c>
      <c r="B2012" s="7" t="s">
        <v>1060</v>
      </c>
      <c r="C2012" s="7">
        <f t="shared" si="244"/>
        <v>6</v>
      </c>
      <c r="D2012" s="7">
        <v>6.0</v>
      </c>
      <c r="E2012" s="9">
        <v>2.0</v>
      </c>
      <c r="F2012" s="7" t="s">
        <v>61</v>
      </c>
      <c r="G2012" s="7" t="s">
        <v>1202</v>
      </c>
      <c r="H2012" s="9" t="s">
        <v>2981</v>
      </c>
      <c r="I2012" t="s">
        <v>3574</v>
      </c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 t="str">
        <f t="shared" si="1"/>
        <v>Land area </v>
      </c>
      <c r="AE2012" s="7" t="str">
        <f t="shared" si="2"/>
        <v> sq. ft.</v>
      </c>
      <c r="AF2012">
        <f>IFERROR(__xludf.DUMMYFUNCTION("VALUE(REGEXREPLACE(G2012,""[^[:digit:]]"", """"))"),4500.0)</f>
        <v>4500</v>
      </c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 t="s">
        <v>27</v>
      </c>
    </row>
    <row r="2013">
      <c r="A2013" s="7" t="s">
        <v>41</v>
      </c>
      <c r="B2013" s="7" t="s">
        <v>18</v>
      </c>
      <c r="C2013" s="7">
        <f>4+1</f>
        <v>5</v>
      </c>
      <c r="D2013" s="7">
        <v>4.0</v>
      </c>
      <c r="E2013" s="7">
        <v>3.0</v>
      </c>
      <c r="F2013" s="7" t="s">
        <v>90</v>
      </c>
      <c r="G2013" s="7" t="s">
        <v>1195</v>
      </c>
      <c r="H2013" s="9" t="s">
        <v>2981</v>
      </c>
      <c r="I2013" t="s">
        <v>3020</v>
      </c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 t="str">
        <f t="shared" si="1"/>
        <v>Land area </v>
      </c>
      <c r="AE2013" s="7" t="str">
        <f t="shared" si="2"/>
        <v> sq. ft.</v>
      </c>
      <c r="AF2013">
        <f>IFERROR(__xludf.DUMMYFUNCTION("VALUE(REGEXREPLACE(G2013,""[^[:digit:]]"", """"))"),1600.0)</f>
        <v>1600</v>
      </c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 t="s">
        <v>27</v>
      </c>
    </row>
    <row r="2014">
      <c r="A2014" s="7" t="s">
        <v>41</v>
      </c>
      <c r="B2014" s="7" t="s">
        <v>42</v>
      </c>
      <c r="C2014" s="7">
        <f>5+1</f>
        <v>6</v>
      </c>
      <c r="D2014" s="7">
        <v>4.0</v>
      </c>
      <c r="E2014" s="7">
        <v>4.0</v>
      </c>
      <c r="F2014" s="7" t="s">
        <v>61</v>
      </c>
      <c r="G2014" s="7" t="s">
        <v>430</v>
      </c>
      <c r="H2014" s="9" t="s">
        <v>2981</v>
      </c>
      <c r="I2014" t="s">
        <v>3158</v>
      </c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 t="str">
        <f t="shared" si="1"/>
        <v>Land area </v>
      </c>
      <c r="AE2014" s="7" t="str">
        <f t="shared" si="2"/>
        <v> sq. ft.</v>
      </c>
      <c r="AF2014">
        <f>IFERROR(__xludf.DUMMYFUNCTION("VALUE(REGEXREPLACE(G2014,""[^[:digit:]]"", """"))"),6300.0)</f>
        <v>6300</v>
      </c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 t="s">
        <v>27</v>
      </c>
    </row>
    <row r="2015">
      <c r="A2015" s="7" t="s">
        <v>17</v>
      </c>
      <c r="B2015" s="7" t="s">
        <v>120</v>
      </c>
      <c r="C2015" s="7">
        <f>4+1</f>
        <v>5</v>
      </c>
      <c r="D2015" s="7">
        <v>5.0</v>
      </c>
      <c r="E2015" s="7">
        <v>3.0</v>
      </c>
      <c r="F2015" s="7" t="s">
        <v>83</v>
      </c>
      <c r="G2015" s="7" t="s">
        <v>1652</v>
      </c>
      <c r="H2015" s="9" t="s">
        <v>2979</v>
      </c>
      <c r="I2015" t="s">
        <v>3836</v>
      </c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 t="str">
        <f t="shared" si="1"/>
        <v>Built-up :</v>
      </c>
      <c r="AE2015" s="7" t="str">
        <f t="shared" si="2"/>
        <v> sq. ft.</v>
      </c>
      <c r="AF2015">
        <f>IFERROR(__xludf.DUMMYFUNCTION("VALUE(REGEXREPLACE(G2015,""[^[:digit:]]"", """"))"),3358.0)</f>
        <v>3358</v>
      </c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 t="s">
        <v>27</v>
      </c>
    </row>
    <row r="2016">
      <c r="A2016" s="7" t="s">
        <v>267</v>
      </c>
      <c r="B2016" s="7" t="s">
        <v>842</v>
      </c>
      <c r="C2016" s="7">
        <f>5</f>
        <v>5</v>
      </c>
      <c r="D2016" s="7">
        <v>4.0</v>
      </c>
      <c r="E2016" s="7">
        <v>6.0</v>
      </c>
      <c r="F2016" s="7" t="s">
        <v>25</v>
      </c>
      <c r="G2016" s="7" t="s">
        <v>40</v>
      </c>
      <c r="H2016" s="9" t="s">
        <v>2981</v>
      </c>
      <c r="I2016" t="s">
        <v>2987</v>
      </c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 t="str">
        <f t="shared" si="1"/>
        <v>Land area </v>
      </c>
      <c r="AE2016" s="7" t="str">
        <f t="shared" si="2"/>
        <v> sq. ft.</v>
      </c>
      <c r="AF2016">
        <f>IFERROR(__xludf.DUMMYFUNCTION("VALUE(REGEXREPLACE(G2016,""[^[:digit:]]"", """"))"),7200.0)</f>
        <v>7200</v>
      </c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</row>
    <row r="2017">
      <c r="A2017" s="7" t="s">
        <v>432</v>
      </c>
      <c r="B2017" s="7" t="s">
        <v>260</v>
      </c>
      <c r="C2017" s="7">
        <f t="shared" ref="C2017:C2018" si="245">4</f>
        <v>4</v>
      </c>
      <c r="D2017" s="7">
        <v>3.0</v>
      </c>
      <c r="E2017" s="9">
        <v>2.0</v>
      </c>
      <c r="F2017" s="7" t="s">
        <v>54</v>
      </c>
      <c r="G2017" s="7" t="s">
        <v>91</v>
      </c>
      <c r="H2017" s="9" t="s">
        <v>2981</v>
      </c>
      <c r="I2017" t="s">
        <v>3003</v>
      </c>
      <c r="J2017" s="7"/>
      <c r="K2017" s="7"/>
      <c r="L2017" s="7"/>
      <c r="M2017" s="7"/>
      <c r="N2017" s="7"/>
      <c r="O2017" s="7"/>
      <c r="P2017" s="7"/>
      <c r="Q2017" s="7"/>
      <c r="R2017" s="7"/>
      <c r="S2017" s="7" t="s">
        <v>2990</v>
      </c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 t="str">
        <f t="shared" si="1"/>
        <v>Land area </v>
      </c>
      <c r="AE2017" s="7" t="str">
        <f t="shared" si="2"/>
        <v> sq. ft.</v>
      </c>
      <c r="AF2017">
        <f>IFERROR(__xludf.DUMMYFUNCTION("VALUE(REGEXREPLACE(G2017,""[^[:digit:]]"", """"))"),2075.0)</f>
        <v>2075</v>
      </c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 t="s">
        <v>27</v>
      </c>
    </row>
    <row r="2018">
      <c r="A2018" s="7" t="s">
        <v>432</v>
      </c>
      <c r="B2018" s="7" t="s">
        <v>193</v>
      </c>
      <c r="C2018" s="7">
        <f t="shared" si="245"/>
        <v>4</v>
      </c>
      <c r="D2018" s="7">
        <v>3.0</v>
      </c>
      <c r="E2018" s="9">
        <v>2.0</v>
      </c>
      <c r="F2018" s="7" t="s">
        <v>54</v>
      </c>
      <c r="G2018" s="7" t="s">
        <v>211</v>
      </c>
      <c r="H2018" s="9" t="s">
        <v>2981</v>
      </c>
      <c r="I2018" t="s">
        <v>2992</v>
      </c>
      <c r="J2018" s="7"/>
      <c r="K2018" s="7"/>
      <c r="L2018" s="7"/>
      <c r="M2018" s="7"/>
      <c r="N2018" s="7"/>
      <c r="O2018" s="7"/>
      <c r="P2018" s="7"/>
      <c r="Q2018" s="7"/>
      <c r="R2018" s="7"/>
      <c r="S2018" s="7" t="s">
        <v>2993</v>
      </c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 t="str">
        <f t="shared" si="1"/>
        <v>Land area </v>
      </c>
      <c r="AE2018" s="7" t="str">
        <f t="shared" si="2"/>
        <v> sq. ft.</v>
      </c>
      <c r="AF2018">
        <f>IFERROR(__xludf.DUMMYFUNCTION("VALUE(REGEXREPLACE(G2018,""[^[:digit:]]"", """"))"),2280.0)</f>
        <v>2280</v>
      </c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 t="s">
        <v>27</v>
      </c>
    </row>
    <row r="2019">
      <c r="A2019" s="7" t="s">
        <v>368</v>
      </c>
      <c r="B2019" s="7" t="s">
        <v>635</v>
      </c>
      <c r="C2019" s="7">
        <f>3</f>
        <v>3</v>
      </c>
      <c r="D2019" s="7">
        <v>3.0</v>
      </c>
      <c r="E2019" s="7">
        <v>2.0</v>
      </c>
      <c r="F2019" s="7" t="s">
        <v>20</v>
      </c>
      <c r="G2019" s="7" t="s">
        <v>161</v>
      </c>
      <c r="H2019" s="9" t="s">
        <v>2979</v>
      </c>
      <c r="I2019" t="s">
        <v>3033</v>
      </c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 t="str">
        <f t="shared" si="1"/>
        <v>Built-up :</v>
      </c>
      <c r="AE2019" s="7" t="str">
        <f t="shared" si="2"/>
        <v> sq. ft.</v>
      </c>
      <c r="AF2019">
        <f>IFERROR(__xludf.DUMMYFUNCTION("VALUE(REGEXREPLACE(G2019,""[^[:digit:]]"", """"))"),1227.0)</f>
        <v>1227</v>
      </c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 t="s">
        <v>27</v>
      </c>
    </row>
    <row r="2020">
      <c r="A2020" s="7" t="s">
        <v>28</v>
      </c>
      <c r="B2020" s="7" t="s">
        <v>247</v>
      </c>
      <c r="C2020" s="7">
        <f t="shared" ref="C2020:C2021" si="246">4+1</f>
        <v>5</v>
      </c>
      <c r="D2020" s="7">
        <v>5.0</v>
      </c>
      <c r="E2020" s="7">
        <v>1.0</v>
      </c>
      <c r="F2020" s="7" t="s">
        <v>43</v>
      </c>
      <c r="G2020" s="7" t="s">
        <v>944</v>
      </c>
      <c r="H2020" s="9" t="s">
        <v>2981</v>
      </c>
      <c r="I2020" t="s">
        <v>3419</v>
      </c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 t="str">
        <f t="shared" si="1"/>
        <v>Land area </v>
      </c>
      <c r="AE2020" s="7" t="str">
        <f t="shared" si="2"/>
        <v> sq. ft.</v>
      </c>
      <c r="AF2020">
        <f>IFERROR(__xludf.DUMMYFUNCTION("VALUE(REGEXREPLACE(G2020,""[^[:digit:]]"", """"))"),3800.0)</f>
        <v>3800</v>
      </c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 t="s">
        <v>27</v>
      </c>
    </row>
    <row r="2021">
      <c r="A2021" s="7" t="s">
        <v>104</v>
      </c>
      <c r="B2021" s="7" t="s">
        <v>214</v>
      </c>
      <c r="C2021" s="7">
        <f t="shared" si="246"/>
        <v>5</v>
      </c>
      <c r="D2021" s="7">
        <v>3.0</v>
      </c>
      <c r="E2021" s="7">
        <v>6.0</v>
      </c>
      <c r="F2021" s="7" t="s">
        <v>46</v>
      </c>
      <c r="G2021" s="7" t="s">
        <v>1653</v>
      </c>
      <c r="H2021" s="9" t="s">
        <v>2981</v>
      </c>
      <c r="I2021" t="s">
        <v>3837</v>
      </c>
      <c r="J2021" s="7"/>
      <c r="K2021" s="7"/>
      <c r="L2021" s="7"/>
      <c r="M2021" s="7"/>
      <c r="N2021" s="7"/>
      <c r="O2021" s="7"/>
      <c r="P2021" s="7"/>
      <c r="Q2021" s="7"/>
      <c r="R2021" s="7"/>
      <c r="S2021" s="7" t="s">
        <v>3121</v>
      </c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 t="str">
        <f t="shared" si="1"/>
        <v>Land area </v>
      </c>
      <c r="AE2021" s="7" t="str">
        <f t="shared" si="2"/>
        <v> sq. ft.</v>
      </c>
      <c r="AF2021">
        <f>IFERROR(__xludf.DUMMYFUNCTION("VALUE(REGEXREPLACE(G2021,""[^[:digit:]]"", """"))"),3470.0)</f>
        <v>3470</v>
      </c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 t="s">
        <v>103</v>
      </c>
    </row>
    <row r="2022">
      <c r="A2022" s="7" t="s">
        <v>180</v>
      </c>
      <c r="B2022" s="7" t="s">
        <v>105</v>
      </c>
      <c r="C2022" s="7" t="s">
        <v>325</v>
      </c>
      <c r="D2022" s="7">
        <v>1.0</v>
      </c>
      <c r="E2022" s="9">
        <v>2.0</v>
      </c>
      <c r="F2022" s="7" t="s">
        <v>20</v>
      </c>
      <c r="G2022" s="7" t="s">
        <v>1654</v>
      </c>
      <c r="H2022" s="9" t="s">
        <v>2979</v>
      </c>
      <c r="I2022" t="s">
        <v>3838</v>
      </c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 t="str">
        <f t="shared" si="1"/>
        <v>Built-up :</v>
      </c>
      <c r="AE2022" s="7" t="str">
        <f t="shared" si="2"/>
        <v> sq. ft.</v>
      </c>
      <c r="AF2022">
        <f>IFERROR(__xludf.DUMMYFUNCTION("VALUE(REGEXREPLACE(G2022,""[^[:digit:]]"", """"))"),515.0)</f>
        <v>515</v>
      </c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 t="s">
        <v>22</v>
      </c>
    </row>
    <row r="2023">
      <c r="A2023" s="7" t="s">
        <v>72</v>
      </c>
      <c r="B2023" s="7" t="s">
        <v>174</v>
      </c>
      <c r="C2023" s="7">
        <f>5</f>
        <v>5</v>
      </c>
      <c r="D2023" s="7">
        <v>5.0</v>
      </c>
      <c r="E2023" s="7">
        <v>3.0</v>
      </c>
      <c r="F2023" s="7" t="s">
        <v>20</v>
      </c>
      <c r="G2023" s="7" t="s">
        <v>1655</v>
      </c>
      <c r="H2023" s="9" t="s">
        <v>2979</v>
      </c>
      <c r="I2023" t="s">
        <v>3839</v>
      </c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 t="str">
        <f t="shared" si="1"/>
        <v>Built-up :</v>
      </c>
      <c r="AE2023" s="7" t="str">
        <f t="shared" si="2"/>
        <v> sq. ft.</v>
      </c>
      <c r="AF2023">
        <f>IFERROR(__xludf.DUMMYFUNCTION("VALUE(REGEXREPLACE(G2023,""[^[:digit:]]"", """"))"),4214.0)</f>
        <v>4214</v>
      </c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 t="s">
        <v>27</v>
      </c>
    </row>
    <row r="2024">
      <c r="A2024" s="7" t="s">
        <v>28</v>
      </c>
      <c r="B2024" s="7" t="s">
        <v>311</v>
      </c>
      <c r="C2024" s="7">
        <f t="shared" ref="C2024:C2025" si="247">2</f>
        <v>2</v>
      </c>
      <c r="D2024" s="7">
        <v>2.0</v>
      </c>
      <c r="E2024" s="9">
        <v>2.0</v>
      </c>
      <c r="F2024" s="7" t="s">
        <v>20</v>
      </c>
      <c r="G2024" s="7" t="s">
        <v>1656</v>
      </c>
      <c r="H2024" s="9" t="s">
        <v>2979</v>
      </c>
      <c r="I2024" t="s">
        <v>3840</v>
      </c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 t="str">
        <f t="shared" si="1"/>
        <v>Built-up :</v>
      </c>
      <c r="AE2024" s="7" t="str">
        <f t="shared" si="2"/>
        <v> sq. ft.</v>
      </c>
      <c r="AF2024">
        <f>IFERROR(__xludf.DUMMYFUNCTION("VALUE(REGEXREPLACE(G2024,""[^[:digit:]]"", """"))"),1145.0)</f>
        <v>1145</v>
      </c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 t="s">
        <v>22</v>
      </c>
    </row>
    <row r="2025">
      <c r="A2025" s="7" t="s">
        <v>28</v>
      </c>
      <c r="B2025" s="7" t="s">
        <v>191</v>
      </c>
      <c r="C2025" s="7">
        <f t="shared" si="247"/>
        <v>2</v>
      </c>
      <c r="D2025" s="7">
        <v>2.0</v>
      </c>
      <c r="E2025" s="9">
        <v>2.0</v>
      </c>
      <c r="F2025" s="7" t="s">
        <v>20</v>
      </c>
      <c r="G2025" s="7" t="s">
        <v>1656</v>
      </c>
      <c r="H2025" s="9" t="s">
        <v>2979</v>
      </c>
      <c r="I2025" t="s">
        <v>3840</v>
      </c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 t="str">
        <f t="shared" si="1"/>
        <v>Built-up :</v>
      </c>
      <c r="AE2025" s="7" t="str">
        <f t="shared" si="2"/>
        <v> sq. ft.</v>
      </c>
      <c r="AF2025">
        <f>IFERROR(__xludf.DUMMYFUNCTION("VALUE(REGEXREPLACE(G2025,""[^[:digit:]]"", """"))"),1145.0)</f>
        <v>1145</v>
      </c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 t="s">
        <v>22</v>
      </c>
    </row>
    <row r="2026">
      <c r="A2026" s="7" t="s">
        <v>155</v>
      </c>
      <c r="B2026" s="7" t="s">
        <v>245</v>
      </c>
      <c r="C2026" s="7">
        <f>3</f>
        <v>3</v>
      </c>
      <c r="D2026" s="7">
        <v>3.0</v>
      </c>
      <c r="E2026" s="7">
        <v>1.0</v>
      </c>
      <c r="F2026" s="7" t="s">
        <v>83</v>
      </c>
      <c r="G2026" s="7" t="s">
        <v>1099</v>
      </c>
      <c r="H2026" s="9" t="s">
        <v>2979</v>
      </c>
      <c r="I2026" t="s">
        <v>3504</v>
      </c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 t="str">
        <f t="shared" si="1"/>
        <v>Built-up :</v>
      </c>
      <c r="AE2026" s="7" t="str">
        <f t="shared" si="2"/>
        <v> sq. ft.</v>
      </c>
      <c r="AF2026">
        <f>IFERROR(__xludf.DUMMYFUNCTION("VALUE(REGEXREPLACE(G2026,""[^[:digit:]]"", """"))"),1237.0)</f>
        <v>1237</v>
      </c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 t="s">
        <v>103</v>
      </c>
    </row>
    <row r="2027">
      <c r="A2027" s="7" t="s">
        <v>155</v>
      </c>
      <c r="B2027" s="7" t="s">
        <v>18</v>
      </c>
      <c r="C2027" s="7">
        <f>2+1</f>
        <v>3</v>
      </c>
      <c r="D2027" s="7">
        <v>4.0</v>
      </c>
      <c r="E2027" s="7">
        <v>2.0</v>
      </c>
      <c r="F2027" s="7" t="s">
        <v>83</v>
      </c>
      <c r="G2027" s="7" t="s">
        <v>1132</v>
      </c>
      <c r="H2027" s="9" t="s">
        <v>2979</v>
      </c>
      <c r="I2027" t="s">
        <v>3525</v>
      </c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 t="str">
        <f t="shared" si="1"/>
        <v>Built-up :</v>
      </c>
      <c r="AE2027" s="7" t="str">
        <f t="shared" si="2"/>
        <v> sq. ft.</v>
      </c>
      <c r="AF2027">
        <f>IFERROR(__xludf.DUMMYFUNCTION("VALUE(REGEXREPLACE(G2027,""[^[:digit:]]"", """"))"),1600.0)</f>
        <v>1600</v>
      </c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 t="s">
        <v>22</v>
      </c>
    </row>
    <row r="2028">
      <c r="A2028" s="7" t="s">
        <v>155</v>
      </c>
      <c r="B2028" s="7" t="s">
        <v>191</v>
      </c>
      <c r="C2028" s="7">
        <f>3+1</f>
        <v>4</v>
      </c>
      <c r="D2028" s="7">
        <v>4.0</v>
      </c>
      <c r="E2028" s="7">
        <v>2.0</v>
      </c>
      <c r="F2028" s="7" t="s">
        <v>30</v>
      </c>
      <c r="G2028" s="7" t="s">
        <v>382</v>
      </c>
      <c r="H2028" s="9" t="s">
        <v>2979</v>
      </c>
      <c r="I2028" t="s">
        <v>3136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 t="str">
        <f t="shared" si="1"/>
        <v>Built-up :</v>
      </c>
      <c r="AE2028" s="7" t="str">
        <f t="shared" si="2"/>
        <v> sq. ft.</v>
      </c>
      <c r="AF2028">
        <f>IFERROR(__xludf.DUMMYFUNCTION("VALUE(REGEXREPLACE(G2028,""[^[:digit:]]"", """"))"),1488.0)</f>
        <v>1488</v>
      </c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 t="s">
        <v>27</v>
      </c>
    </row>
    <row r="2029">
      <c r="A2029" s="7" t="s">
        <v>155</v>
      </c>
      <c r="B2029" s="7" t="s">
        <v>1166</v>
      </c>
      <c r="C2029" s="7">
        <f t="shared" ref="C2029:C2030" si="248">2+1</f>
        <v>3</v>
      </c>
      <c r="D2029" s="7">
        <v>2.0</v>
      </c>
      <c r="E2029" s="7">
        <v>1.0</v>
      </c>
      <c r="F2029" s="7" t="s">
        <v>83</v>
      </c>
      <c r="G2029" s="7" t="s">
        <v>135</v>
      </c>
      <c r="H2029" s="9" t="s">
        <v>2979</v>
      </c>
      <c r="I2029" t="s">
        <v>3023</v>
      </c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 t="str">
        <f t="shared" si="1"/>
        <v>Built-up :</v>
      </c>
      <c r="AE2029" s="7" t="str">
        <f t="shared" si="2"/>
        <v> sq. ft.</v>
      </c>
      <c r="AF2029">
        <f>IFERROR(__xludf.DUMMYFUNCTION("VALUE(REGEXREPLACE(G2029,""[^[:digit:]]"", """"))"),1200.0)</f>
        <v>1200</v>
      </c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 t="s">
        <v>103</v>
      </c>
    </row>
    <row r="2030">
      <c r="A2030" s="7" t="s">
        <v>155</v>
      </c>
      <c r="B2030" s="7" t="s">
        <v>1114</v>
      </c>
      <c r="C2030" s="7">
        <f t="shared" si="248"/>
        <v>3</v>
      </c>
      <c r="D2030" s="7">
        <v>2.0</v>
      </c>
      <c r="E2030" s="7">
        <v>3.0</v>
      </c>
      <c r="F2030" s="7" t="s">
        <v>83</v>
      </c>
      <c r="G2030" s="7" t="s">
        <v>471</v>
      </c>
      <c r="H2030" s="9" t="s">
        <v>2979</v>
      </c>
      <c r="I2030" t="s">
        <v>3179</v>
      </c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 t="str">
        <f t="shared" si="1"/>
        <v>Built-up :</v>
      </c>
      <c r="AE2030" s="7" t="str">
        <f t="shared" si="2"/>
        <v> sq. ft.</v>
      </c>
      <c r="AF2030">
        <f>IFERROR(__xludf.DUMMYFUNCTION("VALUE(REGEXREPLACE(G2030,""[^[:digit:]]"", """"))"),1400.0)</f>
        <v>1400</v>
      </c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 t="s">
        <v>27</v>
      </c>
    </row>
    <row r="2031">
      <c r="A2031" s="7" t="s">
        <v>155</v>
      </c>
      <c r="B2031" s="7" t="s">
        <v>229</v>
      </c>
      <c r="C2031" s="7">
        <f>3+1</f>
        <v>4</v>
      </c>
      <c r="D2031" s="7">
        <v>4.0</v>
      </c>
      <c r="E2031" s="7">
        <v>2.0</v>
      </c>
      <c r="F2031" s="7" t="s">
        <v>30</v>
      </c>
      <c r="G2031" s="7" t="s">
        <v>382</v>
      </c>
      <c r="H2031" s="9" t="s">
        <v>2979</v>
      </c>
      <c r="I2031" t="s">
        <v>3136</v>
      </c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 t="str">
        <f t="shared" si="1"/>
        <v>Built-up :</v>
      </c>
      <c r="AE2031" s="7" t="str">
        <f t="shared" si="2"/>
        <v> sq. ft.</v>
      </c>
      <c r="AF2031">
        <f>IFERROR(__xludf.DUMMYFUNCTION("VALUE(REGEXREPLACE(G2031,""[^[:digit:]]"", """"))"),1488.0)</f>
        <v>1488</v>
      </c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 t="s">
        <v>103</v>
      </c>
    </row>
    <row r="2032">
      <c r="A2032" s="7" t="s">
        <v>155</v>
      </c>
      <c r="B2032" s="7" t="s">
        <v>245</v>
      </c>
      <c r="C2032" s="7">
        <f t="shared" ref="C2032:C2033" si="249">3</f>
        <v>3</v>
      </c>
      <c r="D2032" s="7">
        <v>3.0</v>
      </c>
      <c r="E2032" s="7">
        <v>2.0</v>
      </c>
      <c r="F2032" s="7" t="s">
        <v>83</v>
      </c>
      <c r="G2032" s="7" t="s">
        <v>630</v>
      </c>
      <c r="H2032" s="9" t="s">
        <v>2979</v>
      </c>
      <c r="I2032" t="s">
        <v>3257</v>
      </c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 t="str">
        <f t="shared" si="1"/>
        <v>Built-up :</v>
      </c>
      <c r="AE2032" s="7" t="str">
        <f t="shared" si="2"/>
        <v> sq. ft.</v>
      </c>
      <c r="AF2032">
        <f>IFERROR(__xludf.DUMMYFUNCTION("VALUE(REGEXREPLACE(G2032,""[^[:digit:]]"", """"))"),1186.0)</f>
        <v>1186</v>
      </c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 t="s">
        <v>103</v>
      </c>
    </row>
    <row r="2033">
      <c r="A2033" s="7" t="s">
        <v>155</v>
      </c>
      <c r="B2033" s="7" t="s">
        <v>316</v>
      </c>
      <c r="C2033" s="7">
        <f t="shared" si="249"/>
        <v>3</v>
      </c>
      <c r="D2033" s="7">
        <v>3.0</v>
      </c>
      <c r="E2033" s="7">
        <v>1.0</v>
      </c>
      <c r="F2033" s="7" t="s">
        <v>83</v>
      </c>
      <c r="G2033" s="7" t="s">
        <v>630</v>
      </c>
      <c r="H2033" s="9" t="s">
        <v>2979</v>
      </c>
      <c r="I2033" t="s">
        <v>3257</v>
      </c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 t="str">
        <f t="shared" si="1"/>
        <v>Built-up :</v>
      </c>
      <c r="AE2033" s="7" t="str">
        <f t="shared" si="2"/>
        <v> sq. ft.</v>
      </c>
      <c r="AF2033">
        <f>IFERROR(__xludf.DUMMYFUNCTION("VALUE(REGEXREPLACE(G2033,""[^[:digit:]]"", """"))"),1186.0)</f>
        <v>1186</v>
      </c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 t="s">
        <v>103</v>
      </c>
    </row>
    <row r="2034">
      <c r="A2034" s="7" t="s">
        <v>155</v>
      </c>
      <c r="B2034" s="7" t="s">
        <v>629</v>
      </c>
      <c r="C2034" s="7">
        <f>2+1</f>
        <v>3</v>
      </c>
      <c r="D2034" s="7">
        <v>2.0</v>
      </c>
      <c r="E2034" s="7">
        <v>2.0</v>
      </c>
      <c r="F2034" s="7" t="s">
        <v>83</v>
      </c>
      <c r="G2034" s="7" t="s">
        <v>1657</v>
      </c>
      <c r="H2034" s="9" t="s">
        <v>2979</v>
      </c>
      <c r="I2034" t="s">
        <v>3841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 t="str">
        <f t="shared" si="1"/>
        <v>Built-up :</v>
      </c>
      <c r="AE2034" s="7" t="str">
        <f t="shared" si="2"/>
        <v> sq. ft.</v>
      </c>
      <c r="AF2034">
        <f>IFERROR(__xludf.DUMMYFUNCTION("VALUE(REGEXREPLACE(G2034,""[^[:digit:]]"", """"))"),1110.0)</f>
        <v>1110</v>
      </c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 t="s">
        <v>103</v>
      </c>
    </row>
    <row r="2035">
      <c r="A2035" s="7" t="s">
        <v>155</v>
      </c>
      <c r="B2035" s="7" t="s">
        <v>316</v>
      </c>
      <c r="C2035" s="7">
        <f>3</f>
        <v>3</v>
      </c>
      <c r="D2035" s="7">
        <v>3.0</v>
      </c>
      <c r="E2035" s="7">
        <v>1.0</v>
      </c>
      <c r="F2035" s="7" t="s">
        <v>83</v>
      </c>
      <c r="G2035" s="7" t="s">
        <v>1099</v>
      </c>
      <c r="H2035" s="9" t="s">
        <v>2979</v>
      </c>
      <c r="I2035" t="s">
        <v>3504</v>
      </c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 t="str">
        <f t="shared" si="1"/>
        <v>Built-up :</v>
      </c>
      <c r="AE2035" s="7" t="str">
        <f t="shared" si="2"/>
        <v> sq. ft.</v>
      </c>
      <c r="AF2035">
        <f>IFERROR(__xludf.DUMMYFUNCTION("VALUE(REGEXREPLACE(G2035,""[^[:digit:]]"", """"))"),1237.0)</f>
        <v>1237</v>
      </c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 t="s">
        <v>103</v>
      </c>
    </row>
    <row r="2036">
      <c r="A2036" s="7" t="s">
        <v>155</v>
      </c>
      <c r="B2036" s="7" t="s">
        <v>1098</v>
      </c>
      <c r="C2036" s="7">
        <f>2+1</f>
        <v>3</v>
      </c>
      <c r="D2036" s="7">
        <v>2.0</v>
      </c>
      <c r="E2036" s="7">
        <v>2.0</v>
      </c>
      <c r="F2036" s="7" t="s">
        <v>83</v>
      </c>
      <c r="G2036" s="7" t="s">
        <v>1004</v>
      </c>
      <c r="H2036" s="9" t="s">
        <v>2979</v>
      </c>
      <c r="I2036" t="s">
        <v>3449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 t="str">
        <f t="shared" si="1"/>
        <v>Built-up :</v>
      </c>
      <c r="AE2036" s="7" t="str">
        <f t="shared" si="2"/>
        <v> sq. ft.</v>
      </c>
      <c r="AF2036">
        <f>IFERROR(__xludf.DUMMYFUNCTION("VALUE(REGEXREPLACE(G2036,""[^[:digit:]]"", """"))"),1300.0)</f>
        <v>1300</v>
      </c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 t="s">
        <v>103</v>
      </c>
    </row>
    <row r="2037">
      <c r="A2037" s="7" t="s">
        <v>28</v>
      </c>
      <c r="B2037" s="7" t="s">
        <v>311</v>
      </c>
      <c r="E2037" s="9">
        <v>2.0</v>
      </c>
      <c r="F2037" s="7" t="s">
        <v>20</v>
      </c>
      <c r="G2037" s="7" t="s">
        <v>1555</v>
      </c>
      <c r="H2037" s="9" t="s">
        <v>2979</v>
      </c>
      <c r="I2037" t="s">
        <v>3777</v>
      </c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 t="str">
        <f t="shared" si="1"/>
        <v>Built-up :</v>
      </c>
      <c r="AE2037" s="7" t="str">
        <f t="shared" si="2"/>
        <v> sq. ft.</v>
      </c>
      <c r="AF2037">
        <f>IFERROR(__xludf.DUMMYFUNCTION("VALUE(REGEXREPLACE(G2037,""[^[:digit:]]"", """"))"),1238.0)</f>
        <v>1238</v>
      </c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 t="s">
        <v>27</v>
      </c>
    </row>
    <row r="2038">
      <c r="A2038" s="7" t="s">
        <v>28</v>
      </c>
      <c r="B2038" s="7" t="s">
        <v>284</v>
      </c>
      <c r="C2038" s="7">
        <f>1+1</f>
        <v>2</v>
      </c>
      <c r="D2038" s="7">
        <v>2.0</v>
      </c>
      <c r="E2038" s="7">
        <v>3.0</v>
      </c>
      <c r="F2038" s="7" t="s">
        <v>20</v>
      </c>
      <c r="G2038" s="7" t="s">
        <v>937</v>
      </c>
      <c r="H2038" s="9" t="s">
        <v>2979</v>
      </c>
      <c r="I2038" t="s">
        <v>3416</v>
      </c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 t="str">
        <f t="shared" si="1"/>
        <v>Built-up :</v>
      </c>
      <c r="AE2038" s="7" t="str">
        <f t="shared" si="2"/>
        <v> sq. ft.</v>
      </c>
      <c r="AF2038">
        <f>IFERROR(__xludf.DUMMYFUNCTION("VALUE(REGEXREPLACE(G2038,""[^[:digit:]]"", """"))"),1148.0)</f>
        <v>1148</v>
      </c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 t="s">
        <v>22</v>
      </c>
    </row>
    <row r="2039">
      <c r="A2039" s="7" t="s">
        <v>100</v>
      </c>
      <c r="B2039" s="7" t="s">
        <v>314</v>
      </c>
      <c r="C2039" s="7">
        <f>3</f>
        <v>3</v>
      </c>
      <c r="D2039" s="7">
        <v>2.0</v>
      </c>
      <c r="E2039" s="7">
        <v>2.0</v>
      </c>
      <c r="F2039" s="7" t="s">
        <v>20</v>
      </c>
      <c r="G2039" s="7" t="s">
        <v>410</v>
      </c>
      <c r="H2039" s="9" t="s">
        <v>2979</v>
      </c>
      <c r="I2039" t="s">
        <v>3150</v>
      </c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 t="str">
        <f t="shared" si="1"/>
        <v>Built-up :</v>
      </c>
      <c r="AE2039" s="7" t="str">
        <f t="shared" si="2"/>
        <v> sq. ft.</v>
      </c>
      <c r="AF2039">
        <f>IFERROR(__xludf.DUMMYFUNCTION("VALUE(REGEXREPLACE(G2039,""[^[:digit:]]"", """"))"),1094.0)</f>
        <v>1094</v>
      </c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 t="s">
        <v>27</v>
      </c>
    </row>
    <row r="2040">
      <c r="A2040" s="7" t="s">
        <v>428</v>
      </c>
      <c r="B2040" s="7" t="s">
        <v>1658</v>
      </c>
      <c r="E2040" s="9">
        <v>2.0</v>
      </c>
      <c r="F2040" s="7" t="s">
        <v>20</v>
      </c>
      <c r="G2040" s="7" t="s">
        <v>1025</v>
      </c>
      <c r="H2040" s="9" t="s">
        <v>2979</v>
      </c>
      <c r="I2040" t="s">
        <v>3461</v>
      </c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 t="str">
        <f t="shared" si="1"/>
        <v>Built-up :</v>
      </c>
      <c r="AE2040" s="7" t="str">
        <f t="shared" si="2"/>
        <v> sq. ft.</v>
      </c>
      <c r="AF2040">
        <f>IFERROR(__xludf.DUMMYFUNCTION("VALUE(REGEXREPLACE(G2040,""[^[:digit:]]"", """"))"),1432.0)</f>
        <v>1432</v>
      </c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</row>
    <row r="2041">
      <c r="A2041" s="7" t="s">
        <v>23</v>
      </c>
      <c r="B2041" s="7" t="s">
        <v>1659</v>
      </c>
      <c r="E2041" s="9">
        <v>2.0</v>
      </c>
      <c r="F2041" s="7" t="s">
        <v>20</v>
      </c>
      <c r="H2041" s="9" t="s">
        <v>2984</v>
      </c>
      <c r="I2041" t="s">
        <v>2985</v>
      </c>
      <c r="AD2041" s="7" t="str">
        <f t="shared" si="1"/>
        <v/>
      </c>
      <c r="AE2041" s="7" t="str">
        <f t="shared" si="2"/>
        <v/>
      </c>
      <c r="AF2041">
        <f>IFERROR(__xludf.DUMMYFUNCTION("VALUE(REGEXREPLACE(G2041,""[^[:digit:]]"", """"))"),0.0)</f>
        <v>0</v>
      </c>
    </row>
    <row r="2042">
      <c r="A2042" s="7" t="s">
        <v>432</v>
      </c>
      <c r="B2042" s="7" t="s">
        <v>1660</v>
      </c>
      <c r="E2042" s="9">
        <v>2.0</v>
      </c>
      <c r="F2042" s="7" t="s">
        <v>20</v>
      </c>
      <c r="G2042" s="7" t="s">
        <v>244</v>
      </c>
      <c r="H2042" s="9" t="s">
        <v>2979</v>
      </c>
      <c r="I2042" t="s">
        <v>3073</v>
      </c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 t="str">
        <f t="shared" si="1"/>
        <v>Built-up :</v>
      </c>
      <c r="AE2042" s="7" t="str">
        <f t="shared" si="2"/>
        <v> sq. ft.</v>
      </c>
      <c r="AF2042">
        <f>IFERROR(__xludf.DUMMYFUNCTION("VALUE(REGEXREPLACE(G2042,""[^[:digit:]]"", """"))"),500.0)</f>
        <v>500</v>
      </c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</row>
    <row r="2043">
      <c r="A2043" s="7" t="s">
        <v>41</v>
      </c>
      <c r="B2043" s="7" t="s">
        <v>149</v>
      </c>
      <c r="C2043" s="7">
        <f t="shared" ref="C2043:C2044" si="250">5+1</f>
        <v>6</v>
      </c>
      <c r="D2043" s="7">
        <v>6.0</v>
      </c>
      <c r="E2043" s="7">
        <v>2.0</v>
      </c>
      <c r="F2043" s="7" t="s">
        <v>64</v>
      </c>
      <c r="G2043" s="7" t="s">
        <v>478</v>
      </c>
      <c r="H2043" s="9" t="s">
        <v>2981</v>
      </c>
      <c r="I2043" t="s">
        <v>3183</v>
      </c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 t="str">
        <f t="shared" si="1"/>
        <v>Land area </v>
      </c>
      <c r="AE2043" s="7" t="str">
        <f t="shared" si="2"/>
        <v> sq. ft.</v>
      </c>
      <c r="AF2043">
        <f>IFERROR(__xludf.DUMMYFUNCTION("VALUE(REGEXREPLACE(G2043,""[^[:digit:]]"", """"))"),3200.0)</f>
        <v>3200</v>
      </c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 t="s">
        <v>27</v>
      </c>
    </row>
    <row r="2044">
      <c r="A2044" s="7" t="s">
        <v>177</v>
      </c>
      <c r="B2044" s="7" t="s">
        <v>970</v>
      </c>
      <c r="C2044" s="7">
        <f t="shared" si="250"/>
        <v>6</v>
      </c>
      <c r="D2044" s="7">
        <v>5.0</v>
      </c>
      <c r="E2044" s="9">
        <v>2.0</v>
      </c>
      <c r="F2044" s="7" t="s">
        <v>61</v>
      </c>
      <c r="G2044" s="7" t="s">
        <v>1087</v>
      </c>
      <c r="H2044" s="9" t="s">
        <v>2981</v>
      </c>
      <c r="I2044" t="s">
        <v>3496</v>
      </c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 t="str">
        <f t="shared" si="1"/>
        <v>Land area </v>
      </c>
      <c r="AE2044" s="7" t="str">
        <f t="shared" si="2"/>
        <v> sq. ft.</v>
      </c>
      <c r="AF2044">
        <f>IFERROR(__xludf.DUMMYFUNCTION("VALUE(REGEXREPLACE(G2044,""[^[:digit:]]"", """"))"),6700.0)</f>
        <v>6700</v>
      </c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 t="s">
        <v>22</v>
      </c>
    </row>
    <row r="2045">
      <c r="A2045" s="7" t="s">
        <v>1661</v>
      </c>
      <c r="B2045" s="7" t="s">
        <v>1662</v>
      </c>
      <c r="C2045" s="7">
        <f>6+1</f>
        <v>7</v>
      </c>
      <c r="D2045" s="7">
        <v>6.0</v>
      </c>
      <c r="E2045" s="9">
        <v>2.0</v>
      </c>
      <c r="F2045" s="7" t="s">
        <v>61</v>
      </c>
      <c r="G2045" s="7" t="s">
        <v>1663</v>
      </c>
      <c r="H2045" s="9" t="s">
        <v>2981</v>
      </c>
      <c r="I2045" t="s">
        <v>3842</v>
      </c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 t="str">
        <f t="shared" si="1"/>
        <v>Land area </v>
      </c>
      <c r="AE2045" s="7" t="str">
        <f t="shared" si="2"/>
        <v> sq. ft.</v>
      </c>
      <c r="AF2045">
        <f>IFERROR(__xludf.DUMMYFUNCTION("VALUE(REGEXREPLACE(G2045,""[^[:digit:]]"", """"))"),9548.0)</f>
        <v>9548</v>
      </c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 t="s">
        <v>27</v>
      </c>
    </row>
    <row r="2046">
      <c r="A2046" s="7" t="s">
        <v>104</v>
      </c>
      <c r="B2046" s="7" t="s">
        <v>710</v>
      </c>
      <c r="C2046" s="7">
        <f>3+1</f>
        <v>4</v>
      </c>
      <c r="D2046" s="7">
        <v>2.0</v>
      </c>
      <c r="E2046" s="7">
        <v>2.0</v>
      </c>
      <c r="F2046" s="7" t="s">
        <v>121</v>
      </c>
      <c r="G2046" s="7" t="s">
        <v>1664</v>
      </c>
      <c r="H2046" s="9" t="s">
        <v>2979</v>
      </c>
      <c r="I2046" t="s">
        <v>3843</v>
      </c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 t="str">
        <f t="shared" si="1"/>
        <v>Built-up :</v>
      </c>
      <c r="AE2046" s="7" t="str">
        <f t="shared" si="2"/>
        <v> sq. ft.</v>
      </c>
      <c r="AF2046">
        <f>IFERROR(__xludf.DUMMYFUNCTION("VALUE(REGEXREPLACE(G2046,""[^[:digit:]]"", """"))"),1162.0)</f>
        <v>1162</v>
      </c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 t="s">
        <v>27</v>
      </c>
    </row>
    <row r="2047">
      <c r="A2047" s="7" t="s">
        <v>17</v>
      </c>
      <c r="B2047" s="7" t="s">
        <v>311</v>
      </c>
      <c r="C2047" s="7">
        <f>1+1</f>
        <v>2</v>
      </c>
      <c r="D2047" s="7">
        <v>1.0</v>
      </c>
      <c r="E2047" s="7">
        <v>1.0</v>
      </c>
      <c r="F2047" s="7" t="s">
        <v>82</v>
      </c>
      <c r="G2047" s="7" t="s">
        <v>323</v>
      </c>
      <c r="H2047" s="9" t="s">
        <v>2979</v>
      </c>
      <c r="I2047" t="s">
        <v>3108</v>
      </c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 t="str">
        <f t="shared" si="1"/>
        <v>Built-up :</v>
      </c>
      <c r="AE2047" s="7" t="str">
        <f t="shared" si="2"/>
        <v> sq. ft.</v>
      </c>
      <c r="AF2047">
        <f>IFERROR(__xludf.DUMMYFUNCTION("VALUE(REGEXREPLACE(G2047,""[^[:digit:]]"", """"))"),915.0)</f>
        <v>915</v>
      </c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 t="s">
        <v>22</v>
      </c>
    </row>
    <row r="2048">
      <c r="A2048" s="7" t="s">
        <v>17</v>
      </c>
      <c r="B2048" s="7" t="s">
        <v>1665</v>
      </c>
      <c r="C2048" s="7">
        <f>3</f>
        <v>3</v>
      </c>
      <c r="D2048" s="7">
        <v>3.0</v>
      </c>
      <c r="E2048" s="7">
        <v>1.0</v>
      </c>
      <c r="F2048" s="7" t="s">
        <v>93</v>
      </c>
      <c r="G2048" s="7" t="s">
        <v>1666</v>
      </c>
      <c r="H2048" s="9" t="s">
        <v>2981</v>
      </c>
      <c r="I2048" t="s">
        <v>3844</v>
      </c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 t="str">
        <f t="shared" si="1"/>
        <v>Land area </v>
      </c>
      <c r="AE2048" s="7" t="str">
        <f t="shared" si="2"/>
        <v> sq. ft.</v>
      </c>
      <c r="AF2048">
        <f>IFERROR(__xludf.DUMMYFUNCTION("VALUE(REGEXREPLACE(G2048,""[^[:digit:]]"", """"))"),1551.0)</f>
        <v>1551</v>
      </c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</row>
    <row r="2049">
      <c r="A2049" s="7" t="s">
        <v>77</v>
      </c>
      <c r="B2049" s="7" t="s">
        <v>322</v>
      </c>
      <c r="C2049" s="7">
        <f t="shared" ref="C2049:C2050" si="251">3+1</f>
        <v>4</v>
      </c>
      <c r="D2049" s="7">
        <v>3.0</v>
      </c>
      <c r="E2049" s="7">
        <v>2.0</v>
      </c>
      <c r="F2049" s="7" t="s">
        <v>184</v>
      </c>
      <c r="G2049" s="7" t="s">
        <v>461</v>
      </c>
      <c r="H2049" s="9" t="s">
        <v>2979</v>
      </c>
      <c r="I2049" t="s">
        <v>3172</v>
      </c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 t="str">
        <f t="shared" si="1"/>
        <v>Built-up :</v>
      </c>
      <c r="AE2049" s="7" t="str">
        <f t="shared" si="2"/>
        <v> sq. ft.</v>
      </c>
      <c r="AF2049">
        <f>IFERROR(__xludf.DUMMYFUNCTION("VALUE(REGEXREPLACE(G2049,""[^[:digit:]]"", """"))"),1900.0)</f>
        <v>1900</v>
      </c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 t="s">
        <v>27</v>
      </c>
    </row>
    <row r="2050">
      <c r="A2050" s="7" t="s">
        <v>77</v>
      </c>
      <c r="B2050" s="7" t="s">
        <v>214</v>
      </c>
      <c r="C2050" s="7">
        <f t="shared" si="251"/>
        <v>4</v>
      </c>
      <c r="D2050" s="7">
        <v>3.0</v>
      </c>
      <c r="E2050" s="7">
        <v>2.0</v>
      </c>
      <c r="F2050" s="7" t="s">
        <v>30</v>
      </c>
      <c r="G2050" s="7" t="s">
        <v>1025</v>
      </c>
      <c r="H2050" s="9" t="s">
        <v>2979</v>
      </c>
      <c r="I2050" t="s">
        <v>3461</v>
      </c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 t="str">
        <f t="shared" si="1"/>
        <v>Built-up :</v>
      </c>
      <c r="AE2050" s="7" t="str">
        <f t="shared" si="2"/>
        <v> sq. ft.</v>
      </c>
      <c r="AF2050">
        <f>IFERROR(__xludf.DUMMYFUNCTION("VALUE(REGEXREPLACE(G2050,""[^[:digit:]]"", """"))"),1432.0)</f>
        <v>1432</v>
      </c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 t="s">
        <v>27</v>
      </c>
    </row>
    <row r="2051">
      <c r="A2051" s="7" t="s">
        <v>77</v>
      </c>
      <c r="B2051" s="7" t="s">
        <v>1667</v>
      </c>
      <c r="C2051" s="7">
        <f>2+1</f>
        <v>3</v>
      </c>
      <c r="D2051" s="7">
        <v>2.0</v>
      </c>
      <c r="E2051" s="7">
        <v>2.0</v>
      </c>
      <c r="F2051" s="7" t="s">
        <v>83</v>
      </c>
      <c r="G2051" s="7" t="s">
        <v>321</v>
      </c>
      <c r="H2051" s="9" t="s">
        <v>2979</v>
      </c>
      <c r="I2051" t="s">
        <v>3107</v>
      </c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 t="str">
        <f t="shared" si="1"/>
        <v>Built-up :</v>
      </c>
      <c r="AE2051" s="7" t="str">
        <f t="shared" si="2"/>
        <v> sq. ft.</v>
      </c>
      <c r="AF2051">
        <f>IFERROR(__xludf.DUMMYFUNCTION("VALUE(REGEXREPLACE(G2051,""[^[:digit:]]"", """"))"),1292.0)</f>
        <v>1292</v>
      </c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 t="s">
        <v>22</v>
      </c>
    </row>
    <row r="2052">
      <c r="A2052" s="7" t="s">
        <v>77</v>
      </c>
      <c r="B2052" s="7" t="s">
        <v>132</v>
      </c>
      <c r="C2052" s="7">
        <f>2</f>
        <v>2</v>
      </c>
      <c r="D2052" s="7">
        <v>1.0</v>
      </c>
      <c r="E2052" s="7">
        <v>2.0</v>
      </c>
      <c r="F2052" s="7" t="s">
        <v>83</v>
      </c>
      <c r="G2052" s="7" t="s">
        <v>1052</v>
      </c>
      <c r="H2052" s="9" t="s">
        <v>2979</v>
      </c>
      <c r="I2052" t="s">
        <v>3478</v>
      </c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 t="str">
        <f t="shared" si="1"/>
        <v>Built-up :</v>
      </c>
      <c r="AE2052" s="7" t="str">
        <f t="shared" si="2"/>
        <v> sq. ft.</v>
      </c>
      <c r="AF2052">
        <f>IFERROR(__xludf.DUMMYFUNCTION("VALUE(REGEXREPLACE(G2052,""[^[:digit:]]"", """"))"),1034.0)</f>
        <v>1034</v>
      </c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 t="s">
        <v>27</v>
      </c>
    </row>
    <row r="2053">
      <c r="A2053" s="7" t="s">
        <v>77</v>
      </c>
      <c r="B2053" s="7" t="s">
        <v>1533</v>
      </c>
      <c r="C2053" s="7">
        <f>1+1</f>
        <v>2</v>
      </c>
      <c r="D2053" s="7">
        <v>1.0</v>
      </c>
      <c r="E2053" s="7">
        <v>1.0</v>
      </c>
      <c r="F2053" s="7" t="s">
        <v>93</v>
      </c>
      <c r="G2053" s="7" t="s">
        <v>609</v>
      </c>
      <c r="H2053" s="9" t="s">
        <v>2979</v>
      </c>
      <c r="I2053" t="s">
        <v>3246</v>
      </c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 t="str">
        <f t="shared" si="1"/>
        <v>Built-up :</v>
      </c>
      <c r="AE2053" s="7" t="str">
        <f t="shared" si="2"/>
        <v> sq. ft.</v>
      </c>
      <c r="AF2053">
        <f>IFERROR(__xludf.DUMMYFUNCTION("VALUE(REGEXREPLACE(G2053,""[^[:digit:]]"", """"))"),969.0)</f>
        <v>969</v>
      </c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 t="s">
        <v>27</v>
      </c>
    </row>
    <row r="2054">
      <c r="A2054" s="7" t="s">
        <v>77</v>
      </c>
      <c r="B2054" s="7" t="s">
        <v>243</v>
      </c>
      <c r="C2054" s="7">
        <f>3+1</f>
        <v>4</v>
      </c>
      <c r="D2054" s="7">
        <v>3.0</v>
      </c>
      <c r="E2054" s="7">
        <v>2.0</v>
      </c>
      <c r="F2054" s="7" t="s">
        <v>30</v>
      </c>
      <c r="G2054" s="7" t="s">
        <v>594</v>
      </c>
      <c r="H2054" s="9" t="s">
        <v>2979</v>
      </c>
      <c r="I2054" t="s">
        <v>3240</v>
      </c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 t="str">
        <f t="shared" si="1"/>
        <v>Built-up :</v>
      </c>
      <c r="AE2054" s="7" t="str">
        <f t="shared" si="2"/>
        <v> sq. ft.</v>
      </c>
      <c r="AF2054">
        <f>IFERROR(__xludf.DUMMYFUNCTION("VALUE(REGEXREPLACE(G2054,""[^[:digit:]]"", """"))"),1701.0)</f>
        <v>1701</v>
      </c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 t="s">
        <v>22</v>
      </c>
    </row>
    <row r="2055">
      <c r="A2055" s="7" t="s">
        <v>77</v>
      </c>
      <c r="B2055" s="7" t="s">
        <v>81</v>
      </c>
      <c r="C2055" s="7">
        <f t="shared" ref="C2055:C2057" si="252">3</f>
        <v>3</v>
      </c>
      <c r="D2055" s="7">
        <v>3.0</v>
      </c>
      <c r="E2055" s="7">
        <v>2.0</v>
      </c>
      <c r="F2055" s="7" t="s">
        <v>273</v>
      </c>
      <c r="G2055" s="7" t="s">
        <v>461</v>
      </c>
      <c r="H2055" s="9" t="s">
        <v>2979</v>
      </c>
      <c r="I2055" t="s">
        <v>3172</v>
      </c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 t="str">
        <f t="shared" si="1"/>
        <v>Built-up :</v>
      </c>
      <c r="AE2055" s="7" t="str">
        <f t="shared" si="2"/>
        <v> sq. ft.</v>
      </c>
      <c r="AF2055">
        <f>IFERROR(__xludf.DUMMYFUNCTION("VALUE(REGEXREPLACE(G2055,""[^[:digit:]]"", """"))"),1900.0)</f>
        <v>1900</v>
      </c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 t="s">
        <v>103</v>
      </c>
    </row>
    <row r="2056">
      <c r="A2056" s="7" t="s">
        <v>77</v>
      </c>
      <c r="B2056" s="7" t="s">
        <v>403</v>
      </c>
      <c r="C2056" s="7">
        <f t="shared" si="252"/>
        <v>3</v>
      </c>
      <c r="D2056" s="7">
        <v>3.0</v>
      </c>
      <c r="E2056" s="7">
        <v>2.0</v>
      </c>
      <c r="F2056" s="7" t="s">
        <v>1668</v>
      </c>
      <c r="G2056" s="7" t="s">
        <v>461</v>
      </c>
      <c r="H2056" s="9" t="s">
        <v>2979</v>
      </c>
      <c r="I2056" t="s">
        <v>3172</v>
      </c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 t="str">
        <f t="shared" si="1"/>
        <v>Built-up :</v>
      </c>
      <c r="AE2056" s="7" t="str">
        <f t="shared" si="2"/>
        <v> sq. ft.</v>
      </c>
      <c r="AF2056">
        <f>IFERROR(__xludf.DUMMYFUNCTION("VALUE(REGEXREPLACE(G2056,""[^[:digit:]]"", """"))"),1900.0)</f>
        <v>1900</v>
      </c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 t="s">
        <v>22</v>
      </c>
    </row>
    <row r="2057">
      <c r="A2057" s="7" t="s">
        <v>77</v>
      </c>
      <c r="B2057" s="7" t="s">
        <v>210</v>
      </c>
      <c r="C2057" s="7">
        <f t="shared" si="252"/>
        <v>3</v>
      </c>
      <c r="D2057" s="7">
        <v>3.0</v>
      </c>
      <c r="E2057" s="7">
        <v>2.0</v>
      </c>
      <c r="F2057" s="7" t="s">
        <v>90</v>
      </c>
      <c r="G2057" s="7" t="s">
        <v>461</v>
      </c>
      <c r="H2057" s="9" t="s">
        <v>2979</v>
      </c>
      <c r="I2057" t="s">
        <v>3172</v>
      </c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 t="str">
        <f t="shared" si="1"/>
        <v>Built-up :</v>
      </c>
      <c r="AE2057" s="7" t="str">
        <f t="shared" si="2"/>
        <v> sq. ft.</v>
      </c>
      <c r="AF2057">
        <f>IFERROR(__xludf.DUMMYFUNCTION("VALUE(REGEXREPLACE(G2057,""[^[:digit:]]"", """"))"),1900.0)</f>
        <v>1900</v>
      </c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 t="s">
        <v>22</v>
      </c>
    </row>
    <row r="2058">
      <c r="A2058" s="7" t="s">
        <v>188</v>
      </c>
      <c r="B2058" s="7" t="s">
        <v>168</v>
      </c>
      <c r="C2058" s="7">
        <f>1</f>
        <v>1</v>
      </c>
      <c r="D2058" s="7">
        <v>1.0</v>
      </c>
      <c r="E2058" s="7">
        <v>1.0</v>
      </c>
      <c r="F2058" s="7" t="s">
        <v>83</v>
      </c>
      <c r="G2058" s="7" t="s">
        <v>1569</v>
      </c>
      <c r="H2058" s="9" t="s">
        <v>2979</v>
      </c>
      <c r="I2058" t="s">
        <v>3786</v>
      </c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 t="str">
        <f t="shared" si="1"/>
        <v>Built-up :</v>
      </c>
      <c r="AE2058" s="7" t="str">
        <f t="shared" si="2"/>
        <v> sq. ft.</v>
      </c>
      <c r="AF2058">
        <f>IFERROR(__xludf.DUMMYFUNCTION("VALUE(REGEXREPLACE(G2058,""[^[:digit:]]"", """"))"),538.0)</f>
        <v>538</v>
      </c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 t="s">
        <v>103</v>
      </c>
    </row>
    <row r="2059">
      <c r="A2059" s="7" t="s">
        <v>89</v>
      </c>
      <c r="B2059" s="7" t="s">
        <v>1669</v>
      </c>
      <c r="C2059" s="7">
        <f>3</f>
        <v>3</v>
      </c>
      <c r="D2059" s="7">
        <v>2.0</v>
      </c>
      <c r="E2059" s="7">
        <v>2.0</v>
      </c>
      <c r="F2059" s="7" t="s">
        <v>83</v>
      </c>
      <c r="G2059" s="7" t="s">
        <v>1670</v>
      </c>
      <c r="H2059" s="9" t="s">
        <v>2979</v>
      </c>
      <c r="I2059" t="s">
        <v>3845</v>
      </c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 t="str">
        <f t="shared" si="1"/>
        <v>Built-up :</v>
      </c>
      <c r="AE2059" s="7" t="str">
        <f t="shared" si="2"/>
        <v> sq. ft.</v>
      </c>
      <c r="AF2059">
        <f>IFERROR(__xludf.DUMMYFUNCTION("VALUE(REGEXREPLACE(G2059,""[^[:digit:]]"", """"))"),1127.0)</f>
        <v>1127</v>
      </c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 t="s">
        <v>22</v>
      </c>
    </row>
    <row r="2060">
      <c r="A2060" s="7" t="s">
        <v>37</v>
      </c>
      <c r="B2060" s="7" t="s">
        <v>260</v>
      </c>
      <c r="C2060" s="7">
        <f t="shared" ref="C2060:C2061" si="253">2+1</f>
        <v>3</v>
      </c>
      <c r="D2060" s="7">
        <v>3.0</v>
      </c>
      <c r="E2060" s="7">
        <v>2.0</v>
      </c>
      <c r="F2060" s="7" t="s">
        <v>121</v>
      </c>
      <c r="G2060" s="7" t="s">
        <v>1093</v>
      </c>
      <c r="H2060" s="9" t="s">
        <v>2979</v>
      </c>
      <c r="I2060" t="s">
        <v>3501</v>
      </c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 t="str">
        <f t="shared" si="1"/>
        <v>Built-up :</v>
      </c>
      <c r="AE2060" s="7" t="str">
        <f t="shared" si="2"/>
        <v> sq. ft.</v>
      </c>
      <c r="AF2060">
        <f>IFERROR(__xludf.DUMMYFUNCTION("VALUE(REGEXREPLACE(G2060,""[^[:digit:]]"", """"))"),1691.0)</f>
        <v>1691</v>
      </c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 t="s">
        <v>22</v>
      </c>
    </row>
    <row r="2061">
      <c r="A2061" s="7" t="s">
        <v>37</v>
      </c>
      <c r="B2061" s="7" t="s">
        <v>260</v>
      </c>
      <c r="C2061" s="7">
        <f t="shared" si="253"/>
        <v>3</v>
      </c>
      <c r="D2061" s="7">
        <v>3.0</v>
      </c>
      <c r="E2061" s="7">
        <v>2.0</v>
      </c>
      <c r="F2061" s="7" t="s">
        <v>20</v>
      </c>
      <c r="G2061" s="7" t="s">
        <v>1093</v>
      </c>
      <c r="H2061" s="9" t="s">
        <v>2979</v>
      </c>
      <c r="I2061" t="s">
        <v>3501</v>
      </c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 t="str">
        <f t="shared" si="1"/>
        <v>Built-up :</v>
      </c>
      <c r="AE2061" s="7" t="str">
        <f t="shared" si="2"/>
        <v> sq. ft.</v>
      </c>
      <c r="AF2061">
        <f>IFERROR(__xludf.DUMMYFUNCTION("VALUE(REGEXREPLACE(G2061,""[^[:digit:]]"", """"))"),1691.0)</f>
        <v>1691</v>
      </c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 t="s">
        <v>22</v>
      </c>
    </row>
    <row r="2062">
      <c r="A2062" s="7" t="s">
        <v>48</v>
      </c>
      <c r="B2062" s="7" t="s">
        <v>134</v>
      </c>
      <c r="C2062" s="7">
        <f>4</f>
        <v>4</v>
      </c>
      <c r="D2062" s="7">
        <v>3.0</v>
      </c>
      <c r="E2062" s="9">
        <v>2.0</v>
      </c>
      <c r="F2062" s="7" t="s">
        <v>169</v>
      </c>
      <c r="H2062" s="9" t="s">
        <v>2984</v>
      </c>
      <c r="I2062" t="s">
        <v>2985</v>
      </c>
      <c r="AD2062" s="7" t="str">
        <f t="shared" si="1"/>
        <v/>
      </c>
      <c r="AE2062" s="7" t="str">
        <f t="shared" si="2"/>
        <v/>
      </c>
      <c r="AF2062">
        <f>IFERROR(__xludf.DUMMYFUNCTION("VALUE(REGEXREPLACE(G2062,""[^[:digit:]]"", """"))"),0.0)</f>
        <v>0</v>
      </c>
      <c r="AS2062" s="7" t="s">
        <v>22</v>
      </c>
    </row>
    <row r="2063">
      <c r="A2063" s="7" t="s">
        <v>77</v>
      </c>
      <c r="B2063" s="7" t="s">
        <v>138</v>
      </c>
      <c r="C2063" s="7">
        <f>1+1</f>
        <v>2</v>
      </c>
      <c r="D2063" s="7">
        <v>2.0</v>
      </c>
      <c r="E2063" s="7">
        <v>2.0</v>
      </c>
      <c r="F2063" s="7" t="s">
        <v>83</v>
      </c>
      <c r="G2063" s="7" t="s">
        <v>609</v>
      </c>
      <c r="H2063" s="9" t="s">
        <v>2979</v>
      </c>
      <c r="I2063" t="s">
        <v>3246</v>
      </c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 t="str">
        <f t="shared" si="1"/>
        <v>Built-up :</v>
      </c>
      <c r="AE2063" s="7" t="str">
        <f t="shared" si="2"/>
        <v> sq. ft.</v>
      </c>
      <c r="AF2063">
        <f>IFERROR(__xludf.DUMMYFUNCTION("VALUE(REGEXREPLACE(G2063,""[^[:digit:]]"", """"))"),969.0)</f>
        <v>969</v>
      </c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 t="s">
        <v>22</v>
      </c>
    </row>
    <row r="2064">
      <c r="A2064" s="7" t="s">
        <v>77</v>
      </c>
      <c r="B2064" s="7" t="s">
        <v>134</v>
      </c>
      <c r="C2064" s="7">
        <f>2</f>
        <v>2</v>
      </c>
      <c r="D2064" s="7">
        <v>1.0</v>
      </c>
      <c r="E2064" s="7">
        <v>1.0</v>
      </c>
      <c r="F2064" s="7" t="s">
        <v>83</v>
      </c>
      <c r="G2064" s="7" t="s">
        <v>1052</v>
      </c>
      <c r="H2064" s="9" t="s">
        <v>2979</v>
      </c>
      <c r="I2064" t="s">
        <v>3478</v>
      </c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 t="str">
        <f t="shared" si="1"/>
        <v>Built-up :</v>
      </c>
      <c r="AE2064" s="7" t="str">
        <f t="shared" si="2"/>
        <v> sq. ft.</v>
      </c>
      <c r="AF2064">
        <f>IFERROR(__xludf.DUMMYFUNCTION("VALUE(REGEXREPLACE(G2064,""[^[:digit:]]"", """"))"),1034.0)</f>
        <v>1034</v>
      </c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</row>
    <row r="2065">
      <c r="A2065" s="7" t="s">
        <v>77</v>
      </c>
      <c r="B2065" s="7" t="s">
        <v>214</v>
      </c>
      <c r="C2065" s="7">
        <f t="shared" ref="C2065:C2067" si="254">3</f>
        <v>3</v>
      </c>
      <c r="D2065" s="7">
        <v>2.0</v>
      </c>
      <c r="E2065" s="7">
        <v>2.0</v>
      </c>
      <c r="F2065" s="7" t="s">
        <v>83</v>
      </c>
      <c r="G2065" s="7" t="s">
        <v>471</v>
      </c>
      <c r="H2065" s="9" t="s">
        <v>2979</v>
      </c>
      <c r="I2065" t="s">
        <v>3179</v>
      </c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 t="str">
        <f t="shared" si="1"/>
        <v>Built-up :</v>
      </c>
      <c r="AE2065" s="7" t="str">
        <f t="shared" si="2"/>
        <v> sq. ft.</v>
      </c>
      <c r="AF2065">
        <f>IFERROR(__xludf.DUMMYFUNCTION("VALUE(REGEXREPLACE(G2065,""[^[:digit:]]"", """"))"),1400.0)</f>
        <v>1400</v>
      </c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</row>
    <row r="2066">
      <c r="A2066" s="7" t="s">
        <v>32</v>
      </c>
      <c r="B2066" s="7" t="s">
        <v>1140</v>
      </c>
      <c r="C2066" s="7">
        <f t="shared" si="254"/>
        <v>3</v>
      </c>
      <c r="D2066" s="7">
        <v>2.0</v>
      </c>
      <c r="E2066" s="7">
        <v>1.0</v>
      </c>
      <c r="F2066" s="7" t="s">
        <v>93</v>
      </c>
      <c r="G2066" s="7" t="s">
        <v>1671</v>
      </c>
      <c r="H2066" s="9" t="s">
        <v>2979</v>
      </c>
      <c r="I2066" t="s">
        <v>3846</v>
      </c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 t="str">
        <f t="shared" si="1"/>
        <v>Built-up :</v>
      </c>
      <c r="AE2066" s="7" t="str">
        <f t="shared" si="2"/>
        <v> sq. ft.</v>
      </c>
      <c r="AF2066">
        <f>IFERROR(__xludf.DUMMYFUNCTION("VALUE(REGEXREPLACE(G2066,""[^[:digit:]]"", """"))"),1111.0)</f>
        <v>1111</v>
      </c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 t="s">
        <v>27</v>
      </c>
    </row>
    <row r="2067">
      <c r="A2067" s="7" t="s">
        <v>33</v>
      </c>
      <c r="B2067" s="7" t="s">
        <v>361</v>
      </c>
      <c r="C2067" s="7">
        <f t="shared" si="254"/>
        <v>3</v>
      </c>
      <c r="D2067" s="7">
        <v>3.0</v>
      </c>
      <c r="E2067" s="7">
        <v>2.0</v>
      </c>
      <c r="F2067" s="7" t="s">
        <v>93</v>
      </c>
      <c r="G2067" s="7" t="s">
        <v>1156</v>
      </c>
      <c r="H2067" s="9" t="s">
        <v>2979</v>
      </c>
      <c r="I2067" t="s">
        <v>3545</v>
      </c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 t="str">
        <f t="shared" si="1"/>
        <v>Built-up :</v>
      </c>
      <c r="AE2067" s="7" t="str">
        <f t="shared" si="2"/>
        <v> sq. ft.</v>
      </c>
      <c r="AF2067">
        <f>IFERROR(__xludf.DUMMYFUNCTION("VALUE(REGEXREPLACE(G2067,""[^[:digit:]]"", """"))"),1003.0)</f>
        <v>1003</v>
      </c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 t="s">
        <v>103</v>
      </c>
    </row>
    <row r="2068">
      <c r="A2068" s="7" t="s">
        <v>100</v>
      </c>
      <c r="B2068" s="7" t="s">
        <v>854</v>
      </c>
      <c r="C2068" s="7">
        <f t="shared" ref="C2068:C2071" si="255">3+1</f>
        <v>4</v>
      </c>
      <c r="D2068" s="7">
        <v>2.0</v>
      </c>
      <c r="E2068" s="7">
        <v>2.0</v>
      </c>
      <c r="F2068" s="7" t="s">
        <v>121</v>
      </c>
      <c r="G2068" s="7" t="s">
        <v>410</v>
      </c>
      <c r="H2068" s="9" t="s">
        <v>2979</v>
      </c>
      <c r="I2068" t="s">
        <v>3150</v>
      </c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 t="str">
        <f t="shared" si="1"/>
        <v>Built-up :</v>
      </c>
      <c r="AE2068" s="7" t="str">
        <f t="shared" si="2"/>
        <v> sq. ft.</v>
      </c>
      <c r="AF2068">
        <f>IFERROR(__xludf.DUMMYFUNCTION("VALUE(REGEXREPLACE(G2068,""[^[:digit:]]"", """"))"),1094.0)</f>
        <v>1094</v>
      </c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 t="s">
        <v>27</v>
      </c>
    </row>
    <row r="2069">
      <c r="A2069" s="7" t="s">
        <v>100</v>
      </c>
      <c r="B2069" s="7" t="s">
        <v>409</v>
      </c>
      <c r="C2069" s="7">
        <f t="shared" si="255"/>
        <v>4</v>
      </c>
      <c r="D2069" s="7">
        <v>2.0</v>
      </c>
      <c r="E2069" s="7">
        <v>2.0</v>
      </c>
      <c r="F2069" s="7" t="s">
        <v>20</v>
      </c>
      <c r="G2069" s="7" t="s">
        <v>410</v>
      </c>
      <c r="H2069" s="9" t="s">
        <v>2979</v>
      </c>
      <c r="I2069" t="s">
        <v>3150</v>
      </c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 t="str">
        <f t="shared" si="1"/>
        <v>Built-up :</v>
      </c>
      <c r="AE2069" s="7" t="str">
        <f t="shared" si="2"/>
        <v> sq. ft.</v>
      </c>
      <c r="AF2069">
        <f>IFERROR(__xludf.DUMMYFUNCTION("VALUE(REGEXREPLACE(G2069,""[^[:digit:]]"", """"))"),1094.0)</f>
        <v>1094</v>
      </c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 t="s">
        <v>103</v>
      </c>
    </row>
    <row r="2070">
      <c r="A2070" s="7" t="s">
        <v>371</v>
      </c>
      <c r="B2070" s="7" t="s">
        <v>311</v>
      </c>
      <c r="C2070" s="7">
        <f t="shared" si="255"/>
        <v>4</v>
      </c>
      <c r="D2070" s="7">
        <v>4.0</v>
      </c>
      <c r="E2070" s="7">
        <v>2.0</v>
      </c>
      <c r="F2070" s="7" t="s">
        <v>30</v>
      </c>
      <c r="G2070" s="7" t="s">
        <v>1165</v>
      </c>
      <c r="H2070" s="9" t="s">
        <v>2979</v>
      </c>
      <c r="I2070" t="s">
        <v>3551</v>
      </c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 t="str">
        <f t="shared" si="1"/>
        <v>Built-up :</v>
      </c>
      <c r="AE2070" s="7" t="str">
        <f t="shared" si="2"/>
        <v> sq. ft.</v>
      </c>
      <c r="AF2070">
        <f>IFERROR(__xludf.DUMMYFUNCTION("VALUE(REGEXREPLACE(G2070,""[^[:digit:]]"", """"))"),1759.0)</f>
        <v>1759</v>
      </c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 t="s">
        <v>103</v>
      </c>
    </row>
    <row r="2071">
      <c r="A2071" s="7" t="s">
        <v>100</v>
      </c>
      <c r="B2071" s="7" t="s">
        <v>953</v>
      </c>
      <c r="C2071" s="7">
        <f t="shared" si="255"/>
        <v>4</v>
      </c>
      <c r="D2071" s="7">
        <v>2.0</v>
      </c>
      <c r="E2071" s="7">
        <v>2.0</v>
      </c>
      <c r="F2071" s="7" t="s">
        <v>121</v>
      </c>
      <c r="G2071" s="7" t="s">
        <v>410</v>
      </c>
      <c r="H2071" s="9" t="s">
        <v>2979</v>
      </c>
      <c r="I2071" t="s">
        <v>3150</v>
      </c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 t="str">
        <f t="shared" si="1"/>
        <v>Built-up :</v>
      </c>
      <c r="AE2071" s="7" t="str">
        <f t="shared" si="2"/>
        <v> sq. ft.</v>
      </c>
      <c r="AF2071">
        <f>IFERROR(__xludf.DUMMYFUNCTION("VALUE(REGEXREPLACE(G2071,""[^[:digit:]]"", """"))"),1094.0)</f>
        <v>1094</v>
      </c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 t="s">
        <v>22</v>
      </c>
    </row>
    <row r="2072">
      <c r="A2072" s="7" t="s">
        <v>72</v>
      </c>
      <c r="B2072" s="7" t="s">
        <v>1030</v>
      </c>
      <c r="C2072" s="7">
        <f>4+1</f>
        <v>5</v>
      </c>
      <c r="D2072" s="7">
        <v>5.0</v>
      </c>
      <c r="E2072" s="7">
        <v>3.0</v>
      </c>
      <c r="F2072" s="7" t="s">
        <v>83</v>
      </c>
      <c r="G2072" s="7" t="s">
        <v>1672</v>
      </c>
      <c r="H2072" s="9" t="s">
        <v>2979</v>
      </c>
      <c r="I2072" t="s">
        <v>3847</v>
      </c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 t="str">
        <f t="shared" si="1"/>
        <v>Built-up :</v>
      </c>
      <c r="AE2072" s="7" t="str">
        <f t="shared" si="2"/>
        <v> sq. ft.</v>
      </c>
      <c r="AF2072">
        <f>IFERROR(__xludf.DUMMYFUNCTION("VALUE(REGEXREPLACE(G2072,""[^[:digit:]]"", """"))"),3514.0)</f>
        <v>3514</v>
      </c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</row>
    <row r="2073">
      <c r="A2073" s="7" t="s">
        <v>32</v>
      </c>
      <c r="B2073" s="7" t="s">
        <v>1673</v>
      </c>
      <c r="C2073" s="7">
        <f>3</f>
        <v>3</v>
      </c>
      <c r="D2073" s="7">
        <v>2.0</v>
      </c>
      <c r="E2073" s="7">
        <v>2.0</v>
      </c>
      <c r="F2073" s="7" t="s">
        <v>30</v>
      </c>
      <c r="G2073" s="7" t="s">
        <v>853</v>
      </c>
      <c r="H2073" s="9" t="s">
        <v>2979</v>
      </c>
      <c r="I2073" t="s">
        <v>3371</v>
      </c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 t="str">
        <f t="shared" si="1"/>
        <v>Built-up :</v>
      </c>
      <c r="AE2073" s="7" t="str">
        <f t="shared" si="2"/>
        <v> sq. ft.</v>
      </c>
      <c r="AF2073">
        <f>IFERROR(__xludf.DUMMYFUNCTION("VALUE(REGEXREPLACE(G2073,""[^[:digit:]]"", """"))"),970.0)</f>
        <v>970</v>
      </c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 t="s">
        <v>27</v>
      </c>
    </row>
    <row r="2074">
      <c r="A2074" s="7" t="s">
        <v>180</v>
      </c>
      <c r="B2074" s="7" t="s">
        <v>956</v>
      </c>
      <c r="C2074" s="7">
        <f t="shared" ref="C2074:C2075" si="256">4</f>
        <v>4</v>
      </c>
      <c r="D2074" s="7">
        <v>3.0</v>
      </c>
      <c r="E2074" s="9">
        <v>2.0</v>
      </c>
      <c r="F2074" s="7" t="s">
        <v>54</v>
      </c>
      <c r="G2074" s="7" t="s">
        <v>1121</v>
      </c>
      <c r="H2074" s="9" t="s">
        <v>2981</v>
      </c>
      <c r="I2074" t="s">
        <v>3518</v>
      </c>
      <c r="J2074" s="7"/>
      <c r="K2074" s="7"/>
      <c r="L2074" s="7"/>
      <c r="M2074" s="7"/>
      <c r="N2074" s="7"/>
      <c r="O2074" s="7"/>
      <c r="P2074" s="7"/>
      <c r="Q2074" s="7"/>
      <c r="R2074" s="7"/>
      <c r="S2074" s="7" t="s">
        <v>3121</v>
      </c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 t="str">
        <f t="shared" si="1"/>
        <v>Land area </v>
      </c>
      <c r="AE2074" s="7" t="str">
        <f t="shared" si="2"/>
        <v> sq. ft.</v>
      </c>
      <c r="AF2074">
        <f>IFERROR(__xludf.DUMMYFUNCTION("VALUE(REGEXREPLACE(G2074,""[^[:digit:]]"", """"))"),2270.0)</f>
        <v>2270</v>
      </c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 t="s">
        <v>103</v>
      </c>
    </row>
    <row r="2075">
      <c r="A2075" s="7" t="s">
        <v>580</v>
      </c>
      <c r="B2075" s="7" t="s">
        <v>599</v>
      </c>
      <c r="C2075" s="7">
        <f t="shared" si="256"/>
        <v>4</v>
      </c>
      <c r="D2075" s="7">
        <v>3.0</v>
      </c>
      <c r="E2075" s="9">
        <v>2.0</v>
      </c>
      <c r="F2075" s="7" t="s">
        <v>54</v>
      </c>
      <c r="G2075" s="7" t="s">
        <v>211</v>
      </c>
      <c r="H2075" s="9" t="s">
        <v>2981</v>
      </c>
      <c r="I2075" t="s">
        <v>2992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 t="s">
        <v>2993</v>
      </c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 t="str">
        <f t="shared" si="1"/>
        <v>Land area </v>
      </c>
      <c r="AE2075" s="7" t="str">
        <f t="shared" si="2"/>
        <v> sq. ft.</v>
      </c>
      <c r="AF2075">
        <f>IFERROR(__xludf.DUMMYFUNCTION("VALUE(REGEXREPLACE(G2075,""[^[:digit:]]"", """"))"),2280.0)</f>
        <v>2280</v>
      </c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 t="s">
        <v>22</v>
      </c>
    </row>
    <row r="2076">
      <c r="A2076" s="7" t="s">
        <v>432</v>
      </c>
      <c r="B2076" s="7" t="s">
        <v>484</v>
      </c>
      <c r="C2076" s="7">
        <f t="shared" ref="C2076:C2080" si="257">4+1</f>
        <v>5</v>
      </c>
      <c r="D2076" s="7">
        <v>5.0</v>
      </c>
      <c r="E2076" s="9">
        <v>2.0</v>
      </c>
      <c r="F2076" s="7" t="s">
        <v>83</v>
      </c>
      <c r="G2076" s="7" t="s">
        <v>1495</v>
      </c>
      <c r="H2076" s="9" t="s">
        <v>2979</v>
      </c>
      <c r="I2076" t="s">
        <v>3743</v>
      </c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 t="str">
        <f t="shared" si="1"/>
        <v>Built-up :</v>
      </c>
      <c r="AE2076" s="7" t="str">
        <f t="shared" si="2"/>
        <v> sq. ft.</v>
      </c>
      <c r="AF2076">
        <f>IFERROR(__xludf.DUMMYFUNCTION("VALUE(REGEXREPLACE(G2076,""[^[:digit:]]"", """"))"),3466.0)</f>
        <v>3466</v>
      </c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 t="s">
        <v>22</v>
      </c>
    </row>
    <row r="2077">
      <c r="A2077" s="7" t="s">
        <v>432</v>
      </c>
      <c r="B2077" s="7" t="s">
        <v>920</v>
      </c>
      <c r="C2077" s="7">
        <f t="shared" si="257"/>
        <v>5</v>
      </c>
      <c r="D2077" s="7">
        <v>6.0</v>
      </c>
      <c r="E2077" s="9">
        <v>2.0</v>
      </c>
      <c r="F2077" s="7" t="s">
        <v>83</v>
      </c>
      <c r="G2077" s="7" t="s">
        <v>1626</v>
      </c>
      <c r="H2077" s="9" t="s">
        <v>2979</v>
      </c>
      <c r="I2077" t="s">
        <v>3819</v>
      </c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 t="str">
        <f t="shared" si="1"/>
        <v>Built-up :</v>
      </c>
      <c r="AE2077" s="7" t="str">
        <f t="shared" si="2"/>
        <v> sq. ft.</v>
      </c>
      <c r="AF2077">
        <f>IFERROR(__xludf.DUMMYFUNCTION("VALUE(REGEXREPLACE(G2077,""[^[:digit:]]"", """"))"),3983.0)</f>
        <v>3983</v>
      </c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</row>
    <row r="2078">
      <c r="A2078" s="7" t="s">
        <v>432</v>
      </c>
      <c r="B2078" s="7" t="s">
        <v>313</v>
      </c>
      <c r="C2078" s="7">
        <f t="shared" si="257"/>
        <v>5</v>
      </c>
      <c r="D2078" s="7">
        <v>5.0</v>
      </c>
      <c r="E2078" s="9">
        <v>2.0</v>
      </c>
      <c r="F2078" s="7" t="s">
        <v>83</v>
      </c>
      <c r="G2078" s="7" t="s">
        <v>1674</v>
      </c>
      <c r="H2078" s="9" t="s">
        <v>2979</v>
      </c>
      <c r="I2078" t="s">
        <v>3848</v>
      </c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 t="str">
        <f t="shared" si="1"/>
        <v>Built-up :</v>
      </c>
      <c r="AE2078" s="7" t="str">
        <f t="shared" si="2"/>
        <v> sq. ft.</v>
      </c>
      <c r="AF2078">
        <f>IFERROR(__xludf.DUMMYFUNCTION("VALUE(REGEXREPLACE(G2078,""[^[:digit:]]"", """"))"),3460.0)</f>
        <v>3460</v>
      </c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</row>
    <row r="2079">
      <c r="A2079" s="7" t="s">
        <v>432</v>
      </c>
      <c r="B2079" s="7" t="s">
        <v>475</v>
      </c>
      <c r="C2079" s="7">
        <f t="shared" si="257"/>
        <v>5</v>
      </c>
      <c r="D2079" s="7">
        <v>5.0</v>
      </c>
      <c r="E2079" s="9">
        <v>2.0</v>
      </c>
      <c r="F2079" s="7" t="s">
        <v>83</v>
      </c>
      <c r="G2079" s="7" t="s">
        <v>1675</v>
      </c>
      <c r="H2079" s="9" t="s">
        <v>2979</v>
      </c>
      <c r="I2079" t="s">
        <v>3849</v>
      </c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 t="str">
        <f t="shared" si="1"/>
        <v>Built-up :</v>
      </c>
      <c r="AE2079" s="7" t="str">
        <f t="shared" si="2"/>
        <v> sq. ft.</v>
      </c>
      <c r="AF2079">
        <f>IFERROR(__xludf.DUMMYFUNCTION("VALUE(REGEXREPLACE(G2079,""[^[:digit:]]"", """"))"),3482.0)</f>
        <v>3482</v>
      </c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 t="s">
        <v>22</v>
      </c>
    </row>
    <row r="2080">
      <c r="A2080" s="7" t="s">
        <v>432</v>
      </c>
      <c r="B2080" s="7" t="s">
        <v>120</v>
      </c>
      <c r="C2080" s="7">
        <f t="shared" si="257"/>
        <v>5</v>
      </c>
      <c r="D2080" s="7">
        <v>5.0</v>
      </c>
      <c r="E2080" s="7">
        <v>3.0</v>
      </c>
      <c r="F2080" s="7" t="s">
        <v>83</v>
      </c>
      <c r="G2080" s="7" t="s">
        <v>1084</v>
      </c>
      <c r="H2080" s="9" t="s">
        <v>2979</v>
      </c>
      <c r="I2080" t="s">
        <v>3494</v>
      </c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 t="str">
        <f t="shared" si="1"/>
        <v>Built-up :</v>
      </c>
      <c r="AE2080" s="7" t="str">
        <f t="shared" si="2"/>
        <v> sq. ft.</v>
      </c>
      <c r="AF2080">
        <f>IFERROR(__xludf.DUMMYFUNCTION("VALUE(REGEXREPLACE(G2080,""[^[:digit:]]"", """"))"),3600.0)</f>
        <v>3600</v>
      </c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 t="s">
        <v>22</v>
      </c>
    </row>
    <row r="2081">
      <c r="A2081" s="7" t="s">
        <v>432</v>
      </c>
      <c r="B2081" s="7" t="s">
        <v>174</v>
      </c>
      <c r="C2081" s="7">
        <f>5</f>
        <v>5</v>
      </c>
      <c r="D2081" s="7">
        <v>5.0</v>
      </c>
      <c r="E2081" s="7">
        <v>3.0</v>
      </c>
      <c r="F2081" s="7" t="s">
        <v>83</v>
      </c>
      <c r="G2081" s="7" t="s">
        <v>1628</v>
      </c>
      <c r="H2081" s="9" t="s">
        <v>2979</v>
      </c>
      <c r="I2081" t="s">
        <v>3821</v>
      </c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 t="str">
        <f t="shared" si="1"/>
        <v>Built-up :</v>
      </c>
      <c r="AE2081" s="7" t="str">
        <f t="shared" si="2"/>
        <v> sq. ft.</v>
      </c>
      <c r="AF2081">
        <f>IFERROR(__xludf.DUMMYFUNCTION("VALUE(REGEXREPLACE(G2081,""[^[:digit:]]"", """"))"),3660.0)</f>
        <v>3660</v>
      </c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 t="s">
        <v>22</v>
      </c>
    </row>
    <row r="2082">
      <c r="A2082" s="7" t="s">
        <v>32</v>
      </c>
      <c r="B2082" s="7" t="s">
        <v>761</v>
      </c>
      <c r="C2082" s="7">
        <f t="shared" ref="C2082:C2083" si="258">3</f>
        <v>3</v>
      </c>
      <c r="D2082" s="7">
        <v>2.0</v>
      </c>
      <c r="E2082" s="7">
        <v>2.0</v>
      </c>
      <c r="F2082" s="7" t="s">
        <v>30</v>
      </c>
      <c r="H2082" s="9" t="s">
        <v>2984</v>
      </c>
      <c r="I2082" t="s">
        <v>2985</v>
      </c>
      <c r="AD2082" s="7" t="str">
        <f t="shared" si="1"/>
        <v/>
      </c>
      <c r="AE2082" s="7" t="str">
        <f t="shared" si="2"/>
        <v/>
      </c>
      <c r="AF2082">
        <f>IFERROR(__xludf.DUMMYFUNCTION("VALUE(REGEXREPLACE(G2082,""[^[:digit:]]"", """"))"),0.0)</f>
        <v>0</v>
      </c>
      <c r="AS2082" s="7" t="s">
        <v>103</v>
      </c>
    </row>
    <row r="2083">
      <c r="A2083" s="7" t="s">
        <v>32</v>
      </c>
      <c r="B2083" s="7" t="s">
        <v>1676</v>
      </c>
      <c r="C2083" s="7">
        <f t="shared" si="258"/>
        <v>3</v>
      </c>
      <c r="D2083" s="7">
        <v>2.0</v>
      </c>
      <c r="E2083" s="7">
        <v>2.0</v>
      </c>
      <c r="F2083" s="7" t="s">
        <v>30</v>
      </c>
      <c r="H2083" s="9" t="s">
        <v>2984</v>
      </c>
      <c r="I2083" t="s">
        <v>2985</v>
      </c>
      <c r="AD2083" s="7" t="str">
        <f t="shared" si="1"/>
        <v/>
      </c>
      <c r="AE2083" s="7" t="str">
        <f t="shared" si="2"/>
        <v/>
      </c>
      <c r="AF2083">
        <f>IFERROR(__xludf.DUMMYFUNCTION("VALUE(REGEXREPLACE(G2083,""[^[:digit:]]"", """"))"),0.0)</f>
        <v>0</v>
      </c>
      <c r="AS2083" s="7" t="s">
        <v>103</v>
      </c>
    </row>
    <row r="2084">
      <c r="A2084" s="7" t="s">
        <v>32</v>
      </c>
      <c r="B2084" s="7" t="s">
        <v>1258</v>
      </c>
      <c r="C2084" s="7">
        <f>3+1</f>
        <v>4</v>
      </c>
      <c r="D2084" s="7">
        <v>2.0</v>
      </c>
      <c r="E2084" s="7">
        <v>1.0</v>
      </c>
      <c r="F2084" s="7" t="s">
        <v>93</v>
      </c>
      <c r="G2084" s="7" t="s">
        <v>1677</v>
      </c>
      <c r="H2084" s="9" t="s">
        <v>2979</v>
      </c>
      <c r="I2084" t="s">
        <v>3850</v>
      </c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 t="str">
        <f t="shared" si="1"/>
        <v>Built-up :</v>
      </c>
      <c r="AE2084" s="7" t="str">
        <f t="shared" si="2"/>
        <v> sq. ft.</v>
      </c>
      <c r="AF2084">
        <f>IFERROR(__xludf.DUMMYFUNCTION("VALUE(REGEXREPLACE(G2084,""[^[:digit:]]"", """"))"),1142.0)</f>
        <v>1142</v>
      </c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 t="s">
        <v>103</v>
      </c>
    </row>
    <row r="2085">
      <c r="A2085" s="7" t="s">
        <v>33</v>
      </c>
      <c r="B2085" s="7" t="s">
        <v>1334</v>
      </c>
      <c r="C2085" s="7">
        <f>3</f>
        <v>3</v>
      </c>
      <c r="D2085" s="7">
        <v>2.0</v>
      </c>
      <c r="E2085" s="7">
        <v>2.0</v>
      </c>
      <c r="F2085" s="7" t="s">
        <v>20</v>
      </c>
      <c r="G2085" s="7" t="s">
        <v>795</v>
      </c>
      <c r="H2085" s="9" t="s">
        <v>2979</v>
      </c>
      <c r="I2085" t="s">
        <v>3344</v>
      </c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 t="str">
        <f t="shared" si="1"/>
        <v>Built-up :</v>
      </c>
      <c r="AE2085" s="7" t="str">
        <f t="shared" si="2"/>
        <v> sq. ft.</v>
      </c>
      <c r="AF2085">
        <f>IFERROR(__xludf.DUMMYFUNCTION("VALUE(REGEXREPLACE(G2085,""[^[:digit:]]"", """"))"),1170.0)</f>
        <v>1170</v>
      </c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 t="s">
        <v>22</v>
      </c>
    </row>
    <row r="2086">
      <c r="A2086" s="7" t="s">
        <v>580</v>
      </c>
      <c r="B2086" s="7" t="s">
        <v>132</v>
      </c>
      <c r="C2086" s="7">
        <f>4+1</f>
        <v>5</v>
      </c>
      <c r="D2086" s="7">
        <v>3.0</v>
      </c>
      <c r="E2086" s="9">
        <v>2.0</v>
      </c>
      <c r="F2086" s="7" t="s">
        <v>169</v>
      </c>
      <c r="G2086" s="7" t="s">
        <v>211</v>
      </c>
      <c r="H2086" s="9" t="s">
        <v>2981</v>
      </c>
      <c r="I2086" t="s">
        <v>2992</v>
      </c>
      <c r="J2086" s="7"/>
      <c r="K2086" s="7"/>
      <c r="L2086" s="7"/>
      <c r="M2086" s="7"/>
      <c r="N2086" s="7"/>
      <c r="O2086" s="7"/>
      <c r="P2086" s="7"/>
      <c r="Q2086" s="7"/>
      <c r="R2086" s="7"/>
      <c r="S2086" s="7" t="s">
        <v>2993</v>
      </c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 t="str">
        <f t="shared" si="1"/>
        <v>Land area </v>
      </c>
      <c r="AE2086" s="7" t="str">
        <f t="shared" si="2"/>
        <v> sq. ft.</v>
      </c>
      <c r="AF2086">
        <f>IFERROR(__xludf.DUMMYFUNCTION("VALUE(REGEXREPLACE(G2086,""[^[:digit:]]"", """"))"),2280.0)</f>
        <v>2280</v>
      </c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 t="s">
        <v>22</v>
      </c>
    </row>
    <row r="2087">
      <c r="A2087" s="7" t="s">
        <v>77</v>
      </c>
      <c r="B2087" s="7" t="s">
        <v>1678</v>
      </c>
      <c r="C2087" s="7">
        <f>4</f>
        <v>4</v>
      </c>
      <c r="D2087" s="7">
        <v>3.0</v>
      </c>
      <c r="E2087" s="9">
        <v>2.0</v>
      </c>
      <c r="F2087" s="7" t="s">
        <v>54</v>
      </c>
      <c r="G2087" s="7" t="s">
        <v>719</v>
      </c>
      <c r="H2087" s="9" t="s">
        <v>2981</v>
      </c>
      <c r="I2087" t="s">
        <v>3299</v>
      </c>
      <c r="J2087" s="7"/>
      <c r="K2087" s="7"/>
      <c r="L2087" s="7"/>
      <c r="M2087" s="7"/>
      <c r="N2087" s="7"/>
      <c r="O2087" s="7"/>
      <c r="P2087" s="7"/>
      <c r="Q2087" s="7"/>
      <c r="R2087" s="7"/>
      <c r="S2087" s="7" t="s">
        <v>3101</v>
      </c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 t="str">
        <f t="shared" si="1"/>
        <v>Land area </v>
      </c>
      <c r="AE2087" s="7" t="str">
        <f t="shared" si="2"/>
        <v> sq. ft.</v>
      </c>
      <c r="AF2087">
        <f>IFERROR(__xludf.DUMMYFUNCTION("VALUE(REGEXREPLACE(G2087,""[^[:digit:]]"", """"))"),2285.0)</f>
        <v>2285</v>
      </c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 t="s">
        <v>22</v>
      </c>
    </row>
    <row r="2088">
      <c r="A2088" s="7" t="s">
        <v>580</v>
      </c>
      <c r="B2088" s="7" t="s">
        <v>1679</v>
      </c>
      <c r="C2088" s="7">
        <f>5</f>
        <v>5</v>
      </c>
      <c r="D2088" s="7">
        <v>4.0</v>
      </c>
      <c r="E2088" s="9">
        <v>2.0</v>
      </c>
      <c r="F2088" s="7" t="s">
        <v>54</v>
      </c>
      <c r="G2088" s="7" t="s">
        <v>211</v>
      </c>
      <c r="H2088" s="9" t="s">
        <v>2981</v>
      </c>
      <c r="I2088" t="s">
        <v>2992</v>
      </c>
      <c r="J2088" s="7"/>
      <c r="K2088" s="7"/>
      <c r="L2088" s="7"/>
      <c r="M2088" s="7"/>
      <c r="N2088" s="7"/>
      <c r="O2088" s="7"/>
      <c r="P2088" s="7"/>
      <c r="Q2088" s="7"/>
      <c r="R2088" s="7"/>
      <c r="S2088" s="7" t="s">
        <v>2993</v>
      </c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 t="str">
        <f t="shared" si="1"/>
        <v>Land area </v>
      </c>
      <c r="AE2088" s="7" t="str">
        <f t="shared" si="2"/>
        <v> sq. ft.</v>
      </c>
      <c r="AF2088">
        <f>IFERROR(__xludf.DUMMYFUNCTION("VALUE(REGEXREPLACE(G2088,""[^[:digit:]]"", """"))"),2280.0)</f>
        <v>2280</v>
      </c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 t="s">
        <v>27</v>
      </c>
    </row>
    <row r="2089">
      <c r="A2089" s="7" t="s">
        <v>104</v>
      </c>
      <c r="B2089" s="7" t="s">
        <v>168</v>
      </c>
      <c r="C2089" s="7">
        <f t="shared" ref="C2089:C2090" si="259">3</f>
        <v>3</v>
      </c>
      <c r="D2089" s="7">
        <v>2.0</v>
      </c>
      <c r="E2089" s="9">
        <v>2.0</v>
      </c>
      <c r="F2089" s="7" t="s">
        <v>343</v>
      </c>
      <c r="G2089" s="7" t="s">
        <v>1121</v>
      </c>
      <c r="H2089" s="9" t="s">
        <v>2981</v>
      </c>
      <c r="I2089" t="s">
        <v>3518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 t="s">
        <v>3121</v>
      </c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 t="str">
        <f t="shared" si="1"/>
        <v>Land area </v>
      </c>
      <c r="AE2089" s="7" t="str">
        <f t="shared" si="2"/>
        <v> sq. ft.</v>
      </c>
      <c r="AF2089">
        <f>IFERROR(__xludf.DUMMYFUNCTION("VALUE(REGEXREPLACE(G2089,""[^[:digit:]]"", """"))"),2270.0)</f>
        <v>2270</v>
      </c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 t="s">
        <v>27</v>
      </c>
    </row>
    <row r="2090">
      <c r="A2090" s="7" t="s">
        <v>177</v>
      </c>
      <c r="B2090" s="7" t="s">
        <v>193</v>
      </c>
      <c r="C2090" s="7">
        <f t="shared" si="259"/>
        <v>3</v>
      </c>
      <c r="D2090" s="7">
        <v>4.0</v>
      </c>
      <c r="E2090" s="9">
        <v>2.0</v>
      </c>
      <c r="F2090" s="7" t="s">
        <v>169</v>
      </c>
      <c r="G2090" s="7" t="s">
        <v>726</v>
      </c>
      <c r="H2090" s="9" t="s">
        <v>2979</v>
      </c>
      <c r="I2090" t="s">
        <v>3304</v>
      </c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 t="str">
        <f t="shared" si="1"/>
        <v>Built-up :</v>
      </c>
      <c r="AE2090" s="7" t="str">
        <f t="shared" si="2"/>
        <v> sq. ft.</v>
      </c>
      <c r="AF2090">
        <f>IFERROR(__xludf.DUMMYFUNCTION("VALUE(REGEXREPLACE(G2090,""[^[:digit:]]"", """"))"),1700.0)</f>
        <v>1700</v>
      </c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</row>
    <row r="2091">
      <c r="A2091" s="7" t="s">
        <v>262</v>
      </c>
      <c r="B2091" s="7" t="s">
        <v>1541</v>
      </c>
      <c r="E2091" s="9">
        <v>2.0</v>
      </c>
      <c r="F2091" s="7" t="s">
        <v>667</v>
      </c>
      <c r="G2091" s="7" t="s">
        <v>1542</v>
      </c>
      <c r="H2091" s="9" t="s">
        <v>2981</v>
      </c>
      <c r="I2091" t="s">
        <v>3769</v>
      </c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 t="str">
        <f t="shared" si="1"/>
        <v>Land area </v>
      </c>
      <c r="AE2091" s="7" t="str">
        <f t="shared" si="2"/>
        <v> sq. ft.</v>
      </c>
      <c r="AF2091">
        <f>IFERROR(__xludf.DUMMYFUNCTION("VALUE(REGEXREPLACE(G2091,""[^[:digit:]]"", """"))"),10689.0)</f>
        <v>10689</v>
      </c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</row>
    <row r="2092">
      <c r="A2092" s="7" t="s">
        <v>155</v>
      </c>
      <c r="B2092" s="7" t="s">
        <v>245</v>
      </c>
      <c r="C2092" s="7">
        <f>3</f>
        <v>3</v>
      </c>
      <c r="D2092" s="7">
        <v>3.0</v>
      </c>
      <c r="E2092" s="7">
        <v>1.0</v>
      </c>
      <c r="F2092" s="7" t="s">
        <v>83</v>
      </c>
      <c r="G2092" s="7" t="s">
        <v>630</v>
      </c>
      <c r="H2092" s="9" t="s">
        <v>2979</v>
      </c>
      <c r="I2092" t="s">
        <v>3257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 t="str">
        <f t="shared" si="1"/>
        <v>Built-up :</v>
      </c>
      <c r="AE2092" s="7" t="str">
        <f t="shared" si="2"/>
        <v> sq. ft.</v>
      </c>
      <c r="AF2092">
        <f>IFERROR(__xludf.DUMMYFUNCTION("VALUE(REGEXREPLACE(G2092,""[^[:digit:]]"", """"))"),1186.0)</f>
        <v>1186</v>
      </c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 t="s">
        <v>103</v>
      </c>
    </row>
    <row r="2093">
      <c r="A2093" s="7" t="s">
        <v>155</v>
      </c>
      <c r="B2093" s="7" t="s">
        <v>657</v>
      </c>
      <c r="C2093" s="7">
        <f t="shared" ref="C2093:C2094" si="260">3+1</f>
        <v>4</v>
      </c>
      <c r="D2093" s="7">
        <v>4.0</v>
      </c>
      <c r="E2093" s="7">
        <v>2.0</v>
      </c>
      <c r="F2093" s="7" t="s">
        <v>30</v>
      </c>
      <c r="G2093" s="7" t="s">
        <v>382</v>
      </c>
      <c r="H2093" s="9" t="s">
        <v>2979</v>
      </c>
      <c r="I2093" t="s">
        <v>3136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 t="str">
        <f t="shared" si="1"/>
        <v>Built-up :</v>
      </c>
      <c r="AE2093" s="7" t="str">
        <f t="shared" si="2"/>
        <v> sq. ft.</v>
      </c>
      <c r="AF2093">
        <f>IFERROR(__xludf.DUMMYFUNCTION("VALUE(REGEXREPLACE(G2093,""[^[:digit:]]"", """"))"),1488.0)</f>
        <v>1488</v>
      </c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 t="s">
        <v>27</v>
      </c>
    </row>
    <row r="2094">
      <c r="A2094" s="7" t="s">
        <v>692</v>
      </c>
      <c r="B2094" s="7" t="s">
        <v>243</v>
      </c>
      <c r="C2094" s="7">
        <f t="shared" si="260"/>
        <v>4</v>
      </c>
      <c r="D2094" s="7">
        <v>4.0</v>
      </c>
      <c r="E2094" s="9">
        <v>2.0</v>
      </c>
      <c r="F2094" s="7" t="s">
        <v>717</v>
      </c>
      <c r="G2094" s="7" t="s">
        <v>1680</v>
      </c>
      <c r="H2094" s="9" t="s">
        <v>2979</v>
      </c>
      <c r="I2094" t="s">
        <v>3851</v>
      </c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 t="str">
        <f t="shared" si="1"/>
        <v>Built-up :</v>
      </c>
      <c r="AE2094" s="7" t="str">
        <f t="shared" si="2"/>
        <v> sq. ft.</v>
      </c>
      <c r="AF2094">
        <f>IFERROR(__xludf.DUMMYFUNCTION("VALUE(REGEXREPLACE(G2094,""[^[:digit:]]"", """"))"),2583.0)</f>
        <v>2583</v>
      </c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 t="s">
        <v>27</v>
      </c>
    </row>
    <row r="2095">
      <c r="A2095" s="7" t="s">
        <v>100</v>
      </c>
      <c r="B2095" s="7" t="s">
        <v>691</v>
      </c>
      <c r="C2095" s="7">
        <f>1</f>
        <v>1</v>
      </c>
      <c r="D2095" s="7">
        <v>2.0</v>
      </c>
      <c r="E2095" s="7">
        <v>1.0</v>
      </c>
      <c r="F2095" s="7" t="s">
        <v>938</v>
      </c>
      <c r="G2095" s="7" t="s">
        <v>786</v>
      </c>
      <c r="H2095" s="9" t="s">
        <v>2979</v>
      </c>
      <c r="I2095" t="s">
        <v>3339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 t="str">
        <f t="shared" si="1"/>
        <v>Built-up :</v>
      </c>
      <c r="AE2095" s="7" t="str">
        <f t="shared" si="2"/>
        <v> sq. ft.</v>
      </c>
      <c r="AF2095">
        <f>IFERROR(__xludf.DUMMYFUNCTION("VALUE(REGEXREPLACE(G2095,""[^[:digit:]]"", """"))"),775.0)</f>
        <v>775</v>
      </c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 t="s">
        <v>27</v>
      </c>
    </row>
    <row r="2096">
      <c r="A2096" s="7" t="s">
        <v>171</v>
      </c>
      <c r="B2096" s="7" t="s">
        <v>702</v>
      </c>
      <c r="C2096" s="7">
        <f t="shared" ref="C2096:C2097" si="261">4</f>
        <v>4</v>
      </c>
      <c r="D2096" s="7">
        <v>2.0</v>
      </c>
      <c r="E2096" s="7">
        <v>1.0</v>
      </c>
      <c r="F2096" s="7" t="s">
        <v>83</v>
      </c>
      <c r="G2096" s="7" t="s">
        <v>1681</v>
      </c>
      <c r="H2096" s="9" t="s">
        <v>2979</v>
      </c>
      <c r="I2096" t="s">
        <v>3852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 t="str">
        <f t="shared" si="1"/>
        <v>Built-up :</v>
      </c>
      <c r="AE2096" s="7" t="str">
        <f t="shared" si="2"/>
        <v> sq. ft.</v>
      </c>
      <c r="AF2096">
        <f>IFERROR(__xludf.DUMMYFUNCTION("VALUE(REGEXREPLACE(G2096,""[^[:digit:]]"", """"))"),1272.0)</f>
        <v>1272</v>
      </c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 t="s">
        <v>27</v>
      </c>
    </row>
    <row r="2097">
      <c r="A2097" s="7" t="s">
        <v>171</v>
      </c>
      <c r="B2097" s="7" t="s">
        <v>702</v>
      </c>
      <c r="C2097" s="7">
        <f t="shared" si="261"/>
        <v>4</v>
      </c>
      <c r="D2097" s="7">
        <v>2.0</v>
      </c>
      <c r="E2097" s="7">
        <v>2.0</v>
      </c>
      <c r="F2097" s="7" t="s">
        <v>93</v>
      </c>
      <c r="G2097" s="7" t="s">
        <v>1681</v>
      </c>
      <c r="H2097" s="9" t="s">
        <v>2979</v>
      </c>
      <c r="I2097" t="s">
        <v>3852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 t="str">
        <f t="shared" si="1"/>
        <v>Built-up :</v>
      </c>
      <c r="AE2097" s="7" t="str">
        <f t="shared" si="2"/>
        <v> sq. ft.</v>
      </c>
      <c r="AF2097">
        <f>IFERROR(__xludf.DUMMYFUNCTION("VALUE(REGEXREPLACE(G2097,""[^[:digit:]]"", """"))"),1272.0)</f>
        <v>1272</v>
      </c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</row>
    <row r="2098">
      <c r="A2098" s="7" t="s">
        <v>180</v>
      </c>
      <c r="B2098" s="7" t="s">
        <v>120</v>
      </c>
      <c r="C2098" s="7">
        <f t="shared" ref="C2098:C2099" si="262">3+1</f>
        <v>4</v>
      </c>
      <c r="D2098" s="7">
        <v>4.0</v>
      </c>
      <c r="E2098" s="9">
        <v>2.0</v>
      </c>
      <c r="F2098" s="7" t="s">
        <v>83</v>
      </c>
      <c r="G2098" s="7" t="s">
        <v>1682</v>
      </c>
      <c r="H2098" s="9" t="s">
        <v>2979</v>
      </c>
      <c r="I2098" t="s">
        <v>3853</v>
      </c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 t="str">
        <f t="shared" si="1"/>
        <v>Built-up :</v>
      </c>
      <c r="AE2098" s="7" t="str">
        <f t="shared" si="2"/>
        <v> sq. ft.</v>
      </c>
      <c r="AF2098">
        <f>IFERROR(__xludf.DUMMYFUNCTION("VALUE(REGEXREPLACE(G2098,""[^[:digit:]]"", """"))"),3664.0)</f>
        <v>3664</v>
      </c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 t="s">
        <v>27</v>
      </c>
    </row>
    <row r="2099">
      <c r="A2099" s="7" t="s">
        <v>180</v>
      </c>
      <c r="B2099" s="7" t="s">
        <v>165</v>
      </c>
      <c r="C2099" s="7">
        <f t="shared" si="262"/>
        <v>4</v>
      </c>
      <c r="D2099" s="7">
        <v>4.0</v>
      </c>
      <c r="E2099" s="9">
        <v>2.0</v>
      </c>
      <c r="F2099" s="7" t="s">
        <v>83</v>
      </c>
      <c r="G2099" s="7" t="s">
        <v>1683</v>
      </c>
      <c r="H2099" s="9" t="s">
        <v>2979</v>
      </c>
      <c r="I2099" t="s">
        <v>3854</v>
      </c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 t="str">
        <f t="shared" si="1"/>
        <v>Built-up :</v>
      </c>
      <c r="AE2099" s="7" t="str">
        <f t="shared" si="2"/>
        <v> sq. ft.</v>
      </c>
      <c r="AF2099">
        <f>IFERROR(__xludf.DUMMYFUNCTION("VALUE(REGEXREPLACE(G2099,""[^[:digit:]]"", """"))"),3250.0)</f>
        <v>3250</v>
      </c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 t="s">
        <v>27</v>
      </c>
    </row>
    <row r="2100">
      <c r="A2100" s="7" t="s">
        <v>33</v>
      </c>
      <c r="B2100" s="7" t="s">
        <v>214</v>
      </c>
      <c r="C2100" s="7">
        <f>5+1</f>
        <v>6</v>
      </c>
      <c r="D2100" s="7">
        <v>4.0</v>
      </c>
      <c r="E2100" s="7">
        <v>2.0</v>
      </c>
      <c r="F2100" s="7" t="s">
        <v>90</v>
      </c>
      <c r="G2100" s="7" t="s">
        <v>1121</v>
      </c>
      <c r="H2100" s="9" t="s">
        <v>2981</v>
      </c>
      <c r="I2100" t="s">
        <v>3518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 t="s">
        <v>3121</v>
      </c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 t="str">
        <f t="shared" si="1"/>
        <v>Land area </v>
      </c>
      <c r="AE2100" s="7" t="str">
        <f t="shared" si="2"/>
        <v> sq. ft.</v>
      </c>
      <c r="AF2100">
        <f>IFERROR(__xludf.DUMMYFUNCTION("VALUE(REGEXREPLACE(G2100,""[^[:digit:]]"", """"))"),2270.0)</f>
        <v>2270</v>
      </c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 t="s">
        <v>27</v>
      </c>
    </row>
    <row r="2101">
      <c r="A2101" s="7" t="s">
        <v>171</v>
      </c>
      <c r="B2101" s="7" t="s">
        <v>975</v>
      </c>
      <c r="C2101" s="7">
        <f t="shared" ref="C2101:C2102" si="263">4</f>
        <v>4</v>
      </c>
      <c r="D2101" s="7">
        <v>2.0</v>
      </c>
      <c r="E2101" s="7">
        <v>2.0</v>
      </c>
      <c r="F2101" s="7" t="s">
        <v>83</v>
      </c>
      <c r="G2101" s="7" t="s">
        <v>1681</v>
      </c>
      <c r="H2101" s="9" t="s">
        <v>2979</v>
      </c>
      <c r="I2101" t="s">
        <v>3852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 t="str">
        <f t="shared" si="1"/>
        <v>Built-up :</v>
      </c>
      <c r="AE2101" s="7" t="str">
        <f t="shared" si="2"/>
        <v> sq. ft.</v>
      </c>
      <c r="AF2101">
        <f>IFERROR(__xludf.DUMMYFUNCTION("VALUE(REGEXREPLACE(G2101,""[^[:digit:]]"", """"))"),1272.0)</f>
        <v>1272</v>
      </c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 t="s">
        <v>27</v>
      </c>
    </row>
    <row r="2102">
      <c r="A2102" s="7" t="s">
        <v>171</v>
      </c>
      <c r="B2102" s="7" t="s">
        <v>969</v>
      </c>
      <c r="C2102" s="7">
        <f t="shared" si="263"/>
        <v>4</v>
      </c>
      <c r="D2102" s="7">
        <v>2.0</v>
      </c>
      <c r="E2102" s="9">
        <v>2.0</v>
      </c>
      <c r="F2102" s="7" t="s">
        <v>83</v>
      </c>
      <c r="G2102" s="7" t="s">
        <v>1684</v>
      </c>
      <c r="H2102" s="9" t="s">
        <v>2979</v>
      </c>
      <c r="I2102" t="s">
        <v>3855</v>
      </c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 t="str">
        <f t="shared" si="1"/>
        <v>Built-up :</v>
      </c>
      <c r="AE2102" s="7" t="str">
        <f t="shared" si="2"/>
        <v> sq. ft.</v>
      </c>
      <c r="AF2102">
        <f>IFERROR(__xludf.DUMMYFUNCTION("VALUE(REGEXREPLACE(G2102,""[^[:digit:]]"", """"))"),1166.0)</f>
        <v>1166</v>
      </c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 t="s">
        <v>27</v>
      </c>
    </row>
    <row r="2103">
      <c r="A2103" s="7" t="s">
        <v>171</v>
      </c>
      <c r="B2103" s="7" t="s">
        <v>268</v>
      </c>
      <c r="C2103" s="7">
        <f>3</f>
        <v>3</v>
      </c>
      <c r="D2103" s="7">
        <v>2.0</v>
      </c>
      <c r="E2103" s="9">
        <v>2.0</v>
      </c>
      <c r="F2103" s="7" t="s">
        <v>83</v>
      </c>
      <c r="G2103" s="7" t="s">
        <v>1173</v>
      </c>
      <c r="H2103" s="9" t="s">
        <v>2979</v>
      </c>
      <c r="I2103" t="s">
        <v>3558</v>
      </c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 t="str">
        <f t="shared" si="1"/>
        <v>Built-up :</v>
      </c>
      <c r="AE2103" s="7" t="str">
        <f t="shared" si="2"/>
        <v> sq. ft.</v>
      </c>
      <c r="AF2103">
        <f>IFERROR(__xludf.DUMMYFUNCTION("VALUE(REGEXREPLACE(G2103,""[^[:digit:]]"", """"))"),903.0)</f>
        <v>903</v>
      </c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 t="s">
        <v>27</v>
      </c>
    </row>
    <row r="2104">
      <c r="A2104" s="7" t="s">
        <v>171</v>
      </c>
      <c r="B2104" s="7" t="s">
        <v>975</v>
      </c>
      <c r="C2104" s="7">
        <f t="shared" ref="C2104:C2106" si="264">4</f>
        <v>4</v>
      </c>
      <c r="D2104" s="7">
        <v>2.0</v>
      </c>
      <c r="E2104" s="7">
        <v>1.0</v>
      </c>
      <c r="F2104" s="7" t="s">
        <v>83</v>
      </c>
      <c r="G2104" s="7" t="s">
        <v>1681</v>
      </c>
      <c r="H2104" s="9" t="s">
        <v>2979</v>
      </c>
      <c r="I2104" t="s">
        <v>3852</v>
      </c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 t="str">
        <f t="shared" si="1"/>
        <v>Built-up :</v>
      </c>
      <c r="AE2104" s="7" t="str">
        <f t="shared" si="2"/>
        <v> sq. ft.</v>
      </c>
      <c r="AF2104">
        <f>IFERROR(__xludf.DUMMYFUNCTION("VALUE(REGEXREPLACE(G2104,""[^[:digit:]]"", """"))"),1272.0)</f>
        <v>1272</v>
      </c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 t="s">
        <v>27</v>
      </c>
    </row>
    <row r="2105">
      <c r="A2105" s="7" t="s">
        <v>171</v>
      </c>
      <c r="B2105" s="7" t="s">
        <v>268</v>
      </c>
      <c r="C2105" s="7">
        <f t="shared" si="264"/>
        <v>4</v>
      </c>
      <c r="D2105" s="7">
        <v>2.0</v>
      </c>
      <c r="E2105" s="9">
        <v>2.0</v>
      </c>
      <c r="F2105" s="7" t="s">
        <v>83</v>
      </c>
      <c r="G2105" s="7" t="s">
        <v>760</v>
      </c>
      <c r="H2105" s="9" t="s">
        <v>2979</v>
      </c>
      <c r="I2105" t="s">
        <v>3323</v>
      </c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 t="str">
        <f t="shared" si="1"/>
        <v>Built-up :</v>
      </c>
      <c r="AE2105" s="7" t="str">
        <f t="shared" si="2"/>
        <v> sq. ft.</v>
      </c>
      <c r="AF2105">
        <f>IFERROR(__xludf.DUMMYFUNCTION("VALUE(REGEXREPLACE(G2105,""[^[:digit:]]"", """"))"),1450.0)</f>
        <v>1450</v>
      </c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 t="s">
        <v>27</v>
      </c>
    </row>
    <row r="2106">
      <c r="A2106" s="7" t="s">
        <v>171</v>
      </c>
      <c r="B2106" s="7" t="s">
        <v>1131</v>
      </c>
      <c r="C2106" s="7">
        <f t="shared" si="264"/>
        <v>4</v>
      </c>
      <c r="D2106" s="7">
        <v>2.0</v>
      </c>
      <c r="E2106" s="9">
        <v>2.0</v>
      </c>
      <c r="F2106" s="7" t="s">
        <v>83</v>
      </c>
      <c r="G2106" s="7" t="s">
        <v>192</v>
      </c>
      <c r="H2106" s="9" t="s">
        <v>2979</v>
      </c>
      <c r="I2106" t="s">
        <v>3045</v>
      </c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 t="str">
        <f t="shared" si="1"/>
        <v>Built-up :</v>
      </c>
      <c r="AE2106" s="7" t="str">
        <f t="shared" si="2"/>
        <v> sq. ft.</v>
      </c>
      <c r="AF2106">
        <f>IFERROR(__xludf.DUMMYFUNCTION("VALUE(REGEXREPLACE(G2106,""[^[:digit:]]"", """"))"),1313.0)</f>
        <v>1313</v>
      </c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 t="s">
        <v>27</v>
      </c>
    </row>
    <row r="2107">
      <c r="A2107" s="7" t="s">
        <v>171</v>
      </c>
      <c r="B2107" s="7" t="s">
        <v>1685</v>
      </c>
      <c r="C2107" s="7">
        <f>3</f>
        <v>3</v>
      </c>
      <c r="D2107" s="7">
        <v>2.0</v>
      </c>
      <c r="E2107" s="9">
        <v>2.0</v>
      </c>
      <c r="F2107" s="7" t="s">
        <v>83</v>
      </c>
      <c r="G2107" s="7" t="s">
        <v>1686</v>
      </c>
      <c r="H2107" s="9" t="s">
        <v>2979</v>
      </c>
      <c r="I2107" t="s">
        <v>3856</v>
      </c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 t="str">
        <f t="shared" si="1"/>
        <v>Built-up :</v>
      </c>
      <c r="AE2107" s="7" t="str">
        <f t="shared" si="2"/>
        <v> sq. ft.</v>
      </c>
      <c r="AF2107">
        <f>IFERROR(__xludf.DUMMYFUNCTION("VALUE(REGEXREPLACE(G2107,""[^[:digit:]]"", """"))"),1021.0)</f>
        <v>1021</v>
      </c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 t="s">
        <v>103</v>
      </c>
    </row>
    <row r="2108">
      <c r="A2108" s="7" t="s">
        <v>171</v>
      </c>
      <c r="B2108" s="7" t="s">
        <v>702</v>
      </c>
      <c r="C2108" s="7">
        <f>4</f>
        <v>4</v>
      </c>
      <c r="D2108" s="7">
        <v>2.0</v>
      </c>
      <c r="E2108" s="9">
        <v>2.0</v>
      </c>
      <c r="F2108" s="7" t="s">
        <v>83</v>
      </c>
      <c r="G2108" s="7" t="s">
        <v>1687</v>
      </c>
      <c r="H2108" s="9" t="s">
        <v>2979</v>
      </c>
      <c r="I2108" t="s">
        <v>3857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 t="str">
        <f t="shared" si="1"/>
        <v>Built-up :</v>
      </c>
      <c r="AE2108" s="7" t="str">
        <f t="shared" si="2"/>
        <v> sq. ft.</v>
      </c>
      <c r="AF2108">
        <f>IFERROR(__xludf.DUMMYFUNCTION("VALUE(REGEXREPLACE(G2108,""[^[:digit:]]"", """"))"),1207.0)</f>
        <v>1207</v>
      </c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 t="s">
        <v>27</v>
      </c>
    </row>
    <row r="2109">
      <c r="A2109" s="7" t="s">
        <v>164</v>
      </c>
      <c r="B2109" s="7" t="s">
        <v>134</v>
      </c>
      <c r="C2109" s="7">
        <f>2+1</f>
        <v>3</v>
      </c>
      <c r="D2109" s="7">
        <v>2.0</v>
      </c>
      <c r="E2109" s="7">
        <v>1.0</v>
      </c>
      <c r="F2109" s="7" t="s">
        <v>93</v>
      </c>
      <c r="G2109" s="7" t="s">
        <v>621</v>
      </c>
      <c r="H2109" s="9" t="s">
        <v>2979</v>
      </c>
      <c r="I2109" t="s">
        <v>3251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 t="str">
        <f t="shared" si="1"/>
        <v>Built-up :</v>
      </c>
      <c r="AE2109" s="7" t="str">
        <f t="shared" si="2"/>
        <v> sq. ft.</v>
      </c>
      <c r="AF2109">
        <f>IFERROR(__xludf.DUMMYFUNCTION("VALUE(REGEXREPLACE(G2109,""[^[:digit:]]"", """"))"),1119.0)</f>
        <v>1119</v>
      </c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 t="s">
        <v>22</v>
      </c>
    </row>
    <row r="2110">
      <c r="A2110" s="7" t="s">
        <v>358</v>
      </c>
      <c r="B2110" s="7" t="s">
        <v>710</v>
      </c>
      <c r="C2110" s="7">
        <f>3</f>
        <v>3</v>
      </c>
      <c r="D2110" s="7">
        <v>2.0</v>
      </c>
      <c r="E2110" s="9">
        <v>2.0</v>
      </c>
      <c r="F2110" s="7" t="s">
        <v>83</v>
      </c>
      <c r="G2110" s="7" t="s">
        <v>1557</v>
      </c>
      <c r="H2110" s="9" t="s">
        <v>2979</v>
      </c>
      <c r="I2110" t="s">
        <v>3779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 t="str">
        <f t="shared" si="1"/>
        <v>Built-up :</v>
      </c>
      <c r="AE2110" s="7" t="str">
        <f t="shared" si="2"/>
        <v> sq. ft.</v>
      </c>
      <c r="AF2110">
        <f>IFERROR(__xludf.DUMMYFUNCTION("VALUE(REGEXREPLACE(G2110,""[^[:digit:]]"", """"))"),1019.0)</f>
        <v>1019</v>
      </c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 t="s">
        <v>103</v>
      </c>
    </row>
    <row r="2111">
      <c r="A2111" s="7" t="s">
        <v>358</v>
      </c>
      <c r="B2111" s="7" t="s">
        <v>854</v>
      </c>
      <c r="C2111" s="7">
        <f>4</f>
        <v>4</v>
      </c>
      <c r="D2111" s="7">
        <v>3.0</v>
      </c>
      <c r="E2111" s="7">
        <v>2.0</v>
      </c>
      <c r="F2111" s="7" t="s">
        <v>83</v>
      </c>
      <c r="G2111" s="7" t="s">
        <v>1688</v>
      </c>
      <c r="H2111" s="9" t="s">
        <v>2979</v>
      </c>
      <c r="I2111" t="s">
        <v>3858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 t="str">
        <f t="shared" si="1"/>
        <v>Built-up :</v>
      </c>
      <c r="AE2111" s="7" t="str">
        <f t="shared" si="2"/>
        <v> sq. ft.</v>
      </c>
      <c r="AF2111">
        <f>IFERROR(__xludf.DUMMYFUNCTION("VALUE(REGEXREPLACE(G2111,""[^[:digit:]]"", """"))"),1250.0)</f>
        <v>1250</v>
      </c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 t="s">
        <v>103</v>
      </c>
    </row>
    <row r="2112">
      <c r="A2112" s="7" t="s">
        <v>89</v>
      </c>
      <c r="B2112" s="7" t="s">
        <v>563</v>
      </c>
      <c r="C2112" s="7">
        <f>2+1</f>
        <v>3</v>
      </c>
      <c r="D2112" s="7">
        <v>2.0</v>
      </c>
      <c r="E2112" s="7">
        <v>2.0</v>
      </c>
      <c r="F2112" s="7" t="s">
        <v>82</v>
      </c>
      <c r="G2112" s="7" t="s">
        <v>764</v>
      </c>
      <c r="H2112" s="9" t="s">
        <v>2979</v>
      </c>
      <c r="I2112" t="s">
        <v>3325</v>
      </c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 t="str">
        <f t="shared" si="1"/>
        <v>Built-up :</v>
      </c>
      <c r="AE2112" s="7" t="str">
        <f t="shared" si="2"/>
        <v> sq. ft.</v>
      </c>
      <c r="AF2112">
        <f>IFERROR(__xludf.DUMMYFUNCTION("VALUE(REGEXREPLACE(G2112,""[^[:digit:]]"", """"))"),1025.0)</f>
        <v>1025</v>
      </c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 t="s">
        <v>27</v>
      </c>
    </row>
    <row r="2113">
      <c r="A2113" s="7" t="s">
        <v>33</v>
      </c>
      <c r="B2113" s="7" t="s">
        <v>361</v>
      </c>
      <c r="C2113" s="7">
        <f>3</f>
        <v>3</v>
      </c>
      <c r="D2113" s="7">
        <v>3.0</v>
      </c>
      <c r="E2113" s="7">
        <v>2.0</v>
      </c>
      <c r="F2113" s="7" t="s">
        <v>30</v>
      </c>
      <c r="G2113" s="7" t="s">
        <v>1156</v>
      </c>
      <c r="H2113" s="9" t="s">
        <v>2979</v>
      </c>
      <c r="I2113" t="s">
        <v>3545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 t="str">
        <f t="shared" si="1"/>
        <v>Built-up :</v>
      </c>
      <c r="AE2113" s="7" t="str">
        <f t="shared" si="2"/>
        <v> sq. ft.</v>
      </c>
      <c r="AF2113">
        <f>IFERROR(__xludf.DUMMYFUNCTION("VALUE(REGEXREPLACE(G2113,""[^[:digit:]]"", """"))"),1003.0)</f>
        <v>1003</v>
      </c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 t="s">
        <v>103</v>
      </c>
    </row>
    <row r="2114">
      <c r="A2114" s="7" t="s">
        <v>72</v>
      </c>
      <c r="B2114" s="7" t="s">
        <v>613</v>
      </c>
      <c r="C2114" s="7">
        <f>3+1</f>
        <v>4</v>
      </c>
      <c r="D2114" s="7">
        <v>4.0</v>
      </c>
      <c r="E2114" s="9">
        <v>2.0</v>
      </c>
      <c r="F2114" s="7" t="s">
        <v>83</v>
      </c>
      <c r="G2114" s="7" t="s">
        <v>555</v>
      </c>
      <c r="H2114" s="9" t="s">
        <v>2979</v>
      </c>
      <c r="I2114" t="s">
        <v>3222</v>
      </c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 t="str">
        <f t="shared" si="1"/>
        <v>Built-up :</v>
      </c>
      <c r="AE2114" s="7" t="str">
        <f t="shared" si="2"/>
        <v> sq. ft.</v>
      </c>
      <c r="AF2114">
        <f>IFERROR(__xludf.DUMMYFUNCTION("VALUE(REGEXREPLACE(G2114,""[^[:digit:]]"", """"))"),2648.0)</f>
        <v>2648</v>
      </c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 t="s">
        <v>22</v>
      </c>
    </row>
    <row r="2115">
      <c r="A2115" s="7" t="s">
        <v>155</v>
      </c>
      <c r="B2115" s="7" t="s">
        <v>620</v>
      </c>
      <c r="C2115" s="7">
        <f>2</f>
        <v>2</v>
      </c>
      <c r="D2115" s="7">
        <v>2.0</v>
      </c>
      <c r="E2115" s="7">
        <v>1.0</v>
      </c>
      <c r="F2115" s="7" t="s">
        <v>83</v>
      </c>
      <c r="G2115" s="7" t="s">
        <v>617</v>
      </c>
      <c r="H2115" s="9" t="s">
        <v>2979</v>
      </c>
      <c r="I2115" t="s">
        <v>3249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 t="str">
        <f t="shared" si="1"/>
        <v>Built-up :</v>
      </c>
      <c r="AE2115" s="7" t="str">
        <f t="shared" si="2"/>
        <v> sq. ft.</v>
      </c>
      <c r="AF2115">
        <f>IFERROR(__xludf.DUMMYFUNCTION("VALUE(REGEXREPLACE(G2115,""[^[:digit:]]"", """"))"),867.0)</f>
        <v>867</v>
      </c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 t="s">
        <v>22</v>
      </c>
    </row>
    <row r="2116">
      <c r="A2116" s="7" t="s">
        <v>72</v>
      </c>
      <c r="B2116" s="7" t="s">
        <v>78</v>
      </c>
      <c r="C2116" s="7">
        <f>3+1</f>
        <v>4</v>
      </c>
      <c r="D2116" s="7">
        <v>4.0</v>
      </c>
      <c r="E2116" s="9">
        <v>2.0</v>
      </c>
      <c r="F2116" s="7" t="s">
        <v>83</v>
      </c>
      <c r="G2116" s="7" t="s">
        <v>84</v>
      </c>
      <c r="H2116" s="9" t="s">
        <v>2979</v>
      </c>
      <c r="I2116" t="s">
        <v>3001</v>
      </c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 t="str">
        <f t="shared" si="1"/>
        <v>Built-up :</v>
      </c>
      <c r="AE2116" s="7" t="str">
        <f t="shared" si="2"/>
        <v> sq. ft.</v>
      </c>
      <c r="AF2116">
        <f>IFERROR(__xludf.DUMMYFUNCTION("VALUE(REGEXREPLACE(G2116,""[^[:digit:]]"", """"))"),2163.0)</f>
        <v>2163</v>
      </c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 t="s">
        <v>22</v>
      </c>
    </row>
    <row r="2117">
      <c r="A2117" s="7" t="s">
        <v>1241</v>
      </c>
      <c r="B2117" s="7" t="s">
        <v>168</v>
      </c>
      <c r="C2117" s="7">
        <f>2</f>
        <v>2</v>
      </c>
      <c r="D2117" s="7">
        <v>2.0</v>
      </c>
      <c r="E2117" s="7">
        <v>2.0</v>
      </c>
      <c r="F2117" s="7" t="s">
        <v>20</v>
      </c>
      <c r="G2117" s="7" t="s">
        <v>342</v>
      </c>
      <c r="H2117" s="9" t="s">
        <v>2979</v>
      </c>
      <c r="I2117" t="s">
        <v>3117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 t="str">
        <f t="shared" si="1"/>
        <v>Built-up :</v>
      </c>
      <c r="AE2117" s="7" t="str">
        <f t="shared" si="2"/>
        <v> sq. ft.</v>
      </c>
      <c r="AF2117">
        <f>IFERROR(__xludf.DUMMYFUNCTION("VALUE(REGEXREPLACE(G2117,""[^[:digit:]]"", """"))"),1076.0)</f>
        <v>1076</v>
      </c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</row>
    <row r="2118">
      <c r="A2118" s="7" t="s">
        <v>72</v>
      </c>
      <c r="B2118" s="7" t="s">
        <v>632</v>
      </c>
      <c r="C2118" s="7">
        <f>3</f>
        <v>3</v>
      </c>
      <c r="D2118" s="7">
        <v>2.0</v>
      </c>
      <c r="E2118" s="9">
        <v>2.0</v>
      </c>
      <c r="F2118" s="7" t="s">
        <v>83</v>
      </c>
      <c r="G2118" s="7" t="s">
        <v>982</v>
      </c>
      <c r="H2118" s="9" t="s">
        <v>2979</v>
      </c>
      <c r="I2118" t="s">
        <v>3436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 t="str">
        <f t="shared" si="1"/>
        <v>Built-up :</v>
      </c>
      <c r="AE2118" s="7" t="str">
        <f t="shared" si="2"/>
        <v> sq. ft.</v>
      </c>
      <c r="AF2118">
        <f>IFERROR(__xludf.DUMMYFUNCTION("VALUE(REGEXREPLACE(G2118,""[^[:digit:]]"", """"))"),1208.0)</f>
        <v>1208</v>
      </c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</row>
    <row r="2119">
      <c r="A2119" s="7" t="s">
        <v>17</v>
      </c>
      <c r="B2119" s="7" t="s">
        <v>465</v>
      </c>
      <c r="C2119" s="7">
        <f>6+1</f>
        <v>7</v>
      </c>
      <c r="D2119" s="7">
        <v>7.0</v>
      </c>
      <c r="E2119" s="9">
        <v>2.0</v>
      </c>
      <c r="F2119" s="7" t="s">
        <v>20</v>
      </c>
      <c r="G2119" s="7" t="s">
        <v>1689</v>
      </c>
      <c r="H2119" s="9" t="s">
        <v>2979</v>
      </c>
      <c r="I2119" t="s">
        <v>3859</v>
      </c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 t="str">
        <f t="shared" si="1"/>
        <v>Built-up :</v>
      </c>
      <c r="AE2119" s="7" t="str">
        <f t="shared" si="2"/>
        <v> sq. ft.</v>
      </c>
      <c r="AF2119">
        <f>IFERROR(__xludf.DUMMYFUNCTION("VALUE(REGEXREPLACE(G2119,""[^[:digit:]]"", """"))"),9332.0)</f>
        <v>9332</v>
      </c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 t="s">
        <v>27</v>
      </c>
    </row>
    <row r="2120">
      <c r="A2120" s="7" t="s">
        <v>17</v>
      </c>
      <c r="B2120" s="7" t="s">
        <v>475</v>
      </c>
      <c r="C2120" s="7">
        <f>3+1</f>
        <v>4</v>
      </c>
      <c r="D2120" s="7">
        <v>4.0</v>
      </c>
      <c r="E2120" s="9">
        <v>2.0</v>
      </c>
      <c r="F2120" s="7" t="s">
        <v>20</v>
      </c>
      <c r="G2120" s="7" t="s">
        <v>727</v>
      </c>
      <c r="H2120" s="9" t="s">
        <v>2979</v>
      </c>
      <c r="I2120" t="s">
        <v>3305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 t="str">
        <f t="shared" si="1"/>
        <v>Built-up :</v>
      </c>
      <c r="AE2120" s="7" t="str">
        <f t="shared" si="2"/>
        <v> sq. ft.</v>
      </c>
      <c r="AF2120">
        <f>IFERROR(__xludf.DUMMYFUNCTION("VALUE(REGEXREPLACE(G2120,""[^[:digit:]]"", """"))"),3300.0)</f>
        <v>3300</v>
      </c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 t="s">
        <v>27</v>
      </c>
    </row>
    <row r="2121">
      <c r="A2121" s="7" t="s">
        <v>72</v>
      </c>
      <c r="B2121" s="7" t="s">
        <v>720</v>
      </c>
      <c r="C2121" s="7">
        <f>4+1</f>
        <v>5</v>
      </c>
      <c r="D2121" s="7">
        <v>5.0</v>
      </c>
      <c r="E2121" s="9">
        <v>2.0</v>
      </c>
      <c r="F2121" s="7" t="s">
        <v>83</v>
      </c>
      <c r="G2121" s="7" t="s">
        <v>1611</v>
      </c>
      <c r="H2121" s="9" t="s">
        <v>2979</v>
      </c>
      <c r="I2121" t="s">
        <v>3810</v>
      </c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 t="str">
        <f t="shared" si="1"/>
        <v>Built-up :</v>
      </c>
      <c r="AE2121" s="7" t="str">
        <f t="shared" si="2"/>
        <v> sq. ft.</v>
      </c>
      <c r="AF2121">
        <f>IFERROR(__xludf.DUMMYFUNCTION("VALUE(REGEXREPLACE(G2121,""[^[:digit:]]"", """"))"),3100.0)</f>
        <v>3100</v>
      </c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 t="s">
        <v>27</v>
      </c>
    </row>
    <row r="2122">
      <c r="A2122" s="7" t="s">
        <v>72</v>
      </c>
      <c r="B2122" s="7" t="s">
        <v>279</v>
      </c>
      <c r="C2122" s="7">
        <f t="shared" ref="C2122:C2123" si="265">3+1</f>
        <v>4</v>
      </c>
      <c r="D2122" s="7">
        <v>5.0</v>
      </c>
      <c r="E2122" s="9">
        <v>2.0</v>
      </c>
      <c r="F2122" s="7" t="s">
        <v>83</v>
      </c>
      <c r="G2122" s="7" t="s">
        <v>1690</v>
      </c>
      <c r="H2122" s="9" t="s">
        <v>2979</v>
      </c>
      <c r="I2122" t="s">
        <v>3860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 t="str">
        <f t="shared" si="1"/>
        <v>Built-up :</v>
      </c>
      <c r="AE2122" s="7" t="str">
        <f t="shared" si="2"/>
        <v> sq. ft.</v>
      </c>
      <c r="AF2122">
        <f>IFERROR(__xludf.DUMMYFUNCTION("VALUE(REGEXREPLACE(G2122,""[^[:digit:]]"", """"))"),1605.0)</f>
        <v>1605</v>
      </c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</row>
    <row r="2123">
      <c r="A2123" s="7" t="s">
        <v>72</v>
      </c>
      <c r="B2123" s="7" t="s">
        <v>1152</v>
      </c>
      <c r="C2123" s="7">
        <f t="shared" si="265"/>
        <v>4</v>
      </c>
      <c r="D2123" s="7">
        <v>3.0</v>
      </c>
      <c r="E2123" s="9">
        <v>2.0</v>
      </c>
      <c r="F2123" s="7" t="s">
        <v>83</v>
      </c>
      <c r="G2123" s="7" t="s">
        <v>1691</v>
      </c>
      <c r="H2123" s="9" t="s">
        <v>2979</v>
      </c>
      <c r="I2123" t="s">
        <v>3861</v>
      </c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 t="str">
        <f t="shared" si="1"/>
        <v>Built-up :</v>
      </c>
      <c r="AE2123" s="7" t="str">
        <f t="shared" si="2"/>
        <v> sq. ft.</v>
      </c>
      <c r="AF2123">
        <f>IFERROR(__xludf.DUMMYFUNCTION("VALUE(REGEXREPLACE(G2123,""[^[:digit:]]"", """"))"),2002.0)</f>
        <v>2002</v>
      </c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 t="s">
        <v>22</v>
      </c>
    </row>
    <row r="2124">
      <c r="A2124" s="7" t="s">
        <v>72</v>
      </c>
      <c r="B2124" s="7" t="s">
        <v>227</v>
      </c>
      <c r="C2124" s="7">
        <f t="shared" ref="C2124:C2126" si="266">4+1</f>
        <v>5</v>
      </c>
      <c r="D2124" s="7">
        <v>5.0</v>
      </c>
      <c r="E2124" s="7">
        <v>3.0</v>
      </c>
      <c r="F2124" s="7" t="s">
        <v>83</v>
      </c>
      <c r="G2124" s="7" t="s">
        <v>1628</v>
      </c>
      <c r="H2124" s="9" t="s">
        <v>2979</v>
      </c>
      <c r="I2124" t="s">
        <v>3821</v>
      </c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 t="str">
        <f t="shared" si="1"/>
        <v>Built-up :</v>
      </c>
      <c r="AE2124" s="7" t="str">
        <f t="shared" si="2"/>
        <v> sq. ft.</v>
      </c>
      <c r="AF2124">
        <f>IFERROR(__xludf.DUMMYFUNCTION("VALUE(REGEXREPLACE(G2124,""[^[:digit:]]"", """"))"),3660.0)</f>
        <v>3660</v>
      </c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 t="s">
        <v>27</v>
      </c>
    </row>
    <row r="2125">
      <c r="A2125" s="7" t="s">
        <v>72</v>
      </c>
      <c r="B2125" s="7" t="s">
        <v>309</v>
      </c>
      <c r="C2125" s="7">
        <f t="shared" si="266"/>
        <v>5</v>
      </c>
      <c r="D2125" s="7">
        <v>5.0</v>
      </c>
      <c r="E2125" s="9">
        <v>2.0</v>
      </c>
      <c r="F2125" s="7" t="s">
        <v>83</v>
      </c>
      <c r="G2125" s="7" t="s">
        <v>1692</v>
      </c>
      <c r="H2125" s="9" t="s">
        <v>2979</v>
      </c>
      <c r="I2125" t="s">
        <v>3862</v>
      </c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 t="str">
        <f t="shared" si="1"/>
        <v>Built-up :</v>
      </c>
      <c r="AE2125" s="7" t="str">
        <f t="shared" si="2"/>
        <v> sq. ft.</v>
      </c>
      <c r="AF2125">
        <f>IFERROR(__xludf.DUMMYFUNCTION("VALUE(REGEXREPLACE(G2125,""[^[:digit:]]"", """"))"),3133.0)</f>
        <v>3133</v>
      </c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 t="s">
        <v>22</v>
      </c>
    </row>
    <row r="2126">
      <c r="A2126" s="7" t="s">
        <v>72</v>
      </c>
      <c r="B2126" s="7" t="s">
        <v>403</v>
      </c>
      <c r="C2126" s="7">
        <f t="shared" si="266"/>
        <v>5</v>
      </c>
      <c r="D2126" s="7">
        <v>4.0</v>
      </c>
      <c r="E2126" s="9">
        <v>2.0</v>
      </c>
      <c r="F2126" s="7" t="s">
        <v>83</v>
      </c>
      <c r="G2126" s="7" t="s">
        <v>1693</v>
      </c>
      <c r="H2126" s="9" t="s">
        <v>2979</v>
      </c>
      <c r="I2126" t="s">
        <v>3863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 t="str">
        <f t="shared" si="1"/>
        <v>Built-up :</v>
      </c>
      <c r="AE2126" s="7" t="str">
        <f t="shared" si="2"/>
        <v> sq. ft.</v>
      </c>
      <c r="AF2126">
        <f>IFERROR(__xludf.DUMMYFUNCTION("VALUE(REGEXREPLACE(G2126,""[^[:digit:]]"", """"))"),2735.0)</f>
        <v>2735</v>
      </c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 t="s">
        <v>22</v>
      </c>
    </row>
    <row r="2127">
      <c r="A2127" s="7" t="s">
        <v>692</v>
      </c>
      <c r="B2127" s="7" t="s">
        <v>18</v>
      </c>
      <c r="C2127" s="7">
        <f t="shared" ref="C2127:C2128" si="267">3+1</f>
        <v>4</v>
      </c>
      <c r="D2127" s="7">
        <v>4.0</v>
      </c>
      <c r="E2127" s="7">
        <v>2.0</v>
      </c>
      <c r="F2127" s="7" t="s">
        <v>494</v>
      </c>
      <c r="G2127" s="7" t="s">
        <v>1000</v>
      </c>
      <c r="H2127" s="9" t="s">
        <v>2981</v>
      </c>
      <c r="I2127" t="s">
        <v>3445</v>
      </c>
      <c r="J2127" s="7"/>
      <c r="K2127" s="7"/>
      <c r="L2127" s="7"/>
      <c r="M2127" s="7"/>
      <c r="N2127" s="7"/>
      <c r="O2127" s="7"/>
      <c r="P2127" s="7"/>
      <c r="Q2127" s="7"/>
      <c r="R2127" s="7"/>
      <c r="S2127" s="7" t="s">
        <v>3446</v>
      </c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 t="str">
        <f t="shared" si="1"/>
        <v>Land area </v>
      </c>
      <c r="AE2127" s="7" t="str">
        <f t="shared" si="2"/>
        <v> sq. ft.</v>
      </c>
      <c r="AF2127">
        <f>IFERROR(__xludf.DUMMYFUNCTION("VALUE(REGEXREPLACE(G2127,""[^[:digit:]]"", """"))"),2687.0)</f>
        <v>2687</v>
      </c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 t="s">
        <v>27</v>
      </c>
    </row>
    <row r="2128">
      <c r="A2128" s="7" t="s">
        <v>692</v>
      </c>
      <c r="B2128" s="7" t="s">
        <v>243</v>
      </c>
      <c r="C2128" s="7">
        <f t="shared" si="267"/>
        <v>4</v>
      </c>
      <c r="D2128" s="7">
        <v>4.0</v>
      </c>
      <c r="E2128" s="7">
        <v>2.0</v>
      </c>
      <c r="F2128" s="7" t="s">
        <v>494</v>
      </c>
      <c r="G2128" s="7" t="s">
        <v>1000</v>
      </c>
      <c r="H2128" s="9" t="s">
        <v>2981</v>
      </c>
      <c r="I2128" t="s">
        <v>3445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 t="s">
        <v>3446</v>
      </c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 t="str">
        <f t="shared" si="1"/>
        <v>Land area </v>
      </c>
      <c r="AE2128" s="7" t="str">
        <f t="shared" si="2"/>
        <v> sq. ft.</v>
      </c>
      <c r="AF2128">
        <f>IFERROR(__xludf.DUMMYFUNCTION("VALUE(REGEXREPLACE(G2128,""[^[:digit:]]"", """"))"),2687.0)</f>
        <v>2687</v>
      </c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 t="s">
        <v>27</v>
      </c>
    </row>
    <row r="2129">
      <c r="A2129" s="7" t="s">
        <v>72</v>
      </c>
      <c r="B2129" s="7" t="s">
        <v>1104</v>
      </c>
      <c r="C2129" s="7">
        <f t="shared" ref="C2129:C2130" si="268">2</f>
        <v>2</v>
      </c>
      <c r="D2129" s="7">
        <v>2.0</v>
      </c>
      <c r="E2129" s="7">
        <v>1.0</v>
      </c>
      <c r="F2129" s="7" t="s">
        <v>20</v>
      </c>
      <c r="G2129" s="7" t="s">
        <v>1694</v>
      </c>
      <c r="H2129" s="9" t="s">
        <v>2979</v>
      </c>
      <c r="I2129" t="s">
        <v>3864</v>
      </c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 t="str">
        <f t="shared" si="1"/>
        <v>Built-up :</v>
      </c>
      <c r="AE2129" s="7" t="str">
        <f t="shared" si="2"/>
        <v> sq. ft.</v>
      </c>
      <c r="AF2129">
        <f>IFERROR(__xludf.DUMMYFUNCTION("VALUE(REGEXREPLACE(G2129,""[^[:digit:]]"", """"))"),936.0)</f>
        <v>936</v>
      </c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 t="s">
        <v>22</v>
      </c>
    </row>
    <row r="2130">
      <c r="A2130" s="7" t="s">
        <v>32</v>
      </c>
      <c r="B2130" s="7" t="s">
        <v>975</v>
      </c>
      <c r="C2130" s="7">
        <f t="shared" si="268"/>
        <v>2</v>
      </c>
      <c r="D2130" s="7">
        <v>2.0</v>
      </c>
      <c r="E2130" s="7">
        <v>1.0</v>
      </c>
      <c r="F2130" s="7" t="s">
        <v>83</v>
      </c>
      <c r="G2130" s="7" t="s">
        <v>1342</v>
      </c>
      <c r="H2130" s="9" t="s">
        <v>2979</v>
      </c>
      <c r="I2130" t="s">
        <v>3657</v>
      </c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 t="str">
        <f t="shared" si="1"/>
        <v>Built-up :</v>
      </c>
      <c r="AE2130" s="7" t="str">
        <f t="shared" si="2"/>
        <v> sq. ft.</v>
      </c>
      <c r="AF2130">
        <f>IFERROR(__xludf.DUMMYFUNCTION("VALUE(REGEXREPLACE(G2130,""[^[:digit:]]"", """"))"),854.0)</f>
        <v>854</v>
      </c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 t="s">
        <v>103</v>
      </c>
    </row>
    <row r="2131">
      <c r="A2131" s="7" t="s">
        <v>371</v>
      </c>
      <c r="B2131" s="7" t="s">
        <v>214</v>
      </c>
      <c r="C2131" s="7">
        <f>3+1</f>
        <v>4</v>
      </c>
      <c r="D2131" s="7">
        <v>4.0</v>
      </c>
      <c r="E2131" s="7">
        <v>2.0</v>
      </c>
      <c r="F2131" s="7" t="s">
        <v>30</v>
      </c>
      <c r="G2131" s="7" t="s">
        <v>1356</v>
      </c>
      <c r="H2131" s="9" t="s">
        <v>2979</v>
      </c>
      <c r="I2131" t="s">
        <v>3666</v>
      </c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 t="str">
        <f t="shared" si="1"/>
        <v>Built-up :</v>
      </c>
      <c r="AE2131" s="7" t="str">
        <f t="shared" si="2"/>
        <v> sq. ft.</v>
      </c>
      <c r="AF2131">
        <f>IFERROR(__xludf.DUMMYFUNCTION("VALUE(REGEXREPLACE(G2131,""[^[:digit:]]"", """"))"),1967.0)</f>
        <v>1967</v>
      </c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 t="s">
        <v>103</v>
      </c>
    </row>
    <row r="2132">
      <c r="A2132" s="7" t="s">
        <v>155</v>
      </c>
      <c r="B2132" s="7" t="s">
        <v>329</v>
      </c>
      <c r="C2132" s="7">
        <f t="shared" ref="C2132:C2133" si="269">3</f>
        <v>3</v>
      </c>
      <c r="D2132" s="7">
        <v>4.0</v>
      </c>
      <c r="E2132" s="7">
        <v>2.0</v>
      </c>
      <c r="F2132" s="7" t="s">
        <v>30</v>
      </c>
      <c r="G2132" s="7" t="s">
        <v>1695</v>
      </c>
      <c r="H2132" s="9" t="s">
        <v>2979</v>
      </c>
      <c r="I2132" t="s">
        <v>3865</v>
      </c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 t="str">
        <f t="shared" si="1"/>
        <v>Built-up :</v>
      </c>
      <c r="AE2132" s="7" t="str">
        <f t="shared" si="2"/>
        <v> sq. ft.</v>
      </c>
      <c r="AF2132">
        <f>IFERROR(__xludf.DUMMYFUNCTION("VALUE(REGEXREPLACE(G2132,""[^[:digit:]]"", """"))"),1569.0)</f>
        <v>1569</v>
      </c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 t="s">
        <v>103</v>
      </c>
    </row>
    <row r="2133">
      <c r="A2133" s="7" t="s">
        <v>171</v>
      </c>
      <c r="B2133" s="7" t="s">
        <v>1696</v>
      </c>
      <c r="C2133" s="7">
        <f t="shared" si="269"/>
        <v>3</v>
      </c>
      <c r="D2133" s="7">
        <v>3.0</v>
      </c>
      <c r="E2133" s="7">
        <v>2.0</v>
      </c>
      <c r="F2133" s="7" t="s">
        <v>83</v>
      </c>
      <c r="G2133" s="7" t="s">
        <v>335</v>
      </c>
      <c r="H2133" s="9" t="s">
        <v>2979</v>
      </c>
      <c r="I2133" t="s">
        <v>3113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 t="str">
        <f t="shared" si="1"/>
        <v>Built-up :</v>
      </c>
      <c r="AE2133" s="7" t="str">
        <f t="shared" si="2"/>
        <v> sq. ft.</v>
      </c>
      <c r="AF2133">
        <f>IFERROR(__xludf.DUMMYFUNCTION("VALUE(REGEXREPLACE(G2133,""[^[:digit:]]"", """"))"),1368.0)</f>
        <v>1368</v>
      </c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 t="s">
        <v>103</v>
      </c>
    </row>
    <row r="2134">
      <c r="A2134" s="7" t="s">
        <v>148</v>
      </c>
      <c r="B2134" s="7" t="s">
        <v>101</v>
      </c>
      <c r="C2134" s="7">
        <f>7</f>
        <v>7</v>
      </c>
      <c r="D2134" s="7">
        <v>7.0</v>
      </c>
      <c r="E2134" s="9">
        <v>2.0</v>
      </c>
      <c r="F2134" s="7" t="s">
        <v>67</v>
      </c>
      <c r="G2134" s="7" t="s">
        <v>1697</v>
      </c>
      <c r="H2134" s="9" t="s">
        <v>2981</v>
      </c>
      <c r="I2134" t="s">
        <v>3866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 t="str">
        <f t="shared" si="1"/>
        <v>Land area </v>
      </c>
      <c r="AE2134" s="7" t="str">
        <f t="shared" si="2"/>
        <v> sq. ft.</v>
      </c>
      <c r="AF2134">
        <f>IFERROR(__xludf.DUMMYFUNCTION("VALUE(REGEXREPLACE(G2134,""[^[:digit:]]"", """"))"),5583.0)</f>
        <v>5583</v>
      </c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 t="s">
        <v>103</v>
      </c>
    </row>
    <row r="2135">
      <c r="A2135" s="7" t="s">
        <v>155</v>
      </c>
      <c r="B2135" s="7" t="s">
        <v>214</v>
      </c>
      <c r="C2135" s="7">
        <f>4</f>
        <v>4</v>
      </c>
      <c r="D2135" s="7">
        <v>4.0</v>
      </c>
      <c r="E2135" s="7">
        <v>2.0</v>
      </c>
      <c r="F2135" s="7" t="s">
        <v>30</v>
      </c>
      <c r="G2135" s="7" t="s">
        <v>1695</v>
      </c>
      <c r="H2135" s="9" t="s">
        <v>2979</v>
      </c>
      <c r="I2135" t="s">
        <v>3865</v>
      </c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 t="str">
        <f t="shared" si="1"/>
        <v>Built-up :</v>
      </c>
      <c r="AE2135" s="7" t="str">
        <f t="shared" si="2"/>
        <v> sq. ft.</v>
      </c>
      <c r="AF2135">
        <f>IFERROR(__xludf.DUMMYFUNCTION("VALUE(REGEXREPLACE(G2135,""[^[:digit:]]"", """"))"),1569.0)</f>
        <v>1569</v>
      </c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 t="s">
        <v>103</v>
      </c>
    </row>
    <row r="2136">
      <c r="A2136" s="7" t="s">
        <v>177</v>
      </c>
      <c r="B2136" s="7" t="s">
        <v>245</v>
      </c>
      <c r="C2136" s="7">
        <f>3+1</f>
        <v>4</v>
      </c>
      <c r="D2136" s="7">
        <v>3.0</v>
      </c>
      <c r="E2136" s="7">
        <v>2.0</v>
      </c>
      <c r="F2136" s="7" t="s">
        <v>30</v>
      </c>
      <c r="G2136" s="7" t="s">
        <v>930</v>
      </c>
      <c r="H2136" s="9" t="s">
        <v>2979</v>
      </c>
      <c r="I2136" t="s">
        <v>3412</v>
      </c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 t="str">
        <f t="shared" si="1"/>
        <v>Built-up :</v>
      </c>
      <c r="AE2136" s="7" t="str">
        <f t="shared" si="2"/>
        <v> sq. ft.</v>
      </c>
      <c r="AF2136">
        <f>IFERROR(__xludf.DUMMYFUNCTION("VALUE(REGEXREPLACE(G2136,""[^[:digit:]]"", """"))"),1270.0)</f>
        <v>1270</v>
      </c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 t="s">
        <v>22</v>
      </c>
    </row>
    <row r="2137">
      <c r="A2137" s="7" t="s">
        <v>72</v>
      </c>
      <c r="B2137" s="7" t="s">
        <v>1698</v>
      </c>
      <c r="C2137" s="7">
        <f>4+1</f>
        <v>5</v>
      </c>
      <c r="D2137" s="7">
        <v>6.0</v>
      </c>
      <c r="E2137" s="9">
        <v>2.0</v>
      </c>
      <c r="F2137" s="7" t="s">
        <v>83</v>
      </c>
      <c r="G2137" s="7" t="s">
        <v>115</v>
      </c>
      <c r="H2137" s="9" t="s">
        <v>2979</v>
      </c>
      <c r="I2137" t="s">
        <v>3013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 t="str">
        <f t="shared" si="1"/>
        <v>Built-up :</v>
      </c>
      <c r="AE2137" s="7" t="str">
        <f t="shared" si="2"/>
        <v> sq. ft.</v>
      </c>
      <c r="AF2137">
        <f>IFERROR(__xludf.DUMMYFUNCTION("VALUE(REGEXREPLACE(G2137,""[^[:digit:]]"", """"))"),2702.0)</f>
        <v>2702</v>
      </c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 t="s">
        <v>27</v>
      </c>
    </row>
    <row r="2138">
      <c r="A2138" s="7" t="s">
        <v>17</v>
      </c>
      <c r="B2138" s="7" t="s">
        <v>1699</v>
      </c>
      <c r="C2138" s="7">
        <f>5+1</f>
        <v>6</v>
      </c>
      <c r="D2138" s="7">
        <v>6.0</v>
      </c>
      <c r="E2138" s="7">
        <v>3.0</v>
      </c>
      <c r="F2138" s="7" t="s">
        <v>793</v>
      </c>
      <c r="G2138" s="7" t="s">
        <v>1700</v>
      </c>
      <c r="H2138" s="9" t="s">
        <v>2979</v>
      </c>
      <c r="I2138" t="s">
        <v>3867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 t="str">
        <f t="shared" si="1"/>
        <v>Built-up :</v>
      </c>
      <c r="AE2138" s="7" t="str">
        <f t="shared" si="2"/>
        <v> sq. ft.</v>
      </c>
      <c r="AF2138">
        <f>IFERROR(__xludf.DUMMYFUNCTION("VALUE(REGEXREPLACE(G2138,""[^[:digit:]]"", """"))"),5553.0)</f>
        <v>5553</v>
      </c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 t="s">
        <v>27</v>
      </c>
    </row>
    <row r="2139">
      <c r="A2139" s="7" t="s">
        <v>371</v>
      </c>
      <c r="B2139" s="7" t="s">
        <v>890</v>
      </c>
      <c r="C2139" s="7">
        <f t="shared" ref="C2139:C2140" si="270">3</f>
        <v>3</v>
      </c>
      <c r="D2139" s="7">
        <v>2.0</v>
      </c>
      <c r="E2139" s="7">
        <v>1.0</v>
      </c>
      <c r="F2139" s="7" t="s">
        <v>83</v>
      </c>
      <c r="G2139" s="7" t="s">
        <v>1521</v>
      </c>
      <c r="H2139" s="9" t="s">
        <v>2979</v>
      </c>
      <c r="I2139" t="s">
        <v>3758</v>
      </c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 t="str">
        <f t="shared" si="1"/>
        <v>Built-up :</v>
      </c>
      <c r="AE2139" s="7" t="str">
        <f t="shared" si="2"/>
        <v> sq. ft.</v>
      </c>
      <c r="AF2139">
        <f>IFERROR(__xludf.DUMMYFUNCTION("VALUE(REGEXREPLACE(G2139,""[^[:digit:]]"", """"))"),1267.0)</f>
        <v>1267</v>
      </c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 t="s">
        <v>27</v>
      </c>
    </row>
    <row r="2140">
      <c r="A2140" s="7" t="s">
        <v>37</v>
      </c>
      <c r="B2140" s="7" t="s">
        <v>134</v>
      </c>
      <c r="C2140" s="7">
        <f t="shared" si="270"/>
        <v>3</v>
      </c>
      <c r="D2140" s="7">
        <v>2.0</v>
      </c>
      <c r="E2140" s="7">
        <v>2.0</v>
      </c>
      <c r="F2140" s="7" t="s">
        <v>343</v>
      </c>
      <c r="G2140" s="7" t="s">
        <v>1534</v>
      </c>
      <c r="H2140" s="9" t="s">
        <v>2981</v>
      </c>
      <c r="I2140" t="s">
        <v>2992</v>
      </c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 t="str">
        <f t="shared" si="1"/>
        <v>Land area </v>
      </c>
      <c r="AE2140" s="7" t="str">
        <f t="shared" si="2"/>
        <v> sq. ft.</v>
      </c>
      <c r="AF2140">
        <f>IFERROR(__xludf.DUMMYFUNCTION("VALUE(REGEXREPLACE(G2140,""[^[:digit:]]"", """"))"),1760.0)</f>
        <v>1760</v>
      </c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 t="s">
        <v>27</v>
      </c>
    </row>
    <row r="2141">
      <c r="A2141" s="7" t="s">
        <v>72</v>
      </c>
      <c r="B2141" s="7" t="s">
        <v>311</v>
      </c>
      <c r="C2141" s="7">
        <f>2</f>
        <v>2</v>
      </c>
      <c r="D2141" s="7">
        <v>2.0</v>
      </c>
      <c r="E2141" s="7">
        <v>1.0</v>
      </c>
      <c r="F2141" s="7" t="s">
        <v>20</v>
      </c>
      <c r="G2141" s="7" t="s">
        <v>901</v>
      </c>
      <c r="H2141" s="9" t="s">
        <v>2979</v>
      </c>
      <c r="I2141" t="s">
        <v>3395</v>
      </c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 t="str">
        <f t="shared" si="1"/>
        <v>Built-up :</v>
      </c>
      <c r="AE2141" s="7" t="str">
        <f t="shared" si="2"/>
        <v> sq. ft.</v>
      </c>
      <c r="AF2141">
        <f>IFERROR(__xludf.DUMMYFUNCTION("VALUE(REGEXREPLACE(G2141,""[^[:digit:]]"", """"))"),932.0)</f>
        <v>932</v>
      </c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 t="s">
        <v>22</v>
      </c>
    </row>
    <row r="2142">
      <c r="A2142" s="7" t="s">
        <v>72</v>
      </c>
      <c r="B2142" s="7" t="s">
        <v>575</v>
      </c>
      <c r="C2142" s="7">
        <f>1</f>
        <v>1</v>
      </c>
      <c r="D2142" s="7">
        <v>1.0</v>
      </c>
      <c r="E2142" s="7">
        <v>1.0</v>
      </c>
      <c r="F2142" s="7" t="s">
        <v>82</v>
      </c>
      <c r="G2142" s="7" t="s">
        <v>850</v>
      </c>
      <c r="H2142" s="9" t="s">
        <v>2979</v>
      </c>
      <c r="I2142" t="s">
        <v>3370</v>
      </c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 t="str">
        <f t="shared" si="1"/>
        <v>Built-up :</v>
      </c>
      <c r="AE2142" s="7" t="str">
        <f t="shared" si="2"/>
        <v> sq. ft.</v>
      </c>
      <c r="AF2142">
        <f>IFERROR(__xludf.DUMMYFUNCTION("VALUE(REGEXREPLACE(G2142,""[^[:digit:]]"", """"))"),633.0)</f>
        <v>633</v>
      </c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 t="s">
        <v>22</v>
      </c>
    </row>
    <row r="2143">
      <c r="A2143" s="7" t="s">
        <v>155</v>
      </c>
      <c r="B2143" s="7" t="s">
        <v>702</v>
      </c>
      <c r="C2143" s="7">
        <f t="shared" ref="C2143:C2144" si="271">3</f>
        <v>3</v>
      </c>
      <c r="D2143" s="7">
        <v>2.0</v>
      </c>
      <c r="E2143" s="7">
        <v>2.0</v>
      </c>
      <c r="F2143" s="7" t="s">
        <v>20</v>
      </c>
      <c r="G2143" s="7" t="s">
        <v>1330</v>
      </c>
      <c r="H2143" s="9" t="s">
        <v>2979</v>
      </c>
      <c r="I2143" t="s">
        <v>3650</v>
      </c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 t="str">
        <f t="shared" si="1"/>
        <v>Built-up :</v>
      </c>
      <c r="AE2143" s="7" t="str">
        <f t="shared" si="2"/>
        <v> sq. ft.</v>
      </c>
      <c r="AF2143">
        <f>IFERROR(__xludf.DUMMYFUNCTION("VALUE(REGEXREPLACE(G2143,""[^[:digit:]]"", """"))"),819.0)</f>
        <v>819</v>
      </c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</row>
    <row r="2144">
      <c r="A2144" s="7" t="s">
        <v>171</v>
      </c>
      <c r="B2144" s="7" t="s">
        <v>955</v>
      </c>
      <c r="C2144" s="7">
        <f t="shared" si="271"/>
        <v>3</v>
      </c>
      <c r="D2144" s="7">
        <v>2.0</v>
      </c>
      <c r="E2144" s="7">
        <v>2.0</v>
      </c>
      <c r="F2144" s="7" t="s">
        <v>20</v>
      </c>
      <c r="G2144" s="7" t="s">
        <v>1701</v>
      </c>
      <c r="H2144" s="9" t="s">
        <v>2979</v>
      </c>
      <c r="I2144" t="s">
        <v>3868</v>
      </c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 t="str">
        <f t="shared" si="1"/>
        <v>Built-up :</v>
      </c>
      <c r="AE2144" s="7" t="str">
        <f t="shared" si="2"/>
        <v> sq. ft.</v>
      </c>
      <c r="AF2144">
        <f>IFERROR(__xludf.DUMMYFUNCTION("VALUE(REGEXREPLACE(G2144,""[^[:digit:]]"", """"))"),1628.0)</f>
        <v>1628</v>
      </c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</row>
    <row r="2145">
      <c r="A2145" s="7" t="s">
        <v>428</v>
      </c>
      <c r="B2145" s="7" t="s">
        <v>403</v>
      </c>
      <c r="C2145" s="7">
        <f>3+1</f>
        <v>4</v>
      </c>
      <c r="E2145" s="7">
        <v>2.0</v>
      </c>
      <c r="F2145" s="7" t="s">
        <v>83</v>
      </c>
      <c r="G2145" s="7" t="s">
        <v>97</v>
      </c>
      <c r="H2145" s="9" t="s">
        <v>2979</v>
      </c>
      <c r="I2145" t="s">
        <v>3005</v>
      </c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 t="str">
        <f t="shared" si="1"/>
        <v>Built-up :</v>
      </c>
      <c r="AE2145" s="7" t="str">
        <f t="shared" si="2"/>
        <v> sq. ft.</v>
      </c>
      <c r="AF2145">
        <f>IFERROR(__xludf.DUMMYFUNCTION("VALUE(REGEXREPLACE(G2145,""[^[:digit:]]"", """"))"),1876.0)</f>
        <v>1876</v>
      </c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</row>
    <row r="2146">
      <c r="A2146" s="7" t="s">
        <v>72</v>
      </c>
      <c r="B2146" s="7" t="s">
        <v>42</v>
      </c>
      <c r="C2146" s="7">
        <f>5+1</f>
        <v>6</v>
      </c>
      <c r="D2146" s="7">
        <v>6.0</v>
      </c>
      <c r="E2146" s="7">
        <v>4.0</v>
      </c>
      <c r="F2146" s="7" t="s">
        <v>64</v>
      </c>
      <c r="G2146" s="7" t="s">
        <v>944</v>
      </c>
      <c r="H2146" s="9" t="s">
        <v>2981</v>
      </c>
      <c r="I2146" t="s">
        <v>3419</v>
      </c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 t="str">
        <f t="shared" si="1"/>
        <v>Land area </v>
      </c>
      <c r="AE2146" s="7" t="str">
        <f t="shared" si="2"/>
        <v> sq. ft.</v>
      </c>
      <c r="AF2146">
        <f>IFERROR(__xludf.DUMMYFUNCTION("VALUE(REGEXREPLACE(G2146,""[^[:digit:]]"", """"))"),3800.0)</f>
        <v>3800</v>
      </c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 t="s">
        <v>27</v>
      </c>
    </row>
    <row r="2147">
      <c r="A2147" s="7" t="s">
        <v>171</v>
      </c>
      <c r="B2147" s="7" t="s">
        <v>1702</v>
      </c>
      <c r="C2147" s="7">
        <f>3</f>
        <v>3</v>
      </c>
      <c r="D2147" s="7">
        <v>2.0</v>
      </c>
      <c r="E2147" s="7">
        <v>1.0</v>
      </c>
      <c r="F2147" s="7" t="s">
        <v>93</v>
      </c>
      <c r="G2147" s="7" t="s">
        <v>1703</v>
      </c>
      <c r="H2147" s="9" t="s">
        <v>2979</v>
      </c>
      <c r="I2147" t="s">
        <v>3869</v>
      </c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 t="str">
        <f t="shared" si="1"/>
        <v>Built-up :</v>
      </c>
      <c r="AE2147" s="7" t="str">
        <f t="shared" si="2"/>
        <v> sq. ft.</v>
      </c>
      <c r="AF2147">
        <f>IFERROR(__xludf.DUMMYFUNCTION("VALUE(REGEXREPLACE(G2147,""[^[:digit:]]"", """"))"),1135.0)</f>
        <v>1135</v>
      </c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 t="s">
        <v>103</v>
      </c>
    </row>
    <row r="2148">
      <c r="A2148" s="7" t="s">
        <v>171</v>
      </c>
      <c r="B2148" s="7" t="s">
        <v>1704</v>
      </c>
      <c r="C2148" s="7">
        <f>3+1</f>
        <v>4</v>
      </c>
      <c r="D2148" s="7">
        <v>3.0</v>
      </c>
      <c r="E2148" s="7">
        <v>2.0</v>
      </c>
      <c r="F2148" s="7" t="s">
        <v>30</v>
      </c>
      <c r="G2148" s="7" t="s">
        <v>1705</v>
      </c>
      <c r="H2148" s="9" t="s">
        <v>2979</v>
      </c>
      <c r="I2148" t="s">
        <v>3870</v>
      </c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 t="str">
        <f t="shared" si="1"/>
        <v>Built-up :</v>
      </c>
      <c r="AE2148" s="7" t="str">
        <f t="shared" si="2"/>
        <v> sq. ft.</v>
      </c>
      <c r="AF2148">
        <f>IFERROR(__xludf.DUMMYFUNCTION("VALUE(REGEXREPLACE(G2148,""[^[:digit:]]"", """"))"),1530.0)</f>
        <v>1530</v>
      </c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 t="s">
        <v>27</v>
      </c>
    </row>
    <row r="2149">
      <c r="A2149" s="7" t="s">
        <v>171</v>
      </c>
      <c r="B2149" s="7" t="s">
        <v>87</v>
      </c>
      <c r="C2149" s="7">
        <f>4</f>
        <v>4</v>
      </c>
      <c r="D2149" s="7">
        <v>2.0</v>
      </c>
      <c r="E2149" s="7">
        <v>2.0</v>
      </c>
      <c r="F2149" s="7" t="s">
        <v>93</v>
      </c>
      <c r="G2149" s="7" t="s">
        <v>192</v>
      </c>
      <c r="H2149" s="9" t="s">
        <v>2979</v>
      </c>
      <c r="I2149" t="s">
        <v>3045</v>
      </c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 t="str">
        <f t="shared" si="1"/>
        <v>Built-up :</v>
      </c>
      <c r="AE2149" s="7" t="str">
        <f t="shared" si="2"/>
        <v> sq. ft.</v>
      </c>
      <c r="AF2149">
        <f>IFERROR(__xludf.DUMMYFUNCTION("VALUE(REGEXREPLACE(G2149,""[^[:digit:]]"", """"))"),1313.0)</f>
        <v>1313</v>
      </c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 t="s">
        <v>27</v>
      </c>
    </row>
    <row r="2150">
      <c r="A2150" s="7" t="s">
        <v>171</v>
      </c>
      <c r="B2150" s="7" t="s">
        <v>221</v>
      </c>
      <c r="C2150" s="7">
        <f>2</f>
        <v>2</v>
      </c>
      <c r="D2150" s="7">
        <v>2.0</v>
      </c>
      <c r="E2150" s="7">
        <v>2.0</v>
      </c>
      <c r="F2150" s="7" t="s">
        <v>30</v>
      </c>
      <c r="G2150" s="7" t="s">
        <v>892</v>
      </c>
      <c r="H2150" s="9" t="s">
        <v>2979</v>
      </c>
      <c r="I2150" t="s">
        <v>3391</v>
      </c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 t="str">
        <f t="shared" si="1"/>
        <v>Built-up :</v>
      </c>
      <c r="AE2150" s="7" t="str">
        <f t="shared" si="2"/>
        <v> sq. ft.</v>
      </c>
      <c r="AF2150">
        <f>IFERROR(__xludf.DUMMYFUNCTION("VALUE(REGEXREPLACE(G2150,""[^[:digit:]]"", """"))"),1098.0)</f>
        <v>1098</v>
      </c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 t="s">
        <v>22</v>
      </c>
    </row>
    <row r="2151">
      <c r="A2151" s="7" t="s">
        <v>17</v>
      </c>
      <c r="B2151" s="7" t="s">
        <v>1706</v>
      </c>
      <c r="C2151" s="7">
        <f>1</f>
        <v>1</v>
      </c>
      <c r="D2151" s="7">
        <v>2.0</v>
      </c>
      <c r="E2151" s="7">
        <v>1.0</v>
      </c>
      <c r="F2151" s="7" t="s">
        <v>82</v>
      </c>
      <c r="G2151" s="7" t="s">
        <v>328</v>
      </c>
      <c r="H2151" s="9" t="s">
        <v>2979</v>
      </c>
      <c r="I2151" t="s">
        <v>3110</v>
      </c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 t="str">
        <f t="shared" si="1"/>
        <v>Built-up :</v>
      </c>
      <c r="AE2151" s="7" t="str">
        <f t="shared" si="2"/>
        <v> sq. ft.</v>
      </c>
      <c r="AF2151">
        <f>IFERROR(__xludf.DUMMYFUNCTION("VALUE(REGEXREPLACE(G2151,""[^[:digit:]]"", """"))"),925.0)</f>
        <v>925</v>
      </c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 t="s">
        <v>27</v>
      </c>
    </row>
    <row r="2152">
      <c r="A2152" s="7" t="s">
        <v>17</v>
      </c>
      <c r="B2152" s="7" t="s">
        <v>130</v>
      </c>
      <c r="C2152" s="7">
        <f t="shared" ref="C2152:C2153" si="272">4+1</f>
        <v>5</v>
      </c>
      <c r="D2152" s="7">
        <v>5.0</v>
      </c>
      <c r="E2152" s="9">
        <v>2.0</v>
      </c>
      <c r="F2152" s="7" t="s">
        <v>83</v>
      </c>
      <c r="G2152" s="7" t="s">
        <v>1174</v>
      </c>
      <c r="H2152" s="9" t="s">
        <v>2979</v>
      </c>
      <c r="I2152" t="s">
        <v>3559</v>
      </c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 t="str">
        <f t="shared" si="1"/>
        <v>Built-up :</v>
      </c>
      <c r="AE2152" s="7" t="str">
        <f t="shared" si="2"/>
        <v> sq. ft.</v>
      </c>
      <c r="AF2152">
        <f>IFERROR(__xludf.DUMMYFUNCTION("VALUE(REGEXREPLACE(G2152,""[^[:digit:]]"", """"))"),3800.0)</f>
        <v>3800</v>
      </c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 t="s">
        <v>27</v>
      </c>
    </row>
    <row r="2153">
      <c r="A2153" s="7" t="s">
        <v>17</v>
      </c>
      <c r="B2153" s="7" t="s">
        <v>63</v>
      </c>
      <c r="C2153" s="7">
        <f t="shared" si="272"/>
        <v>5</v>
      </c>
      <c r="D2153" s="7">
        <v>5.0</v>
      </c>
      <c r="E2153" s="9">
        <v>2.0</v>
      </c>
      <c r="F2153" s="7" t="s">
        <v>30</v>
      </c>
      <c r="G2153" s="7" t="s">
        <v>1174</v>
      </c>
      <c r="H2153" s="9" t="s">
        <v>2979</v>
      </c>
      <c r="I2153" t="s">
        <v>3559</v>
      </c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 t="str">
        <f t="shared" si="1"/>
        <v>Built-up :</v>
      </c>
      <c r="AE2153" s="7" t="str">
        <f t="shared" si="2"/>
        <v> sq. ft.</v>
      </c>
      <c r="AF2153">
        <f>IFERROR(__xludf.DUMMYFUNCTION("VALUE(REGEXREPLACE(G2153,""[^[:digit:]]"", """"))"),3800.0)</f>
        <v>3800</v>
      </c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 t="s">
        <v>27</v>
      </c>
    </row>
    <row r="2154">
      <c r="A2154" s="7" t="s">
        <v>188</v>
      </c>
      <c r="B2154" s="7" t="s">
        <v>349</v>
      </c>
      <c r="C2154" s="7">
        <f>2+1</f>
        <v>3</v>
      </c>
      <c r="D2154" s="7">
        <v>3.0</v>
      </c>
      <c r="E2154" s="7">
        <v>2.0</v>
      </c>
      <c r="F2154" s="7" t="s">
        <v>30</v>
      </c>
      <c r="G2154" s="7" t="s">
        <v>1707</v>
      </c>
      <c r="H2154" s="9" t="s">
        <v>2979</v>
      </c>
      <c r="I2154" t="s">
        <v>3871</v>
      </c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 t="str">
        <f t="shared" si="1"/>
        <v>Built-up :</v>
      </c>
      <c r="AE2154" s="7" t="str">
        <f t="shared" si="2"/>
        <v> sq. ft.</v>
      </c>
      <c r="AF2154">
        <f>IFERROR(__xludf.DUMMYFUNCTION("VALUE(REGEXREPLACE(G2154,""[^[:digit:]]"", """"))"),1468.0)</f>
        <v>1468</v>
      </c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 t="s">
        <v>22</v>
      </c>
    </row>
    <row r="2155">
      <c r="A2155" s="7" t="s">
        <v>188</v>
      </c>
      <c r="B2155" s="7" t="s">
        <v>322</v>
      </c>
      <c r="C2155" s="7">
        <f t="shared" ref="C2155:C2158" si="273">3+1</f>
        <v>4</v>
      </c>
      <c r="D2155" s="7">
        <v>3.0</v>
      </c>
      <c r="E2155" s="7">
        <v>2.0</v>
      </c>
      <c r="F2155" s="7" t="s">
        <v>83</v>
      </c>
      <c r="G2155" s="7" t="s">
        <v>1708</v>
      </c>
      <c r="H2155" s="9" t="s">
        <v>2979</v>
      </c>
      <c r="I2155" t="s">
        <v>3872</v>
      </c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 t="str">
        <f t="shared" si="1"/>
        <v>Built-up :</v>
      </c>
      <c r="AE2155" s="7" t="str">
        <f t="shared" si="2"/>
        <v> sq. ft.</v>
      </c>
      <c r="AF2155">
        <f>IFERROR(__xludf.DUMMYFUNCTION("VALUE(REGEXREPLACE(G2155,""[^[:digit:]]"", """"))"),1820.0)</f>
        <v>1820</v>
      </c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 t="s">
        <v>22</v>
      </c>
    </row>
    <row r="2156">
      <c r="A2156" s="7" t="s">
        <v>188</v>
      </c>
      <c r="B2156" s="7" t="s">
        <v>144</v>
      </c>
      <c r="C2156" s="7">
        <f t="shared" si="273"/>
        <v>4</v>
      </c>
      <c r="D2156" s="7">
        <v>4.0</v>
      </c>
      <c r="E2156" s="7">
        <v>2.0</v>
      </c>
      <c r="F2156" s="7" t="s">
        <v>30</v>
      </c>
      <c r="G2156" s="7" t="s">
        <v>1708</v>
      </c>
      <c r="H2156" s="9" t="s">
        <v>2979</v>
      </c>
      <c r="I2156" t="s">
        <v>3872</v>
      </c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 t="str">
        <f t="shared" si="1"/>
        <v>Built-up :</v>
      </c>
      <c r="AE2156" s="7" t="str">
        <f t="shared" si="2"/>
        <v> sq. ft.</v>
      </c>
      <c r="AF2156">
        <f>IFERROR(__xludf.DUMMYFUNCTION("VALUE(REGEXREPLACE(G2156,""[^[:digit:]]"", """"))"),1820.0)</f>
        <v>1820</v>
      </c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 t="s">
        <v>27</v>
      </c>
    </row>
    <row r="2157">
      <c r="A2157" s="7" t="s">
        <v>17</v>
      </c>
      <c r="B2157" s="7" t="s">
        <v>149</v>
      </c>
      <c r="C2157" s="7">
        <f t="shared" si="273"/>
        <v>4</v>
      </c>
      <c r="D2157" s="7">
        <v>4.0</v>
      </c>
      <c r="E2157" s="7">
        <v>2.0</v>
      </c>
      <c r="F2157" s="7" t="s">
        <v>83</v>
      </c>
      <c r="G2157" s="7" t="s">
        <v>150</v>
      </c>
      <c r="H2157" s="9" t="s">
        <v>2979</v>
      </c>
      <c r="I2157" t="s">
        <v>3028</v>
      </c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 t="str">
        <f t="shared" si="1"/>
        <v>Built-up :</v>
      </c>
      <c r="AE2157" s="7" t="str">
        <f t="shared" si="2"/>
        <v> sq. ft.</v>
      </c>
      <c r="AF2157">
        <f>IFERROR(__xludf.DUMMYFUNCTION("VALUE(REGEXREPLACE(G2157,""[^[:digit:]]"", """"))"),2250.0)</f>
        <v>2250</v>
      </c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 t="s">
        <v>22</v>
      </c>
    </row>
    <row r="2158">
      <c r="A2158" s="7" t="s">
        <v>17</v>
      </c>
      <c r="B2158" s="7" t="s">
        <v>1416</v>
      </c>
      <c r="C2158" s="7">
        <f t="shared" si="273"/>
        <v>4</v>
      </c>
      <c r="D2158" s="7">
        <v>4.0</v>
      </c>
      <c r="E2158" s="7">
        <v>2.0</v>
      </c>
      <c r="F2158" s="7" t="s">
        <v>30</v>
      </c>
      <c r="G2158" s="7" t="s">
        <v>1415</v>
      </c>
      <c r="H2158" s="9" t="s">
        <v>2979</v>
      </c>
      <c r="I2158" t="s">
        <v>3699</v>
      </c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 t="str">
        <f t="shared" si="1"/>
        <v>Built-up :</v>
      </c>
      <c r="AE2158" s="7" t="str">
        <f t="shared" si="2"/>
        <v> sq. ft.</v>
      </c>
      <c r="AF2158">
        <f>IFERROR(__xludf.DUMMYFUNCTION("VALUE(REGEXREPLACE(G2158,""[^[:digit:]]"", """"))"),2245.0)</f>
        <v>2245</v>
      </c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 t="s">
        <v>27</v>
      </c>
    </row>
    <row r="2159">
      <c r="A2159" s="7" t="s">
        <v>17</v>
      </c>
      <c r="B2159" s="7" t="s">
        <v>120</v>
      </c>
      <c r="C2159" s="7">
        <f>4+1</f>
        <v>5</v>
      </c>
      <c r="D2159" s="7">
        <v>5.0</v>
      </c>
      <c r="E2159" s="7">
        <v>2.0</v>
      </c>
      <c r="F2159" s="7" t="s">
        <v>83</v>
      </c>
      <c r="G2159" s="7" t="s">
        <v>1174</v>
      </c>
      <c r="H2159" s="9" t="s">
        <v>2979</v>
      </c>
      <c r="I2159" t="s">
        <v>3559</v>
      </c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 t="str">
        <f t="shared" si="1"/>
        <v>Built-up :</v>
      </c>
      <c r="AE2159" s="7" t="str">
        <f t="shared" si="2"/>
        <v> sq. ft.</v>
      </c>
      <c r="AF2159">
        <f>IFERROR(__xludf.DUMMYFUNCTION("VALUE(REGEXREPLACE(G2159,""[^[:digit:]]"", """"))"),3800.0)</f>
        <v>3800</v>
      </c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 t="s">
        <v>27</v>
      </c>
    </row>
    <row r="2160">
      <c r="A2160" s="7" t="s">
        <v>17</v>
      </c>
      <c r="B2160" s="7" t="s">
        <v>1709</v>
      </c>
      <c r="C2160" s="7">
        <f t="shared" ref="C2160:C2163" si="274">3+1</f>
        <v>4</v>
      </c>
      <c r="D2160" s="7">
        <v>4.0</v>
      </c>
      <c r="E2160" s="7">
        <v>2.0</v>
      </c>
      <c r="F2160" s="7" t="s">
        <v>30</v>
      </c>
      <c r="G2160" s="7" t="s">
        <v>363</v>
      </c>
      <c r="H2160" s="9" t="s">
        <v>2979</v>
      </c>
      <c r="I2160" t="s">
        <v>3127</v>
      </c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 t="str">
        <f t="shared" si="1"/>
        <v>Built-up :</v>
      </c>
      <c r="AE2160" s="7" t="str">
        <f t="shared" si="2"/>
        <v> sq. ft.</v>
      </c>
      <c r="AF2160">
        <f>IFERROR(__xludf.DUMMYFUNCTION("VALUE(REGEXREPLACE(G2160,""[^[:digit:]]"", """"))"),2142.0)</f>
        <v>2142</v>
      </c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 t="s">
        <v>27</v>
      </c>
    </row>
    <row r="2161">
      <c r="A2161" s="7" t="s">
        <v>17</v>
      </c>
      <c r="B2161" s="7" t="s">
        <v>1710</v>
      </c>
      <c r="C2161" s="7">
        <f t="shared" si="274"/>
        <v>4</v>
      </c>
      <c r="D2161" s="7">
        <v>4.0</v>
      </c>
      <c r="E2161" s="7">
        <v>2.0</v>
      </c>
      <c r="F2161" s="7" t="s">
        <v>30</v>
      </c>
      <c r="G2161" s="7" t="s">
        <v>431</v>
      </c>
      <c r="H2161" s="9" t="s">
        <v>2979</v>
      </c>
      <c r="I2161" t="s">
        <v>3159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 t="str">
        <f t="shared" si="1"/>
        <v>Built-up :</v>
      </c>
      <c r="AE2161" s="7" t="str">
        <f t="shared" si="2"/>
        <v> sq. ft.</v>
      </c>
      <c r="AF2161">
        <f>IFERROR(__xludf.DUMMYFUNCTION("VALUE(REGEXREPLACE(G2161,""[^[:digit:]]"", """"))"),2906.0)</f>
        <v>2906</v>
      </c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 t="s">
        <v>27</v>
      </c>
    </row>
    <row r="2162">
      <c r="A2162" s="7" t="s">
        <v>17</v>
      </c>
      <c r="B2162" s="7" t="s">
        <v>1711</v>
      </c>
      <c r="C2162" s="7">
        <f t="shared" si="274"/>
        <v>4</v>
      </c>
      <c r="D2162" s="7">
        <v>4.0</v>
      </c>
      <c r="E2162" s="7">
        <v>2.0</v>
      </c>
      <c r="F2162" s="7" t="s">
        <v>30</v>
      </c>
      <c r="G2162" s="7" t="s">
        <v>654</v>
      </c>
      <c r="H2162" s="9" t="s">
        <v>2979</v>
      </c>
      <c r="I2162" t="s">
        <v>3268</v>
      </c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 t="str">
        <f t="shared" si="1"/>
        <v>Built-up :</v>
      </c>
      <c r="AE2162" s="7" t="str">
        <f t="shared" si="2"/>
        <v> sq. ft.</v>
      </c>
      <c r="AF2162">
        <f>IFERROR(__xludf.DUMMYFUNCTION("VALUE(REGEXREPLACE(G2162,""[^[:digit:]]"", """"))"),2707.0)</f>
        <v>2707</v>
      </c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 t="s">
        <v>27</v>
      </c>
    </row>
    <row r="2163">
      <c r="A2163" s="7" t="s">
        <v>17</v>
      </c>
      <c r="B2163" s="7" t="s">
        <v>1417</v>
      </c>
      <c r="C2163" s="7">
        <f t="shared" si="274"/>
        <v>4</v>
      </c>
      <c r="D2163" s="7">
        <v>4.0</v>
      </c>
      <c r="E2163" s="7">
        <v>2.0</v>
      </c>
      <c r="F2163" s="7" t="s">
        <v>30</v>
      </c>
      <c r="G2163" s="7" t="s">
        <v>1418</v>
      </c>
      <c r="H2163" s="9" t="s">
        <v>2979</v>
      </c>
      <c r="I2163" t="s">
        <v>3700</v>
      </c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 t="str">
        <f t="shared" si="1"/>
        <v>Built-up :</v>
      </c>
      <c r="AE2163" s="7" t="str">
        <f t="shared" si="2"/>
        <v> sq. ft.</v>
      </c>
      <c r="AF2163">
        <f>IFERROR(__xludf.DUMMYFUNCTION("VALUE(REGEXREPLACE(G2163,""[^[:digit:]]"", """"))"),2586.0)</f>
        <v>2586</v>
      </c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 t="s">
        <v>27</v>
      </c>
    </row>
    <row r="2164">
      <c r="A2164" s="7" t="s">
        <v>52</v>
      </c>
      <c r="B2164" s="7" t="s">
        <v>1712</v>
      </c>
      <c r="C2164" s="7">
        <f t="shared" ref="C2164:C2165" si="275">4+1</f>
        <v>5</v>
      </c>
      <c r="D2164" s="7">
        <v>5.0</v>
      </c>
      <c r="E2164" s="9">
        <v>2.0</v>
      </c>
      <c r="F2164" s="7" t="s">
        <v>793</v>
      </c>
      <c r="G2164" s="7" t="s">
        <v>1713</v>
      </c>
      <c r="H2164" s="9" t="s">
        <v>2979</v>
      </c>
      <c r="I2164" t="s">
        <v>3873</v>
      </c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 t="str">
        <f t="shared" si="1"/>
        <v>Built-up :</v>
      </c>
      <c r="AE2164" s="7" t="str">
        <f t="shared" si="2"/>
        <v> sq. ft.</v>
      </c>
      <c r="AF2164">
        <f>IFERROR(__xludf.DUMMYFUNCTION("VALUE(REGEXREPLACE(G2164,""[^[:digit:]]"", """"))"),7825.0)</f>
        <v>7825</v>
      </c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 t="s">
        <v>103</v>
      </c>
    </row>
    <row r="2165">
      <c r="A2165" s="7" t="s">
        <v>52</v>
      </c>
      <c r="B2165" s="7" t="s">
        <v>1222</v>
      </c>
      <c r="C2165" s="7">
        <f t="shared" si="275"/>
        <v>5</v>
      </c>
      <c r="D2165" s="7">
        <v>5.0</v>
      </c>
      <c r="E2165" s="9">
        <v>2.0</v>
      </c>
      <c r="F2165" s="7" t="s">
        <v>30</v>
      </c>
      <c r="G2165" s="7" t="s">
        <v>663</v>
      </c>
      <c r="H2165" s="9" t="s">
        <v>2979</v>
      </c>
      <c r="I2165" t="s">
        <v>3272</v>
      </c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 t="str">
        <f t="shared" si="1"/>
        <v>Built-up :</v>
      </c>
      <c r="AE2165" s="7" t="str">
        <f t="shared" si="2"/>
        <v> sq. ft.</v>
      </c>
      <c r="AF2165">
        <f>IFERROR(__xludf.DUMMYFUNCTION("VALUE(REGEXREPLACE(G2165,""[^[:digit:]]"", """"))"),4327.0)</f>
        <v>4327</v>
      </c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 t="s">
        <v>22</v>
      </c>
    </row>
    <row r="2166">
      <c r="A2166" s="7" t="s">
        <v>188</v>
      </c>
      <c r="B2166" s="7" t="s">
        <v>1079</v>
      </c>
      <c r="C2166" s="7">
        <f>3</f>
        <v>3</v>
      </c>
      <c r="D2166" s="7">
        <v>2.0</v>
      </c>
      <c r="E2166" s="7">
        <v>2.0</v>
      </c>
      <c r="F2166" s="7" t="s">
        <v>83</v>
      </c>
      <c r="G2166" s="7" t="s">
        <v>1714</v>
      </c>
      <c r="H2166" s="9" t="s">
        <v>2979</v>
      </c>
      <c r="I2166" t="s">
        <v>3874</v>
      </c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 t="str">
        <f t="shared" si="1"/>
        <v>Built-up :</v>
      </c>
      <c r="AE2166" s="7" t="str">
        <f t="shared" si="2"/>
        <v> sq. ft.</v>
      </c>
      <c r="AF2166">
        <f>IFERROR(__xludf.DUMMYFUNCTION("VALUE(REGEXREPLACE(G2166,""[^[:digit:]]"", """"))"),1409.0)</f>
        <v>1409</v>
      </c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 t="s">
        <v>27</v>
      </c>
    </row>
    <row r="2167">
      <c r="A2167" s="7" t="s">
        <v>188</v>
      </c>
      <c r="B2167" s="7" t="s">
        <v>281</v>
      </c>
      <c r="C2167" s="7">
        <f>3+1</f>
        <v>4</v>
      </c>
      <c r="D2167" s="7">
        <v>4.0</v>
      </c>
      <c r="E2167" s="7">
        <v>2.0</v>
      </c>
      <c r="F2167" s="7" t="s">
        <v>83</v>
      </c>
      <c r="G2167" s="7" t="s">
        <v>1715</v>
      </c>
      <c r="H2167" s="9" t="s">
        <v>2979</v>
      </c>
      <c r="I2167" t="s">
        <v>3875</v>
      </c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 t="str">
        <f t="shared" si="1"/>
        <v>Built-up :</v>
      </c>
      <c r="AE2167" s="7" t="str">
        <f t="shared" si="2"/>
        <v> sq. ft.</v>
      </c>
      <c r="AF2167">
        <f>IFERROR(__xludf.DUMMYFUNCTION("VALUE(REGEXREPLACE(G2167,""[^[:digit:]]"", """"))"),1842.0)</f>
        <v>1842</v>
      </c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 t="s">
        <v>22</v>
      </c>
    </row>
    <row r="2168">
      <c r="A2168" s="7" t="s">
        <v>17</v>
      </c>
      <c r="B2168" s="7" t="s">
        <v>78</v>
      </c>
      <c r="C2168" s="7">
        <f>1+1</f>
        <v>2</v>
      </c>
      <c r="D2168" s="7">
        <v>1.0</v>
      </c>
      <c r="E2168" s="9">
        <v>2.0</v>
      </c>
      <c r="F2168" s="7" t="s">
        <v>938</v>
      </c>
      <c r="G2168" s="7" t="s">
        <v>949</v>
      </c>
      <c r="H2168" s="9" t="s">
        <v>2979</v>
      </c>
      <c r="I2168" t="s">
        <v>3422</v>
      </c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 t="str">
        <f t="shared" si="1"/>
        <v>Built-up :</v>
      </c>
      <c r="AE2168" s="7" t="str">
        <f t="shared" si="2"/>
        <v> sq. ft.</v>
      </c>
      <c r="AF2168">
        <f>IFERROR(__xludf.DUMMYFUNCTION("VALUE(REGEXREPLACE(G2168,""[^[:digit:]]"", """"))"),635.0)</f>
        <v>635</v>
      </c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 t="s">
        <v>22</v>
      </c>
    </row>
    <row r="2169">
      <c r="A2169" s="7" t="s">
        <v>17</v>
      </c>
      <c r="B2169" s="7" t="s">
        <v>322</v>
      </c>
      <c r="C2169" s="7">
        <f>2+1</f>
        <v>3</v>
      </c>
      <c r="D2169" s="7">
        <v>2.0</v>
      </c>
      <c r="E2169" s="9">
        <v>2.0</v>
      </c>
      <c r="F2169" s="7" t="s">
        <v>938</v>
      </c>
      <c r="G2169" s="7" t="s">
        <v>394</v>
      </c>
      <c r="H2169" s="9" t="s">
        <v>2979</v>
      </c>
      <c r="I2169" t="s">
        <v>3143</v>
      </c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 t="str">
        <f t="shared" si="1"/>
        <v>Built-up :</v>
      </c>
      <c r="AE2169" s="7" t="str">
        <f t="shared" si="2"/>
        <v> sq. ft.</v>
      </c>
      <c r="AF2169">
        <f>IFERROR(__xludf.DUMMYFUNCTION("VALUE(REGEXREPLACE(G2169,""[^[:digit:]]"", """"))"),1350.0)</f>
        <v>1350</v>
      </c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 t="s">
        <v>22</v>
      </c>
    </row>
    <row r="2170">
      <c r="A2170" s="7" t="s">
        <v>17</v>
      </c>
      <c r="B2170" s="7" t="s">
        <v>1716</v>
      </c>
      <c r="C2170" s="7">
        <f>4+1</f>
        <v>5</v>
      </c>
      <c r="D2170" s="7">
        <v>5.0</v>
      </c>
      <c r="E2170" s="9">
        <v>2.0</v>
      </c>
      <c r="F2170" s="7" t="s">
        <v>20</v>
      </c>
      <c r="G2170" s="7" t="s">
        <v>829</v>
      </c>
      <c r="H2170" s="9" t="s">
        <v>2979</v>
      </c>
      <c r="I2170" t="s">
        <v>3359</v>
      </c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 t="str">
        <f t="shared" si="1"/>
        <v>Built-up :</v>
      </c>
      <c r="AE2170" s="7" t="str">
        <f t="shared" si="2"/>
        <v> sq. ft.</v>
      </c>
      <c r="AF2170">
        <f>IFERROR(__xludf.DUMMYFUNCTION("VALUE(REGEXREPLACE(G2170,""[^[:digit:]]"", """"))"),2615.0)</f>
        <v>2615</v>
      </c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 t="s">
        <v>22</v>
      </c>
    </row>
    <row r="2171">
      <c r="A2171" s="7" t="s">
        <v>17</v>
      </c>
      <c r="B2171" s="7" t="s">
        <v>144</v>
      </c>
      <c r="C2171" s="7">
        <f t="shared" ref="C2171:C2172" si="276">3+1</f>
        <v>4</v>
      </c>
      <c r="D2171" s="7">
        <v>4.0</v>
      </c>
      <c r="E2171" s="7">
        <v>2.0</v>
      </c>
      <c r="F2171" s="7" t="s">
        <v>20</v>
      </c>
      <c r="G2171" s="7" t="s">
        <v>594</v>
      </c>
      <c r="H2171" s="9" t="s">
        <v>2979</v>
      </c>
      <c r="I2171" t="s">
        <v>3240</v>
      </c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 t="str">
        <f t="shared" si="1"/>
        <v>Built-up :</v>
      </c>
      <c r="AE2171" s="7" t="str">
        <f t="shared" si="2"/>
        <v> sq. ft.</v>
      </c>
      <c r="AF2171">
        <f>IFERROR(__xludf.DUMMYFUNCTION("VALUE(REGEXREPLACE(G2171,""[^[:digit:]]"", """"))"),1701.0)</f>
        <v>1701</v>
      </c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 t="s">
        <v>103</v>
      </c>
    </row>
    <row r="2172">
      <c r="A2172" s="7" t="s">
        <v>17</v>
      </c>
      <c r="B2172" s="7" t="s">
        <v>144</v>
      </c>
      <c r="C2172" s="7">
        <f t="shared" si="276"/>
        <v>4</v>
      </c>
      <c r="D2172" s="7">
        <v>4.0</v>
      </c>
      <c r="E2172" s="7">
        <v>2.0</v>
      </c>
      <c r="F2172" s="7" t="s">
        <v>20</v>
      </c>
      <c r="G2172" s="7" t="s">
        <v>594</v>
      </c>
      <c r="H2172" s="9" t="s">
        <v>2979</v>
      </c>
      <c r="I2172" t="s">
        <v>3240</v>
      </c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 t="str">
        <f t="shared" si="1"/>
        <v>Built-up :</v>
      </c>
      <c r="AE2172" s="7" t="str">
        <f t="shared" si="2"/>
        <v> sq. ft.</v>
      </c>
      <c r="AF2172">
        <f>IFERROR(__xludf.DUMMYFUNCTION("VALUE(REGEXREPLACE(G2172,""[^[:digit:]]"", """"))"),1701.0)</f>
        <v>1701</v>
      </c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 t="s">
        <v>103</v>
      </c>
    </row>
    <row r="2173">
      <c r="A2173" s="7" t="s">
        <v>188</v>
      </c>
      <c r="B2173" s="7" t="s">
        <v>56</v>
      </c>
      <c r="C2173" s="7">
        <f>2+1</f>
        <v>3</v>
      </c>
      <c r="D2173" s="7">
        <v>3.0</v>
      </c>
      <c r="E2173" s="7">
        <v>2.0</v>
      </c>
      <c r="F2173" s="7" t="s">
        <v>83</v>
      </c>
      <c r="G2173" s="7" t="s">
        <v>1717</v>
      </c>
      <c r="H2173" s="9" t="s">
        <v>2979</v>
      </c>
      <c r="I2173" t="s">
        <v>3876</v>
      </c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 t="str">
        <f t="shared" si="1"/>
        <v>Built-up :</v>
      </c>
      <c r="AE2173" s="7" t="str">
        <f t="shared" si="2"/>
        <v> sq. ft.</v>
      </c>
      <c r="AF2173">
        <f>IFERROR(__xludf.DUMMYFUNCTION("VALUE(REGEXREPLACE(G2173,""[^[:digit:]]"", """"))"),1427.0)</f>
        <v>1427</v>
      </c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 t="s">
        <v>22</v>
      </c>
    </row>
    <row r="2174">
      <c r="A2174" s="7" t="s">
        <v>17</v>
      </c>
      <c r="B2174" s="7" t="s">
        <v>174</v>
      </c>
      <c r="C2174" s="7">
        <f>3+1</f>
        <v>4</v>
      </c>
      <c r="D2174" s="7">
        <v>3.0</v>
      </c>
      <c r="E2174" s="9">
        <v>2.0</v>
      </c>
      <c r="F2174" s="7" t="s">
        <v>20</v>
      </c>
      <c r="G2174" s="7" t="s">
        <v>1718</v>
      </c>
      <c r="H2174" s="9" t="s">
        <v>2979</v>
      </c>
      <c r="I2174" t="s">
        <v>3877</v>
      </c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 t="str">
        <f t="shared" si="1"/>
        <v>Built-up :</v>
      </c>
      <c r="AE2174" s="7" t="str">
        <f t="shared" si="2"/>
        <v> sq. ft.</v>
      </c>
      <c r="AF2174">
        <f>IFERROR(__xludf.DUMMYFUNCTION("VALUE(REGEXREPLACE(G2174,""[^[:digit:]]"", """"))"),1819.0)</f>
        <v>1819</v>
      </c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 t="s">
        <v>22</v>
      </c>
    </row>
    <row r="2175">
      <c r="A2175" s="7" t="s">
        <v>17</v>
      </c>
      <c r="B2175" s="7" t="s">
        <v>1152</v>
      </c>
      <c r="C2175" s="7">
        <f t="shared" ref="C2175:C2176" si="277">1</f>
        <v>1</v>
      </c>
      <c r="D2175" s="7">
        <v>1.0</v>
      </c>
      <c r="E2175" s="7">
        <v>2.0</v>
      </c>
      <c r="F2175" s="7" t="s">
        <v>20</v>
      </c>
      <c r="G2175" s="7" t="s">
        <v>328</v>
      </c>
      <c r="H2175" s="9" t="s">
        <v>2979</v>
      </c>
      <c r="I2175" t="s">
        <v>3110</v>
      </c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 t="str">
        <f t="shared" si="1"/>
        <v>Built-up :</v>
      </c>
      <c r="AE2175" s="7" t="str">
        <f t="shared" si="2"/>
        <v> sq. ft.</v>
      </c>
      <c r="AF2175">
        <f>IFERROR(__xludf.DUMMYFUNCTION("VALUE(REGEXREPLACE(G2175,""[^[:digit:]]"", """"))"),925.0)</f>
        <v>925</v>
      </c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 t="s">
        <v>22</v>
      </c>
    </row>
    <row r="2176">
      <c r="A2176" s="7" t="s">
        <v>17</v>
      </c>
      <c r="B2176" s="7" t="s">
        <v>1513</v>
      </c>
      <c r="C2176" s="7">
        <f t="shared" si="277"/>
        <v>1</v>
      </c>
      <c r="D2176" s="7">
        <v>1.0</v>
      </c>
      <c r="E2176" s="7">
        <v>1.0</v>
      </c>
      <c r="F2176" s="7" t="s">
        <v>20</v>
      </c>
      <c r="G2176" s="7" t="s">
        <v>1719</v>
      </c>
      <c r="H2176" s="9" t="s">
        <v>2979</v>
      </c>
      <c r="I2176" t="s">
        <v>3878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 t="str">
        <f t="shared" si="1"/>
        <v>Built-up :</v>
      </c>
      <c r="AE2176" s="7" t="str">
        <f t="shared" si="2"/>
        <v> sq. ft.</v>
      </c>
      <c r="AF2176">
        <f>IFERROR(__xludf.DUMMYFUNCTION("VALUE(REGEXREPLACE(G2176,""[^[:digit:]]"", """"))"),923.0)</f>
        <v>923</v>
      </c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 t="s">
        <v>22</v>
      </c>
    </row>
    <row r="2177">
      <c r="A2177" s="7" t="s">
        <v>17</v>
      </c>
      <c r="B2177" s="7" t="s">
        <v>281</v>
      </c>
      <c r="C2177" s="7">
        <f>4+1</f>
        <v>5</v>
      </c>
      <c r="D2177" s="7">
        <v>4.0</v>
      </c>
      <c r="E2177" s="9">
        <v>2.0</v>
      </c>
      <c r="F2177" s="7" t="s">
        <v>20</v>
      </c>
      <c r="G2177" s="7" t="s">
        <v>1720</v>
      </c>
      <c r="H2177" s="9" t="s">
        <v>2979</v>
      </c>
      <c r="I2177" t="s">
        <v>3879</v>
      </c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 t="str">
        <f t="shared" si="1"/>
        <v>Built-up :</v>
      </c>
      <c r="AE2177" s="7" t="str">
        <f t="shared" si="2"/>
        <v> sq. ft.</v>
      </c>
      <c r="AF2177">
        <f>IFERROR(__xludf.DUMMYFUNCTION("VALUE(REGEXREPLACE(G2177,""[^[:digit:]]"", """"))"),2343.0)</f>
        <v>2343</v>
      </c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 t="s">
        <v>27</v>
      </c>
    </row>
    <row r="2178">
      <c r="A2178" s="7" t="s">
        <v>188</v>
      </c>
      <c r="B2178" s="7" t="s">
        <v>125</v>
      </c>
      <c r="C2178" s="7">
        <f t="shared" ref="C2178:C2179" si="278">3+1</f>
        <v>4</v>
      </c>
      <c r="D2178" s="7">
        <v>4.0</v>
      </c>
      <c r="E2178" s="9">
        <v>2.0</v>
      </c>
      <c r="F2178" s="7" t="s">
        <v>83</v>
      </c>
      <c r="G2178" s="7" t="s">
        <v>743</v>
      </c>
      <c r="H2178" s="9" t="s">
        <v>2979</v>
      </c>
      <c r="I2178" t="s">
        <v>3315</v>
      </c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 t="str">
        <f t="shared" si="1"/>
        <v>Built-up :</v>
      </c>
      <c r="AE2178" s="7" t="str">
        <f t="shared" si="2"/>
        <v> sq. ft.</v>
      </c>
      <c r="AF2178">
        <f>IFERROR(__xludf.DUMMYFUNCTION("VALUE(REGEXREPLACE(G2178,""[^[:digit:]]"", """"))"),2111.0)</f>
        <v>2111</v>
      </c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 t="s">
        <v>22</v>
      </c>
    </row>
    <row r="2179">
      <c r="A2179" s="7" t="s">
        <v>188</v>
      </c>
      <c r="B2179" s="7" t="s">
        <v>281</v>
      </c>
      <c r="C2179" s="7">
        <f t="shared" si="278"/>
        <v>4</v>
      </c>
      <c r="D2179" s="7">
        <v>4.0</v>
      </c>
      <c r="E2179" s="9">
        <v>2.0</v>
      </c>
      <c r="F2179" s="7" t="s">
        <v>83</v>
      </c>
      <c r="G2179" s="7" t="s">
        <v>743</v>
      </c>
      <c r="H2179" s="9" t="s">
        <v>2979</v>
      </c>
      <c r="I2179" t="s">
        <v>3315</v>
      </c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 t="str">
        <f t="shared" si="1"/>
        <v>Built-up :</v>
      </c>
      <c r="AE2179" s="7" t="str">
        <f t="shared" si="2"/>
        <v> sq. ft.</v>
      </c>
      <c r="AF2179">
        <f>IFERROR(__xludf.DUMMYFUNCTION("VALUE(REGEXREPLACE(G2179,""[^[:digit:]]"", """"))"),2111.0)</f>
        <v>2111</v>
      </c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 t="s">
        <v>22</v>
      </c>
    </row>
    <row r="2180">
      <c r="A2180" s="7" t="s">
        <v>17</v>
      </c>
      <c r="B2180" s="7" t="s">
        <v>236</v>
      </c>
      <c r="C2180" s="7">
        <f>2+1</f>
        <v>3</v>
      </c>
      <c r="D2180" s="7">
        <v>2.0</v>
      </c>
      <c r="E2180" s="7">
        <v>2.0</v>
      </c>
      <c r="F2180" s="7" t="s">
        <v>938</v>
      </c>
      <c r="G2180" s="7" t="s">
        <v>394</v>
      </c>
      <c r="H2180" s="9" t="s">
        <v>2979</v>
      </c>
      <c r="I2180" t="s">
        <v>3143</v>
      </c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 t="str">
        <f t="shared" si="1"/>
        <v>Built-up :</v>
      </c>
      <c r="AE2180" s="7" t="str">
        <f t="shared" si="2"/>
        <v> sq. ft.</v>
      </c>
      <c r="AF2180">
        <f>IFERROR(__xludf.DUMMYFUNCTION("VALUE(REGEXREPLACE(G2180,""[^[:digit:]]"", """"))"),1350.0)</f>
        <v>1350</v>
      </c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 t="s">
        <v>22</v>
      </c>
    </row>
    <row r="2181">
      <c r="A2181" s="7" t="s">
        <v>188</v>
      </c>
      <c r="B2181" s="7" t="s">
        <v>245</v>
      </c>
      <c r="C2181" s="7">
        <f t="shared" ref="C2181:C2182" si="279">1</f>
        <v>1</v>
      </c>
      <c r="D2181" s="7">
        <v>1.0</v>
      </c>
      <c r="E2181" s="7">
        <v>1.0</v>
      </c>
      <c r="F2181" s="7" t="s">
        <v>83</v>
      </c>
      <c r="G2181" s="7" t="s">
        <v>1569</v>
      </c>
      <c r="H2181" s="9" t="s">
        <v>2979</v>
      </c>
      <c r="I2181" t="s">
        <v>3786</v>
      </c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 t="str">
        <f t="shared" si="1"/>
        <v>Built-up :</v>
      </c>
      <c r="AE2181" s="7" t="str">
        <f t="shared" si="2"/>
        <v> sq. ft.</v>
      </c>
      <c r="AF2181">
        <f>IFERROR(__xludf.DUMMYFUNCTION("VALUE(REGEXREPLACE(G2181,""[^[:digit:]]"", """"))"),538.0)</f>
        <v>538</v>
      </c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 t="s">
        <v>22</v>
      </c>
    </row>
    <row r="2182">
      <c r="A2182" s="7" t="s">
        <v>188</v>
      </c>
      <c r="B2182" s="7" t="s">
        <v>419</v>
      </c>
      <c r="C2182" s="7">
        <f t="shared" si="279"/>
        <v>1</v>
      </c>
      <c r="D2182" s="7">
        <v>1.0</v>
      </c>
      <c r="E2182" s="7">
        <v>1.0</v>
      </c>
      <c r="F2182" s="7" t="s">
        <v>83</v>
      </c>
      <c r="G2182" s="7" t="s">
        <v>929</v>
      </c>
      <c r="H2182" s="9" t="s">
        <v>2979</v>
      </c>
      <c r="I2182" t="s">
        <v>3411</v>
      </c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 t="str">
        <f t="shared" si="1"/>
        <v>Built-up :</v>
      </c>
      <c r="AE2182" s="7" t="str">
        <f t="shared" si="2"/>
        <v> sq. ft.</v>
      </c>
      <c r="AF2182">
        <f>IFERROR(__xludf.DUMMYFUNCTION("VALUE(REGEXREPLACE(G2182,""[^[:digit:]]"", """"))"),624.0)</f>
        <v>624</v>
      </c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 t="s">
        <v>22</v>
      </c>
    </row>
    <row r="2183">
      <c r="A2183" s="7" t="s">
        <v>188</v>
      </c>
      <c r="B2183" s="7" t="s">
        <v>18</v>
      </c>
      <c r="C2183" s="7">
        <f>2</f>
        <v>2</v>
      </c>
      <c r="D2183" s="7">
        <v>2.0</v>
      </c>
      <c r="E2183" s="7">
        <v>2.0</v>
      </c>
      <c r="F2183" s="7" t="s">
        <v>83</v>
      </c>
      <c r="G2183" s="7" t="s">
        <v>1245</v>
      </c>
      <c r="H2183" s="9" t="s">
        <v>2979</v>
      </c>
      <c r="I2183" t="s">
        <v>3603</v>
      </c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 t="str">
        <f t="shared" si="1"/>
        <v>Built-up :</v>
      </c>
      <c r="AE2183" s="7" t="str">
        <f t="shared" si="2"/>
        <v> sq. ft.</v>
      </c>
      <c r="AF2183">
        <f>IFERROR(__xludf.DUMMYFUNCTION("VALUE(REGEXREPLACE(G2183,""[^[:digit:]]"", """"))"),807.0)</f>
        <v>807</v>
      </c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 t="s">
        <v>22</v>
      </c>
    </row>
    <row r="2184">
      <c r="A2184" s="7" t="s">
        <v>17</v>
      </c>
      <c r="B2184" s="7" t="s">
        <v>499</v>
      </c>
      <c r="C2184" s="7">
        <f t="shared" ref="C2184:C2185" si="280">3+1</f>
        <v>4</v>
      </c>
      <c r="D2184" s="7">
        <v>4.0</v>
      </c>
      <c r="E2184" s="7">
        <v>2.0</v>
      </c>
      <c r="F2184" s="7" t="s">
        <v>83</v>
      </c>
      <c r="G2184" s="7" t="s">
        <v>150</v>
      </c>
      <c r="H2184" s="9" t="s">
        <v>2979</v>
      </c>
      <c r="I2184" t="s">
        <v>3028</v>
      </c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 t="str">
        <f t="shared" si="1"/>
        <v>Built-up :</v>
      </c>
      <c r="AE2184" s="7" t="str">
        <f t="shared" si="2"/>
        <v> sq. ft.</v>
      </c>
      <c r="AF2184">
        <f>IFERROR(__xludf.DUMMYFUNCTION("VALUE(REGEXREPLACE(G2184,""[^[:digit:]]"", """"))"),2250.0)</f>
        <v>2250</v>
      </c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 t="s">
        <v>27</v>
      </c>
    </row>
    <row r="2185">
      <c r="A2185" s="7" t="s">
        <v>17</v>
      </c>
      <c r="B2185" s="7" t="s">
        <v>1721</v>
      </c>
      <c r="C2185" s="7">
        <f t="shared" si="280"/>
        <v>4</v>
      </c>
      <c r="D2185" s="7">
        <v>4.0</v>
      </c>
      <c r="E2185" s="9">
        <v>2.0</v>
      </c>
      <c r="F2185" s="7" t="s">
        <v>30</v>
      </c>
      <c r="G2185" s="7" t="s">
        <v>150</v>
      </c>
      <c r="H2185" s="9" t="s">
        <v>2979</v>
      </c>
      <c r="I2185" t="s">
        <v>3028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 t="str">
        <f t="shared" si="1"/>
        <v>Built-up :</v>
      </c>
      <c r="AE2185" s="7" t="str">
        <f t="shared" si="2"/>
        <v> sq. ft.</v>
      </c>
      <c r="AF2185">
        <f>IFERROR(__xludf.DUMMYFUNCTION("VALUE(REGEXREPLACE(G2185,""[^[:digit:]]"", """"))"),2250.0)</f>
        <v>2250</v>
      </c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 t="s">
        <v>27</v>
      </c>
    </row>
    <row r="2186">
      <c r="A2186" s="7" t="s">
        <v>171</v>
      </c>
      <c r="B2186" s="7" t="s">
        <v>543</v>
      </c>
      <c r="C2186" s="7">
        <f>3</f>
        <v>3</v>
      </c>
      <c r="D2186" s="7">
        <v>2.0</v>
      </c>
      <c r="E2186" s="7">
        <v>1.0</v>
      </c>
      <c r="F2186" s="7" t="s">
        <v>83</v>
      </c>
      <c r="G2186" s="7" t="s">
        <v>1722</v>
      </c>
      <c r="H2186" s="9" t="s">
        <v>2979</v>
      </c>
      <c r="I2186" t="s">
        <v>3880</v>
      </c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 t="str">
        <f t="shared" si="1"/>
        <v>Built-up :</v>
      </c>
      <c r="AE2186" s="7" t="str">
        <f t="shared" si="2"/>
        <v> sq. ft.</v>
      </c>
      <c r="AF2186">
        <f>IFERROR(__xludf.DUMMYFUNCTION("VALUE(REGEXREPLACE(G2186,""[^[:digit:]]"", """"))"),1231.0)</f>
        <v>1231</v>
      </c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</row>
    <row r="2187">
      <c r="A2187" s="7" t="s">
        <v>72</v>
      </c>
      <c r="B2187" s="7" t="s">
        <v>813</v>
      </c>
      <c r="C2187" s="7">
        <f>4+1</f>
        <v>5</v>
      </c>
      <c r="D2187" s="7">
        <v>5.0</v>
      </c>
      <c r="E2187" s="9">
        <v>2.0</v>
      </c>
      <c r="F2187" s="7" t="s">
        <v>83</v>
      </c>
      <c r="G2187" s="7" t="s">
        <v>113</v>
      </c>
      <c r="H2187" s="9" t="s">
        <v>2979</v>
      </c>
      <c r="I2187" t="s">
        <v>3012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 t="str">
        <f t="shared" si="1"/>
        <v>Built-up :</v>
      </c>
      <c r="AE2187" s="7" t="str">
        <f t="shared" si="2"/>
        <v> sq. ft.</v>
      </c>
      <c r="AF2187">
        <f>IFERROR(__xludf.DUMMYFUNCTION("VALUE(REGEXREPLACE(G2187,""[^[:digit:]]"", """"))"),2767.0)</f>
        <v>2767</v>
      </c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 t="s">
        <v>27</v>
      </c>
    </row>
    <row r="2188">
      <c r="A2188" s="7" t="s">
        <v>72</v>
      </c>
      <c r="B2188" s="7" t="s">
        <v>239</v>
      </c>
      <c r="C2188" s="7">
        <f>3</f>
        <v>3</v>
      </c>
      <c r="D2188" s="7">
        <v>2.0</v>
      </c>
      <c r="E2188" s="7">
        <v>2.0</v>
      </c>
      <c r="F2188" s="7" t="s">
        <v>83</v>
      </c>
      <c r="G2188" s="7" t="s">
        <v>135</v>
      </c>
      <c r="H2188" s="9" t="s">
        <v>2979</v>
      </c>
      <c r="I2188" t="s">
        <v>3023</v>
      </c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 t="str">
        <f t="shared" si="1"/>
        <v>Built-up :</v>
      </c>
      <c r="AE2188" s="7" t="str">
        <f t="shared" si="2"/>
        <v> sq. ft.</v>
      </c>
      <c r="AF2188">
        <f>IFERROR(__xludf.DUMMYFUNCTION("VALUE(REGEXREPLACE(G2188,""[^[:digit:]]"", """"))"),1200.0)</f>
        <v>1200</v>
      </c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 t="s">
        <v>27</v>
      </c>
    </row>
    <row r="2189">
      <c r="A2189" s="7" t="s">
        <v>171</v>
      </c>
      <c r="B2189" s="7" t="s">
        <v>1704</v>
      </c>
      <c r="C2189" s="7">
        <f t="shared" ref="C2189:C2190" si="281">3+1</f>
        <v>4</v>
      </c>
      <c r="D2189" s="7">
        <v>3.0</v>
      </c>
      <c r="E2189" s="7">
        <v>2.0</v>
      </c>
      <c r="F2189" s="7" t="s">
        <v>83</v>
      </c>
      <c r="G2189" s="7" t="s">
        <v>1705</v>
      </c>
      <c r="H2189" s="9" t="s">
        <v>2979</v>
      </c>
      <c r="I2189" t="s">
        <v>3870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 t="str">
        <f t="shared" si="1"/>
        <v>Built-up :</v>
      </c>
      <c r="AE2189" s="7" t="str">
        <f t="shared" si="2"/>
        <v> sq. ft.</v>
      </c>
      <c r="AF2189">
        <f>IFERROR(__xludf.DUMMYFUNCTION("VALUE(REGEXREPLACE(G2189,""[^[:digit:]]"", """"))"),1530.0)</f>
        <v>1530</v>
      </c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</row>
    <row r="2190">
      <c r="A2190" s="7" t="s">
        <v>171</v>
      </c>
      <c r="B2190" s="7" t="s">
        <v>733</v>
      </c>
      <c r="C2190" s="7">
        <f t="shared" si="281"/>
        <v>4</v>
      </c>
      <c r="D2190" s="7">
        <v>3.0</v>
      </c>
      <c r="E2190" s="7">
        <v>2.0</v>
      </c>
      <c r="F2190" s="7" t="s">
        <v>83</v>
      </c>
      <c r="G2190" s="7" t="s">
        <v>1371</v>
      </c>
      <c r="H2190" s="9" t="s">
        <v>2979</v>
      </c>
      <c r="I2190" t="s">
        <v>3678</v>
      </c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 t="str">
        <f t="shared" si="1"/>
        <v>Built-up :</v>
      </c>
      <c r="AE2190" s="7" t="str">
        <f t="shared" si="2"/>
        <v> sq. ft.</v>
      </c>
      <c r="AF2190">
        <f>IFERROR(__xludf.DUMMYFUNCTION("VALUE(REGEXREPLACE(G2190,""[^[:digit:]]"", """"))"),1362.0)</f>
        <v>1362</v>
      </c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 t="s">
        <v>27</v>
      </c>
    </row>
    <row r="2191">
      <c r="A2191" s="7" t="s">
        <v>72</v>
      </c>
      <c r="B2191" s="7" t="s">
        <v>658</v>
      </c>
      <c r="C2191" s="7">
        <f>4+1</f>
        <v>5</v>
      </c>
      <c r="D2191" s="7">
        <v>6.0</v>
      </c>
      <c r="E2191" s="9">
        <v>2.0</v>
      </c>
      <c r="F2191" s="7" t="s">
        <v>83</v>
      </c>
      <c r="G2191" s="7" t="s">
        <v>933</v>
      </c>
      <c r="H2191" s="9" t="s">
        <v>2979</v>
      </c>
      <c r="I2191" t="s">
        <v>3414</v>
      </c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 t="str">
        <f t="shared" si="1"/>
        <v>Built-up :</v>
      </c>
      <c r="AE2191" s="7" t="str">
        <f t="shared" si="2"/>
        <v> sq. ft.</v>
      </c>
      <c r="AF2191">
        <f>IFERROR(__xludf.DUMMYFUNCTION("VALUE(REGEXREPLACE(G2191,""[^[:digit:]]"", """"))"),3541.0)</f>
        <v>3541</v>
      </c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 t="s">
        <v>27</v>
      </c>
    </row>
    <row r="2192">
      <c r="A2192" s="7" t="s">
        <v>72</v>
      </c>
      <c r="B2192" s="7" t="s">
        <v>101</v>
      </c>
      <c r="C2192" s="7">
        <f>4+2</f>
        <v>6</v>
      </c>
      <c r="D2192" s="7">
        <v>8.0</v>
      </c>
      <c r="E2192" s="9">
        <v>2.0</v>
      </c>
      <c r="F2192" s="7" t="s">
        <v>83</v>
      </c>
      <c r="G2192" s="7" t="s">
        <v>1723</v>
      </c>
      <c r="H2192" s="9" t="s">
        <v>2979</v>
      </c>
      <c r="I2192" t="s">
        <v>3881</v>
      </c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 t="str">
        <f t="shared" si="1"/>
        <v>Built-up :</v>
      </c>
      <c r="AE2192" s="7" t="str">
        <f t="shared" si="2"/>
        <v> sq. ft.</v>
      </c>
      <c r="AF2192">
        <f>IFERROR(__xludf.DUMMYFUNCTION("VALUE(REGEXREPLACE(G2192,""[^[:digit:]]"", """"))"),4660.0)</f>
        <v>4660</v>
      </c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 t="s">
        <v>27</v>
      </c>
    </row>
    <row r="2193">
      <c r="A2193" s="7" t="s">
        <v>72</v>
      </c>
      <c r="B2193" s="7" t="s">
        <v>281</v>
      </c>
      <c r="C2193" s="7">
        <f t="shared" ref="C2193:C2195" si="282">4+1</f>
        <v>5</v>
      </c>
      <c r="D2193" s="7">
        <v>6.0</v>
      </c>
      <c r="E2193" s="9">
        <v>2.0</v>
      </c>
      <c r="F2193" s="7" t="s">
        <v>83</v>
      </c>
      <c r="G2193" s="7" t="s">
        <v>933</v>
      </c>
      <c r="H2193" s="9" t="s">
        <v>2979</v>
      </c>
      <c r="I2193" t="s">
        <v>3414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 t="str">
        <f t="shared" si="1"/>
        <v>Built-up :</v>
      </c>
      <c r="AE2193" s="7" t="str">
        <f t="shared" si="2"/>
        <v> sq. ft.</v>
      </c>
      <c r="AF2193">
        <f>IFERROR(__xludf.DUMMYFUNCTION("VALUE(REGEXREPLACE(G2193,""[^[:digit:]]"", """"))"),3541.0)</f>
        <v>3541</v>
      </c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 t="s">
        <v>27</v>
      </c>
    </row>
    <row r="2194">
      <c r="A2194" s="7" t="s">
        <v>72</v>
      </c>
      <c r="B2194" s="7" t="s">
        <v>1124</v>
      </c>
      <c r="C2194" s="7">
        <f t="shared" si="282"/>
        <v>5</v>
      </c>
      <c r="D2194" s="7">
        <v>6.0</v>
      </c>
      <c r="E2194" s="9">
        <v>2.0</v>
      </c>
      <c r="F2194" s="7" t="s">
        <v>83</v>
      </c>
      <c r="G2194" s="7" t="s">
        <v>1724</v>
      </c>
      <c r="H2194" s="9" t="s">
        <v>2979</v>
      </c>
      <c r="I2194" t="s">
        <v>3882</v>
      </c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 t="str">
        <f t="shared" si="1"/>
        <v>Built-up :</v>
      </c>
      <c r="AE2194" s="7" t="str">
        <f t="shared" si="2"/>
        <v> sq. ft.</v>
      </c>
      <c r="AF2194">
        <f>IFERROR(__xludf.DUMMYFUNCTION("VALUE(REGEXREPLACE(G2194,""[^[:digit:]]"", """"))"),3410.0)</f>
        <v>3410</v>
      </c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 t="s">
        <v>22</v>
      </c>
    </row>
    <row r="2195">
      <c r="A2195" s="7" t="s">
        <v>72</v>
      </c>
      <c r="B2195" s="7" t="s">
        <v>484</v>
      </c>
      <c r="C2195" s="7">
        <f t="shared" si="282"/>
        <v>5</v>
      </c>
      <c r="D2195" s="7">
        <v>6.0</v>
      </c>
      <c r="E2195" s="9">
        <v>2.0</v>
      </c>
      <c r="F2195" s="7" t="s">
        <v>83</v>
      </c>
      <c r="G2195" s="7" t="s">
        <v>933</v>
      </c>
      <c r="H2195" s="9" t="s">
        <v>2979</v>
      </c>
      <c r="I2195" t="s">
        <v>3414</v>
      </c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 t="str">
        <f t="shared" si="1"/>
        <v>Built-up :</v>
      </c>
      <c r="AE2195" s="7" t="str">
        <f t="shared" si="2"/>
        <v> sq. ft.</v>
      </c>
      <c r="AF2195">
        <f>IFERROR(__xludf.DUMMYFUNCTION("VALUE(REGEXREPLACE(G2195,""[^[:digit:]]"", """"))"),3541.0)</f>
        <v>3541</v>
      </c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 t="s">
        <v>251</v>
      </c>
    </row>
    <row r="2196">
      <c r="A2196" s="7" t="s">
        <v>171</v>
      </c>
      <c r="B2196" s="7" t="s">
        <v>268</v>
      </c>
      <c r="C2196" s="7">
        <f>4</f>
        <v>4</v>
      </c>
      <c r="D2196" s="7">
        <v>2.0</v>
      </c>
      <c r="E2196" s="7">
        <v>1.0</v>
      </c>
      <c r="F2196" s="7" t="s">
        <v>83</v>
      </c>
      <c r="G2196" s="7" t="s">
        <v>760</v>
      </c>
      <c r="H2196" s="9" t="s">
        <v>2979</v>
      </c>
      <c r="I2196" t="s">
        <v>3323</v>
      </c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 t="str">
        <f t="shared" si="1"/>
        <v>Built-up :</v>
      </c>
      <c r="AE2196" s="7" t="str">
        <f t="shared" si="2"/>
        <v> sq. ft.</v>
      </c>
      <c r="AF2196">
        <f>IFERROR(__xludf.DUMMYFUNCTION("VALUE(REGEXREPLACE(G2196,""[^[:digit:]]"", """"))"),1450.0)</f>
        <v>1450</v>
      </c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 t="s">
        <v>22</v>
      </c>
    </row>
    <row r="2197">
      <c r="A2197" s="7" t="s">
        <v>72</v>
      </c>
      <c r="B2197" s="7" t="s">
        <v>940</v>
      </c>
      <c r="C2197" s="7">
        <f t="shared" ref="C2197:C2198" si="283">4+1</f>
        <v>5</v>
      </c>
      <c r="D2197" s="7">
        <v>5.0</v>
      </c>
      <c r="E2197" s="9">
        <v>2.0</v>
      </c>
      <c r="F2197" s="7" t="s">
        <v>83</v>
      </c>
      <c r="G2197" s="7" t="s">
        <v>1725</v>
      </c>
      <c r="H2197" s="9" t="s">
        <v>2979</v>
      </c>
      <c r="I2197" t="s">
        <v>3883</v>
      </c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 t="str">
        <f t="shared" si="1"/>
        <v>Built-up :</v>
      </c>
      <c r="AE2197" s="7" t="str">
        <f t="shared" si="2"/>
        <v> sq. ft.</v>
      </c>
      <c r="AF2197">
        <f>IFERROR(__xludf.DUMMYFUNCTION("VALUE(REGEXREPLACE(G2197,""[^[:digit:]]"", """"))"),5800.0)</f>
        <v>5800</v>
      </c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 t="s">
        <v>27</v>
      </c>
    </row>
    <row r="2198">
      <c r="A2198" s="7" t="s">
        <v>72</v>
      </c>
      <c r="B2198" s="7" t="s">
        <v>125</v>
      </c>
      <c r="C2198" s="7">
        <f t="shared" si="283"/>
        <v>5</v>
      </c>
      <c r="D2198" s="7">
        <v>6.0</v>
      </c>
      <c r="E2198" s="9">
        <v>2.0</v>
      </c>
      <c r="F2198" s="7" t="s">
        <v>83</v>
      </c>
      <c r="G2198" s="7" t="s">
        <v>1724</v>
      </c>
      <c r="H2198" s="9" t="s">
        <v>2979</v>
      </c>
      <c r="I2198" t="s">
        <v>3882</v>
      </c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 t="str">
        <f t="shared" si="1"/>
        <v>Built-up :</v>
      </c>
      <c r="AE2198" s="7" t="str">
        <f t="shared" si="2"/>
        <v> sq. ft.</v>
      </c>
      <c r="AF2198">
        <f>IFERROR(__xludf.DUMMYFUNCTION("VALUE(REGEXREPLACE(G2198,""[^[:digit:]]"", """"))"),3410.0)</f>
        <v>3410</v>
      </c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 t="s">
        <v>22</v>
      </c>
    </row>
    <row r="2199">
      <c r="A2199" s="7" t="s">
        <v>72</v>
      </c>
      <c r="B2199" s="7" t="s">
        <v>279</v>
      </c>
      <c r="C2199" s="7">
        <f t="shared" ref="C2199:C2200" si="284">3+1</f>
        <v>4</v>
      </c>
      <c r="D2199" s="7">
        <v>5.0</v>
      </c>
      <c r="E2199" s="9">
        <v>2.0</v>
      </c>
      <c r="F2199" s="7" t="s">
        <v>83</v>
      </c>
      <c r="G2199" s="7" t="s">
        <v>1490</v>
      </c>
      <c r="H2199" s="9" t="s">
        <v>2979</v>
      </c>
      <c r="I2199" t="s">
        <v>3741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 t="str">
        <f t="shared" si="1"/>
        <v>Built-up :</v>
      </c>
      <c r="AE2199" s="7" t="str">
        <f t="shared" si="2"/>
        <v> sq. ft.</v>
      </c>
      <c r="AF2199">
        <f>IFERROR(__xludf.DUMMYFUNCTION("VALUE(REGEXREPLACE(G2199,""[^[:digit:]]"", """"))"),1593.0)</f>
        <v>1593</v>
      </c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 t="s">
        <v>22</v>
      </c>
    </row>
    <row r="2200">
      <c r="A2200" s="7" t="s">
        <v>72</v>
      </c>
      <c r="B2200" s="7" t="s">
        <v>349</v>
      </c>
      <c r="C2200" s="7">
        <f t="shared" si="284"/>
        <v>4</v>
      </c>
      <c r="D2200" s="7">
        <v>3.0</v>
      </c>
      <c r="E2200" s="9">
        <v>2.0</v>
      </c>
      <c r="F2200" s="7" t="s">
        <v>83</v>
      </c>
      <c r="G2200" s="7" t="s">
        <v>1490</v>
      </c>
      <c r="H2200" s="9" t="s">
        <v>2979</v>
      </c>
      <c r="I2200" t="s">
        <v>3741</v>
      </c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 t="str">
        <f t="shared" si="1"/>
        <v>Built-up :</v>
      </c>
      <c r="AE2200" s="7" t="str">
        <f t="shared" si="2"/>
        <v> sq. ft.</v>
      </c>
      <c r="AF2200">
        <f>IFERROR(__xludf.DUMMYFUNCTION("VALUE(REGEXREPLACE(G2200,""[^[:digit:]]"", """"))"),1593.0)</f>
        <v>1593</v>
      </c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 t="s">
        <v>22</v>
      </c>
    </row>
    <row r="2201">
      <c r="A2201" s="7" t="s">
        <v>72</v>
      </c>
      <c r="B2201" s="7" t="s">
        <v>98</v>
      </c>
      <c r="C2201" s="7">
        <f>4</f>
        <v>4</v>
      </c>
      <c r="D2201" s="7">
        <v>5.0</v>
      </c>
      <c r="E2201" s="7">
        <v>3.0</v>
      </c>
      <c r="F2201" s="7" t="s">
        <v>83</v>
      </c>
      <c r="G2201" s="7" t="s">
        <v>1726</v>
      </c>
      <c r="H2201" s="9" t="s">
        <v>2979</v>
      </c>
      <c r="I2201" t="s">
        <v>3884</v>
      </c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 t="str">
        <f t="shared" si="1"/>
        <v>Built-up :</v>
      </c>
      <c r="AE2201" s="7" t="str">
        <f t="shared" si="2"/>
        <v> sq. ft.</v>
      </c>
      <c r="AF2201">
        <f>IFERROR(__xludf.DUMMYFUNCTION("VALUE(REGEXREPLACE(G2201,""[^[:digit:]]"", """"))"),2495.0)</f>
        <v>2495</v>
      </c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 t="s">
        <v>22</v>
      </c>
    </row>
    <row r="2202">
      <c r="A2202" s="7" t="s">
        <v>72</v>
      </c>
      <c r="B2202" s="7" t="s">
        <v>475</v>
      </c>
      <c r="C2202" s="7">
        <f>4+2</f>
        <v>6</v>
      </c>
      <c r="D2202" s="7">
        <v>6.0</v>
      </c>
      <c r="E2202" s="9">
        <v>2.0</v>
      </c>
      <c r="F2202" s="7" t="s">
        <v>83</v>
      </c>
      <c r="G2202" s="7" t="s">
        <v>498</v>
      </c>
      <c r="H2202" s="9" t="s">
        <v>2979</v>
      </c>
      <c r="I2202" t="s">
        <v>3196</v>
      </c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 t="str">
        <f t="shared" si="1"/>
        <v>Built-up :</v>
      </c>
      <c r="AE2202" s="7" t="str">
        <f t="shared" si="2"/>
        <v> sq. ft.</v>
      </c>
      <c r="AF2202">
        <f>IFERROR(__xludf.DUMMYFUNCTION("VALUE(REGEXREPLACE(G2202,""[^[:digit:]]"", """"))"),4000.0)</f>
        <v>4000</v>
      </c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 t="s">
        <v>27</v>
      </c>
    </row>
    <row r="2203">
      <c r="A2203" s="7" t="s">
        <v>72</v>
      </c>
      <c r="B2203" s="7" t="s">
        <v>158</v>
      </c>
      <c r="C2203" s="7">
        <f t="shared" ref="C2203:C2207" si="285">3+1</f>
        <v>4</v>
      </c>
      <c r="D2203" s="7">
        <v>5.0</v>
      </c>
      <c r="E2203" s="9">
        <v>2.0</v>
      </c>
      <c r="F2203" s="7" t="s">
        <v>83</v>
      </c>
      <c r="G2203" s="7" t="s">
        <v>1727</v>
      </c>
      <c r="H2203" s="9" t="s">
        <v>2979</v>
      </c>
      <c r="I2203" t="s">
        <v>3885</v>
      </c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 t="str">
        <f t="shared" si="1"/>
        <v>Built-up :</v>
      </c>
      <c r="AE2203" s="7" t="str">
        <f t="shared" si="2"/>
        <v> sq. ft.</v>
      </c>
      <c r="AF2203">
        <f>IFERROR(__xludf.DUMMYFUNCTION("VALUE(REGEXREPLACE(G2203,""[^[:digit:]]"", """"))"),2726.0)</f>
        <v>2726</v>
      </c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 t="s">
        <v>22</v>
      </c>
    </row>
    <row r="2204">
      <c r="A2204" s="7" t="s">
        <v>72</v>
      </c>
      <c r="B2204" s="7" t="s">
        <v>81</v>
      </c>
      <c r="C2204" s="7">
        <f t="shared" si="285"/>
        <v>4</v>
      </c>
      <c r="D2204" s="7">
        <v>5.0</v>
      </c>
      <c r="E2204" s="9">
        <v>2.0</v>
      </c>
      <c r="F2204" s="7" t="s">
        <v>83</v>
      </c>
      <c r="G2204" s="7" t="s">
        <v>1728</v>
      </c>
      <c r="H2204" s="9" t="s">
        <v>2979</v>
      </c>
      <c r="I2204" t="s">
        <v>3886</v>
      </c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 t="str">
        <f t="shared" si="1"/>
        <v>Built-up :</v>
      </c>
      <c r="AE2204" s="7" t="str">
        <f t="shared" si="2"/>
        <v> sq. ft.</v>
      </c>
      <c r="AF2204">
        <f>IFERROR(__xludf.DUMMYFUNCTION("VALUE(REGEXREPLACE(G2204,""[^[:digit:]]"", """"))"),2257.0)</f>
        <v>2257</v>
      </c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 t="s">
        <v>22</v>
      </c>
    </row>
    <row r="2205">
      <c r="A2205" s="7" t="s">
        <v>72</v>
      </c>
      <c r="B2205" s="7" t="s">
        <v>78</v>
      </c>
      <c r="C2205" s="7">
        <f t="shared" si="285"/>
        <v>4</v>
      </c>
      <c r="D2205" s="7">
        <v>5.0</v>
      </c>
      <c r="E2205" s="9">
        <v>2.0</v>
      </c>
      <c r="F2205" s="7" t="s">
        <v>83</v>
      </c>
      <c r="G2205" s="7" t="s">
        <v>1728</v>
      </c>
      <c r="H2205" s="9" t="s">
        <v>2979</v>
      </c>
      <c r="I2205" t="s">
        <v>3886</v>
      </c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 t="str">
        <f t="shared" si="1"/>
        <v>Built-up :</v>
      </c>
      <c r="AE2205" s="7" t="str">
        <f t="shared" si="2"/>
        <v> sq. ft.</v>
      </c>
      <c r="AF2205">
        <f>IFERROR(__xludf.DUMMYFUNCTION("VALUE(REGEXREPLACE(G2205,""[^[:digit:]]"", """"))"),2257.0)</f>
        <v>2257</v>
      </c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 t="s">
        <v>22</v>
      </c>
    </row>
    <row r="2206">
      <c r="A2206" s="7" t="s">
        <v>72</v>
      </c>
      <c r="B2206" s="7" t="s">
        <v>403</v>
      </c>
      <c r="C2206" s="7">
        <f t="shared" si="285"/>
        <v>4</v>
      </c>
      <c r="D2206" s="7">
        <v>5.0</v>
      </c>
      <c r="E2206" s="9">
        <v>2.0</v>
      </c>
      <c r="F2206" s="7" t="s">
        <v>83</v>
      </c>
      <c r="G2206" s="7" t="s">
        <v>1729</v>
      </c>
      <c r="H2206" s="9" t="s">
        <v>2979</v>
      </c>
      <c r="I2206" t="s">
        <v>3887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 t="str">
        <f t="shared" si="1"/>
        <v>Built-up :</v>
      </c>
      <c r="AE2206" s="7" t="str">
        <f t="shared" si="2"/>
        <v> sq. ft.</v>
      </c>
      <c r="AF2206">
        <f>IFERROR(__xludf.DUMMYFUNCTION("VALUE(REGEXREPLACE(G2206,""[^[:digit:]]"", """"))"),2159.0)</f>
        <v>2159</v>
      </c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 t="s">
        <v>22</v>
      </c>
    </row>
    <row r="2207">
      <c r="A2207" s="7" t="s">
        <v>72</v>
      </c>
      <c r="B2207" s="7" t="s">
        <v>356</v>
      </c>
      <c r="C2207" s="7">
        <f t="shared" si="285"/>
        <v>4</v>
      </c>
      <c r="D2207" s="7">
        <v>4.0</v>
      </c>
      <c r="E2207" s="9">
        <v>2.0</v>
      </c>
      <c r="F2207" s="7" t="s">
        <v>83</v>
      </c>
      <c r="G2207" s="7" t="s">
        <v>1730</v>
      </c>
      <c r="H2207" s="9" t="s">
        <v>2979</v>
      </c>
      <c r="I2207" t="s">
        <v>3888</v>
      </c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 t="str">
        <f t="shared" si="1"/>
        <v>Built-up :</v>
      </c>
      <c r="AE2207" s="7" t="str">
        <f t="shared" si="2"/>
        <v> sq. ft.</v>
      </c>
      <c r="AF2207">
        <f>IFERROR(__xludf.DUMMYFUNCTION("VALUE(REGEXREPLACE(G2207,""[^[:digit:]]"", """"))"),2560.0)</f>
        <v>2560</v>
      </c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 t="s">
        <v>22</v>
      </c>
    </row>
    <row r="2208">
      <c r="A2208" s="7" t="s">
        <v>72</v>
      </c>
      <c r="B2208" s="7" t="s">
        <v>125</v>
      </c>
      <c r="C2208" s="7">
        <f>4+1</f>
        <v>5</v>
      </c>
      <c r="D2208" s="7">
        <v>6.0</v>
      </c>
      <c r="E2208" s="9">
        <v>2.0</v>
      </c>
      <c r="F2208" s="7" t="s">
        <v>83</v>
      </c>
      <c r="G2208" s="7" t="s">
        <v>989</v>
      </c>
      <c r="H2208" s="9" t="s">
        <v>2979</v>
      </c>
      <c r="I2208" t="s">
        <v>3438</v>
      </c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 t="str">
        <f t="shared" si="1"/>
        <v>Built-up :</v>
      </c>
      <c r="AE2208" s="7" t="str">
        <f t="shared" si="2"/>
        <v> sq. ft.</v>
      </c>
      <c r="AF2208">
        <f>IFERROR(__xludf.DUMMYFUNCTION("VALUE(REGEXREPLACE(G2208,""[^[:digit:]]"", """"))"),3729.0)</f>
        <v>3729</v>
      </c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 t="s">
        <v>27</v>
      </c>
    </row>
    <row r="2209">
      <c r="A2209" s="7" t="s">
        <v>171</v>
      </c>
      <c r="B2209" s="7" t="s">
        <v>975</v>
      </c>
      <c r="C2209" s="7">
        <f>4</f>
        <v>4</v>
      </c>
      <c r="D2209" s="7">
        <v>2.0</v>
      </c>
      <c r="E2209" s="7">
        <v>1.0</v>
      </c>
      <c r="F2209" s="7" t="s">
        <v>30</v>
      </c>
      <c r="G2209" s="7" t="s">
        <v>1703</v>
      </c>
      <c r="H2209" s="9" t="s">
        <v>2979</v>
      </c>
      <c r="I2209" t="s">
        <v>3869</v>
      </c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 t="str">
        <f t="shared" si="1"/>
        <v>Built-up :</v>
      </c>
      <c r="AE2209" s="7" t="str">
        <f t="shared" si="2"/>
        <v> sq. ft.</v>
      </c>
      <c r="AF2209">
        <f>IFERROR(__xludf.DUMMYFUNCTION("VALUE(REGEXREPLACE(G2209,""[^[:digit:]]"", """"))"),1135.0)</f>
        <v>1135</v>
      </c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</row>
    <row r="2210">
      <c r="A2210" s="7" t="s">
        <v>48</v>
      </c>
      <c r="B2210" s="7" t="s">
        <v>168</v>
      </c>
      <c r="C2210" s="7">
        <f t="shared" ref="C2210:C2211" si="286">3</f>
        <v>3</v>
      </c>
      <c r="D2210" s="7">
        <v>2.0</v>
      </c>
      <c r="E2210" s="9">
        <v>2.0</v>
      </c>
      <c r="F2210" s="7" t="s">
        <v>54</v>
      </c>
      <c r="G2210" s="7" t="s">
        <v>1458</v>
      </c>
      <c r="H2210" s="9" t="s">
        <v>2981</v>
      </c>
      <c r="I2210" t="s">
        <v>3516</v>
      </c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 t="str">
        <f t="shared" si="1"/>
        <v>Land area </v>
      </c>
      <c r="AE2210" s="7" t="str">
        <f t="shared" si="2"/>
        <v> sq. ft.</v>
      </c>
      <c r="AF2210">
        <f>IFERROR(__xludf.DUMMYFUNCTION("VALUE(REGEXREPLACE(G2210,""[^[:digit:]]"", """"))"),1400.0)</f>
        <v>1400</v>
      </c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 t="s">
        <v>27</v>
      </c>
    </row>
    <row r="2211">
      <c r="A2211" s="7" t="s">
        <v>171</v>
      </c>
      <c r="B2211" s="7" t="s">
        <v>715</v>
      </c>
      <c r="C2211" s="7">
        <f t="shared" si="286"/>
        <v>3</v>
      </c>
      <c r="D2211" s="7">
        <v>2.0</v>
      </c>
      <c r="E2211" s="7">
        <v>2.0</v>
      </c>
      <c r="F2211" s="7" t="s">
        <v>343</v>
      </c>
      <c r="G2211" s="7" t="s">
        <v>55</v>
      </c>
      <c r="H2211" s="9" t="s">
        <v>2981</v>
      </c>
      <c r="I2211" t="s">
        <v>2992</v>
      </c>
      <c r="J2211" s="7"/>
      <c r="K2211" s="7"/>
      <c r="L2211" s="7"/>
      <c r="M2211" s="7"/>
      <c r="N2211" s="7"/>
      <c r="O2211" s="7"/>
      <c r="P2211" s="7"/>
      <c r="Q2211" s="7"/>
      <c r="R2211" s="7"/>
      <c r="S2211" s="7" t="s">
        <v>2993</v>
      </c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 t="str">
        <f t="shared" si="1"/>
        <v>Land area </v>
      </c>
      <c r="AE2211" s="7" t="str">
        <f t="shared" si="2"/>
        <v> sq. ft.</v>
      </c>
      <c r="AF2211" s="7">
        <v>1760.0</v>
      </c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 t="s">
        <v>27</v>
      </c>
    </row>
    <row r="2212">
      <c r="A2212" s="7" t="s">
        <v>171</v>
      </c>
      <c r="B2212" s="7" t="s">
        <v>890</v>
      </c>
      <c r="C2212" s="7">
        <f>4</f>
        <v>4</v>
      </c>
      <c r="D2212" s="7">
        <v>2.0</v>
      </c>
      <c r="E2212" s="7">
        <v>2.0</v>
      </c>
      <c r="F2212" s="7" t="s">
        <v>30</v>
      </c>
      <c r="G2212" s="7" t="s">
        <v>1681</v>
      </c>
      <c r="H2212" s="9" t="s">
        <v>2979</v>
      </c>
      <c r="I2212" t="s">
        <v>3852</v>
      </c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 t="str">
        <f t="shared" si="1"/>
        <v>Built-up :</v>
      </c>
      <c r="AE2212" s="7" t="str">
        <f t="shared" si="2"/>
        <v> sq. ft.</v>
      </c>
      <c r="AF2212">
        <f>IFERROR(__xludf.DUMMYFUNCTION("VALUE(REGEXREPLACE(G2212,""[^[:digit:]]"", """"))"),1272.0)</f>
        <v>1272</v>
      </c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</row>
    <row r="2213">
      <c r="A2213" s="7" t="s">
        <v>72</v>
      </c>
      <c r="B2213" s="7" t="s">
        <v>1349</v>
      </c>
      <c r="C2213" s="7">
        <f>3+1</f>
        <v>4</v>
      </c>
      <c r="D2213" s="7">
        <v>4.0</v>
      </c>
      <c r="E2213" s="9">
        <v>2.0</v>
      </c>
      <c r="F2213" s="7" t="s">
        <v>83</v>
      </c>
      <c r="G2213" s="7" t="s">
        <v>1175</v>
      </c>
      <c r="H2213" s="9" t="s">
        <v>2979</v>
      </c>
      <c r="I2213" t="s">
        <v>3560</v>
      </c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 t="str">
        <f t="shared" si="1"/>
        <v>Built-up :</v>
      </c>
      <c r="AE2213" s="7" t="str">
        <f t="shared" si="2"/>
        <v> sq. ft.</v>
      </c>
      <c r="AF2213">
        <f>IFERROR(__xludf.DUMMYFUNCTION("VALUE(REGEXREPLACE(G2213,""[^[:digit:]]"", """"))"),1756.0)</f>
        <v>1756</v>
      </c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 t="s">
        <v>22</v>
      </c>
    </row>
    <row r="2214">
      <c r="A2214" s="7" t="s">
        <v>1731</v>
      </c>
      <c r="B2214" s="7" t="s">
        <v>125</v>
      </c>
      <c r="E2214" s="9">
        <v>2.0</v>
      </c>
      <c r="F2214" s="7" t="s">
        <v>667</v>
      </c>
      <c r="G2214" s="7" t="s">
        <v>264</v>
      </c>
      <c r="H2214" s="9" t="s">
        <v>2981</v>
      </c>
      <c r="I2214" t="s">
        <v>3082</v>
      </c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 t="str">
        <f t="shared" si="1"/>
        <v>Land area </v>
      </c>
      <c r="AE2214" s="7" t="str">
        <f t="shared" si="2"/>
        <v> sq. ft.</v>
      </c>
      <c r="AF2214">
        <f>IFERROR(__xludf.DUMMYFUNCTION("VALUE(REGEXREPLACE(G2214,""[^[:digit:]]"", """"))"),10000.0)</f>
        <v>10000</v>
      </c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</row>
    <row r="2215">
      <c r="A2215" s="7" t="s">
        <v>17</v>
      </c>
      <c r="B2215" s="7" t="s">
        <v>757</v>
      </c>
      <c r="C2215" s="7">
        <f>3+1</f>
        <v>4</v>
      </c>
      <c r="D2215" s="7">
        <v>5.0</v>
      </c>
      <c r="E2215" s="9">
        <v>2.0</v>
      </c>
      <c r="F2215" s="7" t="s">
        <v>121</v>
      </c>
      <c r="G2215" s="7" t="s">
        <v>1027</v>
      </c>
      <c r="H2215" s="9" t="s">
        <v>2979</v>
      </c>
      <c r="I2215" t="s">
        <v>3463</v>
      </c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 t="str">
        <f t="shared" si="1"/>
        <v>Built-up :</v>
      </c>
      <c r="AE2215" s="7" t="str">
        <f t="shared" si="2"/>
        <v> sq. ft.</v>
      </c>
      <c r="AF2215">
        <f>IFERROR(__xludf.DUMMYFUNCTION("VALUE(REGEXREPLACE(G2215,""[^[:digit:]]"", """"))"),3200.0)</f>
        <v>3200</v>
      </c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 t="s">
        <v>22</v>
      </c>
    </row>
    <row r="2216">
      <c r="A2216" s="7" t="s">
        <v>104</v>
      </c>
      <c r="B2216" s="7" t="s">
        <v>314</v>
      </c>
      <c r="C2216" s="7">
        <f>3</f>
        <v>3</v>
      </c>
      <c r="D2216" s="7">
        <v>2.0</v>
      </c>
      <c r="E2216" s="9">
        <v>2.0</v>
      </c>
      <c r="F2216" s="7" t="s">
        <v>343</v>
      </c>
      <c r="G2216" s="7" t="s">
        <v>1732</v>
      </c>
      <c r="H2216" s="9" t="s">
        <v>2981</v>
      </c>
      <c r="I2216" t="s">
        <v>3889</v>
      </c>
      <c r="J2216" s="7"/>
      <c r="K2216" s="7"/>
      <c r="L2216" s="7"/>
      <c r="M2216" s="7"/>
      <c r="N2216" s="7"/>
      <c r="O2216" s="7"/>
      <c r="P2216" s="7"/>
      <c r="Q2216" s="7"/>
      <c r="R2216" s="7"/>
      <c r="S2216" s="7" t="s">
        <v>3298</v>
      </c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 t="str">
        <f t="shared" si="1"/>
        <v>Land area </v>
      </c>
      <c r="AE2216" s="7" t="str">
        <f t="shared" si="2"/>
        <v> sq. ft.</v>
      </c>
      <c r="AF2216">
        <f>IFERROR(__xludf.DUMMYFUNCTION("VALUE(REGEXREPLACE(G2216,""[^[:digit:]]"", """"))"),2265.0)</f>
        <v>2265</v>
      </c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 t="s">
        <v>27</v>
      </c>
    </row>
    <row r="2217">
      <c r="A2217" s="7" t="s">
        <v>72</v>
      </c>
      <c r="B2217" s="7" t="s">
        <v>120</v>
      </c>
      <c r="C2217" s="7">
        <f>5+1</f>
        <v>6</v>
      </c>
      <c r="D2217" s="7">
        <v>6.0</v>
      </c>
      <c r="E2217" s="9">
        <v>2.0</v>
      </c>
      <c r="F2217" s="7" t="s">
        <v>25</v>
      </c>
      <c r="G2217" s="7" t="s">
        <v>1487</v>
      </c>
      <c r="H2217" s="9" t="s">
        <v>2981</v>
      </c>
      <c r="I2217" t="s">
        <v>3118</v>
      </c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 t="str">
        <f t="shared" si="1"/>
        <v>Land area </v>
      </c>
      <c r="AE2217" s="7" t="str">
        <f t="shared" si="2"/>
        <v> sq. ft.</v>
      </c>
      <c r="AF2217">
        <f>IFERROR(__xludf.DUMMYFUNCTION("VALUE(REGEXREPLACE(G2217,""[^[:digit:]]"", """"))"),1920.0)</f>
        <v>1920</v>
      </c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 t="s">
        <v>27</v>
      </c>
    </row>
    <row r="2218">
      <c r="A2218" s="7" t="s">
        <v>77</v>
      </c>
      <c r="B2218" s="7" t="s">
        <v>227</v>
      </c>
      <c r="C2218" s="7">
        <f>3+1</f>
        <v>4</v>
      </c>
      <c r="D2218" s="7">
        <v>4.0</v>
      </c>
      <c r="E2218" s="7">
        <v>2.0</v>
      </c>
      <c r="F2218" s="7" t="s">
        <v>562</v>
      </c>
      <c r="G2218" s="7" t="s">
        <v>228</v>
      </c>
      <c r="H2218" s="9" t="s">
        <v>2979</v>
      </c>
      <c r="I2218" t="s">
        <v>3064</v>
      </c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 t="str">
        <f t="shared" si="1"/>
        <v>Built-up :</v>
      </c>
      <c r="AE2218" s="7" t="str">
        <f t="shared" si="2"/>
        <v> sq. ft.</v>
      </c>
      <c r="AF2218">
        <f>IFERROR(__xludf.DUMMYFUNCTION("VALUE(REGEXREPLACE(G2218,""[^[:digit:]]"", """"))"),3211.0)</f>
        <v>3211</v>
      </c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 t="s">
        <v>22</v>
      </c>
    </row>
    <row r="2219">
      <c r="A2219" s="7" t="s">
        <v>72</v>
      </c>
      <c r="B2219" s="7" t="s">
        <v>401</v>
      </c>
      <c r="C2219" s="7">
        <f>6</f>
        <v>6</v>
      </c>
      <c r="D2219" s="7">
        <v>5.0</v>
      </c>
      <c r="E2219" s="9">
        <v>2.0</v>
      </c>
      <c r="F2219" s="7" t="s">
        <v>487</v>
      </c>
      <c r="G2219" s="7" t="s">
        <v>1733</v>
      </c>
      <c r="H2219" s="9" t="s">
        <v>2981</v>
      </c>
      <c r="I2219" t="s">
        <v>3890</v>
      </c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 t="str">
        <f t="shared" si="1"/>
        <v>Land area </v>
      </c>
      <c r="AE2219" s="7" t="str">
        <f t="shared" si="2"/>
        <v> sq. ft.</v>
      </c>
      <c r="AF2219">
        <f>IFERROR(__xludf.DUMMYFUNCTION("VALUE(REGEXREPLACE(G2219,""[^[:digit:]]"", """"))"),4860.0)</f>
        <v>4860</v>
      </c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 t="s">
        <v>27</v>
      </c>
    </row>
    <row r="2220">
      <c r="A2220" s="7" t="s">
        <v>104</v>
      </c>
      <c r="B2220" s="7" t="s">
        <v>967</v>
      </c>
      <c r="C2220" s="7">
        <f>3</f>
        <v>3</v>
      </c>
      <c r="D2220" s="7">
        <v>2.0</v>
      </c>
      <c r="E2220" s="9">
        <v>2.0</v>
      </c>
      <c r="F2220" s="7" t="s">
        <v>343</v>
      </c>
      <c r="G2220" s="7" t="s">
        <v>211</v>
      </c>
      <c r="H2220" s="9" t="s">
        <v>2981</v>
      </c>
      <c r="I2220" t="s">
        <v>2992</v>
      </c>
      <c r="J2220" s="7"/>
      <c r="K2220" s="7"/>
      <c r="L2220" s="7"/>
      <c r="M2220" s="7"/>
      <c r="N2220" s="7"/>
      <c r="O2220" s="7"/>
      <c r="P2220" s="7"/>
      <c r="Q2220" s="7"/>
      <c r="R2220" s="7"/>
      <c r="S2220" s="7" t="s">
        <v>2993</v>
      </c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 t="str">
        <f t="shared" si="1"/>
        <v>Land area </v>
      </c>
      <c r="AE2220" s="7" t="str">
        <f t="shared" si="2"/>
        <v> sq. ft.</v>
      </c>
      <c r="AF2220">
        <f>IFERROR(__xludf.DUMMYFUNCTION("VALUE(REGEXREPLACE(G2220,""[^[:digit:]]"", """"))"),2280.0)</f>
        <v>2280</v>
      </c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 t="s">
        <v>27</v>
      </c>
    </row>
    <row r="2221">
      <c r="A2221" s="7" t="s">
        <v>104</v>
      </c>
      <c r="B2221" s="7" t="s">
        <v>953</v>
      </c>
      <c r="C2221" s="7">
        <f>4</f>
        <v>4</v>
      </c>
      <c r="D2221" s="7">
        <v>3.0</v>
      </c>
      <c r="E2221" s="9">
        <v>2.0</v>
      </c>
      <c r="F2221" s="7" t="s">
        <v>54</v>
      </c>
      <c r="G2221" s="7" t="s">
        <v>674</v>
      </c>
      <c r="H2221" s="9" t="s">
        <v>2981</v>
      </c>
      <c r="I2221" t="s">
        <v>3020</v>
      </c>
      <c r="J2221" s="7"/>
      <c r="K2221" s="7"/>
      <c r="L2221" s="7"/>
      <c r="M2221" s="7"/>
      <c r="N2221" s="7"/>
      <c r="O2221" s="7"/>
      <c r="P2221" s="7"/>
      <c r="Q2221" s="7"/>
      <c r="R2221" s="7"/>
      <c r="S2221" s="7" t="s">
        <v>2993</v>
      </c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 t="str">
        <f t="shared" si="1"/>
        <v>Land area </v>
      </c>
      <c r="AE2221" s="7" t="str">
        <f t="shared" si="2"/>
        <v> sq. ft.</v>
      </c>
      <c r="AF2221">
        <f>IFERROR(__xludf.DUMMYFUNCTION("VALUE(REGEXREPLACE(G2221,""[^[:digit:]]"", """"))"),2080.0)</f>
        <v>2080</v>
      </c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 t="s">
        <v>27</v>
      </c>
    </row>
    <row r="2222">
      <c r="A2222" s="7" t="s">
        <v>104</v>
      </c>
      <c r="B2222" s="7" t="s">
        <v>890</v>
      </c>
      <c r="C2222" s="7">
        <f t="shared" ref="C2222:C2223" si="287">3</f>
        <v>3</v>
      </c>
      <c r="D2222" s="7">
        <v>2.0</v>
      </c>
      <c r="E2222" s="9">
        <v>2.0</v>
      </c>
      <c r="F2222" s="7" t="s">
        <v>1185</v>
      </c>
      <c r="G2222" s="7" t="s">
        <v>1732</v>
      </c>
      <c r="H2222" s="9" t="s">
        <v>2981</v>
      </c>
      <c r="I2222" t="s">
        <v>3889</v>
      </c>
      <c r="J2222" s="7"/>
      <c r="K2222" s="7"/>
      <c r="L2222" s="7"/>
      <c r="M2222" s="7"/>
      <c r="N2222" s="7"/>
      <c r="O2222" s="7"/>
      <c r="P2222" s="7"/>
      <c r="Q2222" s="7"/>
      <c r="R2222" s="7"/>
      <c r="S2222" s="7" t="s">
        <v>3298</v>
      </c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 t="str">
        <f t="shared" si="1"/>
        <v>Land area </v>
      </c>
      <c r="AE2222" s="7" t="str">
        <f t="shared" si="2"/>
        <v> sq. ft.</v>
      </c>
      <c r="AF2222">
        <f>IFERROR(__xludf.DUMMYFUNCTION("VALUE(REGEXREPLACE(G2222,""[^[:digit:]]"", """"))"),2265.0)</f>
        <v>2265</v>
      </c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 t="s">
        <v>27</v>
      </c>
    </row>
    <row r="2223">
      <c r="A2223" s="7" t="s">
        <v>72</v>
      </c>
      <c r="B2223" s="7" t="s">
        <v>201</v>
      </c>
      <c r="C2223" s="7">
        <f t="shared" si="287"/>
        <v>3</v>
      </c>
      <c r="D2223" s="7">
        <v>2.0</v>
      </c>
      <c r="E2223" s="7">
        <v>2.0</v>
      </c>
      <c r="F2223" s="7" t="s">
        <v>93</v>
      </c>
      <c r="G2223" s="7" t="s">
        <v>1734</v>
      </c>
      <c r="H2223" s="9" t="s">
        <v>2979</v>
      </c>
      <c r="I2223" t="s">
        <v>3891</v>
      </c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 t="str">
        <f t="shared" si="1"/>
        <v>Built-up :</v>
      </c>
      <c r="AE2223" s="7" t="str">
        <f t="shared" si="2"/>
        <v> sq. ft.</v>
      </c>
      <c r="AF2223">
        <f>IFERROR(__xludf.DUMMYFUNCTION("VALUE(REGEXREPLACE(G2223,""[^[:digit:]]"", """"))"),1015.0)</f>
        <v>1015</v>
      </c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 t="s">
        <v>103</v>
      </c>
    </row>
    <row r="2224">
      <c r="A2224" s="7" t="s">
        <v>32</v>
      </c>
      <c r="B2224" s="7" t="s">
        <v>281</v>
      </c>
      <c r="C2224" s="7">
        <f>8</f>
        <v>8</v>
      </c>
      <c r="D2224" s="7">
        <v>7.0</v>
      </c>
      <c r="E2224" s="7">
        <v>2.0</v>
      </c>
      <c r="F2224" s="7" t="s">
        <v>25</v>
      </c>
      <c r="G2224" s="7" t="s">
        <v>62</v>
      </c>
      <c r="H2224" s="9" t="s">
        <v>2981</v>
      </c>
      <c r="I2224" t="s">
        <v>2995</v>
      </c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 t="str">
        <f t="shared" si="1"/>
        <v>Land area </v>
      </c>
      <c r="AE2224" s="7" t="str">
        <f t="shared" si="2"/>
        <v> sq. ft.</v>
      </c>
      <c r="AF2224">
        <f>IFERROR(__xludf.DUMMYFUNCTION("VALUE(REGEXREPLACE(G2224,""[^[:digit:]]"", """"))"),6000.0)</f>
        <v>6000</v>
      </c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 t="s">
        <v>22</v>
      </c>
    </row>
    <row r="2225">
      <c r="A2225" s="7" t="s">
        <v>148</v>
      </c>
      <c r="B2225" s="7" t="s">
        <v>411</v>
      </c>
      <c r="C2225" s="7">
        <f>6</f>
        <v>6</v>
      </c>
      <c r="D2225" s="7">
        <v>7.0</v>
      </c>
      <c r="E2225" s="7">
        <v>3.0</v>
      </c>
      <c r="F2225" s="7" t="s">
        <v>43</v>
      </c>
      <c r="G2225" s="7" t="s">
        <v>478</v>
      </c>
      <c r="H2225" s="9" t="s">
        <v>2981</v>
      </c>
      <c r="I2225" t="s">
        <v>3183</v>
      </c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 t="str">
        <f t="shared" si="1"/>
        <v>Land area </v>
      </c>
      <c r="AE2225" s="7" t="str">
        <f t="shared" si="2"/>
        <v> sq. ft.</v>
      </c>
      <c r="AF2225">
        <f>IFERROR(__xludf.DUMMYFUNCTION("VALUE(REGEXREPLACE(G2225,""[^[:digit:]]"", """"))"),3200.0)</f>
        <v>3200</v>
      </c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 t="s">
        <v>27</v>
      </c>
    </row>
    <row r="2226">
      <c r="A2226" s="7" t="s">
        <v>32</v>
      </c>
      <c r="B2226" s="7" t="s">
        <v>1735</v>
      </c>
      <c r="C2226" s="7">
        <f>3</f>
        <v>3</v>
      </c>
      <c r="D2226" s="7">
        <v>2.0</v>
      </c>
      <c r="E2226" s="7">
        <v>1.0</v>
      </c>
      <c r="F2226" s="7" t="s">
        <v>50</v>
      </c>
      <c r="G2226" s="7" t="s">
        <v>1478</v>
      </c>
      <c r="H2226" s="9" t="s">
        <v>2979</v>
      </c>
      <c r="I2226" t="s">
        <v>3732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 t="str">
        <f t="shared" si="1"/>
        <v>Built-up :</v>
      </c>
      <c r="AE2226" s="7" t="str">
        <f t="shared" si="2"/>
        <v> sq. ft.</v>
      </c>
      <c r="AF2226">
        <f>IFERROR(__xludf.DUMMYFUNCTION("VALUE(REGEXREPLACE(G2226,""[^[:digit:]]"", """"))"),830.0)</f>
        <v>830</v>
      </c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 t="s">
        <v>27</v>
      </c>
    </row>
    <row r="2227">
      <c r="A2227" s="7" t="s">
        <v>180</v>
      </c>
      <c r="B2227" s="7" t="s">
        <v>899</v>
      </c>
      <c r="C2227" s="7">
        <f>1</f>
        <v>1</v>
      </c>
      <c r="D2227" s="7">
        <v>1.0</v>
      </c>
      <c r="E2227" s="7">
        <v>1.0</v>
      </c>
      <c r="F2227" s="7" t="s">
        <v>20</v>
      </c>
      <c r="G2227" s="7" t="s">
        <v>1303</v>
      </c>
      <c r="H2227" s="9" t="s">
        <v>2979</v>
      </c>
      <c r="I2227" t="s">
        <v>3634</v>
      </c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 t="str">
        <f t="shared" si="1"/>
        <v>Built-up :</v>
      </c>
      <c r="AE2227" s="7" t="str">
        <f t="shared" si="2"/>
        <v> sq. ft.</v>
      </c>
      <c r="AF2227">
        <f>IFERROR(__xludf.DUMMYFUNCTION("VALUE(REGEXREPLACE(G2227,""[^[:digit:]]"", """"))"),1141.0)</f>
        <v>1141</v>
      </c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 t="s">
        <v>22</v>
      </c>
    </row>
    <row r="2228">
      <c r="A2228" s="7" t="s">
        <v>72</v>
      </c>
      <c r="B2228" s="7" t="s">
        <v>1736</v>
      </c>
      <c r="C2228" s="7">
        <f>4+1</f>
        <v>5</v>
      </c>
      <c r="D2228" s="7">
        <v>6.0</v>
      </c>
      <c r="E2228" s="7">
        <v>15.0</v>
      </c>
      <c r="F2228" s="7" t="s">
        <v>67</v>
      </c>
      <c r="G2228" s="7" t="s">
        <v>1737</v>
      </c>
      <c r="H2228" s="9" t="s">
        <v>2981</v>
      </c>
      <c r="I2228" t="s">
        <v>3892</v>
      </c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 t="str">
        <f t="shared" si="1"/>
        <v>Land area </v>
      </c>
      <c r="AE2228" s="7" t="str">
        <f t="shared" si="2"/>
        <v> sq. ft.</v>
      </c>
      <c r="AF2228">
        <f>IFERROR(__xludf.DUMMYFUNCTION("VALUE(REGEXREPLACE(G2228,""[^[:digit:]]"", """"))"),17800.0)</f>
        <v>17800</v>
      </c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 t="s">
        <v>27</v>
      </c>
    </row>
    <row r="2229">
      <c r="A2229" s="7" t="s">
        <v>72</v>
      </c>
      <c r="B2229" s="7" t="s">
        <v>616</v>
      </c>
      <c r="C2229" s="7">
        <f>6+1</f>
        <v>7</v>
      </c>
      <c r="D2229" s="7">
        <v>7.0</v>
      </c>
      <c r="E2229" s="7">
        <v>3.0</v>
      </c>
      <c r="F2229" s="7" t="s">
        <v>25</v>
      </c>
      <c r="G2229" s="7" t="s">
        <v>1738</v>
      </c>
      <c r="H2229" s="9" t="s">
        <v>2981</v>
      </c>
      <c r="I2229" t="s">
        <v>3893</v>
      </c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 t="str">
        <f t="shared" si="1"/>
        <v>Land area </v>
      </c>
      <c r="AE2229" s="7" t="str">
        <f t="shared" si="2"/>
        <v> sq. ft.</v>
      </c>
      <c r="AF2229">
        <f>IFERROR(__xludf.DUMMYFUNCTION("VALUE(REGEXREPLACE(G2229,""[^[:digit:]]"", """"))"),6100.0)</f>
        <v>6100</v>
      </c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 t="s">
        <v>27</v>
      </c>
    </row>
    <row r="2230">
      <c r="A2230" s="7" t="s">
        <v>23</v>
      </c>
      <c r="B2230" s="7" t="s">
        <v>69</v>
      </c>
      <c r="C2230" s="7">
        <f>5+1</f>
        <v>6</v>
      </c>
      <c r="D2230" s="7">
        <v>7.0</v>
      </c>
      <c r="E2230" s="9">
        <v>2.0</v>
      </c>
      <c r="F2230" s="7" t="s">
        <v>25</v>
      </c>
      <c r="G2230" s="7" t="s">
        <v>1739</v>
      </c>
      <c r="H2230" s="9" t="s">
        <v>2981</v>
      </c>
      <c r="I2230" t="s">
        <v>3894</v>
      </c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 t="str">
        <f t="shared" si="1"/>
        <v>Land area </v>
      </c>
      <c r="AE2230" s="7" t="str">
        <f t="shared" si="2"/>
        <v> sq. ft.</v>
      </c>
      <c r="AF2230">
        <f>IFERROR(__xludf.DUMMYFUNCTION("VALUE(REGEXREPLACE(G2230,""[^[:digit:]]"", """"))"),2530.0)</f>
        <v>2530</v>
      </c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 t="s">
        <v>27</v>
      </c>
    </row>
    <row r="2231">
      <c r="A2231" s="7" t="s">
        <v>23</v>
      </c>
      <c r="B2231" s="7" t="s">
        <v>970</v>
      </c>
      <c r="C2231" s="7">
        <f>4+1</f>
        <v>5</v>
      </c>
      <c r="D2231" s="7">
        <v>4.0</v>
      </c>
      <c r="E2231" s="7">
        <v>4.0</v>
      </c>
      <c r="F2231" s="7" t="s">
        <v>25</v>
      </c>
      <c r="G2231" s="7" t="s">
        <v>1740</v>
      </c>
      <c r="H2231" s="9" t="s">
        <v>2981</v>
      </c>
      <c r="I2231" t="s">
        <v>3895</v>
      </c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 t="str">
        <f t="shared" si="1"/>
        <v>Land area </v>
      </c>
      <c r="AE2231" s="7" t="str">
        <f t="shared" si="2"/>
        <v> sq. ft.</v>
      </c>
      <c r="AF2231">
        <f>IFERROR(__xludf.DUMMYFUNCTION("VALUE(REGEXREPLACE(G2231,""[^[:digit:]]"", """"))"),8150.0)</f>
        <v>8150</v>
      </c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 t="s">
        <v>27</v>
      </c>
    </row>
    <row r="2232">
      <c r="A2232" s="7" t="s">
        <v>32</v>
      </c>
      <c r="B2232" s="7" t="s">
        <v>890</v>
      </c>
      <c r="C2232" s="7">
        <f t="shared" ref="C2232:C2233" si="288">3</f>
        <v>3</v>
      </c>
      <c r="D2232" s="7">
        <v>2.0</v>
      </c>
      <c r="E2232" s="7">
        <v>2.0</v>
      </c>
      <c r="F2232" s="7" t="s">
        <v>83</v>
      </c>
      <c r="G2232" s="7" t="s">
        <v>504</v>
      </c>
      <c r="H2232" s="9" t="s">
        <v>2979</v>
      </c>
      <c r="I2232" t="s">
        <v>3198</v>
      </c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 t="str">
        <f t="shared" si="1"/>
        <v>Built-up :</v>
      </c>
      <c r="AE2232" s="7" t="str">
        <f t="shared" si="2"/>
        <v> sq. ft.</v>
      </c>
      <c r="AF2232">
        <f>IFERROR(__xludf.DUMMYFUNCTION("VALUE(REGEXREPLACE(G2232,""[^[:digit:]]"", """"))"),1018.0)</f>
        <v>1018</v>
      </c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 t="s">
        <v>103</v>
      </c>
    </row>
    <row r="2233">
      <c r="A2233" s="7" t="s">
        <v>32</v>
      </c>
      <c r="B2233" s="7" t="s">
        <v>1741</v>
      </c>
      <c r="C2233" s="7">
        <f t="shared" si="288"/>
        <v>3</v>
      </c>
      <c r="D2233" s="7">
        <v>2.0</v>
      </c>
      <c r="E2233" s="7">
        <v>2.0</v>
      </c>
      <c r="F2233" s="7" t="s">
        <v>93</v>
      </c>
      <c r="G2233" s="7" t="s">
        <v>504</v>
      </c>
      <c r="H2233" s="9" t="s">
        <v>2979</v>
      </c>
      <c r="I2233" t="s">
        <v>3198</v>
      </c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 t="str">
        <f t="shared" si="1"/>
        <v>Built-up :</v>
      </c>
      <c r="AE2233" s="7" t="str">
        <f t="shared" si="2"/>
        <v> sq. ft.</v>
      </c>
      <c r="AF2233">
        <f>IFERROR(__xludf.DUMMYFUNCTION("VALUE(REGEXREPLACE(G2233,""[^[:digit:]]"", """"))"),1018.0)</f>
        <v>1018</v>
      </c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</row>
    <row r="2234">
      <c r="A2234" s="7" t="s">
        <v>72</v>
      </c>
      <c r="B2234" s="7" t="s">
        <v>1742</v>
      </c>
      <c r="C2234" s="7">
        <f>4+1</f>
        <v>5</v>
      </c>
      <c r="D2234" s="7">
        <v>4.0</v>
      </c>
      <c r="E2234" s="7">
        <v>4.0</v>
      </c>
      <c r="F2234" s="7" t="s">
        <v>30</v>
      </c>
      <c r="G2234" s="7" t="s">
        <v>1743</v>
      </c>
      <c r="H2234" s="9" t="s">
        <v>2979</v>
      </c>
      <c r="I2234" t="s">
        <v>3896</v>
      </c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 t="str">
        <f t="shared" si="1"/>
        <v>Built-up :</v>
      </c>
      <c r="AE2234" s="7" t="str">
        <f t="shared" si="2"/>
        <v> sq. ft.</v>
      </c>
      <c r="AF2234">
        <f>IFERROR(__xludf.DUMMYFUNCTION("VALUE(REGEXREPLACE(G2234,""[^[:digit:]]"", """"))"),2085.0)</f>
        <v>2085</v>
      </c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 t="s">
        <v>27</v>
      </c>
    </row>
    <row r="2235">
      <c r="A2235" s="7" t="s">
        <v>48</v>
      </c>
      <c r="B2235" s="7" t="s">
        <v>955</v>
      </c>
      <c r="C2235" s="7">
        <f t="shared" ref="C2235:C2236" si="289">3</f>
        <v>3</v>
      </c>
      <c r="D2235" s="7">
        <v>2.0</v>
      </c>
      <c r="E2235" s="7">
        <v>1.0</v>
      </c>
      <c r="F2235" s="7" t="s">
        <v>83</v>
      </c>
      <c r="G2235" s="7" t="s">
        <v>1744</v>
      </c>
      <c r="H2235" s="9" t="s">
        <v>2979</v>
      </c>
      <c r="I2235" t="s">
        <v>3897</v>
      </c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 t="str">
        <f t="shared" si="1"/>
        <v>Built-up :</v>
      </c>
      <c r="AE2235" s="7" t="str">
        <f t="shared" si="2"/>
        <v> sq. ft.</v>
      </c>
      <c r="AF2235">
        <f>IFERROR(__xludf.DUMMYFUNCTION("VALUE(REGEXREPLACE(G2235,""[^[:digit:]]"", """"))"),1017.0)</f>
        <v>1017</v>
      </c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</row>
    <row r="2236">
      <c r="A2236" s="7" t="s">
        <v>171</v>
      </c>
      <c r="B2236" s="7" t="s">
        <v>268</v>
      </c>
      <c r="C2236" s="7">
        <f t="shared" si="289"/>
        <v>3</v>
      </c>
      <c r="D2236" s="7">
        <v>2.0</v>
      </c>
      <c r="E2236" s="7">
        <v>1.0</v>
      </c>
      <c r="F2236" s="7" t="s">
        <v>82</v>
      </c>
      <c r="G2236" s="7" t="s">
        <v>1745</v>
      </c>
      <c r="H2236" s="9" t="s">
        <v>2979</v>
      </c>
      <c r="I2236" t="s">
        <v>3898</v>
      </c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 t="str">
        <f t="shared" si="1"/>
        <v>Built-up :</v>
      </c>
      <c r="AE2236" s="7" t="str">
        <f t="shared" si="2"/>
        <v> sq. ft.</v>
      </c>
      <c r="AF2236">
        <f>IFERROR(__xludf.DUMMYFUNCTION("VALUE(REGEXREPLACE(G2236,""[^[:digit:]]"", """"))"),1040.0)</f>
        <v>1040</v>
      </c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 t="s">
        <v>27</v>
      </c>
    </row>
    <row r="2237">
      <c r="A2237" s="7" t="s">
        <v>164</v>
      </c>
      <c r="B2237" s="7" t="s">
        <v>158</v>
      </c>
      <c r="C2237" s="7">
        <f>2+1</f>
        <v>3</v>
      </c>
      <c r="D2237" s="7">
        <v>3.0</v>
      </c>
      <c r="E2237" s="7">
        <v>1.0</v>
      </c>
      <c r="F2237" s="7" t="s">
        <v>82</v>
      </c>
      <c r="G2237" s="7" t="s">
        <v>303</v>
      </c>
      <c r="H2237" s="9" t="s">
        <v>2979</v>
      </c>
      <c r="I2237" t="s">
        <v>3099</v>
      </c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 t="str">
        <f t="shared" si="1"/>
        <v>Built-up :</v>
      </c>
      <c r="AE2237" s="7" t="str">
        <f t="shared" si="2"/>
        <v> sq. ft.</v>
      </c>
      <c r="AF2237">
        <f>IFERROR(__xludf.DUMMYFUNCTION("VALUE(REGEXREPLACE(G2237,""[^[:digit:]]"", """"))"),1485.0)</f>
        <v>1485</v>
      </c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 t="s">
        <v>27</v>
      </c>
    </row>
    <row r="2238">
      <c r="A2238" s="7" t="s">
        <v>164</v>
      </c>
      <c r="B2238" s="7" t="s">
        <v>53</v>
      </c>
      <c r="C2238" s="7">
        <f>2</f>
        <v>2</v>
      </c>
      <c r="D2238" s="7">
        <v>2.0</v>
      </c>
      <c r="E2238" s="7">
        <v>1.0</v>
      </c>
      <c r="F2238" s="7" t="s">
        <v>121</v>
      </c>
      <c r="G2238" s="7" t="s">
        <v>234</v>
      </c>
      <c r="H2238" s="9" t="s">
        <v>2979</v>
      </c>
      <c r="I2238" t="s">
        <v>3068</v>
      </c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 t="str">
        <f t="shared" si="1"/>
        <v>Built-up :</v>
      </c>
      <c r="AE2238" s="7" t="str">
        <f t="shared" si="2"/>
        <v> sq. ft.</v>
      </c>
      <c r="AF2238">
        <f>IFERROR(__xludf.DUMMYFUNCTION("VALUE(REGEXREPLACE(G2238,""[^[:digit:]]"", """"))"),1399.0)</f>
        <v>1399</v>
      </c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 t="s">
        <v>22</v>
      </c>
    </row>
    <row r="2239">
      <c r="A2239" s="7" t="s">
        <v>17</v>
      </c>
      <c r="B2239" s="7" t="s">
        <v>1225</v>
      </c>
      <c r="E2239" s="7">
        <v>1.0</v>
      </c>
      <c r="F2239" s="7" t="s">
        <v>30</v>
      </c>
      <c r="G2239" s="7" t="s">
        <v>173</v>
      </c>
      <c r="H2239" s="9" t="s">
        <v>2979</v>
      </c>
      <c r="I2239" t="s">
        <v>3038</v>
      </c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 t="str">
        <f t="shared" si="1"/>
        <v>Built-up :</v>
      </c>
      <c r="AE2239" s="7" t="str">
        <f t="shared" si="2"/>
        <v> sq. ft.</v>
      </c>
      <c r="AF2239">
        <f>IFERROR(__xludf.DUMMYFUNCTION("VALUE(REGEXREPLACE(G2239,""[^[:digit:]]"", """"))"),1550.0)</f>
        <v>1550</v>
      </c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 t="s">
        <v>22</v>
      </c>
    </row>
    <row r="2240">
      <c r="A2240" s="7" t="s">
        <v>17</v>
      </c>
      <c r="B2240" s="7" t="s">
        <v>42</v>
      </c>
      <c r="C2240" s="7">
        <f>2</f>
        <v>2</v>
      </c>
      <c r="D2240" s="7">
        <v>2.0</v>
      </c>
      <c r="E2240" s="7">
        <v>1.0</v>
      </c>
      <c r="F2240" s="7" t="s">
        <v>20</v>
      </c>
      <c r="G2240" s="7" t="s">
        <v>1746</v>
      </c>
      <c r="H2240" s="9" t="s">
        <v>2979</v>
      </c>
      <c r="I2240" t="s">
        <v>3899</v>
      </c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 t="str">
        <f t="shared" si="1"/>
        <v>Built-up :</v>
      </c>
      <c r="AE2240" s="7" t="str">
        <f t="shared" si="2"/>
        <v> sq. ft.</v>
      </c>
      <c r="AF2240">
        <f>IFERROR(__xludf.DUMMYFUNCTION("VALUE(REGEXREPLACE(G2240,""[^[:digit:]]"", """"))"),1051.0)</f>
        <v>1051</v>
      </c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 t="s">
        <v>22</v>
      </c>
    </row>
    <row r="2241">
      <c r="A2241" s="7" t="s">
        <v>32</v>
      </c>
      <c r="B2241" s="7" t="s">
        <v>156</v>
      </c>
      <c r="C2241" s="7">
        <f>4</f>
        <v>4</v>
      </c>
      <c r="D2241" s="7">
        <v>3.0</v>
      </c>
      <c r="E2241" s="9">
        <v>2.0</v>
      </c>
      <c r="F2241" s="7" t="s">
        <v>54</v>
      </c>
      <c r="G2241" s="7" t="s">
        <v>719</v>
      </c>
      <c r="H2241" s="9" t="s">
        <v>2981</v>
      </c>
      <c r="I2241" t="s">
        <v>3299</v>
      </c>
      <c r="J2241" s="7"/>
      <c r="K2241" s="7"/>
      <c r="L2241" s="7"/>
      <c r="M2241" s="7"/>
      <c r="N2241" s="7"/>
      <c r="O2241" s="7"/>
      <c r="P2241" s="7"/>
      <c r="Q2241" s="7"/>
      <c r="R2241" s="7"/>
      <c r="S2241" s="7" t="s">
        <v>3101</v>
      </c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 t="str">
        <f t="shared" si="1"/>
        <v>Land area </v>
      </c>
      <c r="AE2241" s="7" t="str">
        <f t="shared" si="2"/>
        <v> sq. ft.</v>
      </c>
      <c r="AF2241">
        <f>IFERROR(__xludf.DUMMYFUNCTION("VALUE(REGEXREPLACE(G2241,""[^[:digit:]]"", """"))"),2285.0)</f>
        <v>2285</v>
      </c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 t="s">
        <v>27</v>
      </c>
    </row>
    <row r="2242">
      <c r="A2242" s="7" t="s">
        <v>580</v>
      </c>
      <c r="B2242" s="7" t="s">
        <v>101</v>
      </c>
      <c r="C2242" s="7">
        <f>5+1</f>
        <v>6</v>
      </c>
      <c r="D2242" s="7">
        <v>5.0</v>
      </c>
      <c r="E2242" s="9">
        <v>2.0</v>
      </c>
      <c r="F2242" s="7" t="s">
        <v>64</v>
      </c>
      <c r="G2242" s="7" t="s">
        <v>1747</v>
      </c>
      <c r="H2242" s="9" t="s">
        <v>2981</v>
      </c>
      <c r="I2242" t="s">
        <v>3146</v>
      </c>
      <c r="J2242" s="7"/>
      <c r="K2242" s="7"/>
      <c r="L2242" s="7"/>
      <c r="M2242" s="7"/>
      <c r="N2242" s="7"/>
      <c r="O2242" s="7"/>
      <c r="P2242" s="7"/>
      <c r="Q2242" s="7"/>
      <c r="R2242" s="7"/>
      <c r="S2242" s="7" t="s">
        <v>3188</v>
      </c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 t="str">
        <f t="shared" si="1"/>
        <v>Land area </v>
      </c>
      <c r="AE2242" s="7" t="str">
        <f t="shared" si="2"/>
        <v> sq. ft.</v>
      </c>
      <c r="AF2242">
        <f>IFERROR(__xludf.DUMMYFUNCTION("VALUE(REGEXREPLACE(G2242,""[^[:digit:]]"", """"))"),4590.0)</f>
        <v>4590</v>
      </c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 t="s">
        <v>27</v>
      </c>
    </row>
    <row r="2243">
      <c r="A2243" s="7" t="s">
        <v>100</v>
      </c>
      <c r="B2243" s="7" t="s">
        <v>1528</v>
      </c>
      <c r="C2243" s="7">
        <f t="shared" ref="C2243:C2244" si="290">2</f>
        <v>2</v>
      </c>
      <c r="D2243" s="7">
        <v>2.0</v>
      </c>
      <c r="E2243" s="7">
        <v>1.0</v>
      </c>
      <c r="F2243" s="7" t="s">
        <v>93</v>
      </c>
      <c r="G2243" s="7" t="s">
        <v>1429</v>
      </c>
      <c r="H2243" s="9" t="s">
        <v>2979</v>
      </c>
      <c r="I2243" t="s">
        <v>3707</v>
      </c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 t="str">
        <f t="shared" si="1"/>
        <v>Built-up :</v>
      </c>
      <c r="AE2243" s="7" t="str">
        <f t="shared" si="2"/>
        <v> sq. ft.</v>
      </c>
      <c r="AF2243">
        <f>IFERROR(__xludf.DUMMYFUNCTION("VALUE(REGEXREPLACE(G2243,""[^[:digit:]]"", """"))"),704.0)</f>
        <v>704</v>
      </c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 t="s">
        <v>22</v>
      </c>
    </row>
    <row r="2244">
      <c r="A2244" s="7" t="s">
        <v>109</v>
      </c>
      <c r="B2244" s="7" t="s">
        <v>759</v>
      </c>
      <c r="C2244" s="7">
        <f t="shared" si="290"/>
        <v>2</v>
      </c>
      <c r="D2244" s="7">
        <v>2.0</v>
      </c>
      <c r="E2244" s="7">
        <v>1.0</v>
      </c>
      <c r="F2244" s="7" t="s">
        <v>93</v>
      </c>
      <c r="G2244" s="7" t="s">
        <v>1748</v>
      </c>
      <c r="H2244" s="9" t="s">
        <v>2979</v>
      </c>
      <c r="I2244" t="s">
        <v>3900</v>
      </c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 t="str">
        <f t="shared" si="1"/>
        <v>Built-up :</v>
      </c>
      <c r="AE2244" s="7" t="str">
        <f t="shared" si="2"/>
        <v> sq. ft.</v>
      </c>
      <c r="AF2244">
        <f>IFERROR(__xludf.DUMMYFUNCTION("VALUE(REGEXREPLACE(G2244,""[^[:digit:]]"", """"))"),870.0)</f>
        <v>870</v>
      </c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 t="s">
        <v>22</v>
      </c>
    </row>
    <row r="2245">
      <c r="A2245" s="7" t="s">
        <v>72</v>
      </c>
      <c r="B2245" s="7" t="s">
        <v>655</v>
      </c>
      <c r="C2245" s="7">
        <f>6+1</f>
        <v>7</v>
      </c>
      <c r="D2245" s="7">
        <v>7.0</v>
      </c>
      <c r="E2245" s="7">
        <v>4.0</v>
      </c>
      <c r="F2245" s="7" t="s">
        <v>30</v>
      </c>
      <c r="G2245" s="7" t="s">
        <v>1749</v>
      </c>
      <c r="H2245" s="9" t="s">
        <v>2979</v>
      </c>
      <c r="I2245" t="s">
        <v>3901</v>
      </c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 t="str">
        <f t="shared" si="1"/>
        <v>Built-up :</v>
      </c>
      <c r="AE2245" s="7" t="str">
        <f t="shared" si="2"/>
        <v> sq. ft.</v>
      </c>
      <c r="AF2245">
        <f>IFERROR(__xludf.DUMMYFUNCTION("VALUE(REGEXREPLACE(G2245,""[^[:digit:]]"", """"))"),3840.0)</f>
        <v>3840</v>
      </c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 t="s">
        <v>27</v>
      </c>
    </row>
    <row r="2246">
      <c r="A2246" s="7" t="s">
        <v>32</v>
      </c>
      <c r="B2246" s="7" t="s">
        <v>78</v>
      </c>
      <c r="C2246" s="7">
        <f t="shared" ref="C2246:C2248" si="291">5+1</f>
        <v>6</v>
      </c>
      <c r="D2246" s="7">
        <v>6.0</v>
      </c>
      <c r="E2246" s="7">
        <v>4.0</v>
      </c>
      <c r="F2246" s="7" t="s">
        <v>487</v>
      </c>
      <c r="G2246" s="7" t="s">
        <v>1750</v>
      </c>
      <c r="H2246" s="9" t="s">
        <v>2981</v>
      </c>
      <c r="I2246" t="s">
        <v>3902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 t="str">
        <f t="shared" si="1"/>
        <v>Land area </v>
      </c>
      <c r="AE2246" s="7" t="str">
        <f t="shared" si="2"/>
        <v> sq. ft.</v>
      </c>
      <c r="AF2246">
        <f>IFERROR(__xludf.DUMMYFUNCTION("VALUE(REGEXREPLACE(G2246,""[^[:digit:]]"", """"))"),5600.0)</f>
        <v>5600</v>
      </c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 t="s">
        <v>103</v>
      </c>
    </row>
    <row r="2247">
      <c r="A2247" s="7" t="s">
        <v>692</v>
      </c>
      <c r="B2247" s="7" t="s">
        <v>53</v>
      </c>
      <c r="C2247" s="7">
        <f t="shared" si="291"/>
        <v>6</v>
      </c>
      <c r="D2247" s="7">
        <v>5.0</v>
      </c>
      <c r="E2247" s="9">
        <v>2.0</v>
      </c>
      <c r="F2247" s="7" t="s">
        <v>203</v>
      </c>
      <c r="G2247" s="7" t="s">
        <v>283</v>
      </c>
      <c r="H2247" s="9" t="s">
        <v>2981</v>
      </c>
      <c r="I2247" t="s">
        <v>3091</v>
      </c>
      <c r="J2247" s="7"/>
      <c r="K2247" s="7"/>
      <c r="L2247" s="7"/>
      <c r="M2247" s="7"/>
      <c r="N2247" s="7"/>
      <c r="O2247" s="7"/>
      <c r="P2247" s="7"/>
      <c r="Q2247" s="7"/>
      <c r="R2247" s="7"/>
      <c r="S2247" s="7" t="s">
        <v>2990</v>
      </c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 t="str">
        <f t="shared" si="1"/>
        <v>Land area </v>
      </c>
      <c r="AE2247" s="7" t="str">
        <f t="shared" si="2"/>
        <v> sq. ft.</v>
      </c>
      <c r="AF2247">
        <f>IFERROR(__xludf.DUMMYFUNCTION("VALUE(REGEXREPLACE(G2247,""[^[:digit:]]"", """"))"),2275.0)</f>
        <v>2275</v>
      </c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 t="s">
        <v>27</v>
      </c>
    </row>
    <row r="2248">
      <c r="A2248" s="7" t="s">
        <v>692</v>
      </c>
      <c r="B2248" s="7" t="s">
        <v>144</v>
      </c>
      <c r="C2248" s="7">
        <f t="shared" si="291"/>
        <v>6</v>
      </c>
      <c r="D2248" s="7">
        <v>5.0</v>
      </c>
      <c r="E2248" s="9">
        <v>2.0</v>
      </c>
      <c r="F2248" s="7" t="s">
        <v>203</v>
      </c>
      <c r="G2248" s="7" t="s">
        <v>283</v>
      </c>
      <c r="H2248" s="9" t="s">
        <v>2981</v>
      </c>
      <c r="I2248" t="s">
        <v>3091</v>
      </c>
      <c r="J2248" s="7"/>
      <c r="K2248" s="7"/>
      <c r="L2248" s="7"/>
      <c r="M2248" s="7"/>
      <c r="N2248" s="7"/>
      <c r="O2248" s="7"/>
      <c r="P2248" s="7"/>
      <c r="Q2248" s="7"/>
      <c r="R2248" s="7"/>
      <c r="S2248" s="7" t="s">
        <v>2990</v>
      </c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 t="str">
        <f t="shared" si="1"/>
        <v>Land area </v>
      </c>
      <c r="AE2248" s="7" t="str">
        <f t="shared" si="2"/>
        <v> sq. ft.</v>
      </c>
      <c r="AF2248">
        <f>IFERROR(__xludf.DUMMYFUNCTION("VALUE(REGEXREPLACE(G2248,""[^[:digit:]]"", """"))"),2275.0)</f>
        <v>2275</v>
      </c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 t="s">
        <v>27</v>
      </c>
    </row>
    <row r="2249">
      <c r="A2249" s="7" t="s">
        <v>143</v>
      </c>
      <c r="B2249" s="7" t="s">
        <v>953</v>
      </c>
      <c r="C2249" s="7">
        <f>1</f>
        <v>1</v>
      </c>
      <c r="D2249" s="7">
        <v>1.0</v>
      </c>
      <c r="E2249" s="7">
        <v>1.0</v>
      </c>
      <c r="F2249" s="7" t="s">
        <v>20</v>
      </c>
      <c r="G2249" s="7" t="s">
        <v>1361</v>
      </c>
      <c r="H2249" s="9" t="s">
        <v>2979</v>
      </c>
      <c r="I2249" t="s">
        <v>3670</v>
      </c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 t="str">
        <f t="shared" si="1"/>
        <v>Built-up :</v>
      </c>
      <c r="AE2249" s="7" t="str">
        <f t="shared" si="2"/>
        <v> sq. ft.</v>
      </c>
      <c r="AF2249">
        <f>IFERROR(__xludf.DUMMYFUNCTION("VALUE(REGEXREPLACE(G2249,""[^[:digit:]]"", """"))"),744.0)</f>
        <v>744</v>
      </c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 t="s">
        <v>22</v>
      </c>
    </row>
    <row r="2250">
      <c r="A2250" s="7" t="s">
        <v>33</v>
      </c>
      <c r="B2250" s="7" t="s">
        <v>346</v>
      </c>
      <c r="C2250" s="7">
        <f>4</f>
        <v>4</v>
      </c>
      <c r="D2250" s="7">
        <v>2.0</v>
      </c>
      <c r="E2250" s="9">
        <v>2.0</v>
      </c>
      <c r="F2250" s="7" t="s">
        <v>83</v>
      </c>
      <c r="G2250" s="7" t="s">
        <v>1751</v>
      </c>
      <c r="H2250" s="9" t="s">
        <v>2981</v>
      </c>
      <c r="I2250" t="s">
        <v>3903</v>
      </c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 t="str">
        <f t="shared" si="1"/>
        <v>Land area </v>
      </c>
      <c r="AE2250" s="7" t="str">
        <f t="shared" si="2"/>
        <v> sq. ft.</v>
      </c>
      <c r="AF2250">
        <f>IFERROR(__xludf.DUMMYFUNCTION("VALUE(REGEXREPLACE(G2250,""[^[:digit:]]"", """"))"),1212.0)</f>
        <v>1212</v>
      </c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 t="s">
        <v>27</v>
      </c>
    </row>
    <row r="2251">
      <c r="A2251" s="7" t="s">
        <v>428</v>
      </c>
      <c r="B2251" s="7" t="s">
        <v>139</v>
      </c>
      <c r="C2251" s="7">
        <f>2</f>
        <v>2</v>
      </c>
      <c r="D2251" s="7">
        <v>2.0</v>
      </c>
      <c r="E2251" s="7">
        <v>2.0</v>
      </c>
      <c r="F2251" s="7" t="s">
        <v>121</v>
      </c>
      <c r="G2251" s="7" t="s">
        <v>1752</v>
      </c>
      <c r="H2251" s="9" t="s">
        <v>2979</v>
      </c>
      <c r="I2251" t="s">
        <v>3904</v>
      </c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 t="str">
        <f t="shared" si="1"/>
        <v>Built-up :</v>
      </c>
      <c r="AE2251" s="7" t="str">
        <f t="shared" si="2"/>
        <v> sq. ft.</v>
      </c>
      <c r="AF2251">
        <f>IFERROR(__xludf.DUMMYFUNCTION("VALUE(REGEXREPLACE(G2251,""[^[:digit:]]"", """"))"),1060.0)</f>
        <v>1060</v>
      </c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 t="s">
        <v>22</v>
      </c>
    </row>
    <row r="2252">
      <c r="A2252" s="7" t="s">
        <v>171</v>
      </c>
      <c r="B2252" s="7" t="s">
        <v>107</v>
      </c>
      <c r="C2252" s="7">
        <f>3+1</f>
        <v>4</v>
      </c>
      <c r="D2252" s="7">
        <v>2.0</v>
      </c>
      <c r="E2252" s="7">
        <v>1.0</v>
      </c>
      <c r="F2252" s="7" t="s">
        <v>93</v>
      </c>
      <c r="G2252" s="7" t="s">
        <v>1068</v>
      </c>
      <c r="H2252" s="9" t="s">
        <v>2979</v>
      </c>
      <c r="I2252" t="s">
        <v>3487</v>
      </c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 t="str">
        <f t="shared" si="1"/>
        <v>Built-up :</v>
      </c>
      <c r="AE2252" s="7" t="str">
        <f t="shared" si="2"/>
        <v> sq. ft.</v>
      </c>
      <c r="AF2252">
        <f>IFERROR(__xludf.DUMMYFUNCTION("VALUE(REGEXREPLACE(G2252,""[^[:digit:]]"", """"))"),1333.0)</f>
        <v>1333</v>
      </c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 t="s">
        <v>103</v>
      </c>
    </row>
    <row r="2253">
      <c r="A2253" s="7" t="s">
        <v>89</v>
      </c>
      <c r="B2253" s="7" t="s">
        <v>361</v>
      </c>
      <c r="C2253" s="7">
        <f>3</f>
        <v>3</v>
      </c>
      <c r="D2253" s="7">
        <v>2.0</v>
      </c>
      <c r="E2253" s="7">
        <v>2.0</v>
      </c>
      <c r="F2253" s="7" t="s">
        <v>30</v>
      </c>
      <c r="G2253" s="7" t="s">
        <v>373</v>
      </c>
      <c r="H2253" s="9" t="s">
        <v>2979</v>
      </c>
      <c r="I2253" t="s">
        <v>3131</v>
      </c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 t="str">
        <f t="shared" si="1"/>
        <v>Built-up :</v>
      </c>
      <c r="AE2253" s="7" t="str">
        <f t="shared" si="2"/>
        <v> sq. ft.</v>
      </c>
      <c r="AF2253">
        <f>IFERROR(__xludf.DUMMYFUNCTION("VALUE(REGEXREPLACE(G2253,""[^[:digit:]]"", """"))"),1152.0)</f>
        <v>1152</v>
      </c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 t="s">
        <v>27</v>
      </c>
    </row>
    <row r="2254">
      <c r="A2254" s="7" t="s">
        <v>171</v>
      </c>
      <c r="B2254" s="7" t="s">
        <v>361</v>
      </c>
      <c r="C2254" s="7">
        <f>4</f>
        <v>4</v>
      </c>
      <c r="D2254" s="7">
        <v>2.0</v>
      </c>
      <c r="E2254" s="9">
        <v>2.0</v>
      </c>
      <c r="F2254" s="7" t="s">
        <v>30</v>
      </c>
      <c r="G2254" s="7" t="s">
        <v>1004</v>
      </c>
      <c r="H2254" s="9" t="s">
        <v>2979</v>
      </c>
      <c r="I2254" t="s">
        <v>3449</v>
      </c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 t="str">
        <f t="shared" si="1"/>
        <v>Built-up :</v>
      </c>
      <c r="AE2254" s="7" t="str">
        <f t="shared" si="2"/>
        <v> sq. ft.</v>
      </c>
      <c r="AF2254">
        <f>IFERROR(__xludf.DUMMYFUNCTION("VALUE(REGEXREPLACE(G2254,""[^[:digit:]]"", """"))"),1300.0)</f>
        <v>1300</v>
      </c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 t="s">
        <v>103</v>
      </c>
    </row>
    <row r="2255">
      <c r="A2255" s="7" t="s">
        <v>89</v>
      </c>
      <c r="B2255" s="7" t="s">
        <v>1392</v>
      </c>
      <c r="C2255" s="7">
        <f>3</f>
        <v>3</v>
      </c>
      <c r="D2255" s="7">
        <v>2.0</v>
      </c>
      <c r="E2255" s="7">
        <v>2.0</v>
      </c>
      <c r="F2255" s="7" t="s">
        <v>30</v>
      </c>
      <c r="G2255" s="7" t="s">
        <v>1532</v>
      </c>
      <c r="H2255" s="9" t="s">
        <v>2979</v>
      </c>
      <c r="I2255" t="s">
        <v>3764</v>
      </c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 t="str">
        <f t="shared" si="1"/>
        <v>Built-up :</v>
      </c>
      <c r="AE2255" s="7" t="str">
        <f t="shared" si="2"/>
        <v> sq. ft.</v>
      </c>
      <c r="AF2255">
        <f>IFERROR(__xludf.DUMMYFUNCTION("VALUE(REGEXREPLACE(G2255,""[^[:digit:]]"", """"))"),1044.0)</f>
        <v>1044</v>
      </c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 t="s">
        <v>27</v>
      </c>
    </row>
    <row r="2256">
      <c r="A2256" s="7" t="s">
        <v>72</v>
      </c>
      <c r="B2256" s="7" t="s">
        <v>329</v>
      </c>
      <c r="C2256" s="7">
        <f>3+1</f>
        <v>4</v>
      </c>
      <c r="D2256" s="7">
        <v>3.0</v>
      </c>
      <c r="E2256" s="7">
        <v>1.0</v>
      </c>
      <c r="F2256" s="7" t="s">
        <v>83</v>
      </c>
      <c r="G2256" s="7" t="s">
        <v>1132</v>
      </c>
      <c r="H2256" s="9" t="s">
        <v>2979</v>
      </c>
      <c r="I2256" t="s">
        <v>3525</v>
      </c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 t="str">
        <f t="shared" si="1"/>
        <v>Built-up :</v>
      </c>
      <c r="AE2256" s="7" t="str">
        <f t="shared" si="2"/>
        <v> sq. ft.</v>
      </c>
      <c r="AF2256">
        <f>IFERROR(__xludf.DUMMYFUNCTION("VALUE(REGEXREPLACE(G2256,""[^[:digit:]]"", """"))"),1600.0)</f>
        <v>1600</v>
      </c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 t="s">
        <v>22</v>
      </c>
    </row>
    <row r="2257">
      <c r="A2257" s="7" t="s">
        <v>37</v>
      </c>
      <c r="B2257" s="7" t="s">
        <v>1753</v>
      </c>
      <c r="C2257" s="7">
        <f>8+1</f>
        <v>9</v>
      </c>
      <c r="D2257" s="7">
        <v>9.0</v>
      </c>
      <c r="E2257" s="7">
        <v>4.0</v>
      </c>
      <c r="F2257" s="7" t="s">
        <v>1755</v>
      </c>
      <c r="G2257" s="7" t="s">
        <v>68</v>
      </c>
      <c r="H2257" s="9" t="s">
        <v>2981</v>
      </c>
      <c r="I2257" t="s">
        <v>2996</v>
      </c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 t="str">
        <f t="shared" si="1"/>
        <v>Land area </v>
      </c>
      <c r="AE2257" s="7" t="str">
        <f t="shared" si="2"/>
        <v> sq. ft.</v>
      </c>
      <c r="AF2257">
        <f>IFERROR(__xludf.DUMMYFUNCTION("VALUE(REGEXREPLACE(G2257,""[^[:digit:]]"", """"))"),8500.0)</f>
        <v>8500</v>
      </c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 t="s">
        <v>103</v>
      </c>
    </row>
    <row r="2258">
      <c r="A2258" s="7" t="s">
        <v>148</v>
      </c>
      <c r="B2258" s="7" t="s">
        <v>193</v>
      </c>
      <c r="C2258" s="7">
        <f>4+1</f>
        <v>5</v>
      </c>
      <c r="D2258" s="7">
        <v>5.0</v>
      </c>
      <c r="E2258" s="9">
        <v>2.0</v>
      </c>
      <c r="F2258" s="7" t="s">
        <v>169</v>
      </c>
      <c r="G2258" s="7" t="s">
        <v>1756</v>
      </c>
      <c r="H2258" s="9" t="s">
        <v>2979</v>
      </c>
      <c r="I2258" t="s">
        <v>3905</v>
      </c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 t="str">
        <f t="shared" si="1"/>
        <v>Built-up :</v>
      </c>
      <c r="AE2258" s="7" t="str">
        <f t="shared" si="2"/>
        <v> sq. ft.</v>
      </c>
      <c r="AF2258">
        <f>IFERROR(__xludf.DUMMYFUNCTION("VALUE(REGEXREPLACE(G2258,""[^[:digit:]]"", """"))"),2718.0)</f>
        <v>2718</v>
      </c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 t="s">
        <v>27</v>
      </c>
    </row>
    <row r="2259">
      <c r="A2259" s="7" t="s">
        <v>148</v>
      </c>
      <c r="B2259" s="7" t="s">
        <v>78</v>
      </c>
      <c r="C2259" s="7">
        <f t="shared" ref="C2259:C2260" si="292">3+1</f>
        <v>4</v>
      </c>
      <c r="D2259" s="7">
        <v>4.0</v>
      </c>
      <c r="E2259" s="9">
        <v>2.0</v>
      </c>
      <c r="F2259" s="7" t="s">
        <v>54</v>
      </c>
      <c r="G2259" s="7" t="s">
        <v>307</v>
      </c>
      <c r="H2259" s="9" t="s">
        <v>2979</v>
      </c>
      <c r="I2259" t="s">
        <v>3102</v>
      </c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 t="str">
        <f t="shared" si="1"/>
        <v>Built-up :</v>
      </c>
      <c r="AE2259" s="7" t="str">
        <f t="shared" si="2"/>
        <v> sq. ft.</v>
      </c>
      <c r="AF2259">
        <f>IFERROR(__xludf.DUMMYFUNCTION("VALUE(REGEXREPLACE(G2259,""[^[:digit:]]"", """"))"),2500.0)</f>
        <v>2500</v>
      </c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 t="s">
        <v>103</v>
      </c>
    </row>
    <row r="2260">
      <c r="A2260" s="7" t="s">
        <v>371</v>
      </c>
      <c r="B2260" s="7" t="s">
        <v>302</v>
      </c>
      <c r="C2260" s="7">
        <f t="shared" si="292"/>
        <v>4</v>
      </c>
      <c r="D2260" s="7">
        <v>4.0</v>
      </c>
      <c r="E2260" s="7">
        <v>2.0</v>
      </c>
      <c r="F2260" s="7" t="s">
        <v>30</v>
      </c>
      <c r="G2260" s="7" t="s">
        <v>1757</v>
      </c>
      <c r="H2260" s="9" t="s">
        <v>2979</v>
      </c>
      <c r="I2260" t="s">
        <v>3906</v>
      </c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 t="str">
        <f t="shared" si="1"/>
        <v>Built-up :</v>
      </c>
      <c r="AE2260" s="7" t="str">
        <f t="shared" si="2"/>
        <v> sq. ft.</v>
      </c>
      <c r="AF2260">
        <f>IFERROR(__xludf.DUMMYFUNCTION("VALUE(REGEXREPLACE(G2260,""[^[:digit:]]"", """"))"),1775.0)</f>
        <v>1775</v>
      </c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 t="s">
        <v>27</v>
      </c>
    </row>
    <row r="2261">
      <c r="A2261" s="7" t="s">
        <v>17</v>
      </c>
      <c r="B2261" s="7" t="s">
        <v>693</v>
      </c>
      <c r="C2261" s="7">
        <f>6+1</f>
        <v>7</v>
      </c>
      <c r="D2261" s="7">
        <v>7.0</v>
      </c>
      <c r="E2261" s="7">
        <v>5.0</v>
      </c>
      <c r="F2261" s="7" t="s">
        <v>83</v>
      </c>
      <c r="G2261" s="7" t="s">
        <v>1758</v>
      </c>
      <c r="H2261" s="9" t="s">
        <v>2979</v>
      </c>
      <c r="I2261" t="s">
        <v>3907</v>
      </c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 t="str">
        <f t="shared" si="1"/>
        <v>Built-up :</v>
      </c>
      <c r="AE2261" s="7" t="str">
        <f t="shared" si="2"/>
        <v> sq. ft.</v>
      </c>
      <c r="AF2261">
        <f>IFERROR(__xludf.DUMMYFUNCTION("VALUE(REGEXREPLACE(G2261,""[^[:digit:]]"", """"))"),6552.0)</f>
        <v>6552</v>
      </c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 t="s">
        <v>27</v>
      </c>
    </row>
    <row r="2262">
      <c r="A2262" s="7" t="s">
        <v>17</v>
      </c>
      <c r="B2262" s="7" t="s">
        <v>349</v>
      </c>
      <c r="C2262" s="7">
        <f t="shared" ref="C2262:C2263" si="293">2</f>
        <v>2</v>
      </c>
      <c r="D2262" s="7">
        <v>2.0</v>
      </c>
      <c r="E2262" s="7">
        <v>2.0</v>
      </c>
      <c r="F2262" s="7" t="s">
        <v>30</v>
      </c>
      <c r="G2262" s="7" t="s">
        <v>930</v>
      </c>
      <c r="H2262" s="9" t="s">
        <v>2979</v>
      </c>
      <c r="I2262" t="s">
        <v>3412</v>
      </c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 t="str">
        <f t="shared" si="1"/>
        <v>Built-up :</v>
      </c>
      <c r="AE2262" s="7" t="str">
        <f t="shared" si="2"/>
        <v> sq. ft.</v>
      </c>
      <c r="AF2262">
        <f>IFERROR(__xludf.DUMMYFUNCTION("VALUE(REGEXREPLACE(G2262,""[^[:digit:]]"", """"))"),1270.0)</f>
        <v>1270</v>
      </c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 t="s">
        <v>22</v>
      </c>
    </row>
    <row r="2263">
      <c r="A2263" s="7" t="s">
        <v>17</v>
      </c>
      <c r="B2263" s="7" t="s">
        <v>243</v>
      </c>
      <c r="C2263" s="7">
        <f t="shared" si="293"/>
        <v>2</v>
      </c>
      <c r="D2263" s="7">
        <v>2.0</v>
      </c>
      <c r="E2263" s="9">
        <v>2.0</v>
      </c>
      <c r="F2263" s="7" t="s">
        <v>121</v>
      </c>
      <c r="G2263" s="7" t="s">
        <v>1759</v>
      </c>
      <c r="H2263" s="9" t="s">
        <v>2979</v>
      </c>
      <c r="I2263" t="s">
        <v>3908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 t="str">
        <f t="shared" si="1"/>
        <v>Built-up :</v>
      </c>
      <c r="AE2263" s="7" t="str">
        <f t="shared" si="2"/>
        <v> sq. ft.</v>
      </c>
      <c r="AF2263">
        <f>IFERROR(__xludf.DUMMYFUNCTION("VALUE(REGEXREPLACE(G2263,""[^[:digit:]]"", """"))"),840.0)</f>
        <v>840</v>
      </c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 t="s">
        <v>22</v>
      </c>
    </row>
    <row r="2264">
      <c r="A2264" s="7" t="s">
        <v>171</v>
      </c>
      <c r="B2264" s="7" t="s">
        <v>1075</v>
      </c>
      <c r="C2264" s="7">
        <f>3</f>
        <v>3</v>
      </c>
      <c r="D2264" s="7">
        <v>3.0</v>
      </c>
      <c r="E2264" s="7">
        <v>2.0</v>
      </c>
      <c r="F2264" s="7" t="s">
        <v>30</v>
      </c>
      <c r="G2264" s="7" t="s">
        <v>335</v>
      </c>
      <c r="H2264" s="9" t="s">
        <v>2979</v>
      </c>
      <c r="I2264" t="s">
        <v>3113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 t="str">
        <f t="shared" si="1"/>
        <v>Built-up :</v>
      </c>
      <c r="AE2264" s="7" t="str">
        <f t="shared" si="2"/>
        <v> sq. ft.</v>
      </c>
      <c r="AF2264">
        <f>IFERROR(__xludf.DUMMYFUNCTION("VALUE(REGEXREPLACE(G2264,""[^[:digit:]]"", """"))"),1368.0)</f>
        <v>1368</v>
      </c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 t="s">
        <v>27</v>
      </c>
    </row>
    <row r="2265">
      <c r="A2265" s="7" t="s">
        <v>171</v>
      </c>
      <c r="B2265" s="7" t="s">
        <v>1760</v>
      </c>
      <c r="C2265" s="7">
        <f>4+1</f>
        <v>5</v>
      </c>
      <c r="D2265" s="7">
        <v>5.0</v>
      </c>
      <c r="E2265" s="7">
        <v>3.0</v>
      </c>
      <c r="F2265" s="7" t="s">
        <v>83</v>
      </c>
      <c r="G2265" s="7" t="s">
        <v>307</v>
      </c>
      <c r="H2265" s="9" t="s">
        <v>2979</v>
      </c>
      <c r="I2265" t="s">
        <v>3102</v>
      </c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 t="str">
        <f t="shared" si="1"/>
        <v>Built-up :</v>
      </c>
      <c r="AE2265" s="7" t="str">
        <f t="shared" si="2"/>
        <v> sq. ft.</v>
      </c>
      <c r="AF2265">
        <f>IFERROR(__xludf.DUMMYFUNCTION("VALUE(REGEXREPLACE(G2265,""[^[:digit:]]"", """"))"),2500.0)</f>
        <v>2500</v>
      </c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 t="s">
        <v>27</v>
      </c>
    </row>
    <row r="2266">
      <c r="A2266" s="7" t="s">
        <v>432</v>
      </c>
      <c r="B2266" s="7" t="s">
        <v>1721</v>
      </c>
      <c r="C2266" s="7">
        <f>6+1</f>
        <v>7</v>
      </c>
      <c r="D2266" s="7">
        <v>6.0</v>
      </c>
      <c r="E2266" s="7">
        <v>4.0</v>
      </c>
      <c r="F2266" s="7" t="s">
        <v>487</v>
      </c>
      <c r="G2266" s="7" t="s">
        <v>1761</v>
      </c>
      <c r="H2266" s="9" t="s">
        <v>2981</v>
      </c>
      <c r="I2266" t="s">
        <v>3909</v>
      </c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 t="str">
        <f t="shared" si="1"/>
        <v>Land area </v>
      </c>
      <c r="AE2266" s="7" t="str">
        <f t="shared" si="2"/>
        <v> sq. ft.</v>
      </c>
      <c r="AF2266">
        <f>IFERROR(__xludf.DUMMYFUNCTION("VALUE(REGEXREPLACE(G2266,""[^[:digit:]]"", """"))"),6329.0)</f>
        <v>6329</v>
      </c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 t="s">
        <v>27</v>
      </c>
    </row>
    <row r="2267">
      <c r="A2267" s="7" t="s">
        <v>148</v>
      </c>
      <c r="B2267" s="7" t="s">
        <v>386</v>
      </c>
      <c r="C2267" s="7">
        <f>4+1</f>
        <v>5</v>
      </c>
      <c r="D2267" s="7">
        <v>5.0</v>
      </c>
      <c r="E2267" s="9">
        <v>2.0</v>
      </c>
      <c r="F2267" s="7" t="s">
        <v>61</v>
      </c>
      <c r="G2267" s="7" t="s">
        <v>1202</v>
      </c>
      <c r="H2267" s="9" t="s">
        <v>2981</v>
      </c>
      <c r="I2267" t="s">
        <v>3574</v>
      </c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 t="str">
        <f t="shared" si="1"/>
        <v>Land area </v>
      </c>
      <c r="AE2267" s="7" t="str">
        <f t="shared" si="2"/>
        <v> sq. ft.</v>
      </c>
      <c r="AF2267">
        <f>IFERROR(__xludf.DUMMYFUNCTION("VALUE(REGEXREPLACE(G2267,""[^[:digit:]]"", """"))"),4500.0)</f>
        <v>4500</v>
      </c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 t="s">
        <v>103</v>
      </c>
    </row>
    <row r="2268">
      <c r="A2268" s="7" t="s">
        <v>432</v>
      </c>
      <c r="B2268" s="7" t="s">
        <v>655</v>
      </c>
      <c r="C2268" s="7">
        <f t="shared" ref="C2268:C2269" si="294">5+1</f>
        <v>6</v>
      </c>
      <c r="D2268" s="7">
        <v>5.0</v>
      </c>
      <c r="E2268" s="9">
        <v>2.0</v>
      </c>
      <c r="F2268" s="7" t="s">
        <v>64</v>
      </c>
      <c r="G2268" s="7" t="s">
        <v>1314</v>
      </c>
      <c r="H2268" s="9" t="s">
        <v>2981</v>
      </c>
      <c r="I2268" t="s">
        <v>3640</v>
      </c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 t="str">
        <f t="shared" si="1"/>
        <v>Land area </v>
      </c>
      <c r="AE2268" s="7" t="str">
        <f t="shared" si="2"/>
        <v> sq. ft.</v>
      </c>
      <c r="AF2268">
        <f>IFERROR(__xludf.DUMMYFUNCTION("VALUE(REGEXREPLACE(G2268,""[^[:digit:]]"", """"))"),4200.0)</f>
        <v>4200</v>
      </c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 t="s">
        <v>27</v>
      </c>
    </row>
    <row r="2269">
      <c r="A2269" s="7" t="s">
        <v>148</v>
      </c>
      <c r="B2269" s="7" t="s">
        <v>399</v>
      </c>
      <c r="C2269" s="7">
        <f t="shared" si="294"/>
        <v>6</v>
      </c>
      <c r="D2269" s="7">
        <v>6.0</v>
      </c>
      <c r="E2269" s="7">
        <v>3.0</v>
      </c>
      <c r="F2269" s="7" t="s">
        <v>300</v>
      </c>
      <c r="G2269" s="7" t="s">
        <v>1121</v>
      </c>
      <c r="H2269" s="9" t="s">
        <v>2981</v>
      </c>
      <c r="I2269" t="s">
        <v>3518</v>
      </c>
      <c r="J2269" s="7"/>
      <c r="K2269" s="7"/>
      <c r="L2269" s="7"/>
      <c r="M2269" s="7"/>
      <c r="N2269" s="7"/>
      <c r="O2269" s="7"/>
      <c r="P2269" s="7"/>
      <c r="Q2269" s="7"/>
      <c r="R2269" s="7"/>
      <c r="S2269" s="7" t="s">
        <v>3121</v>
      </c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 t="str">
        <f t="shared" si="1"/>
        <v>Land area </v>
      </c>
      <c r="AE2269" s="7" t="str">
        <f t="shared" si="2"/>
        <v> sq. ft.</v>
      </c>
      <c r="AF2269">
        <f>IFERROR(__xludf.DUMMYFUNCTION("VALUE(REGEXREPLACE(G2269,""[^[:digit:]]"", """"))"),2270.0)</f>
        <v>2270</v>
      </c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 t="s">
        <v>103</v>
      </c>
    </row>
    <row r="2270">
      <c r="A2270" s="7" t="s">
        <v>171</v>
      </c>
      <c r="B2270" s="7" t="s">
        <v>277</v>
      </c>
      <c r="C2270" s="7">
        <f>4+2</f>
        <v>6</v>
      </c>
      <c r="D2270" s="7">
        <v>5.0</v>
      </c>
      <c r="E2270" s="7">
        <v>4.0</v>
      </c>
      <c r="F2270" s="7" t="s">
        <v>30</v>
      </c>
      <c r="G2270" s="7" t="s">
        <v>1762</v>
      </c>
      <c r="H2270" s="9" t="s">
        <v>2979</v>
      </c>
      <c r="I2270" t="s">
        <v>3910</v>
      </c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 t="str">
        <f t="shared" si="1"/>
        <v>Built-up :</v>
      </c>
      <c r="AE2270" s="7" t="str">
        <f t="shared" si="2"/>
        <v> sq. ft.</v>
      </c>
      <c r="AF2270">
        <f>IFERROR(__xludf.DUMMYFUNCTION("VALUE(REGEXREPLACE(G2270,""[^[:digit:]]"", """"))"),4142.0)</f>
        <v>4142</v>
      </c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 t="s">
        <v>27</v>
      </c>
    </row>
    <row r="2271">
      <c r="A2271" s="7" t="s">
        <v>432</v>
      </c>
      <c r="B2271" s="7" t="s">
        <v>499</v>
      </c>
      <c r="C2271" s="7">
        <f>5+1</f>
        <v>6</v>
      </c>
      <c r="D2271" s="7">
        <v>6.0</v>
      </c>
      <c r="E2271" s="9">
        <v>2.0</v>
      </c>
      <c r="F2271" s="7" t="s">
        <v>90</v>
      </c>
      <c r="G2271" s="7" t="s">
        <v>927</v>
      </c>
      <c r="H2271" s="9" t="s">
        <v>2981</v>
      </c>
      <c r="I2271" t="s">
        <v>3409</v>
      </c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 t="str">
        <f t="shared" si="1"/>
        <v>Land area </v>
      </c>
      <c r="AE2271" s="7" t="str">
        <f t="shared" si="2"/>
        <v> sq. ft.</v>
      </c>
      <c r="AF2271">
        <f>IFERROR(__xludf.DUMMYFUNCTION("VALUE(REGEXREPLACE(G2271,""[^[:digit:]]"", """"))"),2800.0)</f>
        <v>2800</v>
      </c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 t="s">
        <v>27</v>
      </c>
    </row>
    <row r="2272">
      <c r="A2272" s="7" t="s">
        <v>432</v>
      </c>
      <c r="B2272" s="7" t="s">
        <v>120</v>
      </c>
      <c r="C2272" s="7">
        <f>5</f>
        <v>5</v>
      </c>
      <c r="D2272" s="7">
        <v>4.0</v>
      </c>
      <c r="E2272" s="9">
        <v>2.0</v>
      </c>
      <c r="F2272" s="7" t="s">
        <v>43</v>
      </c>
      <c r="G2272" s="7" t="s">
        <v>1491</v>
      </c>
      <c r="H2272" s="9" t="s">
        <v>2981</v>
      </c>
      <c r="I2272" t="s">
        <v>3062</v>
      </c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 t="str">
        <f t="shared" si="1"/>
        <v>Land area </v>
      </c>
      <c r="AE2272" s="7" t="str">
        <f t="shared" si="2"/>
        <v> sq. ft.</v>
      </c>
      <c r="AF2272">
        <f>IFERROR(__xludf.DUMMYFUNCTION("VALUE(REGEXREPLACE(G2272,""[^[:digit:]]"", """"))"),2400.0)</f>
        <v>2400</v>
      </c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 t="s">
        <v>27</v>
      </c>
    </row>
    <row r="2273">
      <c r="A2273" s="7" t="s">
        <v>72</v>
      </c>
      <c r="B2273" s="7" t="s">
        <v>260</v>
      </c>
      <c r="C2273" s="7">
        <f>4+1</f>
        <v>5</v>
      </c>
      <c r="D2273" s="7">
        <v>5.0</v>
      </c>
      <c r="E2273" s="7">
        <v>2.0</v>
      </c>
      <c r="F2273" s="7" t="s">
        <v>793</v>
      </c>
      <c r="G2273" s="7" t="s">
        <v>740</v>
      </c>
      <c r="H2273" s="9" t="s">
        <v>2979</v>
      </c>
      <c r="I2273" t="s">
        <v>3312</v>
      </c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 t="str">
        <f t="shared" si="1"/>
        <v>Built-up :</v>
      </c>
      <c r="AE2273" s="7" t="str">
        <f t="shared" si="2"/>
        <v> sq. ft.</v>
      </c>
      <c r="AF2273">
        <f>IFERROR(__xludf.DUMMYFUNCTION("VALUE(REGEXREPLACE(G2273,""[^[:digit:]]"", """"))"),3289.0)</f>
        <v>3289</v>
      </c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 t="s">
        <v>27</v>
      </c>
    </row>
    <row r="2274">
      <c r="A2274" s="7" t="s">
        <v>28</v>
      </c>
      <c r="B2274" s="7" t="s">
        <v>974</v>
      </c>
      <c r="C2274" s="7">
        <f>3+1</f>
        <v>4</v>
      </c>
      <c r="D2274" s="7">
        <v>3.0</v>
      </c>
      <c r="E2274" s="7">
        <v>2.0</v>
      </c>
      <c r="F2274" s="7" t="s">
        <v>121</v>
      </c>
      <c r="G2274" s="7" t="s">
        <v>392</v>
      </c>
      <c r="H2274" s="9" t="s">
        <v>2979</v>
      </c>
      <c r="I2274" t="s">
        <v>3141</v>
      </c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 t="str">
        <f t="shared" si="1"/>
        <v>Built-up :</v>
      </c>
      <c r="AE2274" s="7" t="str">
        <f t="shared" si="2"/>
        <v> sq. ft.</v>
      </c>
      <c r="AF2274">
        <f>IFERROR(__xludf.DUMMYFUNCTION("VALUE(REGEXREPLACE(G2274,""[^[:digit:]]"", """"))"),850.0)</f>
        <v>850</v>
      </c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 t="s">
        <v>27</v>
      </c>
    </row>
    <row r="2275">
      <c r="A2275" s="7" t="s">
        <v>358</v>
      </c>
      <c r="B2275" s="7" t="s">
        <v>969</v>
      </c>
      <c r="C2275" s="7">
        <f>3</f>
        <v>3</v>
      </c>
      <c r="D2275" s="7">
        <v>2.0</v>
      </c>
      <c r="E2275" s="9">
        <v>2.0</v>
      </c>
      <c r="F2275" s="7" t="s">
        <v>354</v>
      </c>
      <c r="G2275" s="7" t="s">
        <v>1763</v>
      </c>
      <c r="H2275" s="9" t="s">
        <v>2979</v>
      </c>
      <c r="I2275" t="s">
        <v>3911</v>
      </c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 t="str">
        <f t="shared" si="1"/>
        <v>Built-up :</v>
      </c>
      <c r="AE2275" s="7" t="str">
        <f t="shared" si="2"/>
        <v> sq. ft.</v>
      </c>
      <c r="AF2275">
        <f>IFERROR(__xludf.DUMMYFUNCTION("VALUE(REGEXREPLACE(G2275,""[^[:digit:]]"", """"))"),995.0)</f>
        <v>995</v>
      </c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 t="s">
        <v>27</v>
      </c>
    </row>
    <row r="2276">
      <c r="A2276" s="7" t="s">
        <v>48</v>
      </c>
      <c r="B2276" s="7" t="s">
        <v>329</v>
      </c>
      <c r="C2276" s="7">
        <f>5</f>
        <v>5</v>
      </c>
      <c r="D2276" s="7">
        <v>4.0</v>
      </c>
      <c r="E2276" s="9">
        <v>2.0</v>
      </c>
      <c r="F2276" s="7" t="s">
        <v>681</v>
      </c>
      <c r="G2276" s="7" t="s">
        <v>211</v>
      </c>
      <c r="H2276" s="9" t="s">
        <v>2981</v>
      </c>
      <c r="I2276" t="s">
        <v>2992</v>
      </c>
      <c r="J2276" s="7"/>
      <c r="K2276" s="7"/>
      <c r="L2276" s="7"/>
      <c r="M2276" s="7"/>
      <c r="N2276" s="7"/>
      <c r="O2276" s="7"/>
      <c r="P2276" s="7"/>
      <c r="Q2276" s="7"/>
      <c r="R2276" s="7"/>
      <c r="S2276" s="7" t="s">
        <v>2993</v>
      </c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 t="str">
        <f t="shared" si="1"/>
        <v>Land area </v>
      </c>
      <c r="AE2276" s="7" t="str">
        <f t="shared" si="2"/>
        <v> sq. ft.</v>
      </c>
      <c r="AF2276">
        <f>IFERROR(__xludf.DUMMYFUNCTION("VALUE(REGEXREPLACE(G2276,""[^[:digit:]]"", """"))"),2280.0)</f>
        <v>2280</v>
      </c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 t="s">
        <v>27</v>
      </c>
    </row>
    <row r="2277">
      <c r="A2277" s="7" t="s">
        <v>23</v>
      </c>
      <c r="B2277" s="7" t="s">
        <v>1060</v>
      </c>
      <c r="C2277" s="7">
        <f>4+1</f>
        <v>5</v>
      </c>
      <c r="D2277" s="7">
        <v>4.0</v>
      </c>
      <c r="E2277" s="9">
        <v>2.0</v>
      </c>
      <c r="F2277" s="7" t="s">
        <v>67</v>
      </c>
      <c r="G2277" s="7" t="s">
        <v>1764</v>
      </c>
      <c r="H2277" s="9" t="s">
        <v>2981</v>
      </c>
      <c r="I2277" t="s">
        <v>3912</v>
      </c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 t="str">
        <f t="shared" si="1"/>
        <v>Land area </v>
      </c>
      <c r="AE2277" s="7" t="str">
        <f t="shared" si="2"/>
        <v> sq. ft.</v>
      </c>
      <c r="AF2277">
        <f>IFERROR(__xludf.DUMMYFUNCTION("VALUE(REGEXREPLACE(G2277,""[^[:digit:]]"", """"))"),8200.0)</f>
        <v>8200</v>
      </c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 t="s">
        <v>27</v>
      </c>
    </row>
    <row r="2278">
      <c r="A2278" s="7" t="s">
        <v>267</v>
      </c>
      <c r="B2278" s="7" t="s">
        <v>268</v>
      </c>
      <c r="C2278" s="7">
        <f t="shared" ref="C2278:C2279" si="295">2</f>
        <v>2</v>
      </c>
      <c r="D2278" s="7">
        <v>2.0</v>
      </c>
      <c r="E2278" s="7">
        <v>2.0</v>
      </c>
      <c r="F2278" s="7" t="s">
        <v>83</v>
      </c>
      <c r="G2278" s="7" t="s">
        <v>1688</v>
      </c>
      <c r="H2278" s="9" t="s">
        <v>2979</v>
      </c>
      <c r="I2278" t="s">
        <v>3858</v>
      </c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 t="str">
        <f t="shared" si="1"/>
        <v>Built-up :</v>
      </c>
      <c r="AE2278" s="7" t="str">
        <f t="shared" si="2"/>
        <v> sq. ft.</v>
      </c>
      <c r="AF2278">
        <f>IFERROR(__xludf.DUMMYFUNCTION("VALUE(REGEXREPLACE(G2278,""[^[:digit:]]"", """"))"),1250.0)</f>
        <v>1250</v>
      </c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 t="s">
        <v>22</v>
      </c>
    </row>
    <row r="2279">
      <c r="A2279" s="7" t="s">
        <v>37</v>
      </c>
      <c r="B2279" s="7" t="s">
        <v>1765</v>
      </c>
      <c r="C2279" s="7">
        <f t="shared" si="295"/>
        <v>2</v>
      </c>
      <c r="D2279" s="7">
        <v>3.0</v>
      </c>
      <c r="E2279" s="9">
        <v>2.0</v>
      </c>
      <c r="F2279" s="7" t="s">
        <v>121</v>
      </c>
      <c r="G2279" s="7" t="s">
        <v>1092</v>
      </c>
      <c r="H2279" s="9" t="s">
        <v>2979</v>
      </c>
      <c r="I2279" t="s">
        <v>3500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 t="str">
        <f t="shared" si="1"/>
        <v>Built-up :</v>
      </c>
      <c r="AE2279" s="7" t="str">
        <f t="shared" si="2"/>
        <v> sq. ft.</v>
      </c>
      <c r="AF2279">
        <f>IFERROR(__xludf.DUMMYFUNCTION("VALUE(REGEXREPLACE(G2279,""[^[:digit:]]"", """"))"),1445.0)</f>
        <v>1445</v>
      </c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 t="s">
        <v>27</v>
      </c>
    </row>
    <row r="2280">
      <c r="A2280" s="7" t="s">
        <v>177</v>
      </c>
      <c r="B2280" s="7" t="s">
        <v>1766</v>
      </c>
      <c r="C2280" s="7">
        <f t="shared" ref="C2280:C2281" si="296">4+1</f>
        <v>5</v>
      </c>
      <c r="D2280" s="7">
        <v>6.0</v>
      </c>
      <c r="E2280" s="7">
        <v>4.0</v>
      </c>
      <c r="F2280" s="7" t="s">
        <v>30</v>
      </c>
      <c r="G2280" s="7" t="s">
        <v>1767</v>
      </c>
      <c r="H2280" s="9" t="s">
        <v>2979</v>
      </c>
      <c r="I2280" t="s">
        <v>3913</v>
      </c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 t="str">
        <f t="shared" si="1"/>
        <v>Built-up :</v>
      </c>
      <c r="AE2280" s="7" t="str">
        <f t="shared" si="2"/>
        <v> sq. ft.</v>
      </c>
      <c r="AF2280">
        <f>IFERROR(__xludf.DUMMYFUNCTION("VALUE(REGEXREPLACE(G2280,""[^[:digit:]]"", """"))"),5220.0)</f>
        <v>5220</v>
      </c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 t="s">
        <v>27</v>
      </c>
    </row>
    <row r="2281">
      <c r="A2281" s="7" t="s">
        <v>32</v>
      </c>
      <c r="B2281" s="7" t="s">
        <v>1074</v>
      </c>
      <c r="C2281" s="7">
        <f t="shared" si="296"/>
        <v>5</v>
      </c>
      <c r="D2281" s="7">
        <v>4.0</v>
      </c>
      <c r="E2281" s="7">
        <v>4.0</v>
      </c>
      <c r="F2281" s="7" t="s">
        <v>90</v>
      </c>
      <c r="G2281" s="7" t="s">
        <v>1768</v>
      </c>
      <c r="H2281" s="9" t="s">
        <v>2981</v>
      </c>
      <c r="I2281" t="s">
        <v>3751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 t="s">
        <v>3914</v>
      </c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 t="str">
        <f t="shared" si="1"/>
        <v>Land area </v>
      </c>
      <c r="AE2281" s="7" t="str">
        <f t="shared" si="2"/>
        <v> sq. ft.</v>
      </c>
      <c r="AF2281">
        <f>IFERROR(__xludf.DUMMYFUNCTION("VALUE(REGEXREPLACE(G2281,""[^[:digit:]]"", """"))"),2245.0)</f>
        <v>2245</v>
      </c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 t="s">
        <v>103</v>
      </c>
    </row>
    <row r="2282">
      <c r="A2282" s="7" t="s">
        <v>32</v>
      </c>
      <c r="B2282" s="7" t="s">
        <v>1079</v>
      </c>
      <c r="C2282" s="7">
        <f>5+2</f>
        <v>7</v>
      </c>
      <c r="D2282" s="7">
        <v>6.0</v>
      </c>
      <c r="E2282" s="7">
        <v>4.0</v>
      </c>
      <c r="F2282" s="7" t="s">
        <v>487</v>
      </c>
      <c r="G2282" s="7" t="s">
        <v>1769</v>
      </c>
      <c r="H2282" s="9" t="s">
        <v>2981</v>
      </c>
      <c r="I2282" t="s">
        <v>2988</v>
      </c>
      <c r="J2282" s="7"/>
      <c r="K2282" s="7"/>
      <c r="L2282" s="7"/>
      <c r="M2282" s="7"/>
      <c r="N2282" s="7"/>
      <c r="O2282" s="7"/>
      <c r="P2282" s="7"/>
      <c r="Q2282" s="7"/>
      <c r="R2282" s="7"/>
      <c r="S2282" s="7" t="s">
        <v>3188</v>
      </c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 t="str">
        <f t="shared" si="1"/>
        <v>Land area </v>
      </c>
      <c r="AE2282" s="7" t="str">
        <f t="shared" si="2"/>
        <v> sq. ft.</v>
      </c>
      <c r="AF2282">
        <f>IFERROR(__xludf.DUMMYFUNCTION("VALUE(REGEXREPLACE(G2282,""[^[:digit:]]"", """"))"),4090.0)</f>
        <v>4090</v>
      </c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 t="s">
        <v>27</v>
      </c>
    </row>
    <row r="2283">
      <c r="A2283" s="7" t="s">
        <v>177</v>
      </c>
      <c r="B2283" s="7" t="s">
        <v>1721</v>
      </c>
      <c r="C2283" s="7">
        <f>3+1</f>
        <v>4</v>
      </c>
      <c r="D2283" s="7">
        <v>5.0</v>
      </c>
      <c r="E2283" s="7">
        <v>3.0</v>
      </c>
      <c r="F2283" s="7" t="s">
        <v>30</v>
      </c>
      <c r="G2283" s="7" t="s">
        <v>1770</v>
      </c>
      <c r="H2283" s="9" t="s">
        <v>2979</v>
      </c>
      <c r="I2283" t="s">
        <v>3915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 t="str">
        <f t="shared" si="1"/>
        <v>Built-up :</v>
      </c>
      <c r="AE2283" s="7" t="str">
        <f t="shared" si="2"/>
        <v> sq. ft.</v>
      </c>
      <c r="AF2283">
        <f>IFERROR(__xludf.DUMMYFUNCTION("VALUE(REGEXREPLACE(G2283,""[^[:digit:]]"", """"))"),3658.0)</f>
        <v>3658</v>
      </c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 t="s">
        <v>27</v>
      </c>
    </row>
    <row r="2284">
      <c r="A2284" s="7" t="s">
        <v>17</v>
      </c>
      <c r="B2284" s="7" t="s">
        <v>236</v>
      </c>
      <c r="C2284" s="7">
        <f>2</f>
        <v>2</v>
      </c>
      <c r="D2284" s="7">
        <v>2.0</v>
      </c>
      <c r="E2284" s="9">
        <v>2.0</v>
      </c>
      <c r="F2284" s="7" t="s">
        <v>20</v>
      </c>
      <c r="G2284" s="7" t="s">
        <v>135</v>
      </c>
      <c r="H2284" s="9" t="s">
        <v>2979</v>
      </c>
      <c r="I2284" t="s">
        <v>3023</v>
      </c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 t="str">
        <f t="shared" si="1"/>
        <v>Built-up :</v>
      </c>
      <c r="AE2284" s="7" t="str">
        <f t="shared" si="2"/>
        <v> sq. ft.</v>
      </c>
      <c r="AF2284">
        <f>IFERROR(__xludf.DUMMYFUNCTION("VALUE(REGEXREPLACE(G2284,""[^[:digit:]]"", """"))"),1200.0)</f>
        <v>1200</v>
      </c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 t="s">
        <v>22</v>
      </c>
    </row>
    <row r="2285">
      <c r="A2285" s="7" t="s">
        <v>17</v>
      </c>
      <c r="B2285" s="7" t="s">
        <v>1771</v>
      </c>
      <c r="C2285" s="7">
        <f t="shared" ref="C2285:C2286" si="297">3+1</f>
        <v>4</v>
      </c>
      <c r="D2285" s="7">
        <v>5.0</v>
      </c>
      <c r="E2285" s="9">
        <v>2.0</v>
      </c>
      <c r="F2285" s="7" t="s">
        <v>30</v>
      </c>
      <c r="G2285" s="7" t="s">
        <v>159</v>
      </c>
      <c r="H2285" s="9" t="s">
        <v>2979</v>
      </c>
      <c r="I2285" t="s">
        <v>3032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 t="str">
        <f t="shared" si="1"/>
        <v>Built-up :</v>
      </c>
      <c r="AE2285" s="7" t="str">
        <f t="shared" si="2"/>
        <v> sq. ft.</v>
      </c>
      <c r="AF2285">
        <f>IFERROR(__xludf.DUMMYFUNCTION("VALUE(REGEXREPLACE(G2285,""[^[:digit:]]"", """"))"),2347.0)</f>
        <v>2347</v>
      </c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 t="s">
        <v>103</v>
      </c>
    </row>
    <row r="2286">
      <c r="A2286" s="7" t="s">
        <v>52</v>
      </c>
      <c r="B2286" s="7" t="s">
        <v>1772</v>
      </c>
      <c r="C2286" s="7">
        <f t="shared" si="297"/>
        <v>4</v>
      </c>
      <c r="D2286" s="7">
        <v>5.0</v>
      </c>
      <c r="E2286" s="9">
        <v>2.0</v>
      </c>
      <c r="F2286" s="7" t="s">
        <v>83</v>
      </c>
      <c r="G2286" s="7" t="s">
        <v>1773</v>
      </c>
      <c r="H2286" s="9" t="s">
        <v>2979</v>
      </c>
      <c r="I2286" t="s">
        <v>3916</v>
      </c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 t="str">
        <f t="shared" si="1"/>
        <v>Built-up :</v>
      </c>
      <c r="AE2286" s="7" t="str">
        <f t="shared" si="2"/>
        <v> sq. ft.</v>
      </c>
      <c r="AF2286">
        <f>IFERROR(__xludf.DUMMYFUNCTION("VALUE(REGEXREPLACE(G2286,""[^[:digit:]]"", """"))"),4074.0)</f>
        <v>4074</v>
      </c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 t="s">
        <v>27</v>
      </c>
    </row>
    <row r="2287">
      <c r="A2287" s="7" t="s">
        <v>32</v>
      </c>
      <c r="B2287" s="7" t="s">
        <v>403</v>
      </c>
      <c r="C2287" s="7">
        <f t="shared" ref="C2287:C2288" si="298">4+1</f>
        <v>5</v>
      </c>
      <c r="D2287" s="7">
        <v>5.0</v>
      </c>
      <c r="E2287" s="9">
        <v>2.0</v>
      </c>
      <c r="F2287" s="7" t="s">
        <v>169</v>
      </c>
      <c r="G2287" s="7" t="s">
        <v>1774</v>
      </c>
      <c r="H2287" s="9" t="s">
        <v>2981</v>
      </c>
      <c r="I2287" t="s">
        <v>3630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 t="s">
        <v>2993</v>
      </c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 t="str">
        <f t="shared" si="1"/>
        <v>Land area </v>
      </c>
      <c r="AE2287" s="7" t="str">
        <f t="shared" si="2"/>
        <v> sq. ft.</v>
      </c>
      <c r="AF2287">
        <f>IFERROR(__xludf.DUMMYFUNCTION("VALUE(REGEXREPLACE(G2287,""[^[:digit:]]"", """"))"),3480.0)</f>
        <v>3480</v>
      </c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 t="s">
        <v>103</v>
      </c>
    </row>
    <row r="2288">
      <c r="A2288" s="7" t="s">
        <v>32</v>
      </c>
      <c r="B2288" s="7" t="s">
        <v>329</v>
      </c>
      <c r="C2288" s="7">
        <f t="shared" si="298"/>
        <v>5</v>
      </c>
      <c r="D2288" s="7">
        <v>5.0</v>
      </c>
      <c r="E2288" s="9">
        <v>2.0</v>
      </c>
      <c r="F2288" s="7" t="s">
        <v>169</v>
      </c>
      <c r="G2288" s="7" t="s">
        <v>344</v>
      </c>
      <c r="H2288" s="9" t="s">
        <v>2981</v>
      </c>
      <c r="I2288" t="s">
        <v>3118</v>
      </c>
      <c r="J2288" s="7"/>
      <c r="K2288" s="7"/>
      <c r="L2288" s="7"/>
      <c r="M2288" s="7"/>
      <c r="N2288" s="7"/>
      <c r="O2288" s="7"/>
      <c r="P2288" s="7"/>
      <c r="Q2288" s="7"/>
      <c r="R2288" s="7"/>
      <c r="S2288" s="7" t="s">
        <v>2993</v>
      </c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 t="str">
        <f t="shared" si="1"/>
        <v>Land area </v>
      </c>
      <c r="AE2288" s="7" t="str">
        <f t="shared" si="2"/>
        <v> sq. ft.</v>
      </c>
      <c r="AF2288">
        <f>IFERROR(__xludf.DUMMYFUNCTION("VALUE(REGEXREPLACE(G2288,""[^[:digit:]]"", """"))"),2480.0)</f>
        <v>2480</v>
      </c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 t="s">
        <v>103</v>
      </c>
    </row>
    <row r="2289">
      <c r="A2289" s="7" t="s">
        <v>371</v>
      </c>
      <c r="B2289" s="7" t="s">
        <v>34</v>
      </c>
      <c r="C2289" s="7">
        <f>5</f>
        <v>5</v>
      </c>
      <c r="D2289" s="7">
        <v>3.0</v>
      </c>
      <c r="E2289" s="9">
        <v>2.0</v>
      </c>
      <c r="F2289" s="7" t="s">
        <v>169</v>
      </c>
      <c r="G2289" s="7" t="s">
        <v>1775</v>
      </c>
      <c r="H2289" s="9" t="s">
        <v>2981</v>
      </c>
      <c r="I2289" t="s">
        <v>3917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 t="s">
        <v>3188</v>
      </c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 t="str">
        <f t="shared" si="1"/>
        <v>Land area </v>
      </c>
      <c r="AE2289" s="7" t="str">
        <f t="shared" si="2"/>
        <v> sq. ft.</v>
      </c>
      <c r="AF2289" s="7">
        <v>1620.0</v>
      </c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 t="s">
        <v>27</v>
      </c>
    </row>
    <row r="2290">
      <c r="A2290" s="7" t="s">
        <v>32</v>
      </c>
      <c r="B2290" s="7" t="s">
        <v>191</v>
      </c>
      <c r="C2290" s="7">
        <f>4+1</f>
        <v>5</v>
      </c>
      <c r="D2290" s="7">
        <v>5.0</v>
      </c>
      <c r="E2290" s="9">
        <v>2.0</v>
      </c>
      <c r="F2290" s="7" t="s">
        <v>169</v>
      </c>
      <c r="G2290" s="7" t="s">
        <v>211</v>
      </c>
      <c r="H2290" s="9" t="s">
        <v>2981</v>
      </c>
      <c r="I2290" t="s">
        <v>2992</v>
      </c>
      <c r="J2290" s="7"/>
      <c r="K2290" s="7"/>
      <c r="L2290" s="7"/>
      <c r="M2290" s="7"/>
      <c r="N2290" s="7"/>
      <c r="O2290" s="7"/>
      <c r="P2290" s="7"/>
      <c r="Q2290" s="7"/>
      <c r="R2290" s="7"/>
      <c r="S2290" s="7" t="s">
        <v>2993</v>
      </c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 t="str">
        <f t="shared" si="1"/>
        <v>Land area </v>
      </c>
      <c r="AE2290" s="7" t="str">
        <f t="shared" si="2"/>
        <v> sq. ft.</v>
      </c>
      <c r="AF2290">
        <f>IFERROR(__xludf.DUMMYFUNCTION("VALUE(REGEXREPLACE(G2290,""[^[:digit:]]"", """"))"),2280.0)</f>
        <v>2280</v>
      </c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 t="s">
        <v>103</v>
      </c>
    </row>
    <row r="2291">
      <c r="A2291" s="7" t="s">
        <v>32</v>
      </c>
      <c r="B2291" s="7" t="s">
        <v>969</v>
      </c>
      <c r="C2291" s="7">
        <f t="shared" ref="C2291:C2292" si="299">3</f>
        <v>3</v>
      </c>
      <c r="D2291" s="7">
        <v>2.0</v>
      </c>
      <c r="E2291" s="7">
        <v>1.0</v>
      </c>
      <c r="F2291" s="7" t="s">
        <v>93</v>
      </c>
      <c r="G2291" s="7" t="s">
        <v>1776</v>
      </c>
      <c r="H2291" s="9" t="s">
        <v>2979</v>
      </c>
      <c r="I2291" t="s">
        <v>3918</v>
      </c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 t="str">
        <f t="shared" si="1"/>
        <v>Built-up :</v>
      </c>
      <c r="AE2291" s="7" t="str">
        <f t="shared" si="2"/>
        <v> sq. ft.</v>
      </c>
      <c r="AF2291">
        <f>IFERROR(__xludf.DUMMYFUNCTION("VALUE(REGEXREPLACE(G2291,""[^[:digit:]]"", """"))"),1307.0)</f>
        <v>1307</v>
      </c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 t="s">
        <v>27</v>
      </c>
    </row>
    <row r="2292">
      <c r="A2292" s="7" t="s">
        <v>32</v>
      </c>
      <c r="B2292" s="7" t="s">
        <v>156</v>
      </c>
      <c r="C2292" s="7">
        <f t="shared" si="299"/>
        <v>3</v>
      </c>
      <c r="D2292" s="7">
        <v>2.0</v>
      </c>
      <c r="E2292" s="7">
        <v>2.0</v>
      </c>
      <c r="F2292" s="7" t="s">
        <v>82</v>
      </c>
      <c r="G2292" s="7" t="s">
        <v>1777</v>
      </c>
      <c r="H2292" s="9" t="s">
        <v>2981</v>
      </c>
      <c r="I2292" t="s">
        <v>3919</v>
      </c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 t="str">
        <f t="shared" si="1"/>
        <v>Land area </v>
      </c>
      <c r="AE2292" s="7" t="str">
        <f t="shared" si="2"/>
        <v> sq. ft.</v>
      </c>
      <c r="AF2292">
        <f>IFERROR(__xludf.DUMMYFUNCTION("VALUE(REGEXREPLACE(G2292,""[^[:digit:]]"", """"))"),1252.0)</f>
        <v>1252</v>
      </c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 t="s">
        <v>27</v>
      </c>
    </row>
    <row r="2293">
      <c r="A2293" s="7" t="s">
        <v>32</v>
      </c>
      <c r="B2293" s="7" t="s">
        <v>956</v>
      </c>
      <c r="C2293" s="7">
        <f t="shared" ref="C2293:C2297" si="300">3+1</f>
        <v>4</v>
      </c>
      <c r="D2293" s="7">
        <v>3.0</v>
      </c>
      <c r="E2293" s="7">
        <v>2.0</v>
      </c>
      <c r="F2293" s="7" t="s">
        <v>30</v>
      </c>
      <c r="G2293" s="7" t="s">
        <v>303</v>
      </c>
      <c r="H2293" s="9" t="s">
        <v>2979</v>
      </c>
      <c r="I2293" t="s">
        <v>3099</v>
      </c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 t="str">
        <f t="shared" si="1"/>
        <v>Built-up :</v>
      </c>
      <c r="AE2293" s="7" t="str">
        <f t="shared" si="2"/>
        <v> sq. ft.</v>
      </c>
      <c r="AF2293">
        <f>IFERROR(__xludf.DUMMYFUNCTION("VALUE(REGEXREPLACE(G2293,""[^[:digit:]]"", """"))"),1485.0)</f>
        <v>1485</v>
      </c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 t="s">
        <v>103</v>
      </c>
    </row>
    <row r="2294">
      <c r="A2294" s="7" t="s">
        <v>32</v>
      </c>
      <c r="B2294" s="7" t="s">
        <v>1199</v>
      </c>
      <c r="C2294" s="7">
        <f t="shared" si="300"/>
        <v>4</v>
      </c>
      <c r="D2294" s="7">
        <v>3.0</v>
      </c>
      <c r="E2294" s="7">
        <v>2.0</v>
      </c>
      <c r="F2294" s="7" t="s">
        <v>30</v>
      </c>
      <c r="G2294" s="7" t="s">
        <v>303</v>
      </c>
      <c r="H2294" s="9" t="s">
        <v>2979</v>
      </c>
      <c r="I2294" t="s">
        <v>3099</v>
      </c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 t="str">
        <f t="shared" si="1"/>
        <v>Built-up :</v>
      </c>
      <c r="AE2294" s="7" t="str">
        <f t="shared" si="2"/>
        <v> sq. ft.</v>
      </c>
      <c r="AF2294">
        <f>IFERROR(__xludf.DUMMYFUNCTION("VALUE(REGEXREPLACE(G2294,""[^[:digit:]]"", """"))"),1485.0)</f>
        <v>1485</v>
      </c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 t="s">
        <v>103</v>
      </c>
    </row>
    <row r="2295">
      <c r="A2295" s="7" t="s">
        <v>32</v>
      </c>
      <c r="B2295" s="7" t="s">
        <v>18</v>
      </c>
      <c r="C2295" s="7">
        <f t="shared" si="300"/>
        <v>4</v>
      </c>
      <c r="D2295" s="7">
        <v>4.0</v>
      </c>
      <c r="E2295" s="7">
        <v>2.0</v>
      </c>
      <c r="F2295" s="7" t="s">
        <v>30</v>
      </c>
      <c r="G2295" s="7" t="s">
        <v>1425</v>
      </c>
      <c r="H2295" s="9" t="s">
        <v>2979</v>
      </c>
      <c r="I2295" t="s">
        <v>3704</v>
      </c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 t="str">
        <f t="shared" si="1"/>
        <v>Built-up :</v>
      </c>
      <c r="AE2295" s="7" t="str">
        <f t="shared" si="2"/>
        <v> sq. ft.</v>
      </c>
      <c r="AF2295">
        <f>IFERROR(__xludf.DUMMYFUNCTION("VALUE(REGEXREPLACE(G2295,""[^[:digit:]]"", """"))"),1808.0)</f>
        <v>1808</v>
      </c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 t="s">
        <v>22</v>
      </c>
    </row>
    <row r="2296">
      <c r="A2296" s="7" t="s">
        <v>32</v>
      </c>
      <c r="B2296" s="7" t="s">
        <v>755</v>
      </c>
      <c r="C2296" s="7">
        <f t="shared" si="300"/>
        <v>4</v>
      </c>
      <c r="D2296" s="7">
        <v>4.0</v>
      </c>
      <c r="E2296" s="7">
        <v>2.0</v>
      </c>
      <c r="F2296" s="7" t="s">
        <v>30</v>
      </c>
      <c r="G2296" s="7" t="s">
        <v>1425</v>
      </c>
      <c r="H2296" s="9" t="s">
        <v>2979</v>
      </c>
      <c r="I2296" t="s">
        <v>3704</v>
      </c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 t="str">
        <f t="shared" si="1"/>
        <v>Built-up :</v>
      </c>
      <c r="AE2296" s="7" t="str">
        <f t="shared" si="2"/>
        <v> sq. ft.</v>
      </c>
      <c r="AF2296">
        <f>IFERROR(__xludf.DUMMYFUNCTION("VALUE(REGEXREPLACE(G2296,""[^[:digit:]]"", """"))"),1808.0)</f>
        <v>1808</v>
      </c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 t="s">
        <v>22</v>
      </c>
    </row>
    <row r="2297">
      <c r="A2297" s="7" t="s">
        <v>32</v>
      </c>
      <c r="B2297" s="7" t="s">
        <v>1778</v>
      </c>
      <c r="C2297" s="7">
        <f t="shared" si="300"/>
        <v>4</v>
      </c>
      <c r="D2297" s="7">
        <v>4.0</v>
      </c>
      <c r="E2297" s="7">
        <v>2.0</v>
      </c>
      <c r="F2297" s="7" t="s">
        <v>30</v>
      </c>
      <c r="G2297" s="7" t="s">
        <v>1425</v>
      </c>
      <c r="H2297" s="9" t="s">
        <v>2979</v>
      </c>
      <c r="I2297" t="s">
        <v>3704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 t="str">
        <f t="shared" si="1"/>
        <v>Built-up :</v>
      </c>
      <c r="AE2297" s="7" t="str">
        <f t="shared" si="2"/>
        <v> sq. ft.</v>
      </c>
      <c r="AF2297">
        <f>IFERROR(__xludf.DUMMYFUNCTION("VALUE(REGEXREPLACE(G2297,""[^[:digit:]]"", """"))"),1808.0)</f>
        <v>1808</v>
      </c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 t="s">
        <v>22</v>
      </c>
    </row>
    <row r="2298">
      <c r="A2298" s="7" t="s">
        <v>32</v>
      </c>
      <c r="B2298" s="7" t="s">
        <v>1779</v>
      </c>
      <c r="C2298" s="7">
        <f t="shared" ref="C2298:C2299" si="301">3</f>
        <v>3</v>
      </c>
      <c r="D2298" s="7">
        <v>2.0</v>
      </c>
      <c r="E2298" s="7">
        <v>1.0</v>
      </c>
      <c r="F2298" s="7" t="s">
        <v>82</v>
      </c>
      <c r="G2298" s="7" t="s">
        <v>1780</v>
      </c>
      <c r="H2298" s="9" t="s">
        <v>2979</v>
      </c>
      <c r="I2298" t="s">
        <v>3920</v>
      </c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 t="str">
        <f t="shared" si="1"/>
        <v>Built-up :</v>
      </c>
      <c r="AE2298" s="7" t="str">
        <f t="shared" si="2"/>
        <v> sq. ft.</v>
      </c>
      <c r="AF2298">
        <f>IFERROR(__xludf.DUMMYFUNCTION("VALUE(REGEXREPLACE(G2298,""[^[:digit:]]"", """"))"),1143.0)</f>
        <v>1143</v>
      </c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 t="s">
        <v>103</v>
      </c>
    </row>
    <row r="2299">
      <c r="A2299" s="7" t="s">
        <v>32</v>
      </c>
      <c r="B2299" s="7" t="s">
        <v>1781</v>
      </c>
      <c r="C2299" s="7">
        <f t="shared" si="301"/>
        <v>3</v>
      </c>
      <c r="D2299" s="7">
        <v>2.0</v>
      </c>
      <c r="E2299" s="7">
        <v>1.0</v>
      </c>
      <c r="F2299" s="7" t="s">
        <v>82</v>
      </c>
      <c r="G2299" s="7" t="s">
        <v>1782</v>
      </c>
      <c r="H2299" s="9" t="s">
        <v>2979</v>
      </c>
      <c r="I2299" t="s">
        <v>3921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 t="str">
        <f t="shared" si="1"/>
        <v>Built-up :</v>
      </c>
      <c r="AE2299" s="7" t="str">
        <f t="shared" si="2"/>
        <v> sq. ft.</v>
      </c>
      <c r="AF2299">
        <f>IFERROR(__xludf.DUMMYFUNCTION("VALUE(REGEXREPLACE(G2299,""[^[:digit:]]"", """"))"),958.0)</f>
        <v>958</v>
      </c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 t="s">
        <v>103</v>
      </c>
    </row>
    <row r="2300">
      <c r="A2300" s="7" t="s">
        <v>32</v>
      </c>
      <c r="B2300" s="7" t="s">
        <v>1348</v>
      </c>
      <c r="C2300" s="7">
        <f>3+1</f>
        <v>4</v>
      </c>
      <c r="D2300" s="7">
        <v>2.0</v>
      </c>
      <c r="E2300" s="7">
        <v>1.0</v>
      </c>
      <c r="F2300" s="7" t="s">
        <v>93</v>
      </c>
      <c r="G2300" s="7" t="s">
        <v>1783</v>
      </c>
      <c r="H2300" s="9" t="s">
        <v>2981</v>
      </c>
      <c r="I2300" t="s">
        <v>3922</v>
      </c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 t="str">
        <f t="shared" si="1"/>
        <v>Land area </v>
      </c>
      <c r="AE2300" s="7" t="str">
        <f t="shared" si="2"/>
        <v> sq. ft.</v>
      </c>
      <c r="AF2300">
        <f>IFERROR(__xludf.DUMMYFUNCTION("VALUE(REGEXREPLACE(G2300,""[^[:digit:]]"", """"))"),1142.0)</f>
        <v>1142</v>
      </c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 t="s">
        <v>103</v>
      </c>
    </row>
    <row r="2301">
      <c r="A2301" s="7" t="s">
        <v>32</v>
      </c>
      <c r="B2301" s="7" t="s">
        <v>1784</v>
      </c>
      <c r="C2301" s="7">
        <f>3</f>
        <v>3</v>
      </c>
      <c r="D2301" s="7">
        <v>2.0</v>
      </c>
      <c r="E2301" s="7">
        <v>1.0</v>
      </c>
      <c r="F2301" s="7" t="s">
        <v>93</v>
      </c>
      <c r="G2301" s="7" t="s">
        <v>1785</v>
      </c>
      <c r="H2301" s="9" t="s">
        <v>2981</v>
      </c>
      <c r="I2301" t="s">
        <v>3923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 t="str">
        <f t="shared" si="1"/>
        <v>Land area </v>
      </c>
      <c r="AE2301" s="7" t="str">
        <f t="shared" si="2"/>
        <v> sq. ft.</v>
      </c>
      <c r="AF2301">
        <f>IFERROR(__xludf.DUMMYFUNCTION("VALUE(REGEXREPLACE(G2301,""[^[:digit:]]"", """"))"),755.0)</f>
        <v>755</v>
      </c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 t="s">
        <v>27</v>
      </c>
    </row>
    <row r="2302">
      <c r="A2302" s="7" t="s">
        <v>241</v>
      </c>
      <c r="B2302" s="7" t="s">
        <v>1786</v>
      </c>
      <c r="C2302" s="7">
        <f>5</f>
        <v>5</v>
      </c>
      <c r="D2302" s="7">
        <v>3.0</v>
      </c>
      <c r="E2302" s="7">
        <v>2.0</v>
      </c>
      <c r="F2302" s="7" t="s">
        <v>54</v>
      </c>
      <c r="G2302" s="7" t="s">
        <v>1121</v>
      </c>
      <c r="H2302" s="9" t="s">
        <v>2981</v>
      </c>
      <c r="I2302" t="s">
        <v>3518</v>
      </c>
      <c r="J2302" s="7"/>
      <c r="K2302" s="7"/>
      <c r="L2302" s="7"/>
      <c r="M2302" s="7"/>
      <c r="N2302" s="7"/>
      <c r="O2302" s="7"/>
      <c r="P2302" s="7"/>
      <c r="Q2302" s="7"/>
      <c r="R2302" s="7"/>
      <c r="S2302" s="7" t="s">
        <v>3121</v>
      </c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 t="str">
        <f t="shared" si="1"/>
        <v>Land area </v>
      </c>
      <c r="AE2302" s="7" t="str">
        <f t="shared" si="2"/>
        <v> sq. ft.</v>
      </c>
      <c r="AF2302">
        <f>IFERROR(__xludf.DUMMYFUNCTION("VALUE(REGEXREPLACE(G2302,""[^[:digit:]]"", """"))"),2270.0)</f>
        <v>2270</v>
      </c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 t="s">
        <v>103</v>
      </c>
    </row>
    <row r="2303">
      <c r="A2303" s="7" t="s">
        <v>72</v>
      </c>
      <c r="B2303" s="7" t="s">
        <v>260</v>
      </c>
      <c r="C2303" s="7">
        <f>3+1</f>
        <v>4</v>
      </c>
      <c r="D2303" s="7">
        <v>3.0</v>
      </c>
      <c r="E2303" s="9">
        <v>2.0</v>
      </c>
      <c r="F2303" s="7" t="s">
        <v>30</v>
      </c>
      <c r="G2303" s="7" t="s">
        <v>1729</v>
      </c>
      <c r="H2303" s="9" t="s">
        <v>2979</v>
      </c>
      <c r="I2303" t="s">
        <v>3887</v>
      </c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 t="str">
        <f t="shared" si="1"/>
        <v>Built-up :</v>
      </c>
      <c r="AE2303" s="7" t="str">
        <f t="shared" si="2"/>
        <v> sq. ft.</v>
      </c>
      <c r="AF2303">
        <f>IFERROR(__xludf.DUMMYFUNCTION("VALUE(REGEXREPLACE(G2303,""[^[:digit:]]"", """"))"),2159.0)</f>
        <v>2159</v>
      </c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 t="s">
        <v>22</v>
      </c>
    </row>
    <row r="2304">
      <c r="A2304" s="7" t="s">
        <v>371</v>
      </c>
      <c r="B2304" s="7" t="s">
        <v>107</v>
      </c>
      <c r="C2304" s="7">
        <f t="shared" ref="C2304:C2305" si="302">3</f>
        <v>3</v>
      </c>
      <c r="D2304" s="7">
        <v>2.0</v>
      </c>
      <c r="E2304" s="9">
        <v>2.0</v>
      </c>
      <c r="F2304" s="7" t="s">
        <v>83</v>
      </c>
      <c r="G2304" s="7" t="s">
        <v>1521</v>
      </c>
      <c r="H2304" s="9" t="s">
        <v>2979</v>
      </c>
      <c r="I2304" t="s">
        <v>3758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 t="str">
        <f t="shared" si="1"/>
        <v>Built-up :</v>
      </c>
      <c r="AE2304" s="7" t="str">
        <f t="shared" si="2"/>
        <v> sq. ft.</v>
      </c>
      <c r="AF2304">
        <f>IFERROR(__xludf.DUMMYFUNCTION("VALUE(REGEXREPLACE(G2304,""[^[:digit:]]"", """"))"),1267.0)</f>
        <v>1267</v>
      </c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 t="s">
        <v>27</v>
      </c>
    </row>
    <row r="2305">
      <c r="A2305" s="7" t="s">
        <v>32</v>
      </c>
      <c r="B2305" s="7" t="s">
        <v>1477</v>
      </c>
      <c r="C2305" s="7">
        <f t="shared" si="302"/>
        <v>3</v>
      </c>
      <c r="D2305" s="7">
        <v>2.0</v>
      </c>
      <c r="E2305" s="7">
        <v>1.0</v>
      </c>
      <c r="F2305" s="7" t="s">
        <v>83</v>
      </c>
      <c r="G2305" s="7" t="s">
        <v>1787</v>
      </c>
      <c r="H2305" s="9" t="s">
        <v>2979</v>
      </c>
      <c r="I2305" t="s">
        <v>3924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 t="str">
        <f t="shared" si="1"/>
        <v>Built-up :</v>
      </c>
      <c r="AE2305" s="7" t="str">
        <f t="shared" si="2"/>
        <v> sq. ft.</v>
      </c>
      <c r="AF2305">
        <f>IFERROR(__xludf.DUMMYFUNCTION("VALUE(REGEXREPLACE(G2305,""[^[:digit:]]"", """"))"),864.0)</f>
        <v>864</v>
      </c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</row>
    <row r="2306">
      <c r="A2306" s="7" t="s">
        <v>17</v>
      </c>
      <c r="B2306" s="7" t="s">
        <v>165</v>
      </c>
      <c r="C2306" s="7">
        <f t="shared" ref="C2306:C2308" si="303">3+1</f>
        <v>4</v>
      </c>
      <c r="D2306" s="7">
        <v>5.0</v>
      </c>
      <c r="E2306" s="9">
        <v>2.0</v>
      </c>
      <c r="F2306" s="7" t="s">
        <v>93</v>
      </c>
      <c r="G2306" s="7" t="s">
        <v>1788</v>
      </c>
      <c r="H2306" s="9" t="s">
        <v>2979</v>
      </c>
      <c r="I2306" t="s">
        <v>3925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 t="str">
        <f t="shared" si="1"/>
        <v>Built-up :</v>
      </c>
      <c r="AE2306" s="7" t="str">
        <f t="shared" si="2"/>
        <v> sq. ft.</v>
      </c>
      <c r="AF2306">
        <f>IFERROR(__xludf.DUMMYFUNCTION("VALUE(REGEXREPLACE(G2306,""[^[:digit:]]"", """"))"),3070.0)</f>
        <v>3070</v>
      </c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 t="s">
        <v>27</v>
      </c>
    </row>
    <row r="2307">
      <c r="A2307" s="7" t="s">
        <v>17</v>
      </c>
      <c r="B2307" s="7" t="s">
        <v>1771</v>
      </c>
      <c r="C2307" s="7">
        <f t="shared" si="303"/>
        <v>4</v>
      </c>
      <c r="D2307" s="7">
        <v>5.0</v>
      </c>
      <c r="E2307" s="9">
        <v>2.0</v>
      </c>
      <c r="F2307" s="7" t="s">
        <v>30</v>
      </c>
      <c r="G2307" s="7" t="s">
        <v>159</v>
      </c>
      <c r="H2307" s="9" t="s">
        <v>2979</v>
      </c>
      <c r="I2307" t="s">
        <v>3032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 t="str">
        <f t="shared" si="1"/>
        <v>Built-up :</v>
      </c>
      <c r="AE2307" s="7" t="str">
        <f t="shared" si="2"/>
        <v> sq. ft.</v>
      </c>
      <c r="AF2307">
        <f>IFERROR(__xludf.DUMMYFUNCTION("VALUE(REGEXREPLACE(G2307,""[^[:digit:]]"", """"))"),2347.0)</f>
        <v>2347</v>
      </c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 t="s">
        <v>27</v>
      </c>
    </row>
    <row r="2308">
      <c r="A2308" s="7" t="s">
        <v>17</v>
      </c>
      <c r="B2308" s="7" t="s">
        <v>339</v>
      </c>
      <c r="C2308" s="7">
        <f t="shared" si="303"/>
        <v>4</v>
      </c>
      <c r="D2308" s="7">
        <v>5.0</v>
      </c>
      <c r="E2308" s="9">
        <v>2.0</v>
      </c>
      <c r="F2308" s="7" t="s">
        <v>30</v>
      </c>
      <c r="G2308" s="7" t="s">
        <v>1622</v>
      </c>
      <c r="H2308" s="9" t="s">
        <v>2979</v>
      </c>
      <c r="I2308" t="s">
        <v>3818</v>
      </c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 t="str">
        <f t="shared" si="1"/>
        <v>Built-up :</v>
      </c>
      <c r="AE2308" s="7" t="str">
        <f t="shared" si="2"/>
        <v> sq. ft.</v>
      </c>
      <c r="AF2308">
        <f>IFERROR(__xludf.DUMMYFUNCTION("VALUE(REGEXREPLACE(G2308,""[^[:digit:]]"", """"))"),2550.0)</f>
        <v>2550</v>
      </c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 t="s">
        <v>27</v>
      </c>
    </row>
    <row r="2309">
      <c r="A2309" s="7" t="s">
        <v>17</v>
      </c>
      <c r="B2309" s="7" t="s">
        <v>1710</v>
      </c>
      <c r="C2309" s="7">
        <f>4+1</f>
        <v>5</v>
      </c>
      <c r="D2309" s="7">
        <v>5.0</v>
      </c>
      <c r="E2309" s="9">
        <v>2.0</v>
      </c>
      <c r="F2309" s="7" t="s">
        <v>30</v>
      </c>
      <c r="G2309" s="7" t="s">
        <v>431</v>
      </c>
      <c r="H2309" s="9" t="s">
        <v>2979</v>
      </c>
      <c r="I2309" t="s">
        <v>3159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 t="str">
        <f t="shared" si="1"/>
        <v>Built-up :</v>
      </c>
      <c r="AE2309" s="7" t="str">
        <f t="shared" si="2"/>
        <v> sq. ft.</v>
      </c>
      <c r="AF2309">
        <f>IFERROR(__xludf.DUMMYFUNCTION("VALUE(REGEXREPLACE(G2309,""[^[:digit:]]"", """"))"),2906.0)</f>
        <v>2906</v>
      </c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 t="s">
        <v>103</v>
      </c>
    </row>
    <row r="2310">
      <c r="A2310" s="7" t="s">
        <v>17</v>
      </c>
      <c r="B2310" s="7" t="s">
        <v>1789</v>
      </c>
      <c r="C2310" s="7">
        <f t="shared" ref="C2310:C2311" si="304">3+1</f>
        <v>4</v>
      </c>
      <c r="D2310" s="7">
        <v>5.0</v>
      </c>
      <c r="E2310" s="9">
        <v>2.0</v>
      </c>
      <c r="F2310" s="7" t="s">
        <v>30</v>
      </c>
      <c r="G2310" s="7" t="s">
        <v>159</v>
      </c>
      <c r="H2310" s="9" t="s">
        <v>2979</v>
      </c>
      <c r="I2310" t="s">
        <v>3032</v>
      </c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 t="str">
        <f t="shared" si="1"/>
        <v>Built-up :</v>
      </c>
      <c r="AE2310" s="7" t="str">
        <f t="shared" si="2"/>
        <v> sq. ft.</v>
      </c>
      <c r="AF2310">
        <f>IFERROR(__xludf.DUMMYFUNCTION("VALUE(REGEXREPLACE(G2310,""[^[:digit:]]"", """"))"),2347.0)</f>
        <v>2347</v>
      </c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 t="s">
        <v>103</v>
      </c>
    </row>
    <row r="2311">
      <c r="A2311" s="7" t="s">
        <v>17</v>
      </c>
      <c r="B2311" s="7" t="s">
        <v>1417</v>
      </c>
      <c r="C2311" s="7">
        <f t="shared" si="304"/>
        <v>4</v>
      </c>
      <c r="D2311" s="7">
        <v>5.0</v>
      </c>
      <c r="E2311" s="9">
        <v>2.0</v>
      </c>
      <c r="F2311" s="7" t="s">
        <v>30</v>
      </c>
      <c r="G2311" s="7" t="s">
        <v>1418</v>
      </c>
      <c r="H2311" s="9" t="s">
        <v>2979</v>
      </c>
      <c r="I2311" t="s">
        <v>3700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 t="str">
        <f t="shared" si="1"/>
        <v>Built-up :</v>
      </c>
      <c r="AE2311" s="7" t="str">
        <f t="shared" si="2"/>
        <v> sq. ft.</v>
      </c>
      <c r="AF2311">
        <f>IFERROR(__xludf.DUMMYFUNCTION("VALUE(REGEXREPLACE(G2311,""[^[:digit:]]"", """"))"),2586.0)</f>
        <v>2586</v>
      </c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 t="s">
        <v>103</v>
      </c>
    </row>
    <row r="2312">
      <c r="A2312" s="7" t="s">
        <v>37</v>
      </c>
      <c r="B2312" s="7" t="s">
        <v>1790</v>
      </c>
      <c r="C2312" s="7">
        <f>6+1</f>
        <v>7</v>
      </c>
      <c r="D2312" s="7">
        <v>9.0</v>
      </c>
      <c r="E2312" s="9">
        <v>2.0</v>
      </c>
      <c r="F2312" s="7" t="s">
        <v>67</v>
      </c>
      <c r="G2312" s="7" t="s">
        <v>1097</v>
      </c>
      <c r="H2312" s="9" t="s">
        <v>2981</v>
      </c>
      <c r="I2312" t="s">
        <v>3503</v>
      </c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 t="str">
        <f t="shared" si="1"/>
        <v>Land area </v>
      </c>
      <c r="AE2312" s="7" t="str">
        <f t="shared" si="2"/>
        <v> sq. ft.</v>
      </c>
      <c r="AF2312">
        <f>IFERROR(__xludf.DUMMYFUNCTION("VALUE(REGEXREPLACE(G2312,""[^[:digit:]]"", """"))"),16001.0)</f>
        <v>16001</v>
      </c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 t="s">
        <v>27</v>
      </c>
    </row>
    <row r="2313">
      <c r="A2313" s="7" t="s">
        <v>32</v>
      </c>
      <c r="B2313" s="7" t="s">
        <v>1791</v>
      </c>
      <c r="C2313" s="7">
        <f>2</f>
        <v>2</v>
      </c>
      <c r="D2313" s="7">
        <v>2.0</v>
      </c>
      <c r="E2313" s="7">
        <v>1.0</v>
      </c>
      <c r="F2313" s="7" t="s">
        <v>93</v>
      </c>
      <c r="G2313" s="7" t="s">
        <v>246</v>
      </c>
      <c r="H2313" s="9" t="s">
        <v>2979</v>
      </c>
      <c r="I2313" t="s">
        <v>3074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 t="str">
        <f t="shared" si="1"/>
        <v>Built-up :</v>
      </c>
      <c r="AE2313" s="7" t="str">
        <f t="shared" si="2"/>
        <v> sq. ft.</v>
      </c>
      <c r="AF2313">
        <f>IFERROR(__xludf.DUMMYFUNCTION("VALUE(REGEXREPLACE(G2313,""[^[:digit:]]"", """"))"),825.0)</f>
        <v>825</v>
      </c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 t="s">
        <v>27</v>
      </c>
    </row>
    <row r="2314">
      <c r="A2314" s="7" t="s">
        <v>148</v>
      </c>
      <c r="B2314" s="7" t="s">
        <v>81</v>
      </c>
      <c r="C2314" s="7">
        <f>3+1</f>
        <v>4</v>
      </c>
      <c r="D2314" s="7">
        <v>4.0</v>
      </c>
      <c r="E2314" s="9">
        <v>2.0</v>
      </c>
      <c r="F2314" s="7" t="s">
        <v>470</v>
      </c>
      <c r="G2314" s="7" t="s">
        <v>400</v>
      </c>
      <c r="H2314" s="9" t="s">
        <v>2979</v>
      </c>
      <c r="I2314" t="s">
        <v>3145</v>
      </c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 t="str">
        <f t="shared" si="1"/>
        <v>Built-up :</v>
      </c>
      <c r="AE2314" s="7" t="str">
        <f t="shared" si="2"/>
        <v> sq. ft.</v>
      </c>
      <c r="AF2314">
        <f>IFERROR(__xludf.DUMMYFUNCTION("VALUE(REGEXREPLACE(G2314,""[^[:digit:]]"", """"))"),2400.0)</f>
        <v>2400</v>
      </c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 t="s">
        <v>27</v>
      </c>
    </row>
    <row r="2315">
      <c r="A2315" s="7" t="s">
        <v>177</v>
      </c>
      <c r="B2315" s="7" t="s">
        <v>1790</v>
      </c>
      <c r="C2315" s="7">
        <f>4+1</f>
        <v>5</v>
      </c>
      <c r="D2315" s="7">
        <v>6.0</v>
      </c>
      <c r="E2315" s="9">
        <v>2.0</v>
      </c>
      <c r="F2315" s="7" t="s">
        <v>30</v>
      </c>
      <c r="G2315" s="7" t="s">
        <v>1792</v>
      </c>
      <c r="H2315" s="9" t="s">
        <v>2979</v>
      </c>
      <c r="I2315" t="s">
        <v>3926</v>
      </c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 t="str">
        <f t="shared" si="1"/>
        <v>Built-up :</v>
      </c>
      <c r="AE2315" s="7" t="str">
        <f t="shared" si="2"/>
        <v> sq. ft.</v>
      </c>
      <c r="AF2315">
        <f>IFERROR(__xludf.DUMMYFUNCTION("VALUE(REGEXREPLACE(G2315,""[^[:digit:]]"", """"))"),5200.0)</f>
        <v>5200</v>
      </c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 t="s">
        <v>27</v>
      </c>
    </row>
    <row r="2316">
      <c r="A2316" s="7" t="s">
        <v>177</v>
      </c>
      <c r="B2316" s="7" t="s">
        <v>1793</v>
      </c>
      <c r="C2316" s="7">
        <f t="shared" ref="C2316:C2317" si="305">3+1</f>
        <v>4</v>
      </c>
      <c r="D2316" s="7">
        <v>5.0</v>
      </c>
      <c r="E2316" s="7">
        <v>3.0</v>
      </c>
      <c r="F2316" s="7" t="s">
        <v>30</v>
      </c>
      <c r="G2316" s="7" t="s">
        <v>205</v>
      </c>
      <c r="H2316" s="9" t="s">
        <v>2979</v>
      </c>
      <c r="I2316" t="s">
        <v>3052</v>
      </c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 t="str">
        <f t="shared" si="1"/>
        <v>Built-up :</v>
      </c>
      <c r="AE2316" s="7" t="str">
        <f t="shared" si="2"/>
        <v> sq. ft.</v>
      </c>
      <c r="AF2316">
        <f>IFERROR(__xludf.DUMMYFUNCTION("VALUE(REGEXREPLACE(G2316,""[^[:digit:]]"", """"))"),3282.0)</f>
        <v>3282</v>
      </c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 t="s">
        <v>22</v>
      </c>
    </row>
    <row r="2317">
      <c r="A2317" s="7" t="s">
        <v>177</v>
      </c>
      <c r="B2317" s="7" t="s">
        <v>1794</v>
      </c>
      <c r="C2317" s="7">
        <f t="shared" si="305"/>
        <v>4</v>
      </c>
      <c r="D2317" s="7">
        <v>5.0</v>
      </c>
      <c r="E2317" s="9">
        <v>2.0</v>
      </c>
      <c r="F2317" s="7" t="s">
        <v>30</v>
      </c>
      <c r="G2317" s="7" t="s">
        <v>205</v>
      </c>
      <c r="H2317" s="9" t="s">
        <v>2979</v>
      </c>
      <c r="I2317" t="s">
        <v>3052</v>
      </c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 t="str">
        <f t="shared" si="1"/>
        <v>Built-up :</v>
      </c>
      <c r="AE2317" s="7" t="str">
        <f t="shared" si="2"/>
        <v> sq. ft.</v>
      </c>
      <c r="AF2317">
        <f>IFERROR(__xludf.DUMMYFUNCTION("VALUE(REGEXREPLACE(G2317,""[^[:digit:]]"", """"))"),3282.0)</f>
        <v>3282</v>
      </c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 t="s">
        <v>27</v>
      </c>
    </row>
    <row r="2318">
      <c r="A2318" s="7" t="s">
        <v>177</v>
      </c>
      <c r="B2318" s="7" t="s">
        <v>616</v>
      </c>
      <c r="C2318" s="7">
        <f>4+1</f>
        <v>5</v>
      </c>
      <c r="D2318" s="7">
        <v>5.0</v>
      </c>
      <c r="E2318" s="9">
        <v>2.0</v>
      </c>
      <c r="F2318" s="7" t="s">
        <v>30</v>
      </c>
      <c r="G2318" s="7" t="s">
        <v>1792</v>
      </c>
      <c r="H2318" s="9" t="s">
        <v>2979</v>
      </c>
      <c r="I2318" t="s">
        <v>3926</v>
      </c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 t="str">
        <f t="shared" si="1"/>
        <v>Built-up :</v>
      </c>
      <c r="AE2318" s="7" t="str">
        <f t="shared" si="2"/>
        <v> sq. ft.</v>
      </c>
      <c r="AF2318">
        <f>IFERROR(__xludf.DUMMYFUNCTION("VALUE(REGEXREPLACE(G2318,""[^[:digit:]]"", """"))"),5200.0)</f>
        <v>5200</v>
      </c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 t="s">
        <v>27</v>
      </c>
    </row>
    <row r="2319">
      <c r="A2319" s="7" t="s">
        <v>177</v>
      </c>
      <c r="B2319" s="7" t="s">
        <v>1795</v>
      </c>
      <c r="C2319" s="7">
        <f>3+1</f>
        <v>4</v>
      </c>
      <c r="D2319" s="7">
        <v>5.0</v>
      </c>
      <c r="E2319" s="9">
        <v>2.0</v>
      </c>
      <c r="F2319" s="7" t="s">
        <v>30</v>
      </c>
      <c r="G2319" s="7" t="s">
        <v>1796</v>
      </c>
      <c r="H2319" s="9" t="s">
        <v>2979</v>
      </c>
      <c r="I2319" t="s">
        <v>3927</v>
      </c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 t="str">
        <f t="shared" si="1"/>
        <v>Built-up :</v>
      </c>
      <c r="AE2319" s="7" t="str">
        <f t="shared" si="2"/>
        <v> sq. ft.</v>
      </c>
      <c r="AF2319">
        <f>IFERROR(__xludf.DUMMYFUNCTION("VALUE(REGEXREPLACE(G2319,""[^[:digit:]]"", """"))"),3239.0)</f>
        <v>3239</v>
      </c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 t="s">
        <v>27</v>
      </c>
    </row>
    <row r="2320">
      <c r="A2320" s="7" t="s">
        <v>177</v>
      </c>
      <c r="B2320" s="7" t="s">
        <v>1797</v>
      </c>
      <c r="C2320" s="7">
        <f>4</f>
        <v>4</v>
      </c>
      <c r="D2320" s="7">
        <v>6.0</v>
      </c>
      <c r="E2320" s="7">
        <v>4.0</v>
      </c>
      <c r="F2320" s="7" t="s">
        <v>30</v>
      </c>
      <c r="G2320" s="7" t="s">
        <v>1798</v>
      </c>
      <c r="H2320" s="9" t="s">
        <v>2979</v>
      </c>
      <c r="I2320" t="s">
        <v>3928</v>
      </c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 t="str">
        <f t="shared" si="1"/>
        <v>Built-up :</v>
      </c>
      <c r="AE2320" s="7" t="str">
        <f t="shared" si="2"/>
        <v> sq. ft.</v>
      </c>
      <c r="AF2320">
        <f>IFERROR(__xludf.DUMMYFUNCTION("VALUE(REGEXREPLACE(G2320,""[^[:digit:]]"", """"))"),4200.0)</f>
        <v>4200</v>
      </c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 t="s">
        <v>27</v>
      </c>
    </row>
    <row r="2321">
      <c r="A2321" s="7" t="s">
        <v>72</v>
      </c>
      <c r="B2321" s="7" t="s">
        <v>277</v>
      </c>
      <c r="C2321" s="7">
        <f>3+1</f>
        <v>4</v>
      </c>
      <c r="D2321" s="7">
        <v>5.0</v>
      </c>
      <c r="E2321" s="7">
        <v>3.0</v>
      </c>
      <c r="F2321" s="7" t="s">
        <v>30</v>
      </c>
      <c r="G2321" s="7" t="s">
        <v>1799</v>
      </c>
      <c r="H2321" s="9" t="s">
        <v>2981</v>
      </c>
      <c r="I2321" t="s">
        <v>3929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 t="str">
        <f t="shared" si="1"/>
        <v>Land area </v>
      </c>
      <c r="AE2321" s="7" t="str">
        <f t="shared" si="2"/>
        <v> sq. ft.</v>
      </c>
      <c r="AF2321">
        <f>IFERROR(__xludf.DUMMYFUNCTION("VALUE(REGEXREPLACE(G2321,""[^[:digit:]]"", """"))"),2707.0)</f>
        <v>2707</v>
      </c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 t="s">
        <v>27</v>
      </c>
    </row>
    <row r="2322">
      <c r="A2322" s="7" t="s">
        <v>155</v>
      </c>
      <c r="B2322" s="7" t="s">
        <v>156</v>
      </c>
      <c r="C2322" s="7">
        <f>2+1</f>
        <v>3</v>
      </c>
      <c r="D2322" s="7">
        <v>2.0</v>
      </c>
      <c r="E2322" s="7">
        <v>2.0</v>
      </c>
      <c r="F2322" s="7" t="s">
        <v>93</v>
      </c>
      <c r="G2322" s="7" t="s">
        <v>1800</v>
      </c>
      <c r="H2322" s="9" t="s">
        <v>2979</v>
      </c>
      <c r="I2322" t="s">
        <v>3930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 t="str">
        <f t="shared" si="1"/>
        <v>Built-up :</v>
      </c>
      <c r="AE2322" s="7" t="str">
        <f t="shared" si="2"/>
        <v> sq. ft.</v>
      </c>
      <c r="AF2322">
        <f>IFERROR(__xludf.DUMMYFUNCTION("VALUE(REGEXREPLACE(G2322,""[^[:digit:]]"", """"))"),1273.0)</f>
        <v>1273</v>
      </c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 t="s">
        <v>27</v>
      </c>
    </row>
    <row r="2323">
      <c r="A2323" s="7" t="s">
        <v>155</v>
      </c>
      <c r="B2323" s="7" t="s">
        <v>1517</v>
      </c>
      <c r="C2323" s="7">
        <f>3</f>
        <v>3</v>
      </c>
      <c r="D2323" s="7">
        <v>3.0</v>
      </c>
      <c r="E2323" s="7">
        <v>2.0</v>
      </c>
      <c r="F2323" s="7" t="s">
        <v>83</v>
      </c>
      <c r="G2323" s="7" t="s">
        <v>630</v>
      </c>
      <c r="H2323" s="9" t="s">
        <v>2979</v>
      </c>
      <c r="I2323" t="s">
        <v>3257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 t="str">
        <f t="shared" si="1"/>
        <v>Built-up :</v>
      </c>
      <c r="AE2323" s="7" t="str">
        <f t="shared" si="2"/>
        <v> sq. ft.</v>
      </c>
      <c r="AF2323">
        <f>IFERROR(__xludf.DUMMYFUNCTION("VALUE(REGEXREPLACE(G2323,""[^[:digit:]]"", """"))"),1186.0)</f>
        <v>1186</v>
      </c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 t="s">
        <v>27</v>
      </c>
    </row>
    <row r="2324">
      <c r="A2324" s="7" t="s">
        <v>41</v>
      </c>
      <c r="B2324" s="7" t="s">
        <v>513</v>
      </c>
      <c r="C2324" s="7">
        <v>13.0</v>
      </c>
      <c r="D2324" s="7">
        <v>13.0</v>
      </c>
      <c r="E2324" s="7">
        <v>6.0</v>
      </c>
      <c r="F2324" s="7" t="s">
        <v>67</v>
      </c>
      <c r="G2324" s="7" t="s">
        <v>1802</v>
      </c>
      <c r="H2324" s="9" t="s">
        <v>2981</v>
      </c>
      <c r="I2324" t="s">
        <v>3931</v>
      </c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 t="str">
        <f t="shared" si="1"/>
        <v>Land area </v>
      </c>
      <c r="AE2324" s="7" t="str">
        <f t="shared" si="2"/>
        <v> sq. ft.</v>
      </c>
      <c r="AF2324">
        <f>IFERROR(__xludf.DUMMYFUNCTION("VALUE(REGEXREPLACE(G2324,""[^[:digit:]]"", """"))"),9838.0)</f>
        <v>9838</v>
      </c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 t="s">
        <v>27</v>
      </c>
    </row>
    <row r="2325">
      <c r="A2325" s="7" t="s">
        <v>41</v>
      </c>
      <c r="B2325" s="7" t="s">
        <v>1803</v>
      </c>
      <c r="E2325" s="9">
        <v>2.0</v>
      </c>
      <c r="F2325" s="7" t="s">
        <v>1804</v>
      </c>
      <c r="G2325" s="7" t="s">
        <v>1643</v>
      </c>
      <c r="H2325" s="9" t="s">
        <v>2981</v>
      </c>
      <c r="I2325" t="s">
        <v>3830</v>
      </c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 t="str">
        <f t="shared" si="1"/>
        <v>Land area </v>
      </c>
      <c r="AE2325" s="7" t="str">
        <f t="shared" si="2"/>
        <v> sq. ft.</v>
      </c>
      <c r="AF2325">
        <f>IFERROR(__xludf.DUMMYFUNCTION("VALUE(REGEXREPLACE(G2325,""[^[:digit:]]"", """"))"),9884.0)</f>
        <v>9884</v>
      </c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 t="s">
        <v>251</v>
      </c>
    </row>
    <row r="2326">
      <c r="A2326" s="7" t="s">
        <v>41</v>
      </c>
      <c r="B2326" s="7" t="s">
        <v>616</v>
      </c>
      <c r="C2326" s="7">
        <f>5+1</f>
        <v>6</v>
      </c>
      <c r="D2326" s="7">
        <v>6.0</v>
      </c>
      <c r="E2326" s="9">
        <v>2.0</v>
      </c>
      <c r="F2326" s="7" t="s">
        <v>67</v>
      </c>
      <c r="G2326" s="7" t="s">
        <v>1640</v>
      </c>
      <c r="H2326" s="9" t="s">
        <v>2981</v>
      </c>
      <c r="I2326" t="s">
        <v>3829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 t="str">
        <f t="shared" si="1"/>
        <v>Land area </v>
      </c>
      <c r="AE2326" s="7" t="str">
        <f t="shared" si="2"/>
        <v> sq. ft.</v>
      </c>
      <c r="AF2326">
        <f>IFERROR(__xludf.DUMMYFUNCTION("VALUE(REGEXREPLACE(G2326,""[^[:digit:]]"", """"))"),8812.0)</f>
        <v>8812</v>
      </c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 t="s">
        <v>22</v>
      </c>
    </row>
    <row r="2327">
      <c r="A2327" s="7" t="s">
        <v>41</v>
      </c>
      <c r="B2327" s="7" t="s">
        <v>260</v>
      </c>
      <c r="C2327" s="7">
        <f>4</f>
        <v>4</v>
      </c>
      <c r="D2327" s="7">
        <v>3.0</v>
      </c>
      <c r="E2327" s="7">
        <v>2.0</v>
      </c>
      <c r="F2327" s="7" t="s">
        <v>203</v>
      </c>
      <c r="G2327" s="7" t="s">
        <v>1805</v>
      </c>
      <c r="H2327" s="9" t="s">
        <v>2981</v>
      </c>
      <c r="I2327" t="s">
        <v>3932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 t="str">
        <f t="shared" si="1"/>
        <v>Land area </v>
      </c>
      <c r="AE2327" s="7" t="str">
        <f t="shared" si="2"/>
        <v> sq. ft.</v>
      </c>
      <c r="AF2327">
        <f>IFERROR(__xludf.DUMMYFUNCTION("VALUE(REGEXREPLACE(G2327,""[^[:digit:]]"", """"))"),2.22151E7)</f>
        <v>22215100</v>
      </c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 t="s">
        <v>27</v>
      </c>
    </row>
    <row r="2328">
      <c r="A2328" s="7" t="s">
        <v>41</v>
      </c>
      <c r="B2328" s="7" t="s">
        <v>1806</v>
      </c>
      <c r="C2328" s="7">
        <f>7+1</f>
        <v>8</v>
      </c>
      <c r="D2328" s="7">
        <v>9.0</v>
      </c>
      <c r="E2328" s="7">
        <v>4.0</v>
      </c>
      <c r="F2328" s="7" t="s">
        <v>61</v>
      </c>
      <c r="G2328" s="7" t="s">
        <v>1035</v>
      </c>
      <c r="H2328" s="9" t="s">
        <v>2981</v>
      </c>
      <c r="I2328" t="s">
        <v>3469</v>
      </c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 t="str">
        <f t="shared" si="1"/>
        <v>Land area </v>
      </c>
      <c r="AE2328" s="7" t="str">
        <f t="shared" si="2"/>
        <v> sq. ft.</v>
      </c>
      <c r="AF2328">
        <f>IFERROR(__xludf.DUMMYFUNCTION("VALUE(REGEXREPLACE(G2328,""[^[:digit:]]"", """"))"),6800.0)</f>
        <v>6800</v>
      </c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 t="s">
        <v>27</v>
      </c>
    </row>
    <row r="2329">
      <c r="A2329" s="7" t="s">
        <v>28</v>
      </c>
      <c r="B2329" s="7" t="s">
        <v>227</v>
      </c>
      <c r="C2329" s="7">
        <f>5+1</f>
        <v>6</v>
      </c>
      <c r="D2329" s="7">
        <v>6.0</v>
      </c>
      <c r="E2329" s="7">
        <v>3.0</v>
      </c>
      <c r="F2329" s="7" t="s">
        <v>64</v>
      </c>
      <c r="G2329" s="7" t="s">
        <v>1807</v>
      </c>
      <c r="H2329" s="9" t="s">
        <v>2981</v>
      </c>
      <c r="I2329" t="s">
        <v>3350</v>
      </c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 t="str">
        <f t="shared" si="1"/>
        <v>Land area </v>
      </c>
      <c r="AE2329" s="7" t="str">
        <f t="shared" si="2"/>
        <v> sq. ft.</v>
      </c>
      <c r="AF2329">
        <f>IFERROR(__xludf.DUMMYFUNCTION("VALUE(REGEXREPLACE(G2329,""[^[:digit:]]"", """"))"),3690.0)</f>
        <v>3690</v>
      </c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 t="s">
        <v>22</v>
      </c>
    </row>
    <row r="2330">
      <c r="A2330" s="7" t="s">
        <v>155</v>
      </c>
      <c r="B2330" s="7" t="s">
        <v>172</v>
      </c>
      <c r="C2330" s="7">
        <f t="shared" ref="C2330:C2334" si="306">3</f>
        <v>3</v>
      </c>
      <c r="D2330" s="7">
        <v>2.0</v>
      </c>
      <c r="E2330" s="9">
        <v>2.0</v>
      </c>
      <c r="F2330" s="7" t="s">
        <v>20</v>
      </c>
      <c r="G2330" s="7" t="s">
        <v>1808</v>
      </c>
      <c r="H2330" s="9" t="s">
        <v>2979</v>
      </c>
      <c r="I2330" t="s">
        <v>3933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 t="str">
        <f t="shared" si="1"/>
        <v>Built-up :</v>
      </c>
      <c r="AE2330" s="7" t="str">
        <f t="shared" si="2"/>
        <v> sq. ft.</v>
      </c>
      <c r="AF2330">
        <f>IFERROR(__xludf.DUMMYFUNCTION("VALUE(REGEXREPLACE(G2330,""[^[:digit:]]"", """"))"),948.0)</f>
        <v>948</v>
      </c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 t="s">
        <v>103</v>
      </c>
    </row>
    <row r="2331">
      <c r="A2331" s="7" t="s">
        <v>28</v>
      </c>
      <c r="B2331" s="7" t="s">
        <v>139</v>
      </c>
      <c r="C2331" s="7">
        <f t="shared" si="306"/>
        <v>3</v>
      </c>
      <c r="D2331" s="7">
        <v>2.0</v>
      </c>
      <c r="E2331" s="7">
        <v>2.0</v>
      </c>
      <c r="F2331" s="7" t="s">
        <v>30</v>
      </c>
      <c r="G2331" s="7" t="s">
        <v>1514</v>
      </c>
      <c r="H2331" s="9" t="s">
        <v>2979</v>
      </c>
      <c r="I2331" t="s">
        <v>3753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 t="str">
        <f t="shared" si="1"/>
        <v>Built-up :</v>
      </c>
      <c r="AE2331" s="7" t="str">
        <f t="shared" si="2"/>
        <v> sq. ft.</v>
      </c>
      <c r="AF2331">
        <f>IFERROR(__xludf.DUMMYFUNCTION("VALUE(REGEXREPLACE(G2331,""[^[:digit:]]"", """"))"),1253.0)</f>
        <v>1253</v>
      </c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 t="s">
        <v>27</v>
      </c>
    </row>
    <row r="2332">
      <c r="A2332" s="7" t="s">
        <v>28</v>
      </c>
      <c r="B2332" s="7" t="s">
        <v>168</v>
      </c>
      <c r="C2332" s="7">
        <f t="shared" si="306"/>
        <v>3</v>
      </c>
      <c r="D2332" s="7">
        <v>2.0</v>
      </c>
      <c r="E2332" s="7">
        <v>2.0</v>
      </c>
      <c r="F2332" s="7" t="s">
        <v>30</v>
      </c>
      <c r="G2332" s="7" t="s">
        <v>1514</v>
      </c>
      <c r="H2332" s="9" t="s">
        <v>2979</v>
      </c>
      <c r="I2332" t="s">
        <v>3753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 t="str">
        <f t="shared" si="1"/>
        <v>Built-up :</v>
      </c>
      <c r="AE2332" s="7" t="str">
        <f t="shared" si="2"/>
        <v> sq. ft.</v>
      </c>
      <c r="AF2332">
        <f>IFERROR(__xludf.DUMMYFUNCTION("VALUE(REGEXREPLACE(G2332,""[^[:digit:]]"", """"))"),1253.0)</f>
        <v>1253</v>
      </c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 t="s">
        <v>27</v>
      </c>
    </row>
    <row r="2333">
      <c r="A2333" s="7" t="s">
        <v>33</v>
      </c>
      <c r="B2333" s="7" t="s">
        <v>361</v>
      </c>
      <c r="C2333" s="7">
        <f t="shared" si="306"/>
        <v>3</v>
      </c>
      <c r="D2333" s="7">
        <v>3.0</v>
      </c>
      <c r="E2333" s="7">
        <v>2.0</v>
      </c>
      <c r="F2333" s="7" t="s">
        <v>93</v>
      </c>
      <c r="G2333" s="7" t="s">
        <v>1156</v>
      </c>
      <c r="H2333" s="9" t="s">
        <v>2979</v>
      </c>
      <c r="I2333" t="s">
        <v>3545</v>
      </c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 t="str">
        <f t="shared" si="1"/>
        <v>Built-up :</v>
      </c>
      <c r="AE2333" s="7" t="str">
        <f t="shared" si="2"/>
        <v> sq. ft.</v>
      </c>
      <c r="AF2333">
        <f>IFERROR(__xludf.DUMMYFUNCTION("VALUE(REGEXREPLACE(G2333,""[^[:digit:]]"", """"))"),1003.0)</f>
        <v>1003</v>
      </c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 t="s">
        <v>103</v>
      </c>
    </row>
    <row r="2334">
      <c r="A2334" s="7" t="s">
        <v>89</v>
      </c>
      <c r="B2334" s="7" t="s">
        <v>759</v>
      </c>
      <c r="C2334" s="7">
        <f t="shared" si="306"/>
        <v>3</v>
      </c>
      <c r="D2334" s="7">
        <v>2.0</v>
      </c>
      <c r="E2334" s="7">
        <v>2.0</v>
      </c>
      <c r="F2334" s="7" t="s">
        <v>30</v>
      </c>
      <c r="G2334" s="7" t="s">
        <v>1670</v>
      </c>
      <c r="H2334" s="9" t="s">
        <v>2979</v>
      </c>
      <c r="I2334" t="s">
        <v>3845</v>
      </c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 t="str">
        <f t="shared" si="1"/>
        <v>Built-up :</v>
      </c>
      <c r="AE2334" s="7" t="str">
        <f t="shared" si="2"/>
        <v> sq. ft.</v>
      </c>
      <c r="AF2334">
        <f>IFERROR(__xludf.DUMMYFUNCTION("VALUE(REGEXREPLACE(G2334,""[^[:digit:]]"", """"))"),1127.0)</f>
        <v>1127</v>
      </c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 t="s">
        <v>27</v>
      </c>
    </row>
    <row r="2335">
      <c r="A2335" s="7" t="s">
        <v>241</v>
      </c>
      <c r="B2335" s="7" t="s">
        <v>715</v>
      </c>
      <c r="C2335" s="7">
        <f>3+1</f>
        <v>4</v>
      </c>
      <c r="D2335" s="7">
        <v>2.0</v>
      </c>
      <c r="E2335" s="7">
        <v>2.0</v>
      </c>
      <c r="F2335" s="7" t="s">
        <v>93</v>
      </c>
      <c r="G2335" s="7" t="s">
        <v>192</v>
      </c>
      <c r="H2335" s="9" t="s">
        <v>2979</v>
      </c>
      <c r="I2335" t="s">
        <v>3045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 t="str">
        <f t="shared" si="1"/>
        <v>Built-up :</v>
      </c>
      <c r="AE2335" s="7" t="str">
        <f t="shared" si="2"/>
        <v> sq. ft.</v>
      </c>
      <c r="AF2335">
        <f>IFERROR(__xludf.DUMMYFUNCTION("VALUE(REGEXREPLACE(G2335,""[^[:digit:]]"", """"))"),1313.0)</f>
        <v>1313</v>
      </c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 t="s">
        <v>27</v>
      </c>
    </row>
    <row r="2336">
      <c r="A2336" s="7" t="s">
        <v>77</v>
      </c>
      <c r="B2336" s="7" t="s">
        <v>1809</v>
      </c>
      <c r="C2336" s="7">
        <f>2+1</f>
        <v>3</v>
      </c>
      <c r="D2336" s="7">
        <v>2.0</v>
      </c>
      <c r="E2336" s="7">
        <v>2.0</v>
      </c>
      <c r="F2336" s="7" t="s">
        <v>30</v>
      </c>
      <c r="G2336" s="7" t="s">
        <v>1810</v>
      </c>
      <c r="H2336" s="9" t="s">
        <v>2979</v>
      </c>
      <c r="I2336" t="s">
        <v>3934</v>
      </c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 t="str">
        <f t="shared" si="1"/>
        <v>Built-up :</v>
      </c>
      <c r="AE2336" s="7" t="str">
        <f t="shared" si="2"/>
        <v> sq. ft.</v>
      </c>
      <c r="AF2336">
        <f>IFERROR(__xludf.DUMMYFUNCTION("VALUE(REGEXREPLACE(G2336,""[^[:digit:]]"", """"))"),1370.0)</f>
        <v>1370</v>
      </c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 t="s">
        <v>27</v>
      </c>
    </row>
    <row r="2337">
      <c r="A2337" s="7" t="s">
        <v>188</v>
      </c>
      <c r="B2337" s="7" t="s">
        <v>1811</v>
      </c>
      <c r="C2337" s="7" t="s">
        <v>325</v>
      </c>
      <c r="E2337" s="9">
        <v>2.0</v>
      </c>
      <c r="F2337" s="7" t="s">
        <v>20</v>
      </c>
      <c r="G2337" s="7" t="s">
        <v>1812</v>
      </c>
      <c r="H2337" s="9" t="s">
        <v>2979</v>
      </c>
      <c r="I2337" t="s">
        <v>3935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 t="str">
        <f t="shared" si="1"/>
        <v>Built-up :</v>
      </c>
      <c r="AE2337" s="7" t="str">
        <f t="shared" si="2"/>
        <v> sq. ft.</v>
      </c>
      <c r="AF2337">
        <f>IFERROR(__xludf.DUMMYFUNCTION("VALUE(REGEXREPLACE(G2337,""[^[:digit:]]"", """"))"),550.0)</f>
        <v>550</v>
      </c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 t="s">
        <v>22</v>
      </c>
    </row>
    <row r="2338">
      <c r="A2338" s="7" t="s">
        <v>17</v>
      </c>
      <c r="B2338" s="7" t="s">
        <v>236</v>
      </c>
      <c r="C2338" s="7">
        <f>3</f>
        <v>3</v>
      </c>
      <c r="D2338" s="7">
        <v>2.0</v>
      </c>
      <c r="E2338" s="7">
        <v>1.0</v>
      </c>
      <c r="F2338" s="7" t="s">
        <v>20</v>
      </c>
      <c r="G2338" s="7" t="s">
        <v>1813</v>
      </c>
      <c r="H2338" s="9" t="s">
        <v>2979</v>
      </c>
      <c r="I2338" t="s">
        <v>3936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 t="str">
        <f t="shared" si="1"/>
        <v>Built-up :</v>
      </c>
      <c r="AE2338" s="7" t="str">
        <f t="shared" si="2"/>
        <v> sq. ft.</v>
      </c>
      <c r="AF2338">
        <f>IFERROR(__xludf.DUMMYFUNCTION("VALUE(REGEXREPLACE(G2338,""[^[:digit:]]"", """"))"),1299.0)</f>
        <v>1299</v>
      </c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 t="s">
        <v>22</v>
      </c>
    </row>
    <row r="2339">
      <c r="A2339" s="7" t="s">
        <v>180</v>
      </c>
      <c r="B2339" s="7" t="s">
        <v>1814</v>
      </c>
      <c r="C2339" s="7">
        <f>3+2</f>
        <v>5</v>
      </c>
      <c r="D2339" s="7">
        <v>4.0</v>
      </c>
      <c r="E2339" s="7">
        <v>2.0</v>
      </c>
      <c r="F2339" s="7" t="s">
        <v>83</v>
      </c>
      <c r="G2339" s="7" t="s">
        <v>1280</v>
      </c>
      <c r="H2339" s="9" t="s">
        <v>2979</v>
      </c>
      <c r="I2339" t="s">
        <v>3619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 t="str">
        <f t="shared" si="1"/>
        <v>Built-up :</v>
      </c>
      <c r="AE2339" s="7" t="str">
        <f t="shared" si="2"/>
        <v> sq. ft.</v>
      </c>
      <c r="AF2339">
        <f>IFERROR(__xludf.DUMMYFUNCTION("VALUE(REGEXREPLACE(G2339,""[^[:digit:]]"", """"))"),3285.0)</f>
        <v>3285</v>
      </c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 t="s">
        <v>27</v>
      </c>
    </row>
    <row r="2340">
      <c r="A2340" s="7" t="s">
        <v>177</v>
      </c>
      <c r="B2340" s="7" t="s">
        <v>658</v>
      </c>
      <c r="C2340" s="7">
        <f>4</f>
        <v>4</v>
      </c>
      <c r="D2340" s="7">
        <v>3.0</v>
      </c>
      <c r="E2340" s="7">
        <v>2.0</v>
      </c>
      <c r="F2340" s="7" t="s">
        <v>169</v>
      </c>
      <c r="G2340" s="7" t="s">
        <v>719</v>
      </c>
      <c r="H2340" s="9" t="s">
        <v>2981</v>
      </c>
      <c r="I2340" t="s">
        <v>3299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 t="s">
        <v>3101</v>
      </c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 t="str">
        <f t="shared" si="1"/>
        <v>Land area </v>
      </c>
      <c r="AE2340" s="7" t="str">
        <f t="shared" si="2"/>
        <v> sq. ft.</v>
      </c>
      <c r="AF2340">
        <f>IFERROR(__xludf.DUMMYFUNCTION("VALUE(REGEXREPLACE(G2340,""[^[:digit:]]"", """"))"),2285.0)</f>
        <v>2285</v>
      </c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 t="s">
        <v>27</v>
      </c>
    </row>
    <row r="2341">
      <c r="A2341" s="7" t="s">
        <v>267</v>
      </c>
      <c r="B2341" s="7" t="s">
        <v>510</v>
      </c>
      <c r="C2341" s="7">
        <f>3</f>
        <v>3</v>
      </c>
      <c r="D2341" s="7">
        <v>2.0</v>
      </c>
      <c r="E2341" s="7">
        <v>1.0</v>
      </c>
      <c r="F2341" s="7" t="s">
        <v>83</v>
      </c>
      <c r="G2341" s="7" t="s">
        <v>1815</v>
      </c>
      <c r="H2341" s="9" t="s">
        <v>2979</v>
      </c>
      <c r="I2341" t="s">
        <v>3937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 t="str">
        <f t="shared" si="1"/>
        <v>Built-up :</v>
      </c>
      <c r="AE2341" s="7" t="str">
        <f t="shared" si="2"/>
        <v> sq. ft.</v>
      </c>
      <c r="AF2341">
        <f>IFERROR(__xludf.DUMMYFUNCTION("VALUE(REGEXREPLACE(G2341,""[^[:digit:]]"", """"))"),928.0)</f>
        <v>928</v>
      </c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 t="s">
        <v>251</v>
      </c>
    </row>
    <row r="2342">
      <c r="A2342" s="7" t="s">
        <v>267</v>
      </c>
      <c r="B2342" s="7" t="s">
        <v>332</v>
      </c>
      <c r="C2342" s="7">
        <f>3+1</f>
        <v>4</v>
      </c>
      <c r="D2342" s="7">
        <v>4.0</v>
      </c>
      <c r="E2342" s="7">
        <v>2.0</v>
      </c>
      <c r="F2342" s="7" t="s">
        <v>30</v>
      </c>
      <c r="G2342" s="7" t="s">
        <v>1816</v>
      </c>
      <c r="H2342" s="9" t="s">
        <v>2979</v>
      </c>
      <c r="I2342" t="s">
        <v>3938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 t="str">
        <f t="shared" si="1"/>
        <v>Built-up :</v>
      </c>
      <c r="AE2342" s="7" t="str">
        <f t="shared" si="2"/>
        <v> sq. ft.</v>
      </c>
      <c r="AF2342">
        <f>IFERROR(__xludf.DUMMYFUNCTION("VALUE(REGEXREPLACE(G2342,""[^[:digit:]]"", """"))"),1870.0)</f>
        <v>1870</v>
      </c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 t="s">
        <v>22</v>
      </c>
    </row>
    <row r="2343">
      <c r="A2343" s="7" t="s">
        <v>89</v>
      </c>
      <c r="B2343" s="7" t="s">
        <v>715</v>
      </c>
      <c r="C2343" s="7">
        <f>3</f>
        <v>3</v>
      </c>
      <c r="D2343" s="7">
        <v>2.0</v>
      </c>
      <c r="E2343" s="7">
        <v>1.0</v>
      </c>
      <c r="F2343" s="7" t="s">
        <v>83</v>
      </c>
      <c r="G2343" s="7" t="s">
        <v>1532</v>
      </c>
      <c r="H2343" s="9" t="s">
        <v>2979</v>
      </c>
      <c r="I2343" t="s">
        <v>3764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 t="str">
        <f t="shared" si="1"/>
        <v>Built-up :</v>
      </c>
      <c r="AE2343" s="7" t="str">
        <f t="shared" si="2"/>
        <v> sq. ft.</v>
      </c>
      <c r="AF2343">
        <f>IFERROR(__xludf.DUMMYFUNCTION("VALUE(REGEXREPLACE(G2343,""[^[:digit:]]"", """"))"),1044.0)</f>
        <v>1044</v>
      </c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 t="s">
        <v>27</v>
      </c>
    </row>
    <row r="2344">
      <c r="A2344" s="7" t="s">
        <v>17</v>
      </c>
      <c r="B2344" s="7" t="s">
        <v>349</v>
      </c>
      <c r="C2344" s="7">
        <f>2</f>
        <v>2</v>
      </c>
      <c r="D2344" s="7">
        <v>2.0</v>
      </c>
      <c r="E2344" s="9">
        <v>2.0</v>
      </c>
      <c r="F2344" s="7" t="s">
        <v>30</v>
      </c>
      <c r="G2344" s="7" t="s">
        <v>930</v>
      </c>
      <c r="H2344" s="9" t="s">
        <v>2979</v>
      </c>
      <c r="I2344" t="s">
        <v>3412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 t="str">
        <f t="shared" si="1"/>
        <v>Built-up :</v>
      </c>
      <c r="AE2344" s="7" t="str">
        <f t="shared" si="2"/>
        <v> sq. ft.</v>
      </c>
      <c r="AF2344">
        <f>IFERROR(__xludf.DUMMYFUNCTION("VALUE(REGEXREPLACE(G2344,""[^[:digit:]]"", """"))"),1270.0)</f>
        <v>1270</v>
      </c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 t="s">
        <v>22</v>
      </c>
    </row>
    <row r="2345">
      <c r="A2345" s="7" t="s">
        <v>17</v>
      </c>
      <c r="B2345" s="7" t="s">
        <v>1817</v>
      </c>
      <c r="C2345" s="7">
        <f>1+1</f>
        <v>2</v>
      </c>
      <c r="D2345" s="7">
        <v>2.0</v>
      </c>
      <c r="E2345" s="7">
        <v>1.0</v>
      </c>
      <c r="F2345" s="7" t="s">
        <v>82</v>
      </c>
      <c r="G2345" s="7" t="s">
        <v>342</v>
      </c>
      <c r="H2345" s="9" t="s">
        <v>2979</v>
      </c>
      <c r="I2345" t="s">
        <v>3117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 t="str">
        <f t="shared" si="1"/>
        <v>Built-up :</v>
      </c>
      <c r="AE2345" s="7" t="str">
        <f t="shared" si="2"/>
        <v> sq. ft.</v>
      </c>
      <c r="AF2345">
        <f>IFERROR(__xludf.DUMMYFUNCTION("VALUE(REGEXREPLACE(G2345,""[^[:digit:]]"", """"))"),1076.0)</f>
        <v>1076</v>
      </c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 t="s">
        <v>22</v>
      </c>
    </row>
    <row r="2346">
      <c r="A2346" s="7" t="s">
        <v>17</v>
      </c>
      <c r="B2346" s="7" t="s">
        <v>1818</v>
      </c>
      <c r="C2346" s="7">
        <f>2+1</f>
        <v>3</v>
      </c>
      <c r="D2346" s="7">
        <v>3.0</v>
      </c>
      <c r="E2346" s="7">
        <v>2.0</v>
      </c>
      <c r="F2346" s="7" t="s">
        <v>121</v>
      </c>
      <c r="G2346" s="7" t="s">
        <v>99</v>
      </c>
      <c r="H2346" s="9" t="s">
        <v>2979</v>
      </c>
      <c r="I2346" t="s">
        <v>3006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 t="str">
        <f t="shared" si="1"/>
        <v>Built-up :</v>
      </c>
      <c r="AE2346" s="7" t="str">
        <f t="shared" si="2"/>
        <v> sq. ft.</v>
      </c>
      <c r="AF2346">
        <f>IFERROR(__xludf.DUMMYFUNCTION("VALUE(REGEXREPLACE(G2346,""[^[:digit:]]"", """"))"),1668.0)</f>
        <v>1668</v>
      </c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 t="s">
        <v>27</v>
      </c>
    </row>
    <row r="2347">
      <c r="A2347" s="7" t="s">
        <v>17</v>
      </c>
      <c r="B2347" s="7" t="s">
        <v>1819</v>
      </c>
      <c r="C2347" s="7">
        <f>3+1</f>
        <v>4</v>
      </c>
      <c r="D2347" s="7">
        <v>5.0</v>
      </c>
      <c r="E2347" s="7">
        <v>2.0</v>
      </c>
      <c r="F2347" s="7" t="s">
        <v>312</v>
      </c>
      <c r="G2347" s="7" t="s">
        <v>829</v>
      </c>
      <c r="H2347" s="9" t="s">
        <v>2979</v>
      </c>
      <c r="I2347" t="s">
        <v>3359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 t="str">
        <f t="shared" si="1"/>
        <v>Built-up :</v>
      </c>
      <c r="AE2347" s="7" t="str">
        <f t="shared" si="2"/>
        <v> sq. ft.</v>
      </c>
      <c r="AF2347">
        <f>IFERROR(__xludf.DUMMYFUNCTION("VALUE(REGEXREPLACE(G2347,""[^[:digit:]]"", """"))"),2615.0)</f>
        <v>2615</v>
      </c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 t="s">
        <v>22</v>
      </c>
    </row>
    <row r="2348">
      <c r="A2348" s="7" t="s">
        <v>428</v>
      </c>
      <c r="B2348" s="7" t="s">
        <v>407</v>
      </c>
      <c r="C2348" s="7">
        <f t="shared" ref="C2348:C2349" si="307">3</f>
        <v>3</v>
      </c>
      <c r="D2348" s="7">
        <v>2.0</v>
      </c>
      <c r="E2348" s="9">
        <v>2.0</v>
      </c>
      <c r="F2348" s="7" t="s">
        <v>20</v>
      </c>
      <c r="G2348" s="7" t="s">
        <v>1820</v>
      </c>
      <c r="H2348" s="9" t="s">
        <v>2979</v>
      </c>
      <c r="I2348" t="s">
        <v>3939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 t="str">
        <f t="shared" si="1"/>
        <v>Built-up :</v>
      </c>
      <c r="AE2348" s="7" t="str">
        <f t="shared" si="2"/>
        <v> sq. ft.</v>
      </c>
      <c r="AF2348">
        <f>IFERROR(__xludf.DUMMYFUNCTION("VALUE(REGEXREPLACE(G2348,""[^[:digit:]]"", """"))"),1066.0)</f>
        <v>1066</v>
      </c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 t="s">
        <v>27</v>
      </c>
    </row>
    <row r="2349">
      <c r="A2349" s="7" t="s">
        <v>17</v>
      </c>
      <c r="B2349" s="7" t="s">
        <v>239</v>
      </c>
      <c r="C2349" s="7">
        <f t="shared" si="307"/>
        <v>3</v>
      </c>
      <c r="D2349" s="7">
        <v>2.0</v>
      </c>
      <c r="E2349" s="7">
        <v>1.0</v>
      </c>
      <c r="F2349" s="7" t="s">
        <v>20</v>
      </c>
      <c r="G2349" s="7" t="s">
        <v>948</v>
      </c>
      <c r="H2349" s="9" t="s">
        <v>2979</v>
      </c>
      <c r="I2349" t="s">
        <v>3421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 t="str">
        <f t="shared" si="1"/>
        <v>Built-up :</v>
      </c>
      <c r="AE2349" s="7" t="str">
        <f t="shared" si="2"/>
        <v> sq. ft.</v>
      </c>
      <c r="AF2349">
        <f>IFERROR(__xludf.DUMMYFUNCTION("VALUE(REGEXREPLACE(G2349,""[^[:digit:]]"", """"))"),960.0)</f>
        <v>960</v>
      </c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 t="s">
        <v>22</v>
      </c>
    </row>
    <row r="2350">
      <c r="A2350" s="7" t="s">
        <v>17</v>
      </c>
      <c r="B2350" s="7" t="s">
        <v>536</v>
      </c>
      <c r="C2350" s="7" t="s">
        <v>325</v>
      </c>
      <c r="D2350" s="7">
        <v>1.0</v>
      </c>
      <c r="E2350" s="9">
        <v>2.0</v>
      </c>
      <c r="F2350" s="7" t="s">
        <v>1821</v>
      </c>
      <c r="G2350" s="7" t="s">
        <v>980</v>
      </c>
      <c r="H2350" s="9" t="s">
        <v>2979</v>
      </c>
      <c r="I2350" t="s">
        <v>3434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 t="str">
        <f t="shared" si="1"/>
        <v>Built-up :</v>
      </c>
      <c r="AE2350" s="7" t="str">
        <f t="shared" si="2"/>
        <v> sq. ft.</v>
      </c>
      <c r="AF2350">
        <f>IFERROR(__xludf.DUMMYFUNCTION("VALUE(REGEXREPLACE(G2350,""[^[:digit:]]"", """"))"),493.0)</f>
        <v>493</v>
      </c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 t="s">
        <v>22</v>
      </c>
    </row>
    <row r="2351">
      <c r="A2351" s="7" t="s">
        <v>72</v>
      </c>
      <c r="B2351" s="7" t="s">
        <v>351</v>
      </c>
      <c r="C2351" s="7">
        <f>4+1</f>
        <v>5</v>
      </c>
      <c r="D2351" s="7">
        <v>4.0</v>
      </c>
      <c r="E2351" s="9">
        <v>2.0</v>
      </c>
      <c r="F2351" s="7" t="s">
        <v>64</v>
      </c>
      <c r="G2351" s="7" t="s">
        <v>1822</v>
      </c>
      <c r="H2351" s="9" t="s">
        <v>2981</v>
      </c>
      <c r="I2351" t="s">
        <v>3940</v>
      </c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 t="str">
        <f t="shared" si="1"/>
        <v>Land area </v>
      </c>
      <c r="AE2351" s="7" t="str">
        <f t="shared" si="2"/>
        <v> sq. ft.</v>
      </c>
      <c r="AF2351">
        <f>IFERROR(__xludf.DUMMYFUNCTION("VALUE(REGEXREPLACE(G2351,""[^[:digit:]]"", """"))"),2692.0)</f>
        <v>2692</v>
      </c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 t="s">
        <v>27</v>
      </c>
    </row>
    <row r="2352">
      <c r="A2352" s="7" t="s">
        <v>100</v>
      </c>
      <c r="B2352" s="7" t="s">
        <v>1823</v>
      </c>
      <c r="C2352" s="7">
        <f>2</f>
        <v>2</v>
      </c>
      <c r="D2352" s="7">
        <v>2.0</v>
      </c>
      <c r="E2352" s="7">
        <v>1.0</v>
      </c>
      <c r="F2352" s="7" t="s">
        <v>82</v>
      </c>
      <c r="G2352" s="7" t="s">
        <v>1824</v>
      </c>
      <c r="H2352" s="9" t="s">
        <v>2979</v>
      </c>
      <c r="I2352" t="s">
        <v>3941</v>
      </c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 t="str">
        <f t="shared" si="1"/>
        <v>Built-up :</v>
      </c>
      <c r="AE2352" s="7" t="str">
        <f t="shared" si="2"/>
        <v> sq. ft.</v>
      </c>
      <c r="AF2352">
        <f>IFERROR(__xludf.DUMMYFUNCTION("VALUE(REGEXREPLACE(G2352,""[^[:digit:]]"", """"))"),798.0)</f>
        <v>798</v>
      </c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 t="s">
        <v>27</v>
      </c>
    </row>
    <row r="2353">
      <c r="A2353" s="7" t="s">
        <v>177</v>
      </c>
      <c r="B2353" s="7" t="s">
        <v>1825</v>
      </c>
      <c r="C2353" s="7">
        <f>4+2</f>
        <v>6</v>
      </c>
      <c r="D2353" s="7">
        <v>6.0</v>
      </c>
      <c r="E2353" s="7">
        <v>4.0</v>
      </c>
      <c r="F2353" s="7" t="s">
        <v>67</v>
      </c>
      <c r="G2353" s="7" t="s">
        <v>1826</v>
      </c>
      <c r="H2353" s="9" t="s">
        <v>2979</v>
      </c>
      <c r="I2353" t="s">
        <v>3942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 t="str">
        <f t="shared" si="1"/>
        <v>Built-up :</v>
      </c>
      <c r="AE2353" s="7" t="str">
        <f t="shared" si="2"/>
        <v> sq. ft.</v>
      </c>
      <c r="AF2353">
        <f>IFERROR(__xludf.DUMMYFUNCTION("VALUE(REGEXREPLACE(G2353,""[^[:digit:]]"", """"))"),4355.0)</f>
        <v>4355</v>
      </c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 t="s">
        <v>27</v>
      </c>
    </row>
    <row r="2354">
      <c r="A2354" s="7" t="s">
        <v>72</v>
      </c>
      <c r="B2354" s="7" t="s">
        <v>1827</v>
      </c>
      <c r="C2354" s="7">
        <f>6+1</f>
        <v>7</v>
      </c>
      <c r="D2354" s="7">
        <v>6.0</v>
      </c>
      <c r="E2354" s="9">
        <v>2.0</v>
      </c>
      <c r="F2354" s="7" t="s">
        <v>64</v>
      </c>
      <c r="G2354" s="7" t="s">
        <v>1828</v>
      </c>
      <c r="H2354" s="9" t="s">
        <v>2981</v>
      </c>
      <c r="I2354" t="s">
        <v>3943</v>
      </c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 t="str">
        <f t="shared" si="1"/>
        <v>Land area </v>
      </c>
      <c r="AE2354" s="7" t="str">
        <f t="shared" si="2"/>
        <v> sq. ft.</v>
      </c>
      <c r="AF2354">
        <f>IFERROR(__xludf.DUMMYFUNCTION("VALUE(REGEXREPLACE(G2354,""[^[:digit:]]"", """"))"),4600.0)</f>
        <v>4600</v>
      </c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 t="s">
        <v>27</v>
      </c>
    </row>
    <row r="2355">
      <c r="A2355" s="7" t="s">
        <v>72</v>
      </c>
      <c r="B2355" s="7" t="s">
        <v>120</v>
      </c>
      <c r="C2355" s="7">
        <f>4+1</f>
        <v>5</v>
      </c>
      <c r="D2355" s="7">
        <v>5.0</v>
      </c>
      <c r="E2355" s="9">
        <v>2.0</v>
      </c>
      <c r="F2355" s="7" t="s">
        <v>90</v>
      </c>
      <c r="G2355" s="7" t="s">
        <v>1491</v>
      </c>
      <c r="H2355" s="9" t="s">
        <v>2981</v>
      </c>
      <c r="I2355" t="s">
        <v>3062</v>
      </c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 t="str">
        <f t="shared" si="1"/>
        <v>Land area </v>
      </c>
      <c r="AE2355" s="7" t="str">
        <f t="shared" si="2"/>
        <v> sq. ft.</v>
      </c>
      <c r="AF2355">
        <f>IFERROR(__xludf.DUMMYFUNCTION("VALUE(REGEXREPLACE(G2355,""[^[:digit:]]"", """"))"),2400.0)</f>
        <v>2400</v>
      </c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 t="s">
        <v>27</v>
      </c>
    </row>
    <row r="2356">
      <c r="A2356" s="7" t="s">
        <v>37</v>
      </c>
      <c r="B2356" s="7" t="s">
        <v>1778</v>
      </c>
      <c r="C2356" s="7">
        <f t="shared" ref="C2356:C2357" si="308">3</f>
        <v>3</v>
      </c>
      <c r="D2356" s="7">
        <v>2.0</v>
      </c>
      <c r="E2356" s="9">
        <v>2.0</v>
      </c>
      <c r="F2356" s="7" t="s">
        <v>121</v>
      </c>
      <c r="G2356" s="7" t="s">
        <v>167</v>
      </c>
      <c r="H2356" s="9" t="s">
        <v>2979</v>
      </c>
      <c r="I2356" t="s">
        <v>3036</v>
      </c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 t="str">
        <f t="shared" si="1"/>
        <v>Built-up :</v>
      </c>
      <c r="AE2356" s="7" t="str">
        <f t="shared" si="2"/>
        <v> sq. ft.</v>
      </c>
      <c r="AF2356">
        <f>IFERROR(__xludf.DUMMYFUNCTION("VALUE(REGEXREPLACE(G2356,""[^[:digit:]]"", """"))"),1022.0)</f>
        <v>1022</v>
      </c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 t="s">
        <v>27</v>
      </c>
    </row>
    <row r="2357">
      <c r="A2357" s="7" t="s">
        <v>37</v>
      </c>
      <c r="B2357" s="7" t="s">
        <v>641</v>
      </c>
      <c r="C2357" s="7">
        <f t="shared" si="308"/>
        <v>3</v>
      </c>
      <c r="D2357" s="7">
        <v>2.0</v>
      </c>
      <c r="E2357" s="7">
        <v>1.0</v>
      </c>
      <c r="F2357" s="7" t="s">
        <v>20</v>
      </c>
      <c r="G2357" s="7" t="s">
        <v>1635</v>
      </c>
      <c r="H2357" s="9" t="s">
        <v>2979</v>
      </c>
      <c r="I2357" t="s">
        <v>3827</v>
      </c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 t="str">
        <f t="shared" si="1"/>
        <v>Built-up :</v>
      </c>
      <c r="AE2357" s="7" t="str">
        <f t="shared" si="2"/>
        <v> sq. ft.</v>
      </c>
      <c r="AF2357">
        <f>IFERROR(__xludf.DUMMYFUNCTION("VALUE(REGEXREPLACE(G2357,""[^[:digit:]]"", """"))"),1010.0)</f>
        <v>1010</v>
      </c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 t="s">
        <v>27</v>
      </c>
    </row>
    <row r="2358">
      <c r="A2358" s="7" t="s">
        <v>37</v>
      </c>
      <c r="B2358" s="7" t="s">
        <v>1829</v>
      </c>
      <c r="C2358" s="7">
        <f>3+1</f>
        <v>4</v>
      </c>
      <c r="D2358" s="7">
        <v>4.0</v>
      </c>
      <c r="E2358" s="9">
        <v>2.0</v>
      </c>
      <c r="F2358" s="7" t="s">
        <v>121</v>
      </c>
      <c r="G2358" s="7" t="s">
        <v>1830</v>
      </c>
      <c r="H2358" s="9" t="s">
        <v>2979</v>
      </c>
      <c r="I2358" t="s">
        <v>3944</v>
      </c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 t="str">
        <f t="shared" si="1"/>
        <v>Built-up :</v>
      </c>
      <c r="AE2358" s="7" t="str">
        <f t="shared" si="2"/>
        <v> sq. ft.</v>
      </c>
      <c r="AF2358">
        <f>IFERROR(__xludf.DUMMYFUNCTION("VALUE(REGEXREPLACE(G2358,""[^[:digit:]]"", """"))"),1840.0)</f>
        <v>1840</v>
      </c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 t="s">
        <v>27</v>
      </c>
    </row>
    <row r="2359">
      <c r="A2359" s="7" t="s">
        <v>37</v>
      </c>
      <c r="B2359" s="7" t="s">
        <v>1334</v>
      </c>
      <c r="C2359" s="7">
        <f>2</f>
        <v>2</v>
      </c>
      <c r="D2359" s="7">
        <v>2.0</v>
      </c>
      <c r="E2359" s="9">
        <v>2.0</v>
      </c>
      <c r="F2359" s="7" t="s">
        <v>20</v>
      </c>
      <c r="G2359" s="7" t="s">
        <v>1352</v>
      </c>
      <c r="H2359" s="9" t="s">
        <v>2979</v>
      </c>
      <c r="I2359" t="s">
        <v>3662</v>
      </c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 t="str">
        <f t="shared" si="1"/>
        <v>Built-up :</v>
      </c>
      <c r="AE2359" s="7" t="str">
        <f t="shared" si="2"/>
        <v> sq. ft.</v>
      </c>
      <c r="AF2359">
        <f>IFERROR(__xludf.DUMMYFUNCTION("VALUE(REGEXREPLACE(G2359,""[^[:digit:]]"", """"))"),876.0)</f>
        <v>876</v>
      </c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 t="s">
        <v>27</v>
      </c>
    </row>
    <row r="2360">
      <c r="A2360" s="7" t="s">
        <v>72</v>
      </c>
      <c r="B2360" s="7" t="s">
        <v>1831</v>
      </c>
      <c r="C2360" s="7">
        <f>4+2</f>
        <v>6</v>
      </c>
      <c r="D2360" s="7">
        <v>5.0</v>
      </c>
      <c r="E2360" s="7">
        <v>3.0</v>
      </c>
      <c r="F2360" s="7" t="s">
        <v>83</v>
      </c>
      <c r="G2360" s="7" t="s">
        <v>926</v>
      </c>
      <c r="H2360" s="9" t="s">
        <v>2979</v>
      </c>
      <c r="I2360" t="s">
        <v>3408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 t="str">
        <f t="shared" si="1"/>
        <v>Built-up :</v>
      </c>
      <c r="AE2360" s="7" t="str">
        <f t="shared" si="2"/>
        <v> sq. ft.</v>
      </c>
      <c r="AF2360">
        <f>IFERROR(__xludf.DUMMYFUNCTION("VALUE(REGEXREPLACE(G2360,""[^[:digit:]]"", """"))"),3401.0)</f>
        <v>3401</v>
      </c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 t="s">
        <v>27</v>
      </c>
    </row>
    <row r="2361">
      <c r="A2361" s="7" t="s">
        <v>358</v>
      </c>
      <c r="B2361" s="7" t="s">
        <v>156</v>
      </c>
      <c r="C2361" s="7">
        <f>3</f>
        <v>3</v>
      </c>
      <c r="D2361" s="7">
        <v>2.0</v>
      </c>
      <c r="E2361" s="7">
        <v>2.0</v>
      </c>
      <c r="F2361" s="7" t="s">
        <v>83</v>
      </c>
      <c r="G2361" s="7" t="s">
        <v>1412</v>
      </c>
      <c r="H2361" s="9" t="s">
        <v>2979</v>
      </c>
      <c r="I2361" t="s">
        <v>3697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 t="str">
        <f t="shared" si="1"/>
        <v>Built-up :</v>
      </c>
      <c r="AE2361" s="7" t="str">
        <f t="shared" si="2"/>
        <v> sq. ft.</v>
      </c>
      <c r="AF2361">
        <f>IFERROR(__xludf.DUMMYFUNCTION("VALUE(REGEXREPLACE(G2361,""[^[:digit:]]"", """"))"),1319.0)</f>
        <v>1319</v>
      </c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 t="s">
        <v>27</v>
      </c>
    </row>
    <row r="2362">
      <c r="A2362" s="7" t="s">
        <v>428</v>
      </c>
      <c r="B2362" s="7" t="s">
        <v>715</v>
      </c>
      <c r="C2362" s="7">
        <f>1</f>
        <v>1</v>
      </c>
      <c r="D2362" s="7">
        <v>1.0</v>
      </c>
      <c r="E2362" s="7">
        <v>1.0</v>
      </c>
      <c r="F2362" s="7" t="s">
        <v>20</v>
      </c>
      <c r="G2362" s="7" t="s">
        <v>1270</v>
      </c>
      <c r="H2362" s="9" t="s">
        <v>2979</v>
      </c>
      <c r="I2362" t="s">
        <v>3613</v>
      </c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 t="str">
        <f t="shared" si="1"/>
        <v>Built-up :</v>
      </c>
      <c r="AE2362" s="7" t="str">
        <f t="shared" si="2"/>
        <v> sq. ft.</v>
      </c>
      <c r="AF2362">
        <f>IFERROR(__xludf.DUMMYFUNCTION("VALUE(REGEXREPLACE(G2362,""[^[:digit:]]"", """"))"),780.0)</f>
        <v>780</v>
      </c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 t="s">
        <v>27</v>
      </c>
    </row>
    <row r="2363">
      <c r="A2363" s="7" t="s">
        <v>72</v>
      </c>
      <c r="B2363" s="7" t="s">
        <v>386</v>
      </c>
      <c r="C2363" s="7">
        <f>4+1</f>
        <v>5</v>
      </c>
      <c r="D2363" s="7">
        <v>4.0</v>
      </c>
      <c r="E2363" s="7">
        <v>3.0</v>
      </c>
      <c r="F2363" s="7" t="s">
        <v>83</v>
      </c>
      <c r="G2363" s="7" t="s">
        <v>1832</v>
      </c>
      <c r="H2363" s="9" t="s">
        <v>2979</v>
      </c>
      <c r="I2363" t="s">
        <v>3945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 t="str">
        <f t="shared" si="1"/>
        <v>Built-up :</v>
      </c>
      <c r="AE2363" s="7" t="str">
        <f t="shared" si="2"/>
        <v> sq. ft.</v>
      </c>
      <c r="AF2363">
        <f>IFERROR(__xludf.DUMMYFUNCTION("VALUE(REGEXREPLACE(G2363,""[^[:digit:]]"", """"))"),3055.0)</f>
        <v>3055</v>
      </c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 t="s">
        <v>27</v>
      </c>
    </row>
    <row r="2364">
      <c r="A2364" s="7" t="s">
        <v>28</v>
      </c>
      <c r="B2364" s="7" t="s">
        <v>641</v>
      </c>
      <c r="C2364" s="7">
        <f>3</f>
        <v>3</v>
      </c>
      <c r="D2364" s="7">
        <v>3.0</v>
      </c>
      <c r="E2364" s="7">
        <v>2.0</v>
      </c>
      <c r="F2364" s="7" t="s">
        <v>83</v>
      </c>
      <c r="G2364" s="7" t="s">
        <v>1833</v>
      </c>
      <c r="H2364" s="9" t="s">
        <v>2979</v>
      </c>
      <c r="I2364" t="s">
        <v>3946</v>
      </c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 t="str">
        <f t="shared" si="1"/>
        <v>Built-up :</v>
      </c>
      <c r="AE2364" s="7" t="str">
        <f t="shared" si="2"/>
        <v> sq. ft.</v>
      </c>
      <c r="AF2364">
        <f>IFERROR(__xludf.DUMMYFUNCTION("VALUE(REGEXREPLACE(G2364,""[^[:digit:]]"", """"))"),1315.0)</f>
        <v>1315</v>
      </c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 t="s">
        <v>22</v>
      </c>
    </row>
    <row r="2365">
      <c r="A2365" s="7" t="s">
        <v>72</v>
      </c>
      <c r="B2365" s="7" t="s">
        <v>649</v>
      </c>
      <c r="C2365" s="7">
        <f>2</f>
        <v>2</v>
      </c>
      <c r="D2365" s="7">
        <v>2.0</v>
      </c>
      <c r="E2365" s="7">
        <v>1.0</v>
      </c>
      <c r="F2365" s="7" t="s">
        <v>20</v>
      </c>
      <c r="G2365" s="7" t="s">
        <v>133</v>
      </c>
      <c r="H2365" s="9" t="s">
        <v>2979</v>
      </c>
      <c r="I2365" t="s">
        <v>3022</v>
      </c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 t="str">
        <f t="shared" si="1"/>
        <v>Built-up :</v>
      </c>
      <c r="AE2365" s="7" t="str">
        <f t="shared" si="2"/>
        <v> sq. ft.</v>
      </c>
      <c r="AF2365">
        <f>IFERROR(__xludf.DUMMYFUNCTION("VALUE(REGEXREPLACE(G2365,""[^[:digit:]]"", """"))"),896.0)</f>
        <v>896</v>
      </c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</row>
    <row r="2366">
      <c r="A2366" s="7" t="s">
        <v>72</v>
      </c>
      <c r="B2366" s="7" t="s">
        <v>613</v>
      </c>
      <c r="C2366" s="7">
        <f t="shared" ref="C2366:C2367" si="309">3+1</f>
        <v>4</v>
      </c>
      <c r="D2366" s="7">
        <v>5.0</v>
      </c>
      <c r="E2366" s="7">
        <v>3.0</v>
      </c>
      <c r="F2366" s="7" t="s">
        <v>83</v>
      </c>
      <c r="G2366" s="7" t="s">
        <v>561</v>
      </c>
      <c r="H2366" s="9" t="s">
        <v>2979</v>
      </c>
      <c r="I2366" t="s">
        <v>3226</v>
      </c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 t="str">
        <f t="shared" si="1"/>
        <v>Built-up :</v>
      </c>
      <c r="AE2366" s="7" t="str">
        <f t="shared" si="2"/>
        <v> sq. ft.</v>
      </c>
      <c r="AF2366">
        <f>IFERROR(__xludf.DUMMYFUNCTION("VALUE(REGEXREPLACE(G2366,""[^[:digit:]]"", """"))"),2535.0)</f>
        <v>2535</v>
      </c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</row>
    <row r="2367">
      <c r="A2367" s="7" t="s">
        <v>72</v>
      </c>
      <c r="B2367" s="7" t="s">
        <v>1834</v>
      </c>
      <c r="C2367" s="7">
        <f t="shared" si="309"/>
        <v>4</v>
      </c>
      <c r="D2367" s="7">
        <v>4.0</v>
      </c>
      <c r="E2367" s="7">
        <v>2.0</v>
      </c>
      <c r="F2367" s="7" t="s">
        <v>83</v>
      </c>
      <c r="G2367" s="7" t="s">
        <v>1835</v>
      </c>
      <c r="H2367" s="9" t="s">
        <v>2979</v>
      </c>
      <c r="I2367" t="s">
        <v>3947</v>
      </c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 t="str">
        <f t="shared" si="1"/>
        <v>Built-up :</v>
      </c>
      <c r="AE2367" s="7" t="str">
        <f t="shared" si="2"/>
        <v> sq. ft.</v>
      </c>
      <c r="AF2367">
        <f>IFERROR(__xludf.DUMMYFUNCTION("VALUE(REGEXREPLACE(G2367,""[^[:digit:]]"", """"))"),2272.0)</f>
        <v>2272</v>
      </c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</row>
    <row r="2368">
      <c r="A2368" s="7" t="s">
        <v>72</v>
      </c>
      <c r="B2368" s="7" t="s">
        <v>1836</v>
      </c>
      <c r="C2368" s="7">
        <f>3</f>
        <v>3</v>
      </c>
      <c r="D2368" s="7">
        <v>2.0</v>
      </c>
      <c r="E2368" s="7">
        <v>2.0</v>
      </c>
      <c r="F2368" s="7" t="s">
        <v>83</v>
      </c>
      <c r="G2368" s="7" t="s">
        <v>1734</v>
      </c>
      <c r="H2368" s="9" t="s">
        <v>2979</v>
      </c>
      <c r="I2368" t="s">
        <v>3891</v>
      </c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 t="str">
        <f t="shared" si="1"/>
        <v>Built-up :</v>
      </c>
      <c r="AE2368" s="7" t="str">
        <f t="shared" si="2"/>
        <v> sq. ft.</v>
      </c>
      <c r="AF2368">
        <f>IFERROR(__xludf.DUMMYFUNCTION("VALUE(REGEXREPLACE(G2368,""[^[:digit:]]"", """"))"),1015.0)</f>
        <v>1015</v>
      </c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 t="s">
        <v>103</v>
      </c>
    </row>
    <row r="2369">
      <c r="A2369" s="7" t="s">
        <v>52</v>
      </c>
      <c r="B2369" s="7" t="s">
        <v>1328</v>
      </c>
      <c r="C2369" s="7">
        <f>2+1</f>
        <v>3</v>
      </c>
      <c r="D2369" s="7">
        <v>2.0</v>
      </c>
      <c r="E2369" s="7">
        <v>1.0</v>
      </c>
      <c r="F2369" s="7" t="s">
        <v>93</v>
      </c>
      <c r="G2369" s="7" t="s">
        <v>51</v>
      </c>
      <c r="H2369" s="9" t="s">
        <v>2979</v>
      </c>
      <c r="I2369" t="s">
        <v>2991</v>
      </c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 t="str">
        <f t="shared" si="1"/>
        <v>Built-up :</v>
      </c>
      <c r="AE2369" s="7" t="str">
        <f t="shared" si="2"/>
        <v> sq. ft.</v>
      </c>
      <c r="AF2369">
        <f>IFERROR(__xludf.DUMMYFUNCTION("VALUE(REGEXREPLACE(G2369,""[^[:digit:]]"", """"))"),904.0)</f>
        <v>904</v>
      </c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 t="s">
        <v>27</v>
      </c>
    </row>
    <row r="2370">
      <c r="A2370" s="7" t="s">
        <v>371</v>
      </c>
      <c r="B2370" s="7" t="s">
        <v>969</v>
      </c>
      <c r="C2370" s="7">
        <f>2</f>
        <v>2</v>
      </c>
      <c r="D2370" s="7">
        <v>2.0</v>
      </c>
      <c r="E2370" s="7">
        <v>1.0</v>
      </c>
      <c r="F2370" s="7" t="s">
        <v>83</v>
      </c>
      <c r="G2370" s="7" t="s">
        <v>734</v>
      </c>
      <c r="H2370" s="9" t="s">
        <v>2979</v>
      </c>
      <c r="I2370" t="s">
        <v>3308</v>
      </c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 t="str">
        <f t="shared" si="1"/>
        <v>Built-up :</v>
      </c>
      <c r="AE2370" s="7" t="str">
        <f t="shared" si="2"/>
        <v> sq. ft.</v>
      </c>
      <c r="AF2370">
        <f>IFERROR(__xludf.DUMMYFUNCTION("VALUE(REGEXREPLACE(G2370,""[^[:digit:]]"", """"))"),1100.0)</f>
        <v>1100</v>
      </c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 t="s">
        <v>27</v>
      </c>
    </row>
    <row r="2371">
      <c r="A2371" s="7" t="s">
        <v>72</v>
      </c>
      <c r="B2371" s="7" t="s">
        <v>563</v>
      </c>
      <c r="C2371" s="7">
        <f t="shared" ref="C2371:C2372" si="310">1</f>
        <v>1</v>
      </c>
      <c r="D2371" s="7">
        <v>1.0</v>
      </c>
      <c r="E2371" s="9">
        <v>2.0</v>
      </c>
      <c r="F2371" s="7" t="s">
        <v>82</v>
      </c>
      <c r="G2371" s="7" t="s">
        <v>685</v>
      </c>
      <c r="H2371" s="9" t="s">
        <v>2979</v>
      </c>
      <c r="I2371" t="s">
        <v>3283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 t="str">
        <f t="shared" si="1"/>
        <v>Built-up :</v>
      </c>
      <c r="AE2371" s="7" t="str">
        <f t="shared" si="2"/>
        <v> sq. ft.</v>
      </c>
      <c r="AF2371">
        <f>IFERROR(__xludf.DUMMYFUNCTION("VALUE(REGEXREPLACE(G2371,""[^[:digit:]]"", """"))"),462.0)</f>
        <v>462</v>
      </c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 t="s">
        <v>22</v>
      </c>
    </row>
    <row r="2372">
      <c r="A2372" s="7" t="s">
        <v>72</v>
      </c>
      <c r="B2372" s="7" t="s">
        <v>563</v>
      </c>
      <c r="C2372" s="7">
        <f t="shared" si="310"/>
        <v>1</v>
      </c>
      <c r="D2372" s="7">
        <v>1.0</v>
      </c>
      <c r="E2372" s="7">
        <v>1.0</v>
      </c>
      <c r="F2372" s="7" t="s">
        <v>20</v>
      </c>
      <c r="G2372" s="7" t="s">
        <v>850</v>
      </c>
      <c r="H2372" s="9" t="s">
        <v>2979</v>
      </c>
      <c r="I2372" t="s">
        <v>3370</v>
      </c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 t="str">
        <f t="shared" si="1"/>
        <v>Built-up :</v>
      </c>
      <c r="AE2372" s="7" t="str">
        <f t="shared" si="2"/>
        <v> sq. ft.</v>
      </c>
      <c r="AF2372">
        <f>IFERROR(__xludf.DUMMYFUNCTION("VALUE(REGEXREPLACE(G2372,""[^[:digit:]]"", """"))"),633.0)</f>
        <v>633</v>
      </c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 t="s">
        <v>22</v>
      </c>
    </row>
    <row r="2373">
      <c r="A2373" s="7" t="s">
        <v>72</v>
      </c>
      <c r="B2373" s="7" t="s">
        <v>156</v>
      </c>
      <c r="C2373" s="7">
        <f>2</f>
        <v>2</v>
      </c>
      <c r="D2373" s="7">
        <v>2.0</v>
      </c>
      <c r="E2373" s="7">
        <v>1.0</v>
      </c>
      <c r="F2373" s="7" t="s">
        <v>121</v>
      </c>
      <c r="G2373" s="7" t="s">
        <v>1454</v>
      </c>
      <c r="H2373" s="9" t="s">
        <v>2979</v>
      </c>
      <c r="I2373" t="s">
        <v>3723</v>
      </c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 t="str">
        <f t="shared" si="1"/>
        <v>Built-up :</v>
      </c>
      <c r="AE2373" s="7" t="str">
        <f t="shared" si="2"/>
        <v> sq. ft.</v>
      </c>
      <c r="AF2373">
        <f>IFERROR(__xludf.DUMMYFUNCTION("VALUE(REGEXREPLACE(G2373,""[^[:digit:]]"", """"))"),826.0)</f>
        <v>826</v>
      </c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 t="s">
        <v>22</v>
      </c>
    </row>
    <row r="2374">
      <c r="A2374" s="7" t="s">
        <v>432</v>
      </c>
      <c r="B2374" s="7" t="s">
        <v>1348</v>
      </c>
      <c r="C2374" s="7">
        <f>1</f>
        <v>1</v>
      </c>
      <c r="D2374" s="7">
        <v>1.0</v>
      </c>
      <c r="E2374" s="7">
        <v>1.0</v>
      </c>
      <c r="F2374" s="7" t="s">
        <v>20</v>
      </c>
      <c r="G2374" s="7" t="s">
        <v>1524</v>
      </c>
      <c r="H2374" s="9" t="s">
        <v>2979</v>
      </c>
      <c r="I2374" t="s">
        <v>3760</v>
      </c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 t="str">
        <f t="shared" si="1"/>
        <v>Built-up :</v>
      </c>
      <c r="AE2374" s="7" t="str">
        <f t="shared" si="2"/>
        <v> sq. ft.</v>
      </c>
      <c r="AF2374">
        <f>IFERROR(__xludf.DUMMYFUNCTION("VALUE(REGEXREPLACE(G2374,""[^[:digit:]]"", """"))"),450.0)</f>
        <v>450</v>
      </c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 t="s">
        <v>22</v>
      </c>
    </row>
    <row r="2375">
      <c r="A2375" s="7" t="s">
        <v>72</v>
      </c>
      <c r="B2375" s="7" t="s">
        <v>311</v>
      </c>
      <c r="C2375" s="7">
        <f>2</f>
        <v>2</v>
      </c>
      <c r="D2375" s="7">
        <v>2.0</v>
      </c>
      <c r="E2375" s="7">
        <v>2.0</v>
      </c>
      <c r="F2375" s="7" t="s">
        <v>121</v>
      </c>
      <c r="G2375" s="7" t="s">
        <v>901</v>
      </c>
      <c r="H2375" s="9" t="s">
        <v>2979</v>
      </c>
      <c r="I2375" t="s">
        <v>3395</v>
      </c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 t="str">
        <f t="shared" si="1"/>
        <v>Built-up :</v>
      </c>
      <c r="AE2375" s="7" t="str">
        <f t="shared" si="2"/>
        <v> sq. ft.</v>
      </c>
      <c r="AF2375">
        <f>IFERROR(__xludf.DUMMYFUNCTION("VALUE(REGEXREPLACE(G2375,""[^[:digit:]]"", """"))"),932.0)</f>
        <v>932</v>
      </c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 t="s">
        <v>22</v>
      </c>
    </row>
    <row r="2376">
      <c r="A2376" s="7" t="s">
        <v>72</v>
      </c>
      <c r="B2376" s="7" t="s">
        <v>309</v>
      </c>
      <c r="C2376" s="7">
        <f>3</f>
        <v>3</v>
      </c>
      <c r="D2376" s="7">
        <v>2.0</v>
      </c>
      <c r="E2376" s="7">
        <v>2.0</v>
      </c>
      <c r="F2376" s="7" t="s">
        <v>121</v>
      </c>
      <c r="G2376" s="7" t="s">
        <v>1837</v>
      </c>
      <c r="H2376" s="9" t="s">
        <v>2979</v>
      </c>
      <c r="I2376" t="s">
        <v>3948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 t="str">
        <f t="shared" si="1"/>
        <v>Built-up :</v>
      </c>
      <c r="AE2376" s="7" t="str">
        <f t="shared" si="2"/>
        <v> sq. ft.</v>
      </c>
      <c r="AF2376">
        <f>IFERROR(__xludf.DUMMYFUNCTION("VALUE(REGEXREPLACE(G2376,""[^[:digit:]]"", """"))"),2659.0)</f>
        <v>2659</v>
      </c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 t="s">
        <v>22</v>
      </c>
    </row>
    <row r="2377">
      <c r="A2377" s="7" t="s">
        <v>23</v>
      </c>
      <c r="B2377" s="7" t="s">
        <v>257</v>
      </c>
      <c r="C2377" s="7">
        <f>4</f>
        <v>4</v>
      </c>
      <c r="D2377" s="7">
        <v>4.0</v>
      </c>
      <c r="E2377" s="7">
        <v>2.0</v>
      </c>
      <c r="F2377" s="7" t="s">
        <v>169</v>
      </c>
      <c r="G2377" s="7" t="s">
        <v>333</v>
      </c>
      <c r="H2377" s="9" t="s">
        <v>2981</v>
      </c>
      <c r="I2377" t="s">
        <v>3091</v>
      </c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 t="str">
        <f t="shared" si="1"/>
        <v>Land area </v>
      </c>
      <c r="AE2377" s="7" t="str">
        <f t="shared" si="2"/>
        <v> sq. ft.</v>
      </c>
      <c r="AF2377">
        <f>IFERROR(__xludf.DUMMYFUNCTION("VALUE(REGEXREPLACE(G2377,""[^[:digit:]]"", """"))"),1650.0)</f>
        <v>1650</v>
      </c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 t="s">
        <v>27</v>
      </c>
    </row>
    <row r="2378">
      <c r="A2378" s="7" t="s">
        <v>72</v>
      </c>
      <c r="B2378" s="7" t="s">
        <v>1838</v>
      </c>
      <c r="C2378" s="7">
        <f>5+1</f>
        <v>6</v>
      </c>
      <c r="D2378" s="7">
        <v>6.0</v>
      </c>
      <c r="E2378" s="7">
        <v>5.0</v>
      </c>
      <c r="F2378" s="7" t="s">
        <v>25</v>
      </c>
      <c r="G2378" s="7" t="s">
        <v>264</v>
      </c>
      <c r="H2378" s="9" t="s">
        <v>2981</v>
      </c>
      <c r="I2378" t="s">
        <v>3082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 t="str">
        <f t="shared" si="1"/>
        <v>Land area </v>
      </c>
      <c r="AE2378" s="7" t="str">
        <f t="shared" si="2"/>
        <v> sq. ft.</v>
      </c>
      <c r="AF2378">
        <f>IFERROR(__xludf.DUMMYFUNCTION("VALUE(REGEXREPLACE(G2378,""[^[:digit:]]"", """"))"),10000.0)</f>
        <v>10000</v>
      </c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 t="s">
        <v>22</v>
      </c>
    </row>
    <row r="2379">
      <c r="A2379" s="7" t="s">
        <v>48</v>
      </c>
      <c r="B2379" s="7" t="s">
        <v>314</v>
      </c>
      <c r="C2379" s="7">
        <f>4</f>
        <v>4</v>
      </c>
      <c r="D2379" s="7">
        <v>3.0</v>
      </c>
      <c r="E2379" s="9">
        <v>2.0</v>
      </c>
      <c r="F2379" s="7" t="s">
        <v>54</v>
      </c>
      <c r="G2379" s="7" t="s">
        <v>1839</v>
      </c>
      <c r="H2379" s="9" t="s">
        <v>2981</v>
      </c>
      <c r="I2379" t="s">
        <v>3949</v>
      </c>
      <c r="J2379" s="7"/>
      <c r="K2379" s="7"/>
      <c r="L2379" s="7"/>
      <c r="M2379" s="7"/>
      <c r="N2379" s="7"/>
      <c r="O2379" s="7"/>
      <c r="P2379" s="7"/>
      <c r="Q2379" s="7"/>
      <c r="R2379" s="7"/>
      <c r="S2379" s="7" t="s">
        <v>3298</v>
      </c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 t="str">
        <f t="shared" si="1"/>
        <v>Land area </v>
      </c>
      <c r="AE2379" s="7" t="str">
        <f t="shared" si="2"/>
        <v> sq. ft.</v>
      </c>
      <c r="AF2379">
        <f>IFERROR(__xludf.DUMMYFUNCTION("VALUE(REGEXREPLACE(G2379,""[^[:digit:]]"", """"))"),1865.0)</f>
        <v>1865</v>
      </c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</row>
    <row r="2380">
      <c r="A2380" s="7" t="s">
        <v>17</v>
      </c>
      <c r="B2380" s="7" t="s">
        <v>193</v>
      </c>
      <c r="C2380" s="7">
        <f>2</f>
        <v>2</v>
      </c>
      <c r="D2380" s="7">
        <v>1.0</v>
      </c>
      <c r="E2380" s="7">
        <v>1.0</v>
      </c>
      <c r="F2380" s="7" t="s">
        <v>20</v>
      </c>
      <c r="G2380" s="7" t="s">
        <v>734</v>
      </c>
      <c r="H2380" s="9" t="s">
        <v>2979</v>
      </c>
      <c r="I2380" t="s">
        <v>3308</v>
      </c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 t="str">
        <f t="shared" si="1"/>
        <v>Built-up :</v>
      </c>
      <c r="AE2380" s="7" t="str">
        <f t="shared" si="2"/>
        <v> sq. ft.</v>
      </c>
      <c r="AF2380">
        <f>IFERROR(__xludf.DUMMYFUNCTION("VALUE(REGEXREPLACE(G2380,""[^[:digit:]]"", """"))"),1100.0)</f>
        <v>1100</v>
      </c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 t="s">
        <v>22</v>
      </c>
    </row>
    <row r="2381">
      <c r="A2381" s="7" t="s">
        <v>180</v>
      </c>
      <c r="B2381" s="7" t="s">
        <v>499</v>
      </c>
      <c r="C2381" s="7">
        <f>3+1</f>
        <v>4</v>
      </c>
      <c r="D2381" s="7">
        <v>2.0</v>
      </c>
      <c r="E2381" s="9">
        <v>2.0</v>
      </c>
      <c r="F2381" s="7" t="s">
        <v>83</v>
      </c>
      <c r="G2381" s="7" t="s">
        <v>1840</v>
      </c>
      <c r="H2381" s="9" t="s">
        <v>2981</v>
      </c>
      <c r="I2381" t="s">
        <v>3950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 t="str">
        <f t="shared" si="1"/>
        <v>Land area </v>
      </c>
      <c r="AE2381" s="7" t="str">
        <f t="shared" si="2"/>
        <v> sq. ft.</v>
      </c>
      <c r="AF2381">
        <f>IFERROR(__xludf.DUMMYFUNCTION("VALUE(REGEXREPLACE(G2381,""[^[:digit:]]"", """"))"),3285.0)</f>
        <v>3285</v>
      </c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</row>
    <row r="2382">
      <c r="A2382" s="7" t="s">
        <v>17</v>
      </c>
      <c r="B2382" s="7" t="s">
        <v>42</v>
      </c>
      <c r="C2382" s="7">
        <f>3</f>
        <v>3</v>
      </c>
      <c r="D2382" s="7">
        <v>4.0</v>
      </c>
      <c r="E2382" s="7">
        <v>2.0</v>
      </c>
      <c r="F2382" s="7" t="s">
        <v>83</v>
      </c>
      <c r="G2382" s="7" t="s">
        <v>1841</v>
      </c>
      <c r="H2382" s="9" t="s">
        <v>2981</v>
      </c>
      <c r="I2382" t="s">
        <v>3951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 t="str">
        <f t="shared" si="1"/>
        <v>Land area </v>
      </c>
      <c r="AE2382" s="7" t="str">
        <f t="shared" si="2"/>
        <v> sq. ft.</v>
      </c>
      <c r="AF2382">
        <f>IFERROR(__xludf.DUMMYFUNCTION("VALUE(REGEXREPLACE(G2382,""[^[:digit:]]"", """"))"),2245.0)</f>
        <v>2245</v>
      </c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 t="s">
        <v>103</v>
      </c>
    </row>
    <row r="2383">
      <c r="A2383" s="7" t="s">
        <v>17</v>
      </c>
      <c r="B2383" s="7" t="s">
        <v>165</v>
      </c>
      <c r="C2383" s="7">
        <f>4</f>
        <v>4</v>
      </c>
      <c r="D2383" s="7">
        <v>4.0</v>
      </c>
      <c r="E2383" s="7">
        <v>2.0</v>
      </c>
      <c r="F2383" s="7" t="s">
        <v>83</v>
      </c>
      <c r="G2383" s="7" t="s">
        <v>1842</v>
      </c>
      <c r="H2383" s="9" t="s">
        <v>2981</v>
      </c>
      <c r="I2383" t="s">
        <v>3952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 t="str">
        <f t="shared" si="1"/>
        <v>Land area </v>
      </c>
      <c r="AE2383" s="7" t="str">
        <f t="shared" si="2"/>
        <v> sq. ft.</v>
      </c>
      <c r="AF2383">
        <f>IFERROR(__xludf.DUMMYFUNCTION("VALUE(REGEXREPLACE(G2383,""[^[:digit:]]"", """"))"),2906.0)</f>
        <v>2906</v>
      </c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 t="s">
        <v>103</v>
      </c>
    </row>
    <row r="2384">
      <c r="A2384" s="7" t="s">
        <v>17</v>
      </c>
      <c r="B2384" s="7" t="s">
        <v>292</v>
      </c>
      <c r="C2384" s="7">
        <f>4+1</f>
        <v>5</v>
      </c>
      <c r="D2384" s="7">
        <v>5.0</v>
      </c>
      <c r="E2384" s="9">
        <v>2.0</v>
      </c>
      <c r="F2384" s="7" t="s">
        <v>30</v>
      </c>
      <c r="G2384" s="7" t="s">
        <v>944</v>
      </c>
      <c r="H2384" s="9" t="s">
        <v>2981</v>
      </c>
      <c r="I2384" t="s">
        <v>3419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 t="str">
        <f t="shared" si="1"/>
        <v>Land area </v>
      </c>
      <c r="AE2384" s="7" t="str">
        <f t="shared" si="2"/>
        <v> sq. ft.</v>
      </c>
      <c r="AF2384">
        <f>IFERROR(__xludf.DUMMYFUNCTION("VALUE(REGEXREPLACE(G2384,""[^[:digit:]]"", """"))"),3800.0)</f>
        <v>3800</v>
      </c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 t="s">
        <v>27</v>
      </c>
    </row>
    <row r="2385">
      <c r="A2385" s="7" t="s">
        <v>180</v>
      </c>
      <c r="B2385" s="7" t="s">
        <v>127</v>
      </c>
      <c r="C2385" s="7">
        <f>3</f>
        <v>3</v>
      </c>
      <c r="D2385" s="7">
        <v>2.0</v>
      </c>
      <c r="E2385" s="9">
        <v>2.0</v>
      </c>
      <c r="F2385" s="7" t="s">
        <v>83</v>
      </c>
      <c r="G2385" s="7" t="s">
        <v>1840</v>
      </c>
      <c r="H2385" s="9" t="s">
        <v>2981</v>
      </c>
      <c r="I2385" t="s">
        <v>3950</v>
      </c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 t="str">
        <f t="shared" si="1"/>
        <v>Land area </v>
      </c>
      <c r="AE2385" s="7" t="str">
        <f t="shared" si="2"/>
        <v> sq. ft.</v>
      </c>
      <c r="AF2385">
        <f>IFERROR(__xludf.DUMMYFUNCTION("VALUE(REGEXREPLACE(G2385,""[^[:digit:]]"", """"))"),3285.0)</f>
        <v>3285</v>
      </c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 t="s">
        <v>22</v>
      </c>
    </row>
    <row r="2386">
      <c r="A2386" s="7" t="s">
        <v>143</v>
      </c>
      <c r="B2386" s="7" t="s">
        <v>34</v>
      </c>
      <c r="C2386" s="7">
        <f>2</f>
        <v>2</v>
      </c>
      <c r="D2386" s="7">
        <v>2.0</v>
      </c>
      <c r="E2386" s="7">
        <v>1.0</v>
      </c>
      <c r="F2386" s="7" t="s">
        <v>83</v>
      </c>
      <c r="G2386" s="7" t="s">
        <v>1106</v>
      </c>
      <c r="H2386" s="9" t="s">
        <v>2979</v>
      </c>
      <c r="I2386" t="s">
        <v>3507</v>
      </c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 t="str">
        <f t="shared" si="1"/>
        <v>Built-up :</v>
      </c>
      <c r="AE2386" s="7" t="str">
        <f t="shared" si="2"/>
        <v> sq. ft.</v>
      </c>
      <c r="AF2386">
        <f>IFERROR(__xludf.DUMMYFUNCTION("VALUE(REGEXREPLACE(G2386,""[^[:digit:]]"", """"))"),1180.0)</f>
        <v>1180</v>
      </c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 t="s">
        <v>22</v>
      </c>
    </row>
    <row r="2387">
      <c r="A2387" s="7" t="s">
        <v>371</v>
      </c>
      <c r="B2387" s="7" t="s">
        <v>761</v>
      </c>
      <c r="C2387" s="7">
        <f>3+1</f>
        <v>4</v>
      </c>
      <c r="D2387" s="7">
        <v>2.0</v>
      </c>
      <c r="E2387" s="7">
        <v>1.0</v>
      </c>
      <c r="F2387" s="7" t="s">
        <v>83</v>
      </c>
      <c r="G2387" s="7" t="s">
        <v>1521</v>
      </c>
      <c r="H2387" s="9" t="s">
        <v>2979</v>
      </c>
      <c r="I2387" t="s">
        <v>3758</v>
      </c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 t="str">
        <f t="shared" si="1"/>
        <v>Built-up :</v>
      </c>
      <c r="AE2387" s="7" t="str">
        <f t="shared" si="2"/>
        <v> sq. ft.</v>
      </c>
      <c r="AF2387">
        <f>IFERROR(__xludf.DUMMYFUNCTION("VALUE(REGEXREPLACE(G2387,""[^[:digit:]]"", """"))"),1267.0)</f>
        <v>1267</v>
      </c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 t="s">
        <v>22</v>
      </c>
    </row>
    <row r="2388">
      <c r="A2388" s="7" t="s">
        <v>72</v>
      </c>
      <c r="B2388" s="7" t="s">
        <v>1843</v>
      </c>
      <c r="C2388" s="7">
        <f>5+1</f>
        <v>6</v>
      </c>
      <c r="D2388" s="7">
        <v>6.0</v>
      </c>
      <c r="E2388" s="9">
        <v>2.0</v>
      </c>
      <c r="F2388" s="7" t="s">
        <v>25</v>
      </c>
      <c r="G2388" s="7" t="s">
        <v>1844</v>
      </c>
      <c r="H2388" s="9" t="s">
        <v>2981</v>
      </c>
      <c r="I2388" t="s">
        <v>3953</v>
      </c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 t="str">
        <f t="shared" si="1"/>
        <v>Land area </v>
      </c>
      <c r="AE2388" s="7" t="str">
        <f t="shared" si="2"/>
        <v> sq. ft.</v>
      </c>
      <c r="AF2388">
        <f>IFERROR(__xludf.DUMMYFUNCTION("VALUE(REGEXREPLACE(G2388,""[^[:digit:]]"", """"))"),6390.0)</f>
        <v>6390</v>
      </c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 t="s">
        <v>27</v>
      </c>
    </row>
    <row r="2389">
      <c r="A2389" s="7" t="s">
        <v>77</v>
      </c>
      <c r="B2389" s="7" t="s">
        <v>913</v>
      </c>
      <c r="C2389" s="7">
        <f>6</f>
        <v>6</v>
      </c>
      <c r="D2389" s="7">
        <v>6.0</v>
      </c>
      <c r="E2389" s="7">
        <v>4.0</v>
      </c>
      <c r="F2389" s="7" t="s">
        <v>487</v>
      </c>
      <c r="G2389" s="7" t="s">
        <v>912</v>
      </c>
      <c r="H2389" s="9" t="s">
        <v>2981</v>
      </c>
      <c r="I2389" t="s">
        <v>3183</v>
      </c>
      <c r="J2389" s="7"/>
      <c r="K2389" s="7"/>
      <c r="L2389" s="7"/>
      <c r="M2389" s="7"/>
      <c r="N2389" s="7"/>
      <c r="O2389" s="7"/>
      <c r="P2389" s="7"/>
      <c r="Q2389" s="7"/>
      <c r="R2389" s="7"/>
      <c r="S2389" s="7" t="s">
        <v>2993</v>
      </c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 t="str">
        <f t="shared" si="1"/>
        <v>Land area </v>
      </c>
      <c r="AE2389" s="7" t="str">
        <f t="shared" si="2"/>
        <v> sq. ft.</v>
      </c>
      <c r="AF2389">
        <f>IFERROR(__xludf.DUMMYFUNCTION("VALUE(REGEXREPLACE(G2389,""[^[:digit:]]"", """"))"),4080.0)</f>
        <v>4080</v>
      </c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 t="s">
        <v>22</v>
      </c>
    </row>
    <row r="2390">
      <c r="A2390" s="7" t="s">
        <v>77</v>
      </c>
      <c r="B2390" s="7" t="s">
        <v>1845</v>
      </c>
      <c r="E2390" s="9">
        <v>2.0</v>
      </c>
      <c r="F2390" s="7" t="s">
        <v>667</v>
      </c>
      <c r="G2390" s="7" t="s">
        <v>1846</v>
      </c>
      <c r="H2390" s="9" t="s">
        <v>2981</v>
      </c>
      <c r="I2390" t="s">
        <v>3954</v>
      </c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 t="str">
        <f t="shared" si="1"/>
        <v>Land area </v>
      </c>
      <c r="AE2390" s="7" t="str">
        <f t="shared" si="2"/>
        <v> sq. ft.</v>
      </c>
      <c r="AF2390">
        <f>IFERROR(__xludf.DUMMYFUNCTION("VALUE(REGEXREPLACE(G2390,""[^[:digit:]]"", """"))"),6609.0)</f>
        <v>6609</v>
      </c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</row>
    <row r="2391">
      <c r="A2391" s="7" t="s">
        <v>28</v>
      </c>
      <c r="B2391" s="7" t="s">
        <v>311</v>
      </c>
      <c r="C2391" s="7">
        <f>2</f>
        <v>2</v>
      </c>
      <c r="D2391" s="7">
        <v>2.0</v>
      </c>
      <c r="E2391" s="7">
        <v>1.0</v>
      </c>
      <c r="F2391" s="7" t="s">
        <v>82</v>
      </c>
      <c r="G2391" s="7" t="s">
        <v>1847</v>
      </c>
      <c r="H2391" s="9" t="s">
        <v>2979</v>
      </c>
      <c r="I2391" t="s">
        <v>3955</v>
      </c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 t="str">
        <f t="shared" si="1"/>
        <v>Built-up :</v>
      </c>
      <c r="AE2391" s="7" t="str">
        <f t="shared" si="2"/>
        <v> sq. ft.</v>
      </c>
      <c r="AF2391">
        <f>IFERROR(__xludf.DUMMYFUNCTION("VALUE(REGEXREPLACE(G2391,""[^[:digit:]]"", """"))"),997.0)</f>
        <v>997</v>
      </c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 t="s">
        <v>22</v>
      </c>
    </row>
    <row r="2392">
      <c r="A2392" s="7" t="s">
        <v>432</v>
      </c>
      <c r="B2392" s="7" t="s">
        <v>1823</v>
      </c>
      <c r="C2392" s="7" t="s">
        <v>325</v>
      </c>
      <c r="D2392" s="7">
        <v>1.0</v>
      </c>
      <c r="E2392" s="9">
        <v>2.0</v>
      </c>
      <c r="F2392" s="7" t="s">
        <v>20</v>
      </c>
      <c r="G2392" s="7" t="s">
        <v>1848</v>
      </c>
      <c r="H2392" s="9" t="s">
        <v>2979</v>
      </c>
      <c r="I2392" t="s">
        <v>3956</v>
      </c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 t="str">
        <f t="shared" si="1"/>
        <v>Built-up :</v>
      </c>
      <c r="AE2392" s="7" t="str">
        <f t="shared" si="2"/>
        <v> sq. ft.</v>
      </c>
      <c r="AF2392">
        <f>IFERROR(__xludf.DUMMYFUNCTION("VALUE(REGEXREPLACE(G2392,""[^[:digit:]]"", """"))"),498.0)</f>
        <v>498</v>
      </c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 t="s">
        <v>27</v>
      </c>
    </row>
    <row r="2393">
      <c r="A2393" s="7" t="s">
        <v>428</v>
      </c>
      <c r="B2393" s="7" t="s">
        <v>78</v>
      </c>
      <c r="C2393" s="7">
        <f>3+1</f>
        <v>4</v>
      </c>
      <c r="D2393" s="7">
        <v>4.0</v>
      </c>
      <c r="E2393" s="7">
        <v>3.0</v>
      </c>
      <c r="F2393" s="7" t="s">
        <v>30</v>
      </c>
      <c r="G2393" s="7" t="s">
        <v>1849</v>
      </c>
      <c r="H2393" s="9" t="s">
        <v>2979</v>
      </c>
      <c r="I2393" t="s">
        <v>3957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 t="str">
        <f t="shared" si="1"/>
        <v>Built-up :</v>
      </c>
      <c r="AE2393" s="7" t="str">
        <f t="shared" si="2"/>
        <v> sq. ft.</v>
      </c>
      <c r="AF2393">
        <f>IFERROR(__xludf.DUMMYFUNCTION("VALUE(REGEXREPLACE(G2393,""[^[:digit:]]"", """"))"),2109.0)</f>
        <v>2109</v>
      </c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 t="s">
        <v>27</v>
      </c>
    </row>
    <row r="2394">
      <c r="A2394" s="7" t="s">
        <v>28</v>
      </c>
      <c r="B2394" s="7" t="s">
        <v>1318</v>
      </c>
      <c r="C2394" s="7">
        <f t="shared" ref="C2394:C2395" si="311">3</f>
        <v>3</v>
      </c>
      <c r="D2394" s="7">
        <v>2.0</v>
      </c>
      <c r="E2394" s="7">
        <v>1.0</v>
      </c>
      <c r="F2394" s="7" t="s">
        <v>83</v>
      </c>
      <c r="G2394" s="7" t="s">
        <v>1850</v>
      </c>
      <c r="H2394" s="9" t="s">
        <v>2979</v>
      </c>
      <c r="I2394" t="s">
        <v>3958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 t="str">
        <f t="shared" si="1"/>
        <v>Built-up :</v>
      </c>
      <c r="AE2394" s="7" t="str">
        <f t="shared" si="2"/>
        <v> sq. ft.</v>
      </c>
      <c r="AF2394">
        <f>IFERROR(__xludf.DUMMYFUNCTION("VALUE(REGEXREPLACE(G2394,""[^[:digit:]]"", """"))"),1326.0)</f>
        <v>1326</v>
      </c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 t="s">
        <v>22</v>
      </c>
    </row>
    <row r="2395">
      <c r="A2395" s="7" t="s">
        <v>28</v>
      </c>
      <c r="B2395" s="7" t="s">
        <v>890</v>
      </c>
      <c r="C2395" s="7">
        <f t="shared" si="311"/>
        <v>3</v>
      </c>
      <c r="D2395" s="7">
        <v>2.0</v>
      </c>
      <c r="E2395" s="7">
        <v>1.0</v>
      </c>
      <c r="F2395" s="7" t="s">
        <v>30</v>
      </c>
      <c r="G2395" s="7" t="s">
        <v>734</v>
      </c>
      <c r="H2395" s="9" t="s">
        <v>2979</v>
      </c>
      <c r="I2395" t="s">
        <v>3308</v>
      </c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 t="str">
        <f t="shared" si="1"/>
        <v>Built-up :</v>
      </c>
      <c r="AE2395" s="7" t="str">
        <f t="shared" si="2"/>
        <v> sq. ft.</v>
      </c>
      <c r="AF2395">
        <f>IFERROR(__xludf.DUMMYFUNCTION("VALUE(REGEXREPLACE(G2395,""[^[:digit:]]"", """"))"),1100.0)</f>
        <v>1100</v>
      </c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 t="s">
        <v>27</v>
      </c>
    </row>
    <row r="2396">
      <c r="A2396" s="7" t="s">
        <v>143</v>
      </c>
      <c r="B2396" s="7" t="s">
        <v>1851</v>
      </c>
      <c r="C2396" s="7">
        <f>1</f>
        <v>1</v>
      </c>
      <c r="D2396" s="7">
        <v>1.0</v>
      </c>
      <c r="E2396" s="9">
        <v>2.0</v>
      </c>
      <c r="F2396" s="7" t="s">
        <v>20</v>
      </c>
      <c r="G2396" s="7" t="s">
        <v>1852</v>
      </c>
      <c r="H2396" s="9" t="s">
        <v>2979</v>
      </c>
      <c r="I2396" t="s">
        <v>3959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 t="str">
        <f t="shared" si="1"/>
        <v>Built-up :</v>
      </c>
      <c r="AE2396" s="7" t="str">
        <f t="shared" si="2"/>
        <v> sq. ft.</v>
      </c>
      <c r="AF2396">
        <f>IFERROR(__xludf.DUMMYFUNCTION("VALUE(REGEXREPLACE(G2396,""[^[:digit:]]"", """"))"),304.0)</f>
        <v>304</v>
      </c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 t="s">
        <v>22</v>
      </c>
    </row>
    <row r="2397">
      <c r="A2397" s="7" t="s">
        <v>77</v>
      </c>
      <c r="B2397" s="7" t="s">
        <v>319</v>
      </c>
      <c r="C2397" s="7">
        <f>4+1</f>
        <v>5</v>
      </c>
      <c r="D2397" s="7">
        <v>3.0</v>
      </c>
      <c r="E2397" s="7">
        <v>2.0</v>
      </c>
      <c r="F2397" s="7" t="s">
        <v>184</v>
      </c>
      <c r="G2397" s="7" t="s">
        <v>1853</v>
      </c>
      <c r="H2397" s="9" t="s">
        <v>2981</v>
      </c>
      <c r="I2397" t="s">
        <v>3106</v>
      </c>
      <c r="J2397" s="7"/>
      <c r="K2397" s="7"/>
      <c r="L2397" s="7"/>
      <c r="M2397" s="7"/>
      <c r="N2397" s="7"/>
      <c r="O2397" s="7"/>
      <c r="P2397" s="7"/>
      <c r="Q2397" s="7"/>
      <c r="R2397" s="7"/>
      <c r="S2397" s="7" t="s">
        <v>2990</v>
      </c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 t="str">
        <f t="shared" si="1"/>
        <v>Land area </v>
      </c>
      <c r="AE2397" s="7" t="str">
        <f t="shared" si="2"/>
        <v> sq. ft.</v>
      </c>
      <c r="AF2397">
        <f>IFERROR(__xludf.DUMMYFUNCTION("VALUE(REGEXREPLACE(G2397,""[^[:digit:]]"", """"))"),4675.0)</f>
        <v>4675</v>
      </c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 t="s">
        <v>27</v>
      </c>
    </row>
    <row r="2398">
      <c r="A2398" s="7" t="s">
        <v>77</v>
      </c>
      <c r="B2398" s="7" t="s">
        <v>158</v>
      </c>
      <c r="C2398" s="7">
        <f t="shared" ref="C2398:C2402" si="312">3+1</f>
        <v>4</v>
      </c>
      <c r="D2398" s="7">
        <v>3.0</v>
      </c>
      <c r="E2398" s="7">
        <v>2.0</v>
      </c>
      <c r="F2398" s="7" t="s">
        <v>54</v>
      </c>
      <c r="G2398" s="7" t="s">
        <v>283</v>
      </c>
      <c r="H2398" s="9" t="s">
        <v>2981</v>
      </c>
      <c r="I2398" t="s">
        <v>3091</v>
      </c>
      <c r="J2398" s="7"/>
      <c r="K2398" s="7"/>
      <c r="L2398" s="7"/>
      <c r="M2398" s="7"/>
      <c r="N2398" s="7"/>
      <c r="O2398" s="7"/>
      <c r="P2398" s="7"/>
      <c r="Q2398" s="7"/>
      <c r="R2398" s="7"/>
      <c r="S2398" s="7" t="s">
        <v>2990</v>
      </c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 t="str">
        <f t="shared" si="1"/>
        <v>Land area </v>
      </c>
      <c r="AE2398" s="7" t="str">
        <f t="shared" si="2"/>
        <v> sq. ft.</v>
      </c>
      <c r="AF2398">
        <f>IFERROR(__xludf.DUMMYFUNCTION("VALUE(REGEXREPLACE(G2398,""[^[:digit:]]"", """"))"),2275.0)</f>
        <v>2275</v>
      </c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 t="s">
        <v>27</v>
      </c>
    </row>
    <row r="2399">
      <c r="A2399" s="7" t="s">
        <v>77</v>
      </c>
      <c r="B2399" s="7" t="s">
        <v>98</v>
      </c>
      <c r="C2399" s="7">
        <f t="shared" si="312"/>
        <v>4</v>
      </c>
      <c r="D2399" s="7">
        <v>3.0</v>
      </c>
      <c r="E2399" s="9">
        <v>2.0</v>
      </c>
      <c r="F2399" s="7" t="s">
        <v>169</v>
      </c>
      <c r="G2399" s="7" t="s">
        <v>283</v>
      </c>
      <c r="H2399" s="9" t="s">
        <v>2981</v>
      </c>
      <c r="I2399" t="s">
        <v>3091</v>
      </c>
      <c r="J2399" s="7"/>
      <c r="K2399" s="7"/>
      <c r="L2399" s="7"/>
      <c r="M2399" s="7"/>
      <c r="N2399" s="7"/>
      <c r="O2399" s="7"/>
      <c r="P2399" s="7"/>
      <c r="Q2399" s="7"/>
      <c r="R2399" s="7"/>
      <c r="S2399" s="7" t="s">
        <v>2990</v>
      </c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 t="str">
        <f t="shared" si="1"/>
        <v>Land area </v>
      </c>
      <c r="AE2399" s="7" t="str">
        <f t="shared" si="2"/>
        <v> sq. ft.</v>
      </c>
      <c r="AF2399">
        <f>IFERROR(__xludf.DUMMYFUNCTION("VALUE(REGEXREPLACE(G2399,""[^[:digit:]]"", """"))"),2275.0)</f>
        <v>2275</v>
      </c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 t="s">
        <v>27</v>
      </c>
    </row>
    <row r="2400">
      <c r="A2400" s="7" t="s">
        <v>77</v>
      </c>
      <c r="B2400" s="7" t="s">
        <v>484</v>
      </c>
      <c r="C2400" s="7">
        <f t="shared" si="312"/>
        <v>4</v>
      </c>
      <c r="D2400" s="7">
        <v>4.0</v>
      </c>
      <c r="E2400" s="7">
        <v>2.0</v>
      </c>
      <c r="F2400" s="7" t="s">
        <v>169</v>
      </c>
      <c r="G2400" s="7" t="s">
        <v>1854</v>
      </c>
      <c r="H2400" s="9" t="s">
        <v>2979</v>
      </c>
      <c r="I2400" t="s">
        <v>3960</v>
      </c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 t="str">
        <f t="shared" si="1"/>
        <v>Built-up :</v>
      </c>
      <c r="AE2400" s="7" t="str">
        <f t="shared" si="2"/>
        <v> sq. ft.</v>
      </c>
      <c r="AF2400">
        <f>IFERROR(__xludf.DUMMYFUNCTION("VALUE(REGEXREPLACE(G2400,""[^[:digit:]]"", """"))"),3079.0)</f>
        <v>3079</v>
      </c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 t="s">
        <v>27</v>
      </c>
    </row>
    <row r="2401">
      <c r="A2401" s="7" t="s">
        <v>77</v>
      </c>
      <c r="B2401" s="7" t="s">
        <v>306</v>
      </c>
      <c r="C2401" s="7">
        <f t="shared" si="312"/>
        <v>4</v>
      </c>
      <c r="D2401" s="7">
        <v>4.0</v>
      </c>
      <c r="E2401" s="9">
        <v>2.0</v>
      </c>
      <c r="F2401" s="7" t="s">
        <v>169</v>
      </c>
      <c r="G2401" s="7" t="s">
        <v>1409</v>
      </c>
      <c r="H2401" s="9" t="s">
        <v>2979</v>
      </c>
      <c r="I2401" t="s">
        <v>3695</v>
      </c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 t="str">
        <f t="shared" si="1"/>
        <v>Built-up :</v>
      </c>
      <c r="AE2401" s="7" t="str">
        <f t="shared" si="2"/>
        <v> sq. ft.</v>
      </c>
      <c r="AF2401">
        <f>IFERROR(__xludf.DUMMYFUNCTION("VALUE(REGEXREPLACE(G2401,""[^[:digit:]]"", """"))"),2530.0)</f>
        <v>2530</v>
      </c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</row>
    <row r="2402">
      <c r="A2402" s="7" t="s">
        <v>77</v>
      </c>
      <c r="B2402" s="7" t="s">
        <v>183</v>
      </c>
      <c r="C2402" s="7">
        <f t="shared" si="312"/>
        <v>4</v>
      </c>
      <c r="D2402" s="7">
        <v>4.0</v>
      </c>
      <c r="E2402" s="7">
        <v>2.0</v>
      </c>
      <c r="F2402" s="7" t="s">
        <v>169</v>
      </c>
      <c r="G2402" s="7" t="s">
        <v>1854</v>
      </c>
      <c r="H2402" s="9" t="s">
        <v>2979</v>
      </c>
      <c r="I2402" t="s">
        <v>3960</v>
      </c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 t="str">
        <f t="shared" si="1"/>
        <v>Built-up :</v>
      </c>
      <c r="AE2402" s="7" t="str">
        <f t="shared" si="2"/>
        <v> sq. ft.</v>
      </c>
      <c r="AF2402">
        <f>IFERROR(__xludf.DUMMYFUNCTION("VALUE(REGEXREPLACE(G2402,""[^[:digit:]]"", """"))"),3079.0)</f>
        <v>3079</v>
      </c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 t="s">
        <v>27</v>
      </c>
    </row>
    <row r="2403">
      <c r="A2403" s="7" t="s">
        <v>77</v>
      </c>
      <c r="B2403" s="7" t="s">
        <v>277</v>
      </c>
      <c r="C2403" s="7">
        <f>4</f>
        <v>4</v>
      </c>
      <c r="D2403" s="7">
        <v>3.0</v>
      </c>
      <c r="E2403" s="9">
        <v>2.0</v>
      </c>
      <c r="F2403" s="7" t="s">
        <v>169</v>
      </c>
      <c r="G2403" s="7" t="s">
        <v>1409</v>
      </c>
      <c r="H2403" s="9" t="s">
        <v>2979</v>
      </c>
      <c r="I2403" t="s">
        <v>3695</v>
      </c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 t="str">
        <f t="shared" si="1"/>
        <v>Built-up :</v>
      </c>
      <c r="AE2403" s="7" t="str">
        <f t="shared" si="2"/>
        <v> sq. ft.</v>
      </c>
      <c r="AF2403">
        <f>IFERROR(__xludf.DUMMYFUNCTION("VALUE(REGEXREPLACE(G2403,""[^[:digit:]]"", """"))"),2530.0)</f>
        <v>2530</v>
      </c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 t="s">
        <v>22</v>
      </c>
    </row>
    <row r="2404">
      <c r="A2404" s="7" t="s">
        <v>72</v>
      </c>
      <c r="B2404" s="7" t="s">
        <v>316</v>
      </c>
      <c r="E2404" s="7">
        <v>2.0</v>
      </c>
      <c r="F2404" s="7" t="s">
        <v>30</v>
      </c>
      <c r="G2404" s="7" t="s">
        <v>1855</v>
      </c>
      <c r="H2404" s="9" t="s">
        <v>2979</v>
      </c>
      <c r="I2404" t="s">
        <v>3961</v>
      </c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 t="str">
        <f t="shared" si="1"/>
        <v>Built-up :</v>
      </c>
      <c r="AE2404" s="7" t="str">
        <f t="shared" si="2"/>
        <v> sq. ft.</v>
      </c>
      <c r="AF2404">
        <f>IFERROR(__xludf.DUMMYFUNCTION("VALUE(REGEXREPLACE(G2404,""[^[:digit:]]"", """"))"),1230.0)</f>
        <v>1230</v>
      </c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 t="s">
        <v>22</v>
      </c>
    </row>
    <row r="2405">
      <c r="A2405" s="7" t="s">
        <v>32</v>
      </c>
      <c r="B2405" s="7" t="s">
        <v>563</v>
      </c>
      <c r="C2405" s="7">
        <f>4</f>
        <v>4</v>
      </c>
      <c r="D2405" s="7">
        <v>3.0</v>
      </c>
      <c r="E2405" s="9">
        <v>2.0</v>
      </c>
      <c r="F2405" s="7" t="s">
        <v>169</v>
      </c>
      <c r="G2405" s="7" t="s">
        <v>1856</v>
      </c>
      <c r="H2405" s="9" t="s">
        <v>2979</v>
      </c>
      <c r="I2405" t="s">
        <v>3962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 t="str">
        <f t="shared" si="1"/>
        <v>Built-up :</v>
      </c>
      <c r="AE2405" s="7" t="str">
        <f t="shared" si="2"/>
        <v> sq. ft.</v>
      </c>
      <c r="AF2405">
        <f>IFERROR(__xludf.DUMMYFUNCTION("VALUE(REGEXREPLACE(G2405,""[^[:digit:]]"", """"))"),1650.0)</f>
        <v>1650</v>
      </c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</row>
    <row r="2406">
      <c r="A2406" s="7" t="s">
        <v>188</v>
      </c>
      <c r="B2406" s="7" t="s">
        <v>263</v>
      </c>
      <c r="C2406" s="7">
        <f>4+2</f>
        <v>6</v>
      </c>
      <c r="D2406" s="7">
        <v>6.0</v>
      </c>
      <c r="E2406" s="9">
        <v>2.0</v>
      </c>
      <c r="F2406" s="7" t="s">
        <v>121</v>
      </c>
      <c r="G2406" s="7" t="s">
        <v>1857</v>
      </c>
      <c r="H2406" s="9" t="s">
        <v>2979</v>
      </c>
      <c r="I2406" t="s">
        <v>3963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 t="str">
        <f t="shared" si="1"/>
        <v>Built-up :</v>
      </c>
      <c r="AE2406" s="7" t="str">
        <f t="shared" si="2"/>
        <v> sq. ft.</v>
      </c>
      <c r="AF2406">
        <f>IFERROR(__xludf.DUMMYFUNCTION("VALUE(REGEXREPLACE(G2406,""[^[:digit:]]"", """"))"),5743.0)</f>
        <v>5743</v>
      </c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 t="s">
        <v>27</v>
      </c>
    </row>
    <row r="2407">
      <c r="A2407" s="7" t="s">
        <v>32</v>
      </c>
      <c r="B2407" s="7" t="s">
        <v>641</v>
      </c>
      <c r="C2407" s="7">
        <f>1</f>
        <v>1</v>
      </c>
      <c r="D2407" s="7">
        <v>1.0</v>
      </c>
      <c r="E2407" s="7">
        <v>1.0</v>
      </c>
      <c r="F2407" s="7" t="s">
        <v>354</v>
      </c>
      <c r="G2407" s="7" t="s">
        <v>929</v>
      </c>
      <c r="H2407" s="9" t="s">
        <v>2979</v>
      </c>
      <c r="I2407" t="s">
        <v>3411</v>
      </c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 t="str">
        <f t="shared" si="1"/>
        <v>Built-up :</v>
      </c>
      <c r="AE2407" s="7" t="str">
        <f t="shared" si="2"/>
        <v> sq. ft.</v>
      </c>
      <c r="AF2407">
        <f>IFERROR(__xludf.DUMMYFUNCTION("VALUE(REGEXREPLACE(G2407,""[^[:digit:]]"", """"))"),624.0)</f>
        <v>624</v>
      </c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 t="s">
        <v>22</v>
      </c>
    </row>
    <row r="2408">
      <c r="A2408" s="7" t="s">
        <v>32</v>
      </c>
      <c r="B2408" s="7" t="s">
        <v>349</v>
      </c>
      <c r="C2408" s="7">
        <f>3</f>
        <v>3</v>
      </c>
      <c r="D2408" s="7">
        <v>2.0</v>
      </c>
      <c r="E2408" s="7">
        <v>1.0</v>
      </c>
      <c r="F2408" s="7" t="s">
        <v>82</v>
      </c>
      <c r="G2408" s="7" t="s">
        <v>237</v>
      </c>
      <c r="H2408" s="9" t="s">
        <v>2979</v>
      </c>
      <c r="I2408" t="s">
        <v>3069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 t="str">
        <f t="shared" si="1"/>
        <v>Built-up :</v>
      </c>
      <c r="AE2408" s="7" t="str">
        <f t="shared" si="2"/>
        <v> sq. ft.</v>
      </c>
      <c r="AF2408">
        <f>IFERROR(__xludf.DUMMYFUNCTION("VALUE(REGEXREPLACE(G2408,""[^[:digit:]]"", """"))"),1087.0)</f>
        <v>1087</v>
      </c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 t="s">
        <v>22</v>
      </c>
    </row>
    <row r="2409">
      <c r="A2409" s="7" t="s">
        <v>32</v>
      </c>
      <c r="B2409" s="7" t="s">
        <v>1858</v>
      </c>
      <c r="C2409" s="7">
        <f t="shared" ref="C2409:C2410" si="313">2</f>
        <v>2</v>
      </c>
      <c r="D2409" s="7">
        <v>2.0</v>
      </c>
      <c r="E2409" s="7">
        <v>1.0</v>
      </c>
      <c r="F2409" s="7" t="s">
        <v>20</v>
      </c>
      <c r="G2409" s="7" t="s">
        <v>1694</v>
      </c>
      <c r="H2409" s="9" t="s">
        <v>2979</v>
      </c>
      <c r="I2409" t="s">
        <v>3864</v>
      </c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 t="str">
        <f t="shared" si="1"/>
        <v>Built-up :</v>
      </c>
      <c r="AE2409" s="7" t="str">
        <f t="shared" si="2"/>
        <v> sq. ft.</v>
      </c>
      <c r="AF2409">
        <f>IFERROR(__xludf.DUMMYFUNCTION("VALUE(REGEXREPLACE(G2409,""[^[:digit:]]"", """"))"),936.0)</f>
        <v>936</v>
      </c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</row>
    <row r="2410">
      <c r="A2410" s="7" t="s">
        <v>32</v>
      </c>
      <c r="B2410" s="7" t="s">
        <v>1859</v>
      </c>
      <c r="C2410" s="7">
        <f t="shared" si="313"/>
        <v>2</v>
      </c>
      <c r="D2410" s="7">
        <v>2.0</v>
      </c>
      <c r="E2410" s="7">
        <v>1.0</v>
      </c>
      <c r="F2410" s="7" t="s">
        <v>82</v>
      </c>
      <c r="G2410" s="7" t="s">
        <v>1694</v>
      </c>
      <c r="H2410" s="9" t="s">
        <v>2979</v>
      </c>
      <c r="I2410" t="s">
        <v>3864</v>
      </c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 t="str">
        <f t="shared" si="1"/>
        <v>Built-up :</v>
      </c>
      <c r="AE2410" s="7" t="str">
        <f t="shared" si="2"/>
        <v> sq. ft.</v>
      </c>
      <c r="AF2410">
        <f>IFERROR(__xludf.DUMMYFUNCTION("VALUE(REGEXREPLACE(G2410,""[^[:digit:]]"", """"))"),936.0)</f>
        <v>936</v>
      </c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 t="s">
        <v>251</v>
      </c>
    </row>
    <row r="2411">
      <c r="A2411" s="7" t="s">
        <v>32</v>
      </c>
      <c r="B2411" s="7" t="s">
        <v>349</v>
      </c>
      <c r="C2411" s="7">
        <f>3</f>
        <v>3</v>
      </c>
      <c r="D2411" s="7">
        <v>2.0</v>
      </c>
      <c r="E2411" s="7">
        <v>1.0</v>
      </c>
      <c r="F2411" s="7" t="s">
        <v>82</v>
      </c>
      <c r="G2411" s="7" t="s">
        <v>237</v>
      </c>
      <c r="H2411" s="9" t="s">
        <v>2979</v>
      </c>
      <c r="I2411" t="s">
        <v>3069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 t="str">
        <f t="shared" si="1"/>
        <v>Built-up :</v>
      </c>
      <c r="AE2411" s="7" t="str">
        <f t="shared" si="2"/>
        <v> sq. ft.</v>
      </c>
      <c r="AF2411">
        <f>IFERROR(__xludf.DUMMYFUNCTION("VALUE(REGEXREPLACE(G2411,""[^[:digit:]]"", """"))"),1087.0)</f>
        <v>1087</v>
      </c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 t="s">
        <v>22</v>
      </c>
    </row>
    <row r="2412">
      <c r="A2412" s="7" t="s">
        <v>32</v>
      </c>
      <c r="B2412" s="7" t="s">
        <v>329</v>
      </c>
      <c r="C2412" s="7">
        <f t="shared" ref="C2412:C2416" si="314">2</f>
        <v>2</v>
      </c>
      <c r="D2412" s="7">
        <v>2.0</v>
      </c>
      <c r="E2412" s="7">
        <v>1.0</v>
      </c>
      <c r="F2412" s="7" t="s">
        <v>121</v>
      </c>
      <c r="G2412" s="7" t="s">
        <v>1449</v>
      </c>
      <c r="H2412" s="9" t="s">
        <v>2979</v>
      </c>
      <c r="I2412" t="s">
        <v>3721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 t="str">
        <f t="shared" si="1"/>
        <v>Built-up :</v>
      </c>
      <c r="AE2412" s="7" t="str">
        <f t="shared" si="2"/>
        <v> sq. ft.</v>
      </c>
      <c r="AF2412">
        <f>IFERROR(__xludf.DUMMYFUNCTION("VALUE(REGEXREPLACE(G2412,""[^[:digit:]]"", """"))"),931.0)</f>
        <v>931</v>
      </c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 t="s">
        <v>22</v>
      </c>
    </row>
    <row r="2413">
      <c r="A2413" s="7" t="s">
        <v>32</v>
      </c>
      <c r="B2413" s="7" t="s">
        <v>1860</v>
      </c>
      <c r="C2413" s="7">
        <f t="shared" si="314"/>
        <v>2</v>
      </c>
      <c r="D2413" s="7">
        <v>2.0</v>
      </c>
      <c r="E2413" s="7">
        <v>1.0</v>
      </c>
      <c r="F2413" s="7" t="s">
        <v>20</v>
      </c>
      <c r="G2413" s="7" t="s">
        <v>392</v>
      </c>
      <c r="H2413" s="9" t="s">
        <v>2979</v>
      </c>
      <c r="I2413" t="s">
        <v>3141</v>
      </c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 t="str">
        <f t="shared" si="1"/>
        <v>Built-up :</v>
      </c>
      <c r="AE2413" s="7" t="str">
        <f t="shared" si="2"/>
        <v> sq. ft.</v>
      </c>
      <c r="AF2413">
        <f>IFERROR(__xludf.DUMMYFUNCTION("VALUE(REGEXREPLACE(G2413,""[^[:digit:]]"", """"))"),850.0)</f>
        <v>850</v>
      </c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</row>
    <row r="2414">
      <c r="A2414" s="7" t="s">
        <v>32</v>
      </c>
      <c r="B2414" s="7" t="s">
        <v>1861</v>
      </c>
      <c r="C2414" s="7">
        <f t="shared" si="314"/>
        <v>2</v>
      </c>
      <c r="D2414" s="7">
        <v>2.0</v>
      </c>
      <c r="E2414" s="7">
        <v>1.0</v>
      </c>
      <c r="F2414" s="7" t="s">
        <v>20</v>
      </c>
      <c r="G2414" s="7" t="s">
        <v>1694</v>
      </c>
      <c r="H2414" s="9" t="s">
        <v>2979</v>
      </c>
      <c r="I2414" t="s">
        <v>3864</v>
      </c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 t="str">
        <f t="shared" si="1"/>
        <v>Built-up :</v>
      </c>
      <c r="AE2414" s="7" t="str">
        <f t="shared" si="2"/>
        <v> sq. ft.</v>
      </c>
      <c r="AF2414">
        <f>IFERROR(__xludf.DUMMYFUNCTION("VALUE(REGEXREPLACE(G2414,""[^[:digit:]]"", """"))"),936.0)</f>
        <v>936</v>
      </c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</row>
    <row r="2415">
      <c r="A2415" s="7" t="s">
        <v>17</v>
      </c>
      <c r="B2415" s="7" t="s">
        <v>1862</v>
      </c>
      <c r="C2415" s="7">
        <f t="shared" si="314"/>
        <v>2</v>
      </c>
      <c r="D2415" s="7">
        <v>2.0</v>
      </c>
      <c r="E2415" s="7">
        <v>1.0</v>
      </c>
      <c r="F2415" s="7" t="s">
        <v>20</v>
      </c>
      <c r="G2415" s="7" t="s">
        <v>519</v>
      </c>
      <c r="H2415" s="9" t="s">
        <v>2979</v>
      </c>
      <c r="I2415" t="s">
        <v>3205</v>
      </c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 t="str">
        <f t="shared" si="1"/>
        <v>Built-up :</v>
      </c>
      <c r="AE2415" s="7" t="str">
        <f t="shared" si="2"/>
        <v> sq. ft.</v>
      </c>
      <c r="AF2415">
        <f>IFERROR(__xludf.DUMMYFUNCTION("VALUE(REGEXREPLACE(G2415,""[^[:digit:]]"", """"))"),1055.0)</f>
        <v>1055</v>
      </c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 t="s">
        <v>22</v>
      </c>
    </row>
    <row r="2416">
      <c r="A2416" s="7" t="s">
        <v>37</v>
      </c>
      <c r="B2416" s="7" t="s">
        <v>1075</v>
      </c>
      <c r="C2416" s="7">
        <f t="shared" si="314"/>
        <v>2</v>
      </c>
      <c r="D2416" s="7">
        <v>2.0</v>
      </c>
      <c r="E2416" s="7">
        <v>1.0</v>
      </c>
      <c r="F2416" s="7" t="s">
        <v>20</v>
      </c>
      <c r="G2416" s="7" t="s">
        <v>1352</v>
      </c>
      <c r="H2416" s="9" t="s">
        <v>2979</v>
      </c>
      <c r="I2416" t="s">
        <v>3662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 t="str">
        <f t="shared" si="1"/>
        <v>Built-up :</v>
      </c>
      <c r="AE2416" s="7" t="str">
        <f t="shared" si="2"/>
        <v> sq. ft.</v>
      </c>
      <c r="AF2416">
        <f>IFERROR(__xludf.DUMMYFUNCTION("VALUE(REGEXREPLACE(G2416,""[^[:digit:]]"", """"))"),876.0)</f>
        <v>876</v>
      </c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</row>
    <row r="2417">
      <c r="A2417" s="7" t="s">
        <v>37</v>
      </c>
      <c r="B2417" s="7" t="s">
        <v>78</v>
      </c>
      <c r="C2417" s="7">
        <f>3+1</f>
        <v>4</v>
      </c>
      <c r="E2417" s="7">
        <v>2.0</v>
      </c>
      <c r="F2417" s="7" t="s">
        <v>20</v>
      </c>
      <c r="G2417" s="7" t="s">
        <v>1830</v>
      </c>
      <c r="H2417" s="9" t="s">
        <v>2979</v>
      </c>
      <c r="I2417" t="s">
        <v>3944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 t="str">
        <f t="shared" si="1"/>
        <v>Built-up :</v>
      </c>
      <c r="AE2417" s="7" t="str">
        <f t="shared" si="2"/>
        <v> sq. ft.</v>
      </c>
      <c r="AF2417">
        <f>IFERROR(__xludf.DUMMYFUNCTION("VALUE(REGEXREPLACE(G2417,""[^[:digit:]]"", """"))"),1840.0)</f>
        <v>1840</v>
      </c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</row>
    <row r="2418">
      <c r="A2418" s="7" t="s">
        <v>37</v>
      </c>
      <c r="B2418" s="7" t="s">
        <v>78</v>
      </c>
      <c r="C2418" s="7">
        <f>4+1</f>
        <v>5</v>
      </c>
      <c r="D2418" s="7">
        <v>3.0</v>
      </c>
      <c r="E2418" s="7">
        <v>2.0</v>
      </c>
      <c r="F2418" s="7" t="s">
        <v>378</v>
      </c>
      <c r="G2418" s="7" t="s">
        <v>1863</v>
      </c>
      <c r="H2418" s="9" t="s">
        <v>2979</v>
      </c>
      <c r="I2418" t="s">
        <v>3964</v>
      </c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 t="str">
        <f t="shared" si="1"/>
        <v>Built-up :</v>
      </c>
      <c r="AE2418" s="7" t="str">
        <f t="shared" si="2"/>
        <v> sq. ft.</v>
      </c>
      <c r="AF2418">
        <f>IFERROR(__xludf.DUMMYFUNCTION("VALUE(REGEXREPLACE(G2418,""[^[:digit:]]"", """"))"),2000.0)</f>
        <v>2000</v>
      </c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 t="s">
        <v>27</v>
      </c>
    </row>
    <row r="2419">
      <c r="A2419" s="7" t="s">
        <v>32</v>
      </c>
      <c r="B2419" s="7" t="s">
        <v>951</v>
      </c>
      <c r="C2419" s="7">
        <f>3</f>
        <v>3</v>
      </c>
      <c r="D2419" s="7">
        <v>2.0</v>
      </c>
      <c r="E2419" s="7">
        <v>2.0</v>
      </c>
      <c r="F2419" s="7" t="s">
        <v>83</v>
      </c>
      <c r="G2419" s="7" t="s">
        <v>1864</v>
      </c>
      <c r="H2419" s="9" t="s">
        <v>2979</v>
      </c>
      <c r="I2419" t="s">
        <v>3965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 t="str">
        <f t="shared" si="1"/>
        <v>Built-up :</v>
      </c>
      <c r="AE2419" s="7" t="str">
        <f t="shared" si="2"/>
        <v> sq. ft.</v>
      </c>
      <c r="AF2419">
        <f>IFERROR(__xludf.DUMMYFUNCTION("VALUE(REGEXREPLACE(G2419,""[^[:digit:]]"", """"))"),927.0)</f>
        <v>927</v>
      </c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 t="s">
        <v>22</v>
      </c>
    </row>
    <row r="2420">
      <c r="A2420" s="7" t="s">
        <v>371</v>
      </c>
      <c r="B2420" s="7" t="s">
        <v>314</v>
      </c>
      <c r="C2420" s="7">
        <f>3+1</f>
        <v>4</v>
      </c>
      <c r="D2420" s="7">
        <v>2.0</v>
      </c>
      <c r="E2420" s="7">
        <v>1.0</v>
      </c>
      <c r="F2420" s="7" t="s">
        <v>93</v>
      </c>
      <c r="G2420" s="7" t="s">
        <v>1865</v>
      </c>
      <c r="H2420" s="9" t="s">
        <v>2979</v>
      </c>
      <c r="I2420" t="s">
        <v>3966</v>
      </c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 t="str">
        <f t="shared" si="1"/>
        <v>Built-up :</v>
      </c>
      <c r="AE2420" s="7" t="str">
        <f t="shared" si="2"/>
        <v> sq. ft.</v>
      </c>
      <c r="AF2420">
        <f>IFERROR(__xludf.DUMMYFUNCTION("VALUE(REGEXREPLACE(G2420,""[^[:digit:]]"", """"))"),1246.0)</f>
        <v>1246</v>
      </c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 t="s">
        <v>27</v>
      </c>
    </row>
    <row r="2421">
      <c r="A2421" s="7" t="s">
        <v>72</v>
      </c>
      <c r="B2421" s="7" t="s">
        <v>984</v>
      </c>
      <c r="C2421" s="7">
        <f>2</f>
        <v>2</v>
      </c>
      <c r="D2421" s="7">
        <v>2.0</v>
      </c>
      <c r="E2421" s="7">
        <v>1.0</v>
      </c>
      <c r="F2421" s="7" t="s">
        <v>82</v>
      </c>
      <c r="G2421" s="7" t="s">
        <v>738</v>
      </c>
      <c r="H2421" s="9" t="s">
        <v>2979</v>
      </c>
      <c r="I2421" t="s">
        <v>3311</v>
      </c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 t="str">
        <f t="shared" si="1"/>
        <v>Built-up :</v>
      </c>
      <c r="AE2421" s="7" t="str">
        <f t="shared" si="2"/>
        <v> sq. ft.</v>
      </c>
      <c r="AF2421">
        <f>IFERROR(__xludf.DUMMYFUNCTION("VALUE(REGEXREPLACE(G2421,""[^[:digit:]]"", """"))"),907.0)</f>
        <v>907</v>
      </c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 t="s">
        <v>22</v>
      </c>
    </row>
    <row r="2422">
      <c r="A2422" s="7" t="s">
        <v>72</v>
      </c>
      <c r="B2422" s="7" t="s">
        <v>1866</v>
      </c>
      <c r="C2422" s="7">
        <f>4+1</f>
        <v>5</v>
      </c>
      <c r="D2422" s="7">
        <v>5.0</v>
      </c>
      <c r="E2422" s="7">
        <v>3.0</v>
      </c>
      <c r="F2422" s="7" t="s">
        <v>83</v>
      </c>
      <c r="G2422" s="7" t="s">
        <v>989</v>
      </c>
      <c r="H2422" s="9" t="s">
        <v>2979</v>
      </c>
      <c r="I2422" t="s">
        <v>3438</v>
      </c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 t="str">
        <f t="shared" si="1"/>
        <v>Built-up :</v>
      </c>
      <c r="AE2422" s="7" t="str">
        <f t="shared" si="2"/>
        <v> sq. ft.</v>
      </c>
      <c r="AF2422">
        <f>IFERROR(__xludf.DUMMYFUNCTION("VALUE(REGEXREPLACE(G2422,""[^[:digit:]]"", """"))"),3729.0)</f>
        <v>3729</v>
      </c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 t="s">
        <v>22</v>
      </c>
    </row>
    <row r="2423">
      <c r="A2423" s="7" t="s">
        <v>72</v>
      </c>
      <c r="B2423" s="7" t="s">
        <v>1075</v>
      </c>
      <c r="C2423" s="7">
        <f>1+1</f>
        <v>2</v>
      </c>
      <c r="D2423" s="7">
        <v>1.0</v>
      </c>
      <c r="E2423" s="9">
        <v>2.0</v>
      </c>
      <c r="F2423" s="7" t="s">
        <v>938</v>
      </c>
      <c r="G2423" s="7" t="s">
        <v>1867</v>
      </c>
      <c r="H2423" s="9" t="s">
        <v>2979</v>
      </c>
      <c r="I2423" t="s">
        <v>3967</v>
      </c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 t="str">
        <f t="shared" si="1"/>
        <v>Built-up :</v>
      </c>
      <c r="AE2423" s="7" t="str">
        <f t="shared" si="2"/>
        <v> sq. ft.</v>
      </c>
      <c r="AF2423">
        <f>IFERROR(__xludf.DUMMYFUNCTION("VALUE(REGEXREPLACE(G2423,""[^[:digit:]]"", """"))"),699.0)</f>
        <v>699</v>
      </c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 t="s">
        <v>22</v>
      </c>
    </row>
    <row r="2424">
      <c r="A2424" s="7" t="s">
        <v>148</v>
      </c>
      <c r="B2424" s="7" t="s">
        <v>484</v>
      </c>
      <c r="C2424" s="7">
        <f>5</f>
        <v>5</v>
      </c>
      <c r="D2424" s="7">
        <v>5.0</v>
      </c>
      <c r="E2424" s="7">
        <v>4.0</v>
      </c>
      <c r="F2424" s="7" t="s">
        <v>64</v>
      </c>
      <c r="G2424" s="7" t="s">
        <v>1868</v>
      </c>
      <c r="H2424" s="9" t="s">
        <v>2981</v>
      </c>
      <c r="I2424" t="s">
        <v>3825</v>
      </c>
      <c r="J2424" s="7"/>
      <c r="K2424" s="7"/>
      <c r="L2424" s="7"/>
      <c r="M2424" s="7"/>
      <c r="N2424" s="7"/>
      <c r="O2424" s="7"/>
      <c r="P2424" s="7"/>
      <c r="Q2424" s="7"/>
      <c r="R2424" s="7"/>
      <c r="S2424" s="7" t="s">
        <v>3101</v>
      </c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 t="str">
        <f t="shared" si="1"/>
        <v>Land area </v>
      </c>
      <c r="AE2424" s="7" t="str">
        <f t="shared" si="2"/>
        <v> sq. ft.</v>
      </c>
      <c r="AF2424" s="7">
        <v>4675.0</v>
      </c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 t="s">
        <v>22</v>
      </c>
    </row>
    <row r="2425">
      <c r="A2425" s="7" t="s">
        <v>72</v>
      </c>
      <c r="B2425" s="7" t="s">
        <v>174</v>
      </c>
      <c r="C2425" s="7">
        <f>5+1</f>
        <v>6</v>
      </c>
      <c r="D2425" s="7">
        <v>5.0</v>
      </c>
      <c r="E2425" s="7">
        <v>2.0</v>
      </c>
      <c r="F2425" s="7" t="s">
        <v>43</v>
      </c>
      <c r="G2425" s="7" t="s">
        <v>860</v>
      </c>
      <c r="H2425" s="9" t="s">
        <v>2981</v>
      </c>
      <c r="I2425" t="s">
        <v>3376</v>
      </c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 t="str">
        <f t="shared" si="1"/>
        <v>Land area </v>
      </c>
      <c r="AE2425" s="7" t="str">
        <f t="shared" si="2"/>
        <v> sq. ft.</v>
      </c>
      <c r="AF2425">
        <f>IFERROR(__xludf.DUMMYFUNCTION("VALUE(REGEXREPLACE(G2425,""[^[:digit:]]"", """"))"),4000.0)</f>
        <v>4000</v>
      </c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 t="s">
        <v>27</v>
      </c>
    </row>
    <row r="2426">
      <c r="A2426" s="7" t="s">
        <v>72</v>
      </c>
      <c r="B2426" s="7" t="s">
        <v>635</v>
      </c>
      <c r="C2426" s="7">
        <f>3</f>
        <v>3</v>
      </c>
      <c r="D2426" s="7">
        <v>2.0</v>
      </c>
      <c r="E2426" s="7">
        <v>1.0</v>
      </c>
      <c r="F2426" s="7" t="s">
        <v>83</v>
      </c>
      <c r="G2426" s="7" t="s">
        <v>982</v>
      </c>
      <c r="H2426" s="9" t="s">
        <v>2979</v>
      </c>
      <c r="I2426" t="s">
        <v>3436</v>
      </c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 t="str">
        <f t="shared" si="1"/>
        <v>Built-up :</v>
      </c>
      <c r="AE2426" s="7" t="str">
        <f t="shared" si="2"/>
        <v> sq. ft.</v>
      </c>
      <c r="AF2426">
        <f>IFERROR(__xludf.DUMMYFUNCTION("VALUE(REGEXREPLACE(G2426,""[^[:digit:]]"", """"))"),1208.0)</f>
        <v>1208</v>
      </c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</row>
    <row r="2427">
      <c r="A2427" s="7" t="s">
        <v>109</v>
      </c>
      <c r="B2427" s="7" t="s">
        <v>1111</v>
      </c>
      <c r="E2427" s="9">
        <v>2.0</v>
      </c>
      <c r="F2427" s="7" t="s">
        <v>83</v>
      </c>
      <c r="H2427" s="9" t="s">
        <v>2984</v>
      </c>
      <c r="I2427" t="s">
        <v>2985</v>
      </c>
      <c r="AD2427" s="7" t="str">
        <f t="shared" si="1"/>
        <v/>
      </c>
      <c r="AE2427" s="7" t="str">
        <f t="shared" si="2"/>
        <v/>
      </c>
      <c r="AF2427">
        <f>IFERROR(__xludf.DUMMYFUNCTION("VALUE(REGEXREPLACE(G2427,""[^[:digit:]]"", """"))"),0.0)</f>
        <v>0</v>
      </c>
    </row>
    <row r="2428">
      <c r="A2428" s="7" t="s">
        <v>32</v>
      </c>
      <c r="B2428" s="7" t="s">
        <v>1869</v>
      </c>
      <c r="C2428" s="7">
        <f>3</f>
        <v>3</v>
      </c>
      <c r="D2428" s="7">
        <v>2.0</v>
      </c>
      <c r="E2428" s="7">
        <v>1.0</v>
      </c>
      <c r="F2428" s="7" t="s">
        <v>82</v>
      </c>
      <c r="G2428" s="7" t="s">
        <v>1870</v>
      </c>
      <c r="H2428" s="9" t="s">
        <v>2979</v>
      </c>
      <c r="I2428" t="s">
        <v>3968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 t="str">
        <f t="shared" si="1"/>
        <v>Built-up :</v>
      </c>
      <c r="AE2428" s="7" t="str">
        <f t="shared" si="2"/>
        <v> sq. ft.</v>
      </c>
      <c r="AF2428">
        <f>IFERROR(__xludf.DUMMYFUNCTION("VALUE(REGEXREPLACE(G2428,""[^[:digit:]]"", """"))"),719.0)</f>
        <v>719</v>
      </c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 t="s">
        <v>27</v>
      </c>
    </row>
    <row r="2429">
      <c r="A2429" s="7" t="s">
        <v>72</v>
      </c>
      <c r="B2429" s="7" t="s">
        <v>120</v>
      </c>
      <c r="C2429" s="7">
        <f>5</f>
        <v>5</v>
      </c>
      <c r="D2429" s="7">
        <v>4.0</v>
      </c>
      <c r="E2429" s="9">
        <v>2.0</v>
      </c>
      <c r="F2429" s="7" t="s">
        <v>43</v>
      </c>
      <c r="G2429" s="7" t="s">
        <v>1491</v>
      </c>
      <c r="H2429" s="9" t="s">
        <v>2981</v>
      </c>
      <c r="I2429" t="s">
        <v>3062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 t="str">
        <f t="shared" si="1"/>
        <v>Land area </v>
      </c>
      <c r="AE2429" s="7" t="str">
        <f t="shared" si="2"/>
        <v> sq. ft.</v>
      </c>
      <c r="AF2429">
        <f>IFERROR(__xludf.DUMMYFUNCTION("VALUE(REGEXREPLACE(G2429,""[^[:digit:]]"", """"))"),2400.0)</f>
        <v>2400</v>
      </c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 t="s">
        <v>27</v>
      </c>
    </row>
    <row r="2430">
      <c r="A2430" s="7" t="s">
        <v>432</v>
      </c>
      <c r="B2430" s="7" t="s">
        <v>149</v>
      </c>
      <c r="C2430" s="7">
        <f>5+1</f>
        <v>6</v>
      </c>
      <c r="D2430" s="7">
        <v>5.0</v>
      </c>
      <c r="E2430" s="9">
        <v>2.0</v>
      </c>
      <c r="F2430" s="7" t="s">
        <v>736</v>
      </c>
      <c r="G2430" s="7" t="s">
        <v>860</v>
      </c>
      <c r="H2430" s="9" t="s">
        <v>2981</v>
      </c>
      <c r="I2430" t="s">
        <v>3376</v>
      </c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 t="str">
        <f t="shared" si="1"/>
        <v>Land area </v>
      </c>
      <c r="AE2430" s="7" t="str">
        <f t="shared" si="2"/>
        <v> sq. ft.</v>
      </c>
      <c r="AF2430">
        <f>IFERROR(__xludf.DUMMYFUNCTION("VALUE(REGEXREPLACE(G2430,""[^[:digit:]]"", """"))"),4000.0)</f>
        <v>4000</v>
      </c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 t="s">
        <v>27</v>
      </c>
    </row>
    <row r="2431">
      <c r="A2431" s="7" t="s">
        <v>428</v>
      </c>
      <c r="B2431" s="7" t="s">
        <v>221</v>
      </c>
      <c r="C2431" s="7">
        <f>1</f>
        <v>1</v>
      </c>
      <c r="D2431" s="7">
        <v>1.0</v>
      </c>
      <c r="E2431" s="7">
        <v>1.0</v>
      </c>
      <c r="F2431" s="7" t="s">
        <v>82</v>
      </c>
      <c r="G2431" s="7" t="s">
        <v>1871</v>
      </c>
      <c r="H2431" s="9" t="s">
        <v>2979</v>
      </c>
      <c r="I2431" t="s">
        <v>3969</v>
      </c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 t="str">
        <f t="shared" si="1"/>
        <v>Built-up :</v>
      </c>
      <c r="AE2431" s="7" t="str">
        <f t="shared" si="2"/>
        <v> sq. ft.</v>
      </c>
      <c r="AF2431">
        <f>IFERROR(__xludf.DUMMYFUNCTION("VALUE(REGEXREPLACE(G2431,""[^[:digit:]]"", """"))"),781.0)</f>
        <v>781</v>
      </c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 t="s">
        <v>27</v>
      </c>
    </row>
    <row r="2432">
      <c r="A2432" s="7" t="s">
        <v>72</v>
      </c>
      <c r="B2432" s="7" t="s">
        <v>1872</v>
      </c>
      <c r="C2432" s="7">
        <f>6</f>
        <v>6</v>
      </c>
      <c r="D2432" s="7">
        <v>6.0</v>
      </c>
      <c r="E2432" s="7">
        <v>4.0</v>
      </c>
      <c r="F2432" s="7" t="s">
        <v>25</v>
      </c>
      <c r="G2432" s="7" t="s">
        <v>1873</v>
      </c>
      <c r="H2432" s="9" t="s">
        <v>2981</v>
      </c>
      <c r="I2432" t="s">
        <v>3970</v>
      </c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 t="str">
        <f t="shared" si="1"/>
        <v>Land area </v>
      </c>
      <c r="AE2432" s="7" t="str">
        <f t="shared" si="2"/>
        <v> sq. ft.</v>
      </c>
      <c r="AF2432">
        <f>IFERROR(__xludf.DUMMYFUNCTION("VALUE(REGEXREPLACE(G2432,""[^[:digit:]]"", """"))"),8231.0)</f>
        <v>8231</v>
      </c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 t="s">
        <v>27</v>
      </c>
    </row>
    <row r="2433">
      <c r="A2433" s="7" t="s">
        <v>692</v>
      </c>
      <c r="B2433" s="7" t="s">
        <v>403</v>
      </c>
      <c r="C2433" s="7">
        <f>4+1</f>
        <v>5</v>
      </c>
      <c r="D2433" s="7">
        <v>4.0</v>
      </c>
      <c r="E2433" s="7">
        <v>3.0</v>
      </c>
      <c r="F2433" s="7" t="s">
        <v>54</v>
      </c>
      <c r="G2433" s="7" t="s">
        <v>283</v>
      </c>
      <c r="H2433" s="9" t="s">
        <v>2981</v>
      </c>
      <c r="I2433" t="s">
        <v>3091</v>
      </c>
      <c r="J2433" s="7"/>
      <c r="K2433" s="7"/>
      <c r="L2433" s="7"/>
      <c r="M2433" s="7"/>
      <c r="N2433" s="7"/>
      <c r="O2433" s="7"/>
      <c r="P2433" s="7"/>
      <c r="Q2433" s="7"/>
      <c r="R2433" s="7"/>
      <c r="S2433" s="7" t="s">
        <v>2990</v>
      </c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 t="str">
        <f t="shared" si="1"/>
        <v>Land area </v>
      </c>
      <c r="AE2433" s="7" t="str">
        <f t="shared" si="2"/>
        <v> sq. ft.</v>
      </c>
      <c r="AF2433">
        <f>IFERROR(__xludf.DUMMYFUNCTION("VALUE(REGEXREPLACE(G2433,""[^[:digit:]]"", """"))"),2275.0)</f>
        <v>2275</v>
      </c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 t="s">
        <v>27</v>
      </c>
    </row>
    <row r="2434">
      <c r="A2434" s="7" t="s">
        <v>692</v>
      </c>
      <c r="B2434" s="7" t="s">
        <v>53</v>
      </c>
      <c r="C2434" s="7">
        <f t="shared" ref="C2434:C2435" si="315">5+1</f>
        <v>6</v>
      </c>
      <c r="D2434" s="7">
        <v>5.0</v>
      </c>
      <c r="E2434" s="9">
        <v>2.0</v>
      </c>
      <c r="F2434" s="7" t="s">
        <v>203</v>
      </c>
      <c r="G2434" s="7" t="s">
        <v>283</v>
      </c>
      <c r="H2434" s="9" t="s">
        <v>2981</v>
      </c>
      <c r="I2434" t="s">
        <v>3091</v>
      </c>
      <c r="J2434" s="7"/>
      <c r="K2434" s="7"/>
      <c r="L2434" s="7"/>
      <c r="M2434" s="7"/>
      <c r="N2434" s="7"/>
      <c r="O2434" s="7"/>
      <c r="P2434" s="7"/>
      <c r="Q2434" s="7"/>
      <c r="R2434" s="7"/>
      <c r="S2434" s="7" t="s">
        <v>2990</v>
      </c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 t="str">
        <f t="shared" si="1"/>
        <v>Land area </v>
      </c>
      <c r="AE2434" s="7" t="str">
        <f t="shared" si="2"/>
        <v> sq. ft.</v>
      </c>
      <c r="AF2434">
        <f>IFERROR(__xludf.DUMMYFUNCTION("VALUE(REGEXREPLACE(G2434,""[^[:digit:]]"", """"))"),2275.0)</f>
        <v>2275</v>
      </c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 t="s">
        <v>27</v>
      </c>
    </row>
    <row r="2435">
      <c r="A2435" s="7" t="s">
        <v>692</v>
      </c>
      <c r="B2435" s="7" t="s">
        <v>422</v>
      </c>
      <c r="C2435" s="7">
        <f t="shared" si="315"/>
        <v>6</v>
      </c>
      <c r="D2435" s="7">
        <v>5.0</v>
      </c>
      <c r="E2435" s="7">
        <v>3.0</v>
      </c>
      <c r="F2435" s="7" t="s">
        <v>804</v>
      </c>
      <c r="G2435" s="7" t="s">
        <v>1129</v>
      </c>
      <c r="H2435" s="9" t="s">
        <v>2981</v>
      </c>
      <c r="I2435" t="s">
        <v>3062</v>
      </c>
      <c r="J2435" s="7"/>
      <c r="K2435" s="7"/>
      <c r="L2435" s="7"/>
      <c r="M2435" s="7"/>
      <c r="N2435" s="7"/>
      <c r="O2435" s="7"/>
      <c r="P2435" s="7"/>
      <c r="Q2435" s="7"/>
      <c r="R2435" s="7"/>
      <c r="S2435" s="7" t="s">
        <v>2990</v>
      </c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 t="str">
        <f t="shared" si="1"/>
        <v>Land area </v>
      </c>
      <c r="AE2435" s="7" t="str">
        <f t="shared" si="2"/>
        <v> sq. ft.</v>
      </c>
      <c r="AF2435">
        <f>IFERROR(__xludf.DUMMYFUNCTION("VALUE(REGEXREPLACE(G2435,""[^[:digit:]]"", """"))"),3275.0)</f>
        <v>3275</v>
      </c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 t="s">
        <v>27</v>
      </c>
    </row>
    <row r="2436">
      <c r="A2436" s="7" t="s">
        <v>692</v>
      </c>
      <c r="B2436" s="7" t="s">
        <v>329</v>
      </c>
      <c r="C2436" s="7">
        <f t="shared" ref="C2436:C2437" si="316">3+1</f>
        <v>4</v>
      </c>
      <c r="D2436" s="7">
        <v>3.0</v>
      </c>
      <c r="E2436" s="7">
        <v>3.0</v>
      </c>
      <c r="F2436" s="7" t="s">
        <v>494</v>
      </c>
      <c r="G2436" s="7" t="s">
        <v>1680</v>
      </c>
      <c r="H2436" s="9" t="s">
        <v>2979</v>
      </c>
      <c r="I2436" t="s">
        <v>3851</v>
      </c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 t="str">
        <f t="shared" si="1"/>
        <v>Built-up :</v>
      </c>
      <c r="AE2436" s="7" t="str">
        <f t="shared" si="2"/>
        <v> sq. ft.</v>
      </c>
      <c r="AF2436">
        <f>IFERROR(__xludf.DUMMYFUNCTION("VALUE(REGEXREPLACE(G2436,""[^[:digit:]]"", """"))"),2583.0)</f>
        <v>2583</v>
      </c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 t="s">
        <v>103</v>
      </c>
    </row>
    <row r="2437">
      <c r="A2437" s="7" t="s">
        <v>692</v>
      </c>
      <c r="B2437" s="7" t="s">
        <v>279</v>
      </c>
      <c r="C2437" s="7">
        <f t="shared" si="316"/>
        <v>4</v>
      </c>
      <c r="D2437" s="7">
        <v>3.0</v>
      </c>
      <c r="E2437" s="7">
        <v>3.0</v>
      </c>
      <c r="F2437" s="7" t="s">
        <v>494</v>
      </c>
      <c r="G2437" s="7" t="s">
        <v>1874</v>
      </c>
      <c r="H2437" s="9" t="s">
        <v>2979</v>
      </c>
      <c r="I2437" t="s">
        <v>3971</v>
      </c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 t="str">
        <f t="shared" si="1"/>
        <v>Built-up :</v>
      </c>
      <c r="AE2437" s="7" t="str">
        <f t="shared" si="2"/>
        <v> sq. ft.</v>
      </c>
      <c r="AF2437">
        <f>IFERROR(__xludf.DUMMYFUNCTION("VALUE(REGEXREPLACE(G2437,""[^[:digit:]]"", """"))"),2335.0)</f>
        <v>2335</v>
      </c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 t="s">
        <v>27</v>
      </c>
    </row>
    <row r="2438">
      <c r="A2438" s="7" t="s">
        <v>371</v>
      </c>
      <c r="B2438" s="7" t="s">
        <v>715</v>
      </c>
      <c r="C2438" s="7">
        <f>2</f>
        <v>2</v>
      </c>
      <c r="D2438" s="7">
        <v>2.0</v>
      </c>
      <c r="E2438" s="7">
        <v>1.0</v>
      </c>
      <c r="F2438" s="7" t="s">
        <v>93</v>
      </c>
      <c r="G2438" s="7" t="s">
        <v>640</v>
      </c>
      <c r="H2438" s="9" t="s">
        <v>2979</v>
      </c>
      <c r="I2438" t="s">
        <v>3262</v>
      </c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 t="str">
        <f t="shared" si="1"/>
        <v>Built-up :</v>
      </c>
      <c r="AE2438" s="7" t="str">
        <f t="shared" si="2"/>
        <v> sq. ft.</v>
      </c>
      <c r="AF2438">
        <f>IFERROR(__xludf.DUMMYFUNCTION("VALUE(REGEXREPLACE(G2438,""[^[:digit:]]"", """"))"),1088.0)</f>
        <v>1088</v>
      </c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 t="s">
        <v>22</v>
      </c>
    </row>
    <row r="2439">
      <c r="A2439" s="7" t="s">
        <v>371</v>
      </c>
      <c r="B2439" s="7" t="s">
        <v>890</v>
      </c>
      <c r="C2439" s="7">
        <f>1+1</f>
        <v>2</v>
      </c>
      <c r="D2439" s="7">
        <v>2.0</v>
      </c>
      <c r="E2439" s="7">
        <v>2.0</v>
      </c>
      <c r="F2439" s="7" t="s">
        <v>83</v>
      </c>
      <c r="G2439" s="7" t="s">
        <v>1875</v>
      </c>
      <c r="H2439" s="9" t="s">
        <v>2979</v>
      </c>
      <c r="I2439" t="s">
        <v>3972</v>
      </c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 t="str">
        <f t="shared" si="1"/>
        <v>Built-up :</v>
      </c>
      <c r="AE2439" s="7" t="str">
        <f t="shared" si="2"/>
        <v> sq. ft.</v>
      </c>
      <c r="AF2439">
        <f>IFERROR(__xludf.DUMMYFUNCTION("VALUE(REGEXREPLACE(G2439,""[^[:digit:]]"", """"))"),790000.0)</f>
        <v>790000</v>
      </c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 t="s">
        <v>27</v>
      </c>
    </row>
    <row r="2440">
      <c r="A2440" s="7" t="s">
        <v>100</v>
      </c>
      <c r="B2440" s="7" t="s">
        <v>1876</v>
      </c>
      <c r="C2440" s="7">
        <f>3</f>
        <v>3</v>
      </c>
      <c r="D2440" s="7">
        <v>2.0</v>
      </c>
      <c r="E2440" s="7">
        <v>2.0</v>
      </c>
      <c r="F2440" s="7" t="s">
        <v>20</v>
      </c>
      <c r="G2440" s="7" t="s">
        <v>380</v>
      </c>
      <c r="H2440" s="9" t="s">
        <v>2979</v>
      </c>
      <c r="I2440" t="s">
        <v>3135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 t="str">
        <f t="shared" si="1"/>
        <v>Built-up :</v>
      </c>
      <c r="AE2440" s="7" t="str">
        <f t="shared" si="2"/>
        <v> sq. ft.</v>
      </c>
      <c r="AF2440">
        <f>IFERROR(__xludf.DUMMYFUNCTION("VALUE(REGEXREPLACE(G2440,""[^[:digit:]]"", """"))"),871.0)</f>
        <v>871</v>
      </c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 t="s">
        <v>27</v>
      </c>
    </row>
    <row r="2441">
      <c r="A2441" s="7" t="s">
        <v>371</v>
      </c>
      <c r="B2441" s="7" t="s">
        <v>501</v>
      </c>
      <c r="C2441" s="7">
        <f>6</f>
        <v>6</v>
      </c>
      <c r="D2441" s="7">
        <v>4.0</v>
      </c>
      <c r="E2441" s="7">
        <v>4.0</v>
      </c>
      <c r="F2441" s="7" t="s">
        <v>203</v>
      </c>
      <c r="G2441" s="7" t="s">
        <v>444</v>
      </c>
      <c r="H2441" s="9" t="s">
        <v>2981</v>
      </c>
      <c r="I2441" t="s">
        <v>3164</v>
      </c>
      <c r="J2441" s="7"/>
      <c r="K2441" s="7"/>
      <c r="L2441" s="7"/>
      <c r="M2441" s="7"/>
      <c r="N2441" s="7"/>
      <c r="O2441" s="7"/>
      <c r="P2441" s="7"/>
      <c r="Q2441" s="7"/>
      <c r="R2441" s="7"/>
      <c r="S2441" s="7" t="s">
        <v>3101</v>
      </c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 t="str">
        <f t="shared" si="1"/>
        <v>Land area </v>
      </c>
      <c r="AE2441" s="7" t="str">
        <f t="shared" si="2"/>
        <v> sq. ft.</v>
      </c>
      <c r="AF2441">
        <f>IFERROR(__xludf.DUMMYFUNCTION("VALUE(REGEXREPLACE(G2441,""[^[:digit:]]"", """"))"),2485.0)</f>
        <v>2485</v>
      </c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 t="s">
        <v>27</v>
      </c>
    </row>
    <row r="2442">
      <c r="A2442" s="7" t="s">
        <v>177</v>
      </c>
      <c r="B2442" s="7" t="s">
        <v>616</v>
      </c>
      <c r="C2442" s="7">
        <f>5+1</f>
        <v>6</v>
      </c>
      <c r="D2442" s="7">
        <v>7.0</v>
      </c>
      <c r="E2442" s="9">
        <v>2.0</v>
      </c>
      <c r="F2442" s="7" t="s">
        <v>25</v>
      </c>
      <c r="G2442" s="7" t="s">
        <v>696</v>
      </c>
      <c r="H2442" s="9" t="s">
        <v>2981</v>
      </c>
      <c r="I2442" t="s">
        <v>3288</v>
      </c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 t="str">
        <f t="shared" si="1"/>
        <v>Land area </v>
      </c>
      <c r="AE2442" s="7" t="str">
        <f t="shared" si="2"/>
        <v> sq. ft.</v>
      </c>
      <c r="AF2442">
        <f>IFERROR(__xludf.DUMMYFUNCTION("VALUE(REGEXREPLACE(G2442,""[^[:digit:]]"", """"))"),8000.0)</f>
        <v>8000</v>
      </c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 t="s">
        <v>22</v>
      </c>
    </row>
    <row r="2443">
      <c r="A2443" s="7" t="s">
        <v>241</v>
      </c>
      <c r="B2443" s="7" t="s">
        <v>168</v>
      </c>
      <c r="C2443" s="7">
        <f t="shared" ref="C2443:C2445" si="317">3+1</f>
        <v>4</v>
      </c>
      <c r="D2443" s="7">
        <v>3.0</v>
      </c>
      <c r="E2443" s="7">
        <v>2.0</v>
      </c>
      <c r="F2443" s="7" t="s">
        <v>30</v>
      </c>
      <c r="G2443" s="7" t="s">
        <v>473</v>
      </c>
      <c r="H2443" s="9" t="s">
        <v>2979</v>
      </c>
      <c r="I2443" t="s">
        <v>3180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 t="str">
        <f t="shared" si="1"/>
        <v>Built-up :</v>
      </c>
      <c r="AE2443" s="7" t="str">
        <f t="shared" si="2"/>
        <v> sq. ft.</v>
      </c>
      <c r="AF2443">
        <f>IFERROR(__xludf.DUMMYFUNCTION("VALUE(REGEXREPLACE(G2443,""[^[:digit:]]"", """"))"),1690.0)</f>
        <v>1690</v>
      </c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 t="s">
        <v>27</v>
      </c>
    </row>
    <row r="2444">
      <c r="A2444" s="7" t="s">
        <v>241</v>
      </c>
      <c r="B2444" s="7" t="s">
        <v>1328</v>
      </c>
      <c r="C2444" s="7">
        <f t="shared" si="317"/>
        <v>4</v>
      </c>
      <c r="D2444" s="7">
        <v>2.0</v>
      </c>
      <c r="E2444" s="7">
        <v>2.0</v>
      </c>
      <c r="F2444" s="7" t="s">
        <v>93</v>
      </c>
      <c r="G2444" s="7" t="s">
        <v>1108</v>
      </c>
      <c r="H2444" s="9" t="s">
        <v>2979</v>
      </c>
      <c r="I2444" t="s">
        <v>3508</v>
      </c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 t="str">
        <f t="shared" si="1"/>
        <v>Built-up :</v>
      </c>
      <c r="AE2444" s="7" t="str">
        <f t="shared" si="2"/>
        <v> sq. ft.</v>
      </c>
      <c r="AF2444">
        <f>IFERROR(__xludf.DUMMYFUNCTION("VALUE(REGEXREPLACE(G2444,""[^[:digit:]]"", """"))"),1663.0)</f>
        <v>1663</v>
      </c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 t="s">
        <v>22</v>
      </c>
    </row>
    <row r="2445">
      <c r="A2445" s="7" t="s">
        <v>241</v>
      </c>
      <c r="B2445" s="7" t="s">
        <v>156</v>
      </c>
      <c r="C2445" s="7">
        <f t="shared" si="317"/>
        <v>4</v>
      </c>
      <c r="D2445" s="7">
        <v>3.0</v>
      </c>
      <c r="E2445" s="7">
        <v>2.0</v>
      </c>
      <c r="F2445" s="7" t="s">
        <v>30</v>
      </c>
      <c r="G2445" s="7" t="s">
        <v>1877</v>
      </c>
      <c r="H2445" s="9" t="s">
        <v>2979</v>
      </c>
      <c r="I2445" t="s">
        <v>3973</v>
      </c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 t="str">
        <f t="shared" si="1"/>
        <v>Built-up :</v>
      </c>
      <c r="AE2445" s="7" t="str">
        <f t="shared" si="2"/>
        <v> sq. ft.</v>
      </c>
      <c r="AF2445">
        <f>IFERROR(__xludf.DUMMYFUNCTION("VALUE(REGEXREPLACE(G2445,""[^[:digit:]]"", """"))"),1733.0)</f>
        <v>1733</v>
      </c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 t="s">
        <v>27</v>
      </c>
    </row>
    <row r="2446">
      <c r="A2446" s="7" t="s">
        <v>17</v>
      </c>
      <c r="B2446" s="7" t="s">
        <v>460</v>
      </c>
      <c r="C2446" s="7">
        <f t="shared" ref="C2446:C2448" si="318">2</f>
        <v>2</v>
      </c>
      <c r="D2446" s="7">
        <v>2.0</v>
      </c>
      <c r="E2446" s="7">
        <v>1.0</v>
      </c>
      <c r="F2446" s="7" t="s">
        <v>20</v>
      </c>
      <c r="G2446" s="7" t="s">
        <v>1878</v>
      </c>
      <c r="H2446" s="9" t="s">
        <v>2979</v>
      </c>
      <c r="I2446" t="s">
        <v>3974</v>
      </c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 t="str">
        <f t="shared" si="1"/>
        <v>Built-up :</v>
      </c>
      <c r="AE2446" s="7" t="str">
        <f t="shared" si="2"/>
        <v> sq. ft.</v>
      </c>
      <c r="AF2446">
        <f>IFERROR(__xludf.DUMMYFUNCTION("VALUE(REGEXREPLACE(G2446,""[^[:digit:]]"", """"))"),1206.0)</f>
        <v>1206</v>
      </c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 t="s">
        <v>27</v>
      </c>
    </row>
    <row r="2447">
      <c r="A2447" s="7" t="s">
        <v>17</v>
      </c>
      <c r="B2447" s="7" t="s">
        <v>1292</v>
      </c>
      <c r="C2447" s="7">
        <f t="shared" si="318"/>
        <v>2</v>
      </c>
      <c r="D2447" s="7">
        <v>2.0</v>
      </c>
      <c r="E2447" s="7">
        <v>1.0</v>
      </c>
      <c r="F2447" s="7" t="s">
        <v>83</v>
      </c>
      <c r="G2447" s="7" t="s">
        <v>930</v>
      </c>
      <c r="H2447" s="9" t="s">
        <v>2979</v>
      </c>
      <c r="I2447" t="s">
        <v>3412</v>
      </c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 t="str">
        <f t="shared" si="1"/>
        <v>Built-up :</v>
      </c>
      <c r="AE2447" s="7" t="str">
        <f t="shared" si="2"/>
        <v> sq. ft.</v>
      </c>
      <c r="AF2447">
        <f>IFERROR(__xludf.DUMMYFUNCTION("VALUE(REGEXREPLACE(G2447,""[^[:digit:]]"", """"))"),1270.0)</f>
        <v>1270</v>
      </c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 t="s">
        <v>22</v>
      </c>
    </row>
    <row r="2448">
      <c r="A2448" s="7" t="s">
        <v>17</v>
      </c>
      <c r="B2448" s="7" t="s">
        <v>214</v>
      </c>
      <c r="C2448" s="7">
        <f t="shared" si="318"/>
        <v>2</v>
      </c>
      <c r="D2448" s="7">
        <v>2.0</v>
      </c>
      <c r="E2448" s="7">
        <v>1.0</v>
      </c>
      <c r="F2448" s="7" t="s">
        <v>83</v>
      </c>
      <c r="G2448" s="7" t="s">
        <v>383</v>
      </c>
      <c r="H2448" s="9" t="s">
        <v>2979</v>
      </c>
      <c r="I2448" t="s">
        <v>3137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 t="str">
        <f t="shared" si="1"/>
        <v>Built-up :</v>
      </c>
      <c r="AE2448" s="7" t="str">
        <f t="shared" si="2"/>
        <v> sq. ft.</v>
      </c>
      <c r="AF2448">
        <f>IFERROR(__xludf.DUMMYFUNCTION("VALUE(REGEXREPLACE(G2448,""[^[:digit:]]"", """"))"),1065.0)</f>
        <v>1065</v>
      </c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 t="s">
        <v>22</v>
      </c>
    </row>
    <row r="2449">
      <c r="A2449" s="7" t="s">
        <v>17</v>
      </c>
      <c r="B2449" s="7" t="s">
        <v>931</v>
      </c>
      <c r="C2449" s="7">
        <f t="shared" ref="C2449:C2450" si="319">3+1</f>
        <v>4</v>
      </c>
      <c r="D2449" s="7">
        <v>4.0</v>
      </c>
      <c r="E2449" s="7">
        <v>2.0</v>
      </c>
      <c r="F2449" s="7" t="s">
        <v>20</v>
      </c>
      <c r="G2449" s="7" t="s">
        <v>1879</v>
      </c>
      <c r="H2449" s="9" t="s">
        <v>2979</v>
      </c>
      <c r="I2449" t="s">
        <v>3975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 t="str">
        <f t="shared" si="1"/>
        <v>Built-up :</v>
      </c>
      <c r="AE2449" s="7" t="str">
        <f t="shared" si="2"/>
        <v> sq. ft.</v>
      </c>
      <c r="AF2449">
        <f>IFERROR(__xludf.DUMMYFUNCTION("VALUE(REGEXREPLACE(G2449,""[^[:digit:]]"", """"))"),1804.0)</f>
        <v>1804</v>
      </c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 t="s">
        <v>22</v>
      </c>
    </row>
    <row r="2450">
      <c r="A2450" s="7" t="s">
        <v>17</v>
      </c>
      <c r="B2450" s="7" t="s">
        <v>236</v>
      </c>
      <c r="C2450" s="7">
        <f t="shared" si="319"/>
        <v>4</v>
      </c>
      <c r="D2450" s="7">
        <v>4.0</v>
      </c>
      <c r="E2450" s="7">
        <v>2.0</v>
      </c>
      <c r="F2450" s="7" t="s">
        <v>20</v>
      </c>
      <c r="G2450" s="7" t="s">
        <v>551</v>
      </c>
      <c r="H2450" s="9" t="s">
        <v>2979</v>
      </c>
      <c r="I2450" t="s">
        <v>3221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 t="str">
        <f t="shared" si="1"/>
        <v>Built-up :</v>
      </c>
      <c r="AE2450" s="7" t="str">
        <f t="shared" si="2"/>
        <v> sq. ft.</v>
      </c>
      <c r="AF2450">
        <f>IFERROR(__xludf.DUMMYFUNCTION("VALUE(REGEXREPLACE(G2450,""[^[:digit:]]"", """"))"),1590.0)</f>
        <v>1590</v>
      </c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 t="s">
        <v>22</v>
      </c>
    </row>
    <row r="2451">
      <c r="A2451" s="7" t="s">
        <v>17</v>
      </c>
      <c r="B2451" s="7" t="s">
        <v>658</v>
      </c>
      <c r="C2451" s="7">
        <f>4+1</f>
        <v>5</v>
      </c>
      <c r="D2451" s="7">
        <v>5.0</v>
      </c>
      <c r="E2451" s="7">
        <v>2.0</v>
      </c>
      <c r="F2451" s="7" t="s">
        <v>20</v>
      </c>
      <c r="G2451" s="7" t="s">
        <v>1720</v>
      </c>
      <c r="H2451" s="9" t="s">
        <v>2979</v>
      </c>
      <c r="I2451" t="s">
        <v>3879</v>
      </c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 t="str">
        <f t="shared" si="1"/>
        <v>Built-up :</v>
      </c>
      <c r="AE2451" s="7" t="str">
        <f t="shared" si="2"/>
        <v> sq. ft.</v>
      </c>
      <c r="AF2451">
        <f>IFERROR(__xludf.DUMMYFUNCTION("VALUE(REGEXREPLACE(G2451,""[^[:digit:]]"", """"))"),2343.0)</f>
        <v>2343</v>
      </c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 t="s">
        <v>27</v>
      </c>
    </row>
    <row r="2452">
      <c r="A2452" s="7" t="s">
        <v>17</v>
      </c>
      <c r="B2452" s="7" t="s">
        <v>475</v>
      </c>
      <c r="C2452" s="7">
        <f t="shared" ref="C2452:C2453" si="320">3+1</f>
        <v>4</v>
      </c>
      <c r="D2452" s="7">
        <v>5.0</v>
      </c>
      <c r="E2452" s="7">
        <v>3.0</v>
      </c>
      <c r="F2452" s="7" t="s">
        <v>83</v>
      </c>
      <c r="G2452" s="7" t="s">
        <v>1421</v>
      </c>
      <c r="H2452" s="9" t="s">
        <v>2979</v>
      </c>
      <c r="I2452" t="s">
        <v>3702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 t="str">
        <f t="shared" si="1"/>
        <v>Built-up :</v>
      </c>
      <c r="AE2452" s="7" t="str">
        <f t="shared" si="2"/>
        <v> sq. ft.</v>
      </c>
      <c r="AF2452">
        <f>IFERROR(__xludf.DUMMYFUNCTION("VALUE(REGEXREPLACE(G2452,""[^[:digit:]]"", """"))"),3109.0)</f>
        <v>3109</v>
      </c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 t="s">
        <v>27</v>
      </c>
    </row>
    <row r="2453">
      <c r="A2453" s="7" t="s">
        <v>17</v>
      </c>
      <c r="B2453" s="7" t="s">
        <v>174</v>
      </c>
      <c r="C2453" s="7">
        <f t="shared" si="320"/>
        <v>4</v>
      </c>
      <c r="D2453" s="7">
        <v>5.0</v>
      </c>
      <c r="E2453" s="7">
        <v>2.0</v>
      </c>
      <c r="F2453" s="7" t="s">
        <v>83</v>
      </c>
      <c r="G2453" s="7" t="s">
        <v>1077</v>
      </c>
      <c r="H2453" s="9" t="s">
        <v>2979</v>
      </c>
      <c r="I2453" t="s">
        <v>3491</v>
      </c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 t="str">
        <f t="shared" si="1"/>
        <v>Built-up :</v>
      </c>
      <c r="AE2453" s="7" t="str">
        <f t="shared" si="2"/>
        <v> sq. ft.</v>
      </c>
      <c r="AF2453">
        <f>IFERROR(__xludf.DUMMYFUNCTION("VALUE(REGEXREPLACE(G2453,""[^[:digit:]]"", """"))"),2600.0)</f>
        <v>2600</v>
      </c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 t="s">
        <v>22</v>
      </c>
    </row>
    <row r="2454">
      <c r="A2454" s="7" t="s">
        <v>17</v>
      </c>
      <c r="B2454" s="7" t="s">
        <v>1543</v>
      </c>
      <c r="C2454" s="7">
        <f>1</f>
        <v>1</v>
      </c>
      <c r="D2454" s="7">
        <v>1.0</v>
      </c>
      <c r="E2454" s="7">
        <v>1.0</v>
      </c>
      <c r="F2454" s="7" t="s">
        <v>20</v>
      </c>
      <c r="G2454" s="7" t="s">
        <v>512</v>
      </c>
      <c r="H2454" s="9" t="s">
        <v>2979</v>
      </c>
      <c r="I2454" t="s">
        <v>3201</v>
      </c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 t="str">
        <f t="shared" si="1"/>
        <v>Built-up :</v>
      </c>
      <c r="AE2454" s="7" t="str">
        <f t="shared" si="2"/>
        <v> sq. ft.</v>
      </c>
      <c r="AF2454">
        <f>IFERROR(__xludf.DUMMYFUNCTION("VALUE(REGEXREPLACE(G2454,""[^[:digit:]]"", """"))"),764.0)</f>
        <v>764</v>
      </c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 t="s">
        <v>22</v>
      </c>
    </row>
    <row r="2455">
      <c r="A2455" s="7" t="s">
        <v>180</v>
      </c>
      <c r="B2455" s="7" t="s">
        <v>1446</v>
      </c>
      <c r="E2455" s="9">
        <v>2.0</v>
      </c>
      <c r="F2455" s="7" t="s">
        <v>121</v>
      </c>
      <c r="G2455" s="7" t="s">
        <v>1614</v>
      </c>
      <c r="H2455" s="9" t="s">
        <v>2979</v>
      </c>
      <c r="I2455" t="s">
        <v>3812</v>
      </c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 t="str">
        <f t="shared" si="1"/>
        <v>Built-up :</v>
      </c>
      <c r="AE2455" s="7" t="str">
        <f t="shared" si="2"/>
        <v> sq. ft.</v>
      </c>
      <c r="AF2455">
        <f>IFERROR(__xludf.DUMMYFUNCTION("VALUE(REGEXREPLACE(G2455,""[^[:digit:]]"", """"))"),1049.0)</f>
        <v>1049</v>
      </c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 t="s">
        <v>22</v>
      </c>
    </row>
    <row r="2456">
      <c r="A2456" s="7" t="s">
        <v>368</v>
      </c>
      <c r="B2456" s="7" t="s">
        <v>172</v>
      </c>
      <c r="C2456" s="7">
        <f>2</f>
        <v>2</v>
      </c>
      <c r="D2456" s="7">
        <v>2.0</v>
      </c>
      <c r="E2456" s="7">
        <v>2.0</v>
      </c>
      <c r="F2456" s="7" t="s">
        <v>20</v>
      </c>
      <c r="G2456" s="7" t="s">
        <v>1567</v>
      </c>
      <c r="H2456" s="9" t="s">
        <v>2979</v>
      </c>
      <c r="I2456" t="s">
        <v>3785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 t="str">
        <f t="shared" si="1"/>
        <v>Built-up :</v>
      </c>
      <c r="AE2456" s="7" t="str">
        <f t="shared" si="2"/>
        <v> sq. ft.</v>
      </c>
      <c r="AF2456">
        <f>IFERROR(__xludf.DUMMYFUNCTION("VALUE(REGEXREPLACE(G2456,""[^[:digit:]]"", """"))"),861.0)</f>
        <v>861</v>
      </c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</row>
    <row r="2457">
      <c r="A2457" s="7" t="s">
        <v>368</v>
      </c>
      <c r="B2457" s="7" t="s">
        <v>139</v>
      </c>
      <c r="C2457" s="7">
        <f t="shared" ref="C2457:C2458" si="321">3</f>
        <v>3</v>
      </c>
      <c r="D2457" s="7">
        <v>2.0</v>
      </c>
      <c r="E2457" s="7">
        <v>2.0</v>
      </c>
      <c r="F2457" s="7" t="s">
        <v>20</v>
      </c>
      <c r="G2457" s="7" t="s">
        <v>161</v>
      </c>
      <c r="H2457" s="9" t="s">
        <v>2979</v>
      </c>
      <c r="I2457" t="s">
        <v>3033</v>
      </c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 t="str">
        <f t="shared" si="1"/>
        <v>Built-up :</v>
      </c>
      <c r="AE2457" s="7" t="str">
        <f t="shared" si="2"/>
        <v> sq. ft.</v>
      </c>
      <c r="AF2457">
        <f>IFERROR(__xludf.DUMMYFUNCTION("VALUE(REGEXREPLACE(G2457,""[^[:digit:]]"", """"))"),1227.0)</f>
        <v>1227</v>
      </c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 t="s">
        <v>27</v>
      </c>
    </row>
    <row r="2458">
      <c r="A2458" s="7" t="s">
        <v>368</v>
      </c>
      <c r="B2458" s="7" t="s">
        <v>967</v>
      </c>
      <c r="C2458" s="7">
        <f t="shared" si="321"/>
        <v>3</v>
      </c>
      <c r="D2458" s="7">
        <v>2.0</v>
      </c>
      <c r="E2458" s="7">
        <v>1.0</v>
      </c>
      <c r="F2458" s="7" t="s">
        <v>20</v>
      </c>
      <c r="G2458" s="7" t="s">
        <v>892</v>
      </c>
      <c r="H2458" s="9" t="s">
        <v>2979</v>
      </c>
      <c r="I2458" t="s">
        <v>3391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 t="str">
        <f t="shared" si="1"/>
        <v>Built-up :</v>
      </c>
      <c r="AE2458" s="7" t="str">
        <f t="shared" si="2"/>
        <v> sq. ft.</v>
      </c>
      <c r="AF2458">
        <f>IFERROR(__xludf.DUMMYFUNCTION("VALUE(REGEXREPLACE(G2458,""[^[:digit:]]"", """"))"),1098.0)</f>
        <v>1098</v>
      </c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</row>
    <row r="2459">
      <c r="A2459" s="7" t="s">
        <v>17</v>
      </c>
      <c r="B2459" s="7" t="s">
        <v>281</v>
      </c>
      <c r="C2459" s="7">
        <f>3+1</f>
        <v>4</v>
      </c>
      <c r="D2459" s="7">
        <v>3.0</v>
      </c>
      <c r="E2459" s="9">
        <v>2.0</v>
      </c>
      <c r="F2459" s="7" t="s">
        <v>312</v>
      </c>
      <c r="G2459" s="7" t="s">
        <v>307</v>
      </c>
      <c r="H2459" s="9" t="s">
        <v>2979</v>
      </c>
      <c r="I2459" t="s">
        <v>3102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 t="str">
        <f t="shared" si="1"/>
        <v>Built-up :</v>
      </c>
      <c r="AE2459" s="7" t="str">
        <f t="shared" si="2"/>
        <v> sq. ft.</v>
      </c>
      <c r="AF2459">
        <f>IFERROR(__xludf.DUMMYFUNCTION("VALUE(REGEXREPLACE(G2459,""[^[:digit:]]"", """"))"),2500.0)</f>
        <v>2500</v>
      </c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 t="s">
        <v>22</v>
      </c>
    </row>
    <row r="2460">
      <c r="A2460" s="7" t="s">
        <v>100</v>
      </c>
      <c r="B2460" s="7" t="s">
        <v>1880</v>
      </c>
      <c r="C2460" s="7">
        <f>2</f>
        <v>2</v>
      </c>
      <c r="D2460" s="7">
        <v>2.0</v>
      </c>
      <c r="E2460" s="7">
        <v>2.0</v>
      </c>
      <c r="F2460" s="7" t="s">
        <v>82</v>
      </c>
      <c r="G2460" s="7" t="s">
        <v>1881</v>
      </c>
      <c r="H2460" s="9" t="s">
        <v>2979</v>
      </c>
      <c r="I2460" t="s">
        <v>3976</v>
      </c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 t="str">
        <f t="shared" si="1"/>
        <v>Built-up :</v>
      </c>
      <c r="AE2460" s="7" t="str">
        <f t="shared" si="2"/>
        <v> sq. ft.</v>
      </c>
      <c r="AF2460">
        <f>IFERROR(__xludf.DUMMYFUNCTION("VALUE(REGEXREPLACE(G2460,""[^[:digit:]]"", """"))"),645.0)</f>
        <v>645</v>
      </c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 t="s">
        <v>22</v>
      </c>
    </row>
    <row r="2461">
      <c r="A2461" s="7" t="s">
        <v>33</v>
      </c>
      <c r="B2461" s="7" t="s">
        <v>657</v>
      </c>
      <c r="C2461" s="7">
        <f>3</f>
        <v>3</v>
      </c>
      <c r="D2461" s="7">
        <v>2.0</v>
      </c>
      <c r="E2461" s="7">
        <v>2.0</v>
      </c>
      <c r="F2461" s="7" t="s">
        <v>20</v>
      </c>
      <c r="G2461" s="7" t="s">
        <v>1882</v>
      </c>
      <c r="H2461" s="9" t="s">
        <v>2979</v>
      </c>
      <c r="I2461" t="s">
        <v>3977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 t="str">
        <f t="shared" si="1"/>
        <v>Built-up :</v>
      </c>
      <c r="AE2461" s="7" t="str">
        <f t="shared" si="2"/>
        <v> sq. ft.</v>
      </c>
      <c r="AF2461">
        <f>IFERROR(__xludf.DUMMYFUNCTION("VALUE(REGEXREPLACE(G2461,""[^[:digit:]]"", """"))"),1339.0)</f>
        <v>1339</v>
      </c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 t="s">
        <v>22</v>
      </c>
    </row>
    <row r="2462">
      <c r="A2462" s="7" t="s">
        <v>100</v>
      </c>
      <c r="B2462" s="7" t="s">
        <v>1876</v>
      </c>
      <c r="C2462" s="7">
        <f t="shared" ref="C2462:C2463" si="322">2</f>
        <v>2</v>
      </c>
      <c r="D2462" s="7">
        <v>2.0</v>
      </c>
      <c r="E2462" s="7">
        <v>2.0</v>
      </c>
      <c r="F2462" s="7" t="s">
        <v>82</v>
      </c>
      <c r="G2462" s="7" t="s">
        <v>1883</v>
      </c>
      <c r="H2462" s="9" t="s">
        <v>2979</v>
      </c>
      <c r="I2462" t="s">
        <v>3978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 t="str">
        <f t="shared" si="1"/>
        <v>Built-up :</v>
      </c>
      <c r="AE2462" s="7" t="str">
        <f t="shared" si="2"/>
        <v> sq. ft.</v>
      </c>
      <c r="AF2462">
        <f>IFERROR(__xludf.DUMMYFUNCTION("VALUE(REGEXREPLACE(G2462,""[^[:digit:]]"", """"))"),747.0)</f>
        <v>747</v>
      </c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 t="s">
        <v>22</v>
      </c>
    </row>
    <row r="2463">
      <c r="A2463" s="7" t="s">
        <v>267</v>
      </c>
      <c r="B2463" s="7" t="s">
        <v>105</v>
      </c>
      <c r="C2463" s="7">
        <f t="shared" si="322"/>
        <v>2</v>
      </c>
      <c r="D2463" s="7">
        <v>2.0</v>
      </c>
      <c r="E2463" s="7">
        <v>2.0</v>
      </c>
      <c r="F2463" s="7" t="s">
        <v>93</v>
      </c>
      <c r="G2463" s="7" t="s">
        <v>1884</v>
      </c>
      <c r="H2463" s="9" t="s">
        <v>2979</v>
      </c>
      <c r="I2463" t="s">
        <v>3979</v>
      </c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 t="str">
        <f t="shared" si="1"/>
        <v>Built-up :</v>
      </c>
      <c r="AE2463" s="7" t="str">
        <f t="shared" si="2"/>
        <v> sq. ft.</v>
      </c>
      <c r="AF2463">
        <f>IFERROR(__xludf.DUMMYFUNCTION("VALUE(REGEXREPLACE(G2463,""[^[:digit:]]"", """"))"),916.0)</f>
        <v>916</v>
      </c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 t="s">
        <v>22</v>
      </c>
    </row>
    <row r="2464">
      <c r="A2464" s="7" t="s">
        <v>177</v>
      </c>
      <c r="B2464" s="7" t="s">
        <v>349</v>
      </c>
      <c r="C2464" s="7">
        <f>3+1</f>
        <v>4</v>
      </c>
      <c r="D2464" s="7">
        <v>4.0</v>
      </c>
      <c r="E2464" s="7">
        <v>1.0</v>
      </c>
      <c r="F2464" s="7" t="s">
        <v>83</v>
      </c>
      <c r="G2464" s="7" t="s">
        <v>1885</v>
      </c>
      <c r="H2464" s="9" t="s">
        <v>2979</v>
      </c>
      <c r="I2464" t="s">
        <v>3980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 t="str">
        <f t="shared" si="1"/>
        <v>Built-up :</v>
      </c>
      <c r="AE2464" s="7" t="str">
        <f t="shared" si="2"/>
        <v> sq. ft.</v>
      </c>
      <c r="AF2464">
        <f>IFERROR(__xludf.DUMMYFUNCTION("VALUE(REGEXREPLACE(G2464,""[^[:digit:]]"", """"))"),1975.0)</f>
        <v>1975</v>
      </c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 t="s">
        <v>27</v>
      </c>
    </row>
    <row r="2465">
      <c r="A2465" s="7" t="s">
        <v>77</v>
      </c>
      <c r="B2465" s="7" t="s">
        <v>272</v>
      </c>
      <c r="C2465" s="7">
        <f>4+1</f>
        <v>5</v>
      </c>
      <c r="D2465" s="7">
        <v>6.0</v>
      </c>
      <c r="E2465" s="7">
        <v>4.0</v>
      </c>
      <c r="F2465" s="7" t="s">
        <v>90</v>
      </c>
      <c r="G2465" s="7" t="s">
        <v>1886</v>
      </c>
      <c r="H2465" s="9" t="s">
        <v>2981</v>
      </c>
      <c r="I2465" t="s">
        <v>3571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 t="s">
        <v>3188</v>
      </c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 t="str">
        <f t="shared" si="1"/>
        <v>Land area </v>
      </c>
      <c r="AE2465" s="7" t="str">
        <f t="shared" si="2"/>
        <v> sq. ft.</v>
      </c>
      <c r="AF2465">
        <f>IFERROR(__xludf.DUMMYFUNCTION("VALUE(REGEXREPLACE(G2465,""[^[:digit:]]"", """"))"),2490.0)</f>
        <v>2490</v>
      </c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 t="s">
        <v>27</v>
      </c>
    </row>
    <row r="2466">
      <c r="A2466" s="7" t="s">
        <v>77</v>
      </c>
      <c r="B2466" s="7" t="s">
        <v>183</v>
      </c>
      <c r="C2466" s="7">
        <f>3+2</f>
        <v>5</v>
      </c>
      <c r="D2466" s="7">
        <v>5.0</v>
      </c>
      <c r="E2466" s="7">
        <v>3.0</v>
      </c>
      <c r="F2466" s="7" t="s">
        <v>273</v>
      </c>
      <c r="G2466" s="7" t="s">
        <v>1037</v>
      </c>
      <c r="H2466" s="9" t="s">
        <v>2979</v>
      </c>
      <c r="I2466" t="s">
        <v>3470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 t="str">
        <f t="shared" si="1"/>
        <v>Built-up :</v>
      </c>
      <c r="AE2466" s="7" t="str">
        <f t="shared" si="2"/>
        <v> sq. ft.</v>
      </c>
      <c r="AF2466">
        <f>IFERROR(__xludf.DUMMYFUNCTION("VALUE(REGEXREPLACE(G2466,""[^[:digit:]]"", """"))"),3500.0)</f>
        <v>3500</v>
      </c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 t="s">
        <v>22</v>
      </c>
    </row>
    <row r="2467">
      <c r="A2467" s="7" t="s">
        <v>77</v>
      </c>
      <c r="B2467" s="7" t="s">
        <v>1887</v>
      </c>
      <c r="C2467" s="7">
        <f>7+1</f>
        <v>8</v>
      </c>
      <c r="D2467" s="7">
        <v>8.0</v>
      </c>
      <c r="E2467" s="7">
        <v>3.0</v>
      </c>
      <c r="F2467" s="7" t="s">
        <v>300</v>
      </c>
      <c r="G2467" s="7" t="s">
        <v>301</v>
      </c>
      <c r="H2467" s="9" t="s">
        <v>2979</v>
      </c>
      <c r="I2467" t="s">
        <v>3098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 t="str">
        <f t="shared" si="1"/>
        <v>Built-up :</v>
      </c>
      <c r="AE2467" s="7" t="str">
        <f t="shared" si="2"/>
        <v> sq. ft.</v>
      </c>
      <c r="AF2467">
        <f>IFERROR(__xludf.DUMMYFUNCTION("VALUE(REGEXREPLACE(G2467,""[^[:digit:]]"", """"))"),7000.0)</f>
        <v>7000</v>
      </c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 t="s">
        <v>27</v>
      </c>
    </row>
    <row r="2468">
      <c r="A2468" s="7" t="s">
        <v>33</v>
      </c>
      <c r="B2468" s="7" t="s">
        <v>221</v>
      </c>
      <c r="C2468" s="7">
        <f t="shared" ref="C2468:C2469" si="323">3+1</f>
        <v>4</v>
      </c>
      <c r="D2468" s="7">
        <v>3.0</v>
      </c>
      <c r="E2468" s="7">
        <v>2.0</v>
      </c>
      <c r="F2468" s="7" t="s">
        <v>83</v>
      </c>
      <c r="G2468" s="7" t="s">
        <v>1888</v>
      </c>
      <c r="H2468" s="9" t="s">
        <v>2979</v>
      </c>
      <c r="I2468" t="s">
        <v>3981</v>
      </c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 t="str">
        <f t="shared" si="1"/>
        <v>Built-up :</v>
      </c>
      <c r="AE2468" s="7" t="str">
        <f t="shared" si="2"/>
        <v> sq. ft.</v>
      </c>
      <c r="AF2468">
        <f>IFERROR(__xludf.DUMMYFUNCTION("VALUE(REGEXREPLACE(G2468,""[^[:digit:]]"", """"))"),1293.0)</f>
        <v>1293</v>
      </c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</row>
    <row r="2469">
      <c r="A2469" s="7" t="s">
        <v>72</v>
      </c>
      <c r="B2469" s="7" t="s">
        <v>448</v>
      </c>
      <c r="C2469" s="7">
        <f t="shared" si="323"/>
        <v>4</v>
      </c>
      <c r="D2469" s="7">
        <v>2.0</v>
      </c>
      <c r="E2469" s="7">
        <v>2.0</v>
      </c>
      <c r="F2469" s="7" t="s">
        <v>83</v>
      </c>
      <c r="G2469" s="7" t="s">
        <v>334</v>
      </c>
      <c r="H2469" s="9" t="s">
        <v>2979</v>
      </c>
      <c r="I2469" t="s">
        <v>3112</v>
      </c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 t="str">
        <f t="shared" si="1"/>
        <v>Built-up :</v>
      </c>
      <c r="AE2469" s="7" t="str">
        <f t="shared" si="2"/>
        <v> sq. ft.</v>
      </c>
      <c r="AF2469">
        <f>IFERROR(__xludf.DUMMYFUNCTION("VALUE(REGEXREPLACE(G2469,""[^[:digit:]]"", """"))"),1496.0)</f>
        <v>1496</v>
      </c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 t="s">
        <v>27</v>
      </c>
    </row>
    <row r="2470">
      <c r="A2470" s="7" t="s">
        <v>72</v>
      </c>
      <c r="B2470" s="7" t="s">
        <v>279</v>
      </c>
      <c r="C2470" s="7">
        <f t="shared" ref="C2470:C2472" si="324">3</f>
        <v>3</v>
      </c>
      <c r="D2470" s="7">
        <v>2.0</v>
      </c>
      <c r="E2470" s="7">
        <v>2.0</v>
      </c>
      <c r="F2470" s="7" t="s">
        <v>83</v>
      </c>
      <c r="G2470" s="7" t="s">
        <v>135</v>
      </c>
      <c r="H2470" s="9" t="s">
        <v>2979</v>
      </c>
      <c r="I2470" t="s">
        <v>3023</v>
      </c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 t="str">
        <f t="shared" si="1"/>
        <v>Built-up :</v>
      </c>
      <c r="AE2470" s="7" t="str">
        <f t="shared" si="2"/>
        <v> sq. ft.</v>
      </c>
      <c r="AF2470">
        <f>IFERROR(__xludf.DUMMYFUNCTION("VALUE(REGEXREPLACE(G2470,""[^[:digit:]]"", """"))"),1200.0)</f>
        <v>1200</v>
      </c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 t="s">
        <v>27</v>
      </c>
    </row>
    <row r="2471">
      <c r="A2471" s="7" t="s">
        <v>72</v>
      </c>
      <c r="B2471" s="7" t="s">
        <v>243</v>
      </c>
      <c r="C2471" s="7">
        <f t="shared" si="324"/>
        <v>3</v>
      </c>
      <c r="D2471" s="7">
        <v>2.0</v>
      </c>
      <c r="E2471" s="7">
        <v>2.0</v>
      </c>
      <c r="F2471" s="7" t="s">
        <v>83</v>
      </c>
      <c r="G2471" s="7" t="s">
        <v>135</v>
      </c>
      <c r="H2471" s="9" t="s">
        <v>2979</v>
      </c>
      <c r="I2471" t="s">
        <v>3023</v>
      </c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 t="str">
        <f t="shared" si="1"/>
        <v>Built-up :</v>
      </c>
      <c r="AE2471" s="7" t="str">
        <f t="shared" si="2"/>
        <v> sq. ft.</v>
      </c>
      <c r="AF2471">
        <f>IFERROR(__xludf.DUMMYFUNCTION("VALUE(REGEXREPLACE(G2471,""[^[:digit:]]"", """"))"),1200.0)</f>
        <v>1200</v>
      </c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 t="s">
        <v>27</v>
      </c>
    </row>
    <row r="2472">
      <c r="A2472" s="7" t="s">
        <v>72</v>
      </c>
      <c r="B2472" s="7" t="s">
        <v>327</v>
      </c>
      <c r="C2472" s="7">
        <f t="shared" si="324"/>
        <v>3</v>
      </c>
      <c r="D2472" s="7">
        <v>2.0</v>
      </c>
      <c r="E2472" s="7">
        <v>2.0</v>
      </c>
      <c r="F2472" s="7" t="s">
        <v>83</v>
      </c>
      <c r="G2472" s="7" t="s">
        <v>135</v>
      </c>
      <c r="H2472" s="9" t="s">
        <v>2979</v>
      </c>
      <c r="I2472" t="s">
        <v>3023</v>
      </c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 t="str">
        <f t="shared" si="1"/>
        <v>Built-up :</v>
      </c>
      <c r="AE2472" s="7" t="str">
        <f t="shared" si="2"/>
        <v> sq. ft.</v>
      </c>
      <c r="AF2472">
        <f>IFERROR(__xludf.DUMMYFUNCTION("VALUE(REGEXREPLACE(G2472,""[^[:digit:]]"", """"))"),1200.0)</f>
        <v>1200</v>
      </c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 t="s">
        <v>27</v>
      </c>
    </row>
    <row r="2473">
      <c r="A2473" s="7" t="s">
        <v>72</v>
      </c>
      <c r="B2473" s="7" t="s">
        <v>844</v>
      </c>
      <c r="C2473" s="7">
        <f>4+2</f>
        <v>6</v>
      </c>
      <c r="D2473" s="7">
        <v>4.0</v>
      </c>
      <c r="E2473" s="7">
        <v>2.0</v>
      </c>
      <c r="F2473" s="7" t="s">
        <v>83</v>
      </c>
      <c r="G2473" s="7" t="s">
        <v>1693</v>
      </c>
      <c r="H2473" s="9" t="s">
        <v>2979</v>
      </c>
      <c r="I2473" t="s">
        <v>3863</v>
      </c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 t="str">
        <f t="shared" si="1"/>
        <v>Built-up :</v>
      </c>
      <c r="AE2473" s="7" t="str">
        <f t="shared" si="2"/>
        <v> sq. ft.</v>
      </c>
      <c r="AF2473">
        <f>IFERROR(__xludf.DUMMYFUNCTION("VALUE(REGEXREPLACE(G2473,""[^[:digit:]]"", """"))"),2735.0)</f>
        <v>2735</v>
      </c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</row>
    <row r="2474">
      <c r="A2474" s="7" t="s">
        <v>72</v>
      </c>
      <c r="B2474" s="7" t="s">
        <v>1889</v>
      </c>
      <c r="C2474" s="7">
        <f>4+1</f>
        <v>5</v>
      </c>
      <c r="D2474" s="7">
        <v>3.0</v>
      </c>
      <c r="E2474" s="7">
        <v>3.0</v>
      </c>
      <c r="F2474" s="7" t="s">
        <v>83</v>
      </c>
      <c r="G2474" s="7" t="s">
        <v>74</v>
      </c>
      <c r="H2474" s="9" t="s">
        <v>2979</v>
      </c>
      <c r="I2474" t="s">
        <v>2998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 t="str">
        <f t="shared" si="1"/>
        <v>Built-up :</v>
      </c>
      <c r="AE2474" s="7" t="str">
        <f t="shared" si="2"/>
        <v> sq. ft.</v>
      </c>
      <c r="AF2474">
        <f>IFERROR(__xludf.DUMMYFUNCTION("VALUE(REGEXREPLACE(G2474,""[^[:digit:]]"", """"))"),1830.0)</f>
        <v>1830</v>
      </c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 t="s">
        <v>27</v>
      </c>
    </row>
    <row r="2475">
      <c r="A2475" s="7" t="s">
        <v>72</v>
      </c>
      <c r="B2475" s="7" t="s">
        <v>411</v>
      </c>
      <c r="C2475" s="7">
        <f>3+1</f>
        <v>4</v>
      </c>
      <c r="D2475" s="7">
        <v>5.0</v>
      </c>
      <c r="E2475" s="7">
        <v>3.0</v>
      </c>
      <c r="F2475" s="7" t="s">
        <v>83</v>
      </c>
      <c r="G2475" s="7" t="s">
        <v>1890</v>
      </c>
      <c r="H2475" s="9" t="s">
        <v>2979</v>
      </c>
      <c r="I2475" t="s">
        <v>3982</v>
      </c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 t="str">
        <f t="shared" si="1"/>
        <v>Built-up :</v>
      </c>
      <c r="AE2475" s="7" t="str">
        <f t="shared" si="2"/>
        <v> sq. ft.</v>
      </c>
      <c r="AF2475">
        <f>IFERROR(__xludf.DUMMYFUNCTION("VALUE(REGEXREPLACE(G2475,""[^[:digit:]]"", """"))"),2706.0)</f>
        <v>2706</v>
      </c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 t="s">
        <v>27</v>
      </c>
    </row>
    <row r="2476">
      <c r="A2476" s="7" t="s">
        <v>72</v>
      </c>
      <c r="B2476" s="7" t="s">
        <v>813</v>
      </c>
      <c r="C2476" s="7">
        <f>4+1</f>
        <v>5</v>
      </c>
      <c r="D2476" s="7">
        <v>3.0</v>
      </c>
      <c r="E2476" s="7">
        <v>3.0</v>
      </c>
      <c r="F2476" s="7" t="s">
        <v>83</v>
      </c>
      <c r="G2476" s="7" t="s">
        <v>113</v>
      </c>
      <c r="H2476" s="9" t="s">
        <v>2979</v>
      </c>
      <c r="I2476" t="s">
        <v>3012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 t="str">
        <f t="shared" si="1"/>
        <v>Built-up :</v>
      </c>
      <c r="AE2476" s="7" t="str">
        <f t="shared" si="2"/>
        <v> sq. ft.</v>
      </c>
      <c r="AF2476">
        <f>IFERROR(__xludf.DUMMYFUNCTION("VALUE(REGEXREPLACE(G2476,""[^[:digit:]]"", """"))"),2767.0)</f>
        <v>2767</v>
      </c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 t="s">
        <v>27</v>
      </c>
    </row>
    <row r="2477">
      <c r="A2477" s="7" t="s">
        <v>72</v>
      </c>
      <c r="B2477" s="7" t="s">
        <v>967</v>
      </c>
      <c r="C2477" s="7">
        <f>2</f>
        <v>2</v>
      </c>
      <c r="D2477" s="7">
        <v>2.0</v>
      </c>
      <c r="E2477" s="7">
        <v>1.0</v>
      </c>
      <c r="F2477" s="7" t="s">
        <v>20</v>
      </c>
      <c r="G2477" s="7" t="s">
        <v>1891</v>
      </c>
      <c r="H2477" s="9" t="s">
        <v>2979</v>
      </c>
      <c r="I2477" t="s">
        <v>3983</v>
      </c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 t="str">
        <f t="shared" si="1"/>
        <v>Built-up :</v>
      </c>
      <c r="AE2477" s="7" t="str">
        <f t="shared" si="2"/>
        <v> sq. ft.</v>
      </c>
      <c r="AF2477">
        <f>IFERROR(__xludf.DUMMYFUNCTION("VALUE(REGEXREPLACE(G2477,""[^[:digit:]]"", """"))"),868.0)</f>
        <v>868</v>
      </c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 t="s">
        <v>22</v>
      </c>
    </row>
    <row r="2478">
      <c r="A2478" s="7" t="s">
        <v>72</v>
      </c>
      <c r="B2478" s="7" t="s">
        <v>120</v>
      </c>
      <c r="C2478" s="7">
        <f>4+1</f>
        <v>5</v>
      </c>
      <c r="D2478" s="7">
        <v>4.0</v>
      </c>
      <c r="E2478" s="7">
        <v>3.0</v>
      </c>
      <c r="F2478" s="7" t="s">
        <v>83</v>
      </c>
      <c r="G2478" s="7" t="s">
        <v>147</v>
      </c>
      <c r="H2478" s="9" t="s">
        <v>2979</v>
      </c>
      <c r="I2478" t="s">
        <v>3027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 t="str">
        <f t="shared" si="1"/>
        <v>Built-up :</v>
      </c>
      <c r="AE2478" s="7" t="str">
        <f t="shared" si="2"/>
        <v> sq. ft.</v>
      </c>
      <c r="AF2478">
        <f>IFERROR(__xludf.DUMMYFUNCTION("VALUE(REGEXREPLACE(G2478,""[^[:digit:]]"", """"))"),4090.0)</f>
        <v>4090</v>
      </c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 t="s">
        <v>27</v>
      </c>
    </row>
    <row r="2479">
      <c r="A2479" s="7" t="s">
        <v>171</v>
      </c>
      <c r="B2479" s="7" t="s">
        <v>543</v>
      </c>
      <c r="C2479" s="7">
        <f>3</f>
        <v>3</v>
      </c>
      <c r="D2479" s="7">
        <v>2.0</v>
      </c>
      <c r="E2479" s="7">
        <v>1.0</v>
      </c>
      <c r="F2479" s="7" t="s">
        <v>30</v>
      </c>
      <c r="G2479" s="7" t="s">
        <v>1722</v>
      </c>
      <c r="H2479" s="9" t="s">
        <v>2979</v>
      </c>
      <c r="I2479" t="s">
        <v>3880</v>
      </c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 t="str">
        <f t="shared" si="1"/>
        <v>Built-up :</v>
      </c>
      <c r="AE2479" s="7" t="str">
        <f t="shared" si="2"/>
        <v> sq. ft.</v>
      </c>
      <c r="AF2479">
        <f>IFERROR(__xludf.DUMMYFUNCTION("VALUE(REGEXREPLACE(G2479,""[^[:digit:]]"", """"))"),1231.0)</f>
        <v>1231</v>
      </c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 t="s">
        <v>27</v>
      </c>
    </row>
    <row r="2480">
      <c r="A2480" s="7" t="s">
        <v>171</v>
      </c>
      <c r="B2480" s="7" t="s">
        <v>1659</v>
      </c>
      <c r="C2480" s="7">
        <f t="shared" ref="C2480:C2482" si="325">4</f>
        <v>4</v>
      </c>
      <c r="D2480" s="7">
        <v>2.0</v>
      </c>
      <c r="E2480" s="7">
        <v>2.0</v>
      </c>
      <c r="F2480" s="7" t="s">
        <v>93</v>
      </c>
      <c r="G2480" s="7" t="s">
        <v>192</v>
      </c>
      <c r="H2480" s="9" t="s">
        <v>2979</v>
      </c>
      <c r="I2480" t="s">
        <v>3045</v>
      </c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 t="str">
        <f t="shared" si="1"/>
        <v>Built-up :</v>
      </c>
      <c r="AE2480" s="7" t="str">
        <f t="shared" si="2"/>
        <v> sq. ft.</v>
      </c>
      <c r="AF2480">
        <f>IFERROR(__xludf.DUMMYFUNCTION("VALUE(REGEXREPLACE(G2480,""[^[:digit:]]"", """"))"),1313.0)</f>
        <v>1313</v>
      </c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 t="s">
        <v>27</v>
      </c>
    </row>
    <row r="2481">
      <c r="A2481" s="7" t="s">
        <v>171</v>
      </c>
      <c r="B2481" s="7" t="s">
        <v>1348</v>
      </c>
      <c r="C2481" s="7">
        <f t="shared" si="325"/>
        <v>4</v>
      </c>
      <c r="D2481" s="7">
        <v>2.0</v>
      </c>
      <c r="E2481" s="7">
        <v>2.0</v>
      </c>
      <c r="F2481" s="7" t="s">
        <v>93</v>
      </c>
      <c r="G2481" s="7" t="s">
        <v>192</v>
      </c>
      <c r="H2481" s="9" t="s">
        <v>2979</v>
      </c>
      <c r="I2481" t="s">
        <v>3045</v>
      </c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 t="str">
        <f t="shared" si="1"/>
        <v>Built-up :</v>
      </c>
      <c r="AE2481" s="7" t="str">
        <f t="shared" si="2"/>
        <v> sq. ft.</v>
      </c>
      <c r="AF2481">
        <f>IFERROR(__xludf.DUMMYFUNCTION("VALUE(REGEXREPLACE(G2481,""[^[:digit:]]"", """"))"),1313.0)</f>
        <v>1313</v>
      </c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 t="s">
        <v>27</v>
      </c>
    </row>
    <row r="2482">
      <c r="A2482" s="7" t="s">
        <v>171</v>
      </c>
      <c r="B2482" s="7" t="s">
        <v>702</v>
      </c>
      <c r="C2482" s="7">
        <f t="shared" si="325"/>
        <v>4</v>
      </c>
      <c r="D2482" s="7">
        <v>2.0</v>
      </c>
      <c r="E2482" s="7">
        <v>1.0</v>
      </c>
      <c r="F2482" s="7" t="s">
        <v>93</v>
      </c>
      <c r="G2482" s="7" t="s">
        <v>1681</v>
      </c>
      <c r="H2482" s="9" t="s">
        <v>2979</v>
      </c>
      <c r="I2482" t="s">
        <v>3852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 t="str">
        <f t="shared" si="1"/>
        <v>Built-up :</v>
      </c>
      <c r="AE2482" s="7" t="str">
        <f t="shared" si="2"/>
        <v> sq. ft.</v>
      </c>
      <c r="AF2482">
        <f>IFERROR(__xludf.DUMMYFUNCTION("VALUE(REGEXREPLACE(G2482,""[^[:digit:]]"", """"))"),1272.0)</f>
        <v>1272</v>
      </c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 t="s">
        <v>27</v>
      </c>
    </row>
    <row r="2483">
      <c r="A2483" s="7" t="s">
        <v>171</v>
      </c>
      <c r="B2483" s="7" t="s">
        <v>1892</v>
      </c>
      <c r="C2483" s="7">
        <f>3+1</f>
        <v>4</v>
      </c>
      <c r="D2483" s="7">
        <v>2.0</v>
      </c>
      <c r="E2483" s="7">
        <v>2.0</v>
      </c>
      <c r="F2483" s="7" t="s">
        <v>93</v>
      </c>
      <c r="G2483" s="7" t="s">
        <v>192</v>
      </c>
      <c r="H2483" s="9" t="s">
        <v>2979</v>
      </c>
      <c r="I2483" t="s">
        <v>3045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 t="str">
        <f t="shared" si="1"/>
        <v>Built-up :</v>
      </c>
      <c r="AE2483" s="7" t="str">
        <f t="shared" si="2"/>
        <v> sq. ft.</v>
      </c>
      <c r="AF2483">
        <f>IFERROR(__xludf.DUMMYFUNCTION("VALUE(REGEXREPLACE(G2483,""[^[:digit:]]"", """"))"),1313.0)</f>
        <v>1313</v>
      </c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 t="s">
        <v>27</v>
      </c>
    </row>
    <row r="2484">
      <c r="A2484" s="7" t="s">
        <v>171</v>
      </c>
      <c r="B2484" s="7" t="s">
        <v>969</v>
      </c>
      <c r="C2484" s="7">
        <f t="shared" ref="C2484:C2487" si="326">4</f>
        <v>4</v>
      </c>
      <c r="D2484" s="7">
        <v>2.0</v>
      </c>
      <c r="E2484" s="7">
        <v>2.0</v>
      </c>
      <c r="F2484" s="7" t="s">
        <v>93</v>
      </c>
      <c r="G2484" s="7" t="s">
        <v>1681</v>
      </c>
      <c r="H2484" s="9" t="s">
        <v>2979</v>
      </c>
      <c r="I2484" t="s">
        <v>3852</v>
      </c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 t="str">
        <f t="shared" si="1"/>
        <v>Built-up :</v>
      </c>
      <c r="AE2484" s="7" t="str">
        <f t="shared" si="2"/>
        <v> sq. ft.</v>
      </c>
      <c r="AF2484">
        <f>IFERROR(__xludf.DUMMYFUNCTION("VALUE(REGEXREPLACE(G2484,""[^[:digit:]]"", """"))"),1272.0)</f>
        <v>1272</v>
      </c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 t="s">
        <v>27</v>
      </c>
    </row>
    <row r="2485">
      <c r="A2485" s="7" t="s">
        <v>171</v>
      </c>
      <c r="B2485" s="7" t="s">
        <v>268</v>
      </c>
      <c r="C2485" s="7">
        <f t="shared" si="326"/>
        <v>4</v>
      </c>
      <c r="D2485" s="7">
        <v>2.0</v>
      </c>
      <c r="E2485" s="7">
        <v>2.0</v>
      </c>
      <c r="F2485" s="7" t="s">
        <v>93</v>
      </c>
      <c r="G2485" s="7" t="s">
        <v>490</v>
      </c>
      <c r="H2485" s="9" t="s">
        <v>2979</v>
      </c>
      <c r="I2485" t="s">
        <v>3189</v>
      </c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 t="str">
        <f t="shared" si="1"/>
        <v>Built-up :</v>
      </c>
      <c r="AE2485" s="7" t="str">
        <f t="shared" si="2"/>
        <v> sq. ft.</v>
      </c>
      <c r="AF2485">
        <f>IFERROR(__xludf.DUMMYFUNCTION("VALUE(REGEXREPLACE(G2485,""[^[:digit:]]"", """"))"),1378.0)</f>
        <v>1378</v>
      </c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 t="s">
        <v>27</v>
      </c>
    </row>
    <row r="2486">
      <c r="A2486" s="7" t="s">
        <v>171</v>
      </c>
      <c r="B2486" s="7" t="s">
        <v>983</v>
      </c>
      <c r="C2486" s="7">
        <f t="shared" si="326"/>
        <v>4</v>
      </c>
      <c r="D2486" s="7">
        <v>2.0</v>
      </c>
      <c r="E2486" s="7">
        <v>1.0</v>
      </c>
      <c r="F2486" s="7" t="s">
        <v>30</v>
      </c>
      <c r="G2486" s="7" t="s">
        <v>1681</v>
      </c>
      <c r="H2486" s="9" t="s">
        <v>2979</v>
      </c>
      <c r="I2486" t="s">
        <v>3852</v>
      </c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 t="str">
        <f t="shared" si="1"/>
        <v>Built-up :</v>
      </c>
      <c r="AE2486" s="7" t="str">
        <f t="shared" si="2"/>
        <v> sq. ft.</v>
      </c>
      <c r="AF2486">
        <f>IFERROR(__xludf.DUMMYFUNCTION("VALUE(REGEXREPLACE(G2486,""[^[:digit:]]"", """"))"),1272.0)</f>
        <v>1272</v>
      </c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 t="s">
        <v>27</v>
      </c>
    </row>
    <row r="2487">
      <c r="A2487" s="7" t="s">
        <v>171</v>
      </c>
      <c r="B2487" s="7" t="s">
        <v>759</v>
      </c>
      <c r="C2487" s="7">
        <f t="shared" si="326"/>
        <v>4</v>
      </c>
      <c r="D2487" s="7">
        <v>2.0</v>
      </c>
      <c r="E2487" s="7">
        <v>1.0</v>
      </c>
      <c r="F2487" s="7" t="s">
        <v>83</v>
      </c>
      <c r="G2487" s="7" t="s">
        <v>760</v>
      </c>
      <c r="H2487" s="9" t="s">
        <v>2979</v>
      </c>
      <c r="I2487" t="s">
        <v>3323</v>
      </c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 t="str">
        <f t="shared" si="1"/>
        <v>Built-up :</v>
      </c>
      <c r="AE2487" s="7" t="str">
        <f t="shared" si="2"/>
        <v> sq. ft.</v>
      </c>
      <c r="AF2487">
        <f>IFERROR(__xludf.DUMMYFUNCTION("VALUE(REGEXREPLACE(G2487,""[^[:digit:]]"", """"))"),1450.0)</f>
        <v>1450</v>
      </c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 t="s">
        <v>27</v>
      </c>
    </row>
    <row r="2488">
      <c r="A2488" s="7" t="s">
        <v>171</v>
      </c>
      <c r="B2488" s="7" t="s">
        <v>172</v>
      </c>
      <c r="C2488" s="7">
        <f>3</f>
        <v>3</v>
      </c>
      <c r="D2488" s="7">
        <v>3.0</v>
      </c>
      <c r="E2488" s="7">
        <v>2.0</v>
      </c>
      <c r="F2488" s="7" t="s">
        <v>82</v>
      </c>
      <c r="G2488" s="7" t="s">
        <v>1604</v>
      </c>
      <c r="H2488" s="9" t="s">
        <v>2979</v>
      </c>
      <c r="I2488" t="s">
        <v>3805</v>
      </c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 t="str">
        <f t="shared" si="1"/>
        <v>Built-up :</v>
      </c>
      <c r="AE2488" s="7" t="str">
        <f t="shared" si="2"/>
        <v> sq. ft.</v>
      </c>
      <c r="AF2488">
        <f>IFERROR(__xludf.DUMMYFUNCTION("VALUE(REGEXREPLACE(G2488,""[^[:digit:]]"", """"))"),1280.0)</f>
        <v>1280</v>
      </c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 t="s">
        <v>27</v>
      </c>
    </row>
    <row r="2489">
      <c r="A2489" s="7" t="s">
        <v>100</v>
      </c>
      <c r="B2489" s="7" t="s">
        <v>733</v>
      </c>
      <c r="C2489" s="7">
        <f>3+1</f>
        <v>4</v>
      </c>
      <c r="D2489" s="7">
        <v>2.0</v>
      </c>
      <c r="E2489" s="7">
        <v>2.0</v>
      </c>
      <c r="F2489" s="7" t="s">
        <v>121</v>
      </c>
      <c r="G2489" s="7" t="s">
        <v>957</v>
      </c>
      <c r="H2489" s="9" t="s">
        <v>2979</v>
      </c>
      <c r="I2489" t="s">
        <v>3425</v>
      </c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 t="str">
        <f t="shared" si="1"/>
        <v>Built-up :</v>
      </c>
      <c r="AE2489" s="7" t="str">
        <f t="shared" si="2"/>
        <v> sq. ft.</v>
      </c>
      <c r="AF2489">
        <f>IFERROR(__xludf.DUMMYFUNCTION("VALUE(REGEXREPLACE(G2489,""[^[:digit:]]"", """"))"),933.0)</f>
        <v>933</v>
      </c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 t="s">
        <v>27</v>
      </c>
    </row>
    <row r="2490">
      <c r="A2490" s="7" t="s">
        <v>33</v>
      </c>
      <c r="B2490" s="7" t="s">
        <v>1114</v>
      </c>
      <c r="C2490" s="7">
        <f>3</f>
        <v>3</v>
      </c>
      <c r="D2490" s="7">
        <v>2.0</v>
      </c>
      <c r="E2490" s="7">
        <v>2.0</v>
      </c>
      <c r="F2490" s="7" t="s">
        <v>20</v>
      </c>
      <c r="G2490" s="7" t="s">
        <v>795</v>
      </c>
      <c r="H2490" s="9" t="s">
        <v>2979</v>
      </c>
      <c r="I2490" t="s">
        <v>3344</v>
      </c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 t="str">
        <f t="shared" si="1"/>
        <v>Built-up :</v>
      </c>
      <c r="AE2490" s="7" t="str">
        <f t="shared" si="2"/>
        <v> sq. ft.</v>
      </c>
      <c r="AF2490">
        <f>IFERROR(__xludf.DUMMYFUNCTION("VALUE(REGEXREPLACE(G2490,""[^[:digit:]]"", """"))"),1170.0)</f>
        <v>1170</v>
      </c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</row>
    <row r="2491">
      <c r="A2491" s="7" t="s">
        <v>100</v>
      </c>
      <c r="B2491" s="7" t="s">
        <v>619</v>
      </c>
      <c r="C2491" s="7">
        <f>3+1</f>
        <v>4</v>
      </c>
      <c r="D2491" s="7">
        <v>2.0</v>
      </c>
      <c r="E2491" s="7">
        <v>2.0</v>
      </c>
      <c r="F2491" s="7" t="s">
        <v>83</v>
      </c>
      <c r="G2491" s="7" t="s">
        <v>954</v>
      </c>
      <c r="H2491" s="9" t="s">
        <v>2979</v>
      </c>
      <c r="I2491" t="s">
        <v>3424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 t="str">
        <f t="shared" si="1"/>
        <v>Built-up :</v>
      </c>
      <c r="AE2491" s="7" t="str">
        <f t="shared" si="2"/>
        <v> sq. ft.</v>
      </c>
      <c r="AF2491">
        <f>IFERROR(__xludf.DUMMYFUNCTION("VALUE(REGEXREPLACE(G2491,""[^[:digit:]]"", """"))"),935.0)</f>
        <v>935</v>
      </c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 t="s">
        <v>27</v>
      </c>
    </row>
    <row r="2492">
      <c r="A2492" s="7" t="s">
        <v>100</v>
      </c>
      <c r="B2492" s="7" t="s">
        <v>953</v>
      </c>
      <c r="C2492" s="7">
        <f>4</f>
        <v>4</v>
      </c>
      <c r="D2492" s="7">
        <v>2.0</v>
      </c>
      <c r="E2492" s="7">
        <v>2.0</v>
      </c>
      <c r="F2492" s="7" t="s">
        <v>83</v>
      </c>
      <c r="G2492" s="7" t="s">
        <v>919</v>
      </c>
      <c r="H2492" s="9" t="s">
        <v>2979</v>
      </c>
      <c r="I2492" t="s">
        <v>3404</v>
      </c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 t="str">
        <f t="shared" si="1"/>
        <v>Built-up :</v>
      </c>
      <c r="AE2492" s="7" t="str">
        <f t="shared" si="2"/>
        <v> sq. ft.</v>
      </c>
      <c r="AF2492">
        <f>IFERROR(__xludf.DUMMYFUNCTION("VALUE(REGEXREPLACE(G2492,""[^[:digit:]]"", """"))"),1092.0)</f>
        <v>1092</v>
      </c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 t="s">
        <v>27</v>
      </c>
    </row>
    <row r="2493">
      <c r="A2493" s="7" t="s">
        <v>89</v>
      </c>
      <c r="B2493" s="7" t="s">
        <v>890</v>
      </c>
      <c r="C2493" s="7">
        <f>2</f>
        <v>2</v>
      </c>
      <c r="D2493" s="7">
        <v>2.0</v>
      </c>
      <c r="E2493" s="7">
        <v>1.0</v>
      </c>
      <c r="F2493" s="7" t="s">
        <v>83</v>
      </c>
      <c r="G2493" s="7" t="s">
        <v>1893</v>
      </c>
      <c r="H2493" s="9" t="s">
        <v>2979</v>
      </c>
      <c r="I2493" t="s">
        <v>3806</v>
      </c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 t="str">
        <f t="shared" si="1"/>
        <v>Built-up :</v>
      </c>
      <c r="AE2493" s="7" t="str">
        <f t="shared" si="2"/>
        <v> sq. ft.</v>
      </c>
      <c r="AF2493">
        <f>IFERROR(__xludf.DUMMYFUNCTION("VALUE(REGEXREPLACE(G2493,""[^[:digit:]]"", """"))"),855.0)</f>
        <v>855</v>
      </c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 t="s">
        <v>27</v>
      </c>
    </row>
    <row r="2494">
      <c r="A2494" s="7" t="s">
        <v>143</v>
      </c>
      <c r="B2494" s="7" t="s">
        <v>1894</v>
      </c>
      <c r="C2494" s="7">
        <f>1+1</f>
        <v>2</v>
      </c>
      <c r="D2494" s="7">
        <v>1.0</v>
      </c>
      <c r="E2494" s="9">
        <v>2.0</v>
      </c>
      <c r="F2494" s="7" t="s">
        <v>20</v>
      </c>
      <c r="G2494" s="7" t="s">
        <v>1537</v>
      </c>
      <c r="H2494" s="9" t="s">
        <v>2979</v>
      </c>
      <c r="I2494" t="s">
        <v>3766</v>
      </c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 t="str">
        <f t="shared" si="1"/>
        <v>Built-up :</v>
      </c>
      <c r="AE2494" s="7" t="str">
        <f t="shared" si="2"/>
        <v> sq. ft.</v>
      </c>
      <c r="AF2494">
        <f>IFERROR(__xludf.DUMMYFUNCTION("VALUE(REGEXREPLACE(G2494,""[^[:digit:]]"", """"))"),625.0)</f>
        <v>625</v>
      </c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 t="s">
        <v>27</v>
      </c>
    </row>
    <row r="2495">
      <c r="A2495" s="7" t="s">
        <v>188</v>
      </c>
      <c r="B2495" s="7" t="s">
        <v>153</v>
      </c>
      <c r="C2495" s="7">
        <f t="shared" ref="C2495:C2497" si="327">3+1</f>
        <v>4</v>
      </c>
      <c r="D2495" s="7">
        <v>3.0</v>
      </c>
      <c r="E2495" s="7">
        <v>2.0</v>
      </c>
      <c r="F2495" s="7" t="s">
        <v>20</v>
      </c>
      <c r="G2495" s="7" t="s">
        <v>680</v>
      </c>
      <c r="H2495" s="9" t="s">
        <v>2979</v>
      </c>
      <c r="I2495" t="s">
        <v>3281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 t="str">
        <f t="shared" si="1"/>
        <v>Built-up :</v>
      </c>
      <c r="AE2495" s="7" t="str">
        <f t="shared" si="2"/>
        <v> sq. ft.</v>
      </c>
      <c r="AF2495">
        <f>IFERROR(__xludf.DUMMYFUNCTION("VALUE(REGEXREPLACE(G2495,""[^[:digit:]]"", """"))"),2013.0)</f>
        <v>2013</v>
      </c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 t="s">
        <v>22</v>
      </c>
    </row>
    <row r="2496">
      <c r="A2496" s="7" t="s">
        <v>17</v>
      </c>
      <c r="B2496" s="7" t="s">
        <v>1895</v>
      </c>
      <c r="C2496" s="7">
        <f t="shared" si="327"/>
        <v>4</v>
      </c>
      <c r="D2496" s="7">
        <v>3.0</v>
      </c>
      <c r="E2496" s="7">
        <v>2.0</v>
      </c>
      <c r="F2496" s="7" t="s">
        <v>20</v>
      </c>
      <c r="G2496" s="7" t="s">
        <v>830</v>
      </c>
      <c r="H2496" s="9" t="s">
        <v>2979</v>
      </c>
      <c r="I2496" t="s">
        <v>3360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 t="str">
        <f t="shared" si="1"/>
        <v>Built-up :</v>
      </c>
      <c r="AE2496" s="7" t="str">
        <f t="shared" si="2"/>
        <v> sq. ft.</v>
      </c>
      <c r="AF2496">
        <f>IFERROR(__xludf.DUMMYFUNCTION("VALUE(REGEXREPLACE(G2496,""[^[:digit:]]"", """"))"),1426.0)</f>
        <v>1426</v>
      </c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 t="s">
        <v>22</v>
      </c>
    </row>
    <row r="2497">
      <c r="A2497" s="7" t="s">
        <v>188</v>
      </c>
      <c r="B2497" s="7" t="s">
        <v>1492</v>
      </c>
      <c r="C2497" s="7">
        <f t="shared" si="327"/>
        <v>4</v>
      </c>
      <c r="D2497" s="7">
        <v>3.0</v>
      </c>
      <c r="E2497" s="7">
        <v>2.0</v>
      </c>
      <c r="F2497" s="7" t="s">
        <v>20</v>
      </c>
      <c r="G2497" s="7" t="s">
        <v>1896</v>
      </c>
      <c r="H2497" s="9" t="s">
        <v>2979</v>
      </c>
      <c r="I2497" t="s">
        <v>3984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 t="str">
        <f t="shared" si="1"/>
        <v>Built-up :</v>
      </c>
      <c r="AE2497" s="7" t="str">
        <f t="shared" si="2"/>
        <v> sq. ft.</v>
      </c>
      <c r="AF2497">
        <f>IFERROR(__xludf.DUMMYFUNCTION("VALUE(REGEXREPLACE(G2497,""[^[:digit:]]"", """"))"),2405.0)</f>
        <v>2405</v>
      </c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 t="s">
        <v>22</v>
      </c>
    </row>
    <row r="2498">
      <c r="A2498" s="7" t="s">
        <v>17</v>
      </c>
      <c r="B2498" s="7" t="s">
        <v>1897</v>
      </c>
      <c r="C2498" s="7">
        <f>4</f>
        <v>4</v>
      </c>
      <c r="D2498" s="7">
        <v>3.0</v>
      </c>
      <c r="E2498" s="7">
        <v>2.0</v>
      </c>
      <c r="F2498" s="7" t="s">
        <v>312</v>
      </c>
      <c r="G2498" s="7" t="s">
        <v>340</v>
      </c>
      <c r="H2498" s="9" t="s">
        <v>2979</v>
      </c>
      <c r="I2498" t="s">
        <v>3115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 t="str">
        <f t="shared" si="1"/>
        <v>Built-up :</v>
      </c>
      <c r="AE2498" s="7" t="str">
        <f t="shared" si="2"/>
        <v> sq. ft.</v>
      </c>
      <c r="AF2498">
        <f>IFERROR(__xludf.DUMMYFUNCTION("VALUE(REGEXREPLACE(G2498,""[^[:digit:]]"", """"))"),2789.0)</f>
        <v>2789</v>
      </c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 t="s">
        <v>22</v>
      </c>
    </row>
    <row r="2499">
      <c r="A2499" s="7" t="s">
        <v>33</v>
      </c>
      <c r="B2499" s="7" t="s">
        <v>809</v>
      </c>
      <c r="C2499" s="7">
        <f>3+1</f>
        <v>4</v>
      </c>
      <c r="D2499" s="7">
        <v>4.0</v>
      </c>
      <c r="E2499" s="7">
        <v>3.0</v>
      </c>
      <c r="F2499" s="7" t="s">
        <v>83</v>
      </c>
      <c r="G2499" s="7" t="s">
        <v>1243</v>
      </c>
      <c r="H2499" s="9" t="s">
        <v>2979</v>
      </c>
      <c r="I2499" t="s">
        <v>3601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 t="str">
        <f t="shared" si="1"/>
        <v>Built-up :</v>
      </c>
      <c r="AE2499" s="7" t="str">
        <f t="shared" si="2"/>
        <v> sq. ft.</v>
      </c>
      <c r="AF2499">
        <f>IFERROR(__xludf.DUMMYFUNCTION("VALUE(REGEXREPLACE(G2499,""[^[:digit:]]"", """"))"),1410.0)</f>
        <v>1410</v>
      </c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 t="s">
        <v>22</v>
      </c>
    </row>
    <row r="2500">
      <c r="A2500" s="7" t="s">
        <v>177</v>
      </c>
      <c r="B2500" s="7" t="s">
        <v>193</v>
      </c>
      <c r="C2500" s="7">
        <f>4</f>
        <v>4</v>
      </c>
      <c r="D2500" s="7">
        <v>3.0</v>
      </c>
      <c r="E2500" s="7">
        <v>2.0</v>
      </c>
      <c r="F2500" s="7" t="s">
        <v>54</v>
      </c>
      <c r="G2500" s="7" t="s">
        <v>1898</v>
      </c>
      <c r="H2500" s="9" t="s">
        <v>2981</v>
      </c>
      <c r="I2500" t="s">
        <v>3985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 t="str">
        <f t="shared" si="1"/>
        <v>Land area </v>
      </c>
      <c r="AE2500" s="7" t="str">
        <f t="shared" si="2"/>
        <v> sq. ft.</v>
      </c>
      <c r="AF2500">
        <f>IFERROR(__xludf.DUMMYFUNCTION("VALUE(REGEXREPLACE(G2500,""[^[:digit:]]"", """"))"),1970.0)</f>
        <v>1970</v>
      </c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 t="s">
        <v>251</v>
      </c>
    </row>
    <row r="2501">
      <c r="A2501" s="7" t="s">
        <v>148</v>
      </c>
      <c r="B2501" s="7" t="s">
        <v>447</v>
      </c>
      <c r="C2501" s="7">
        <f>8+1</f>
        <v>9</v>
      </c>
      <c r="D2501" s="7">
        <v>7.0</v>
      </c>
      <c r="E2501" s="7">
        <v>3.0</v>
      </c>
      <c r="F2501" s="7" t="s">
        <v>61</v>
      </c>
      <c r="G2501" s="7" t="s">
        <v>1899</v>
      </c>
      <c r="H2501" s="9" t="s">
        <v>2981</v>
      </c>
      <c r="I2501" t="s">
        <v>3986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 t="s">
        <v>3987</v>
      </c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 t="str">
        <f t="shared" si="1"/>
        <v>Land area </v>
      </c>
      <c r="AE2501" s="7" t="str">
        <f t="shared" si="2"/>
        <v> sq. ft.</v>
      </c>
      <c r="AF2501">
        <f>IFERROR(__xludf.DUMMYFUNCTION("VALUE(REGEXREPLACE(G2501,""[^[:digit:]]"", """"))"),60106.0)</f>
        <v>60106</v>
      </c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 t="s">
        <v>27</v>
      </c>
    </row>
    <row r="2502">
      <c r="A2502" s="7" t="s">
        <v>17</v>
      </c>
      <c r="B2502" s="7" t="s">
        <v>349</v>
      </c>
      <c r="C2502" s="7">
        <f>2</f>
        <v>2</v>
      </c>
      <c r="D2502" s="7">
        <v>2.0</v>
      </c>
      <c r="E2502" s="9">
        <v>2.0</v>
      </c>
      <c r="F2502" s="7" t="s">
        <v>121</v>
      </c>
      <c r="G2502" s="7" t="s">
        <v>1178</v>
      </c>
      <c r="H2502" s="9" t="s">
        <v>2979</v>
      </c>
      <c r="I2502" t="s">
        <v>3561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 t="str">
        <f t="shared" si="1"/>
        <v>Built-up :</v>
      </c>
      <c r="AE2502" s="7" t="str">
        <f t="shared" si="2"/>
        <v> sq. ft.</v>
      </c>
      <c r="AF2502">
        <f>IFERROR(__xludf.DUMMYFUNCTION("VALUE(REGEXREPLACE(G2502,""[^[:digit:]]"", """"))"),930.0)</f>
        <v>930</v>
      </c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 t="s">
        <v>22</v>
      </c>
    </row>
    <row r="2503">
      <c r="A2503" s="7" t="s">
        <v>48</v>
      </c>
      <c r="B2503" s="7" t="s">
        <v>101</v>
      </c>
      <c r="C2503" s="7">
        <f>4+2</f>
        <v>6</v>
      </c>
      <c r="D2503" s="7">
        <v>5.0</v>
      </c>
      <c r="E2503" s="9">
        <v>2.0</v>
      </c>
      <c r="F2503" s="7" t="s">
        <v>487</v>
      </c>
      <c r="G2503" s="7" t="s">
        <v>271</v>
      </c>
      <c r="H2503" s="9" t="s">
        <v>2981</v>
      </c>
      <c r="I2503" t="s">
        <v>3085</v>
      </c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 t="str">
        <f t="shared" si="1"/>
        <v>Land area </v>
      </c>
      <c r="AE2503" s="7" t="str">
        <f t="shared" si="2"/>
        <v> sq. ft.</v>
      </c>
      <c r="AF2503">
        <f>IFERROR(__xludf.DUMMYFUNCTION("VALUE(REGEXREPLACE(G2503,""[^[:digit:]]"", """"))"),7500.0)</f>
        <v>7500</v>
      </c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 t="s">
        <v>27</v>
      </c>
    </row>
    <row r="2504">
      <c r="A2504" s="7" t="s">
        <v>72</v>
      </c>
      <c r="B2504" s="7" t="s">
        <v>214</v>
      </c>
      <c r="C2504" s="7">
        <f>3+1</f>
        <v>4</v>
      </c>
      <c r="D2504" s="7">
        <v>3.0</v>
      </c>
      <c r="E2504" s="7">
        <v>2.0</v>
      </c>
      <c r="F2504" s="7" t="s">
        <v>93</v>
      </c>
      <c r="G2504" s="7" t="s">
        <v>1900</v>
      </c>
      <c r="H2504" s="9" t="s">
        <v>2979</v>
      </c>
      <c r="I2504" t="s">
        <v>3988</v>
      </c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 t="str">
        <f t="shared" si="1"/>
        <v>Built-up :</v>
      </c>
      <c r="AE2504" s="7" t="str">
        <f t="shared" si="2"/>
        <v> sq. ft.</v>
      </c>
      <c r="AF2504">
        <f>IFERROR(__xludf.DUMMYFUNCTION("VALUE(REGEXREPLACE(G2504,""[^[:digit:]]"", """"))"),1703.0)</f>
        <v>1703</v>
      </c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  <c r="AS2504" s="7" t="s">
        <v>22</v>
      </c>
    </row>
    <row r="2505">
      <c r="A2505" s="7" t="s">
        <v>177</v>
      </c>
      <c r="B2505" s="7" t="s">
        <v>1901</v>
      </c>
      <c r="C2505" s="7">
        <f>4+2</f>
        <v>6</v>
      </c>
      <c r="D2505" s="7">
        <v>6.0</v>
      </c>
      <c r="E2505" s="7">
        <v>3.0</v>
      </c>
      <c r="F2505" s="7" t="s">
        <v>61</v>
      </c>
      <c r="G2505" s="7" t="s">
        <v>1902</v>
      </c>
      <c r="H2505" s="9" t="s">
        <v>2981</v>
      </c>
      <c r="I2505" t="s">
        <v>3989</v>
      </c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 t="str">
        <f t="shared" si="1"/>
        <v>Land area </v>
      </c>
      <c r="AE2505" s="7" t="str">
        <f t="shared" si="2"/>
        <v> sq. ft.</v>
      </c>
      <c r="AF2505">
        <f>IFERROR(__xludf.DUMMYFUNCTION("VALUE(REGEXREPLACE(G2505,""[^[:digit:]]"", """"))"),7793.0)</f>
        <v>7793</v>
      </c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  <c r="AS2505" s="7" t="s">
        <v>27</v>
      </c>
    </row>
    <row r="2506">
      <c r="A2506" s="7" t="s">
        <v>72</v>
      </c>
      <c r="B2506" s="7" t="s">
        <v>260</v>
      </c>
      <c r="C2506" s="7">
        <f>4+1</f>
        <v>5</v>
      </c>
      <c r="D2506" s="7">
        <v>5.0</v>
      </c>
      <c r="E2506" s="7">
        <v>2.0</v>
      </c>
      <c r="F2506" s="7" t="s">
        <v>30</v>
      </c>
      <c r="G2506" s="7" t="s">
        <v>1903</v>
      </c>
      <c r="H2506" s="9" t="s">
        <v>2981</v>
      </c>
      <c r="I2506" t="s">
        <v>3990</v>
      </c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 t="str">
        <f t="shared" si="1"/>
        <v>Land area </v>
      </c>
      <c r="AE2506" s="7" t="str">
        <f t="shared" si="2"/>
        <v> sq. ft.</v>
      </c>
      <c r="AF2506">
        <f>IFERROR(__xludf.DUMMYFUNCTION("VALUE(REGEXREPLACE(G2506,""[^[:digit:]]"", """"))"),2498.0)</f>
        <v>2498</v>
      </c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  <c r="AR2506" s="7"/>
      <c r="AS2506" s="7" t="s">
        <v>27</v>
      </c>
    </row>
    <row r="2507">
      <c r="A2507" s="7" t="s">
        <v>709</v>
      </c>
      <c r="B2507" s="7" t="s">
        <v>69</v>
      </c>
      <c r="C2507" s="7">
        <f>5+1</f>
        <v>6</v>
      </c>
      <c r="D2507" s="7">
        <v>5.0</v>
      </c>
      <c r="E2507" s="9">
        <v>2.0</v>
      </c>
      <c r="F2507" s="7" t="s">
        <v>25</v>
      </c>
      <c r="G2507" s="7" t="s">
        <v>612</v>
      </c>
      <c r="H2507" s="9" t="s">
        <v>2981</v>
      </c>
      <c r="I2507" t="s">
        <v>3248</v>
      </c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 t="str">
        <f t="shared" si="1"/>
        <v>Land area </v>
      </c>
      <c r="AE2507" s="7" t="str">
        <f t="shared" si="2"/>
        <v> sq. ft.</v>
      </c>
      <c r="AF2507">
        <f>IFERROR(__xludf.DUMMYFUNCTION("VALUE(REGEXREPLACE(G2507,""[^[:digit:]]"", """"))"),8300.0)</f>
        <v>8300</v>
      </c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</row>
    <row r="2508">
      <c r="A2508" s="7" t="s">
        <v>709</v>
      </c>
      <c r="B2508" s="7" t="s">
        <v>479</v>
      </c>
      <c r="C2508" s="7">
        <f>4+1</f>
        <v>5</v>
      </c>
      <c r="D2508" s="7">
        <v>5.0</v>
      </c>
      <c r="E2508" s="9">
        <v>2.0</v>
      </c>
      <c r="F2508" s="7" t="s">
        <v>25</v>
      </c>
      <c r="G2508" s="7" t="s">
        <v>1904</v>
      </c>
      <c r="H2508" s="9" t="s">
        <v>2981</v>
      </c>
      <c r="I2508" t="s">
        <v>3991</v>
      </c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 t="str">
        <f t="shared" si="1"/>
        <v>Land area </v>
      </c>
      <c r="AE2508" s="7" t="str">
        <f t="shared" si="2"/>
        <v> sq. ft.</v>
      </c>
      <c r="AF2508">
        <f>IFERROR(__xludf.DUMMYFUNCTION("VALUE(REGEXREPLACE(G2508,""[^[:digit:]]"", """"))"),0.0)</f>
        <v>0</v>
      </c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</row>
    <row r="2509">
      <c r="A2509" s="7" t="s">
        <v>371</v>
      </c>
      <c r="B2509" s="7" t="s">
        <v>969</v>
      </c>
      <c r="C2509" s="7">
        <f>3</f>
        <v>3</v>
      </c>
      <c r="D2509" s="7">
        <v>2.0</v>
      </c>
      <c r="E2509" s="7">
        <v>2.0</v>
      </c>
      <c r="F2509" s="7" t="s">
        <v>93</v>
      </c>
      <c r="G2509" s="7" t="s">
        <v>604</v>
      </c>
      <c r="H2509" s="9" t="s">
        <v>2979</v>
      </c>
      <c r="I2509" t="s">
        <v>3244</v>
      </c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 t="str">
        <f t="shared" si="1"/>
        <v>Built-up :</v>
      </c>
      <c r="AE2509" s="7" t="str">
        <f t="shared" si="2"/>
        <v> sq. ft.</v>
      </c>
      <c r="AF2509">
        <f>IFERROR(__xludf.DUMMYFUNCTION("VALUE(REGEXREPLACE(G2509,""[^[:digit:]]"", """"))"),1150.0)</f>
        <v>1150</v>
      </c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</row>
    <row r="2510">
      <c r="A2510" s="7" t="s">
        <v>177</v>
      </c>
      <c r="B2510" s="7" t="s">
        <v>351</v>
      </c>
      <c r="C2510" s="7">
        <f>5</f>
        <v>5</v>
      </c>
      <c r="D2510" s="7">
        <v>5.0</v>
      </c>
      <c r="E2510" s="9">
        <v>2.0</v>
      </c>
      <c r="F2510" s="7" t="s">
        <v>25</v>
      </c>
      <c r="G2510" s="7" t="s">
        <v>1905</v>
      </c>
      <c r="H2510" s="9" t="s">
        <v>2979</v>
      </c>
      <c r="I2510" t="s">
        <v>3992</v>
      </c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 t="str">
        <f t="shared" si="1"/>
        <v>Built-up :</v>
      </c>
      <c r="AE2510" s="7" t="str">
        <f t="shared" si="2"/>
        <v> sq. ft.</v>
      </c>
      <c r="AF2510">
        <f>IFERROR(__xludf.DUMMYFUNCTION("VALUE(REGEXREPLACE(G2510,""[^[:digit:]]"", """"))"),4056.0)</f>
        <v>4056</v>
      </c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7" t="s">
        <v>27</v>
      </c>
    </row>
    <row r="2511">
      <c r="A2511" s="7" t="s">
        <v>17</v>
      </c>
      <c r="B2511" s="7" t="s">
        <v>311</v>
      </c>
      <c r="C2511" s="7">
        <f>2+1</f>
        <v>3</v>
      </c>
      <c r="D2511" s="7">
        <v>2.0</v>
      </c>
      <c r="E2511" s="7">
        <v>1.0</v>
      </c>
      <c r="F2511" s="7" t="s">
        <v>20</v>
      </c>
      <c r="G2511" s="7" t="s">
        <v>392</v>
      </c>
      <c r="H2511" s="9" t="s">
        <v>2979</v>
      </c>
      <c r="I2511" t="s">
        <v>3141</v>
      </c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 t="str">
        <f t="shared" si="1"/>
        <v>Built-up :</v>
      </c>
      <c r="AE2511" s="7" t="str">
        <f t="shared" si="2"/>
        <v> sq. ft.</v>
      </c>
      <c r="AF2511">
        <f>IFERROR(__xludf.DUMMYFUNCTION("VALUE(REGEXREPLACE(G2511,""[^[:digit:]]"", """"))"),850.0)</f>
        <v>850</v>
      </c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  <c r="AR2511" s="7"/>
      <c r="AS2511" s="7" t="s">
        <v>22</v>
      </c>
    </row>
    <row r="2512">
      <c r="A2512" s="7" t="s">
        <v>104</v>
      </c>
      <c r="B2512" s="7" t="s">
        <v>1906</v>
      </c>
      <c r="C2512" s="7">
        <f t="shared" ref="C2512:C2513" si="328">3</f>
        <v>3</v>
      </c>
      <c r="D2512" s="7">
        <v>2.0</v>
      </c>
      <c r="E2512" s="7">
        <v>1.0</v>
      </c>
      <c r="F2512" s="7" t="s">
        <v>354</v>
      </c>
      <c r="G2512" s="7" t="s">
        <v>1907</v>
      </c>
      <c r="H2512" s="9" t="s">
        <v>2979</v>
      </c>
      <c r="I2512" t="s">
        <v>3993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 t="str">
        <f t="shared" si="1"/>
        <v>Built-up :</v>
      </c>
      <c r="AE2512" s="7" t="str">
        <f t="shared" si="2"/>
        <v> sq. ft.</v>
      </c>
      <c r="AF2512">
        <f>IFERROR(__xludf.DUMMYFUNCTION("VALUE(REGEXREPLACE(G2512,""[^[:digit:]]"", """"))"),860.0)</f>
        <v>860</v>
      </c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  <c r="AS2512" s="7" t="s">
        <v>27</v>
      </c>
    </row>
    <row r="2513">
      <c r="A2513" s="7" t="s">
        <v>104</v>
      </c>
      <c r="B2513" s="7" t="s">
        <v>1906</v>
      </c>
      <c r="C2513" s="7">
        <f t="shared" si="328"/>
        <v>3</v>
      </c>
      <c r="D2513" s="7">
        <v>2.0</v>
      </c>
      <c r="E2513" s="7">
        <v>1.0</v>
      </c>
      <c r="F2513" s="7" t="s">
        <v>354</v>
      </c>
      <c r="G2513" s="7" t="s">
        <v>1635</v>
      </c>
      <c r="H2513" s="9" t="s">
        <v>2979</v>
      </c>
      <c r="I2513" t="s">
        <v>3827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 t="str">
        <f t="shared" si="1"/>
        <v>Built-up :</v>
      </c>
      <c r="AE2513" s="7" t="str">
        <f t="shared" si="2"/>
        <v> sq. ft.</v>
      </c>
      <c r="AF2513">
        <f>IFERROR(__xludf.DUMMYFUNCTION("VALUE(REGEXREPLACE(G2513,""[^[:digit:]]"", """"))"),1010.0)</f>
        <v>1010</v>
      </c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  <c r="AS2513" s="7" t="s">
        <v>27</v>
      </c>
    </row>
    <row r="2514">
      <c r="A2514" s="7" t="s">
        <v>371</v>
      </c>
      <c r="B2514" s="7" t="s">
        <v>1908</v>
      </c>
      <c r="C2514" s="7">
        <f>3+1</f>
        <v>4</v>
      </c>
      <c r="D2514" s="7">
        <v>3.0</v>
      </c>
      <c r="E2514" s="9">
        <v>2.0</v>
      </c>
      <c r="F2514" s="7" t="s">
        <v>54</v>
      </c>
      <c r="G2514" s="7" t="s">
        <v>1909</v>
      </c>
      <c r="H2514" s="9" t="s">
        <v>2981</v>
      </c>
      <c r="I2514" t="s">
        <v>3718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 t="s">
        <v>3372</v>
      </c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 t="str">
        <f t="shared" si="1"/>
        <v>Land area </v>
      </c>
      <c r="AE2514" s="7" t="str">
        <f t="shared" si="2"/>
        <v> sq. ft.</v>
      </c>
      <c r="AF2514">
        <f>IFERROR(__xludf.DUMMYFUNCTION("VALUE(REGEXREPLACE(G2514,""[^[:digit:]]"", """"))"),1860.0)</f>
        <v>1860</v>
      </c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  <c r="AS2514" s="7" t="s">
        <v>103</v>
      </c>
    </row>
    <row r="2515">
      <c r="A2515" s="7" t="s">
        <v>371</v>
      </c>
      <c r="B2515" s="7" t="s">
        <v>969</v>
      </c>
      <c r="C2515" s="7">
        <f>3</f>
        <v>3</v>
      </c>
      <c r="D2515" s="7">
        <v>2.0</v>
      </c>
      <c r="E2515" s="7">
        <v>1.0</v>
      </c>
      <c r="F2515" s="7" t="s">
        <v>93</v>
      </c>
      <c r="G2515" s="7" t="s">
        <v>1630</v>
      </c>
      <c r="H2515" s="9" t="s">
        <v>2979</v>
      </c>
      <c r="I2515" t="s">
        <v>3824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 t="str">
        <f t="shared" si="1"/>
        <v>Built-up :</v>
      </c>
      <c r="AE2515" s="7" t="str">
        <f t="shared" si="2"/>
        <v> sq. ft.</v>
      </c>
      <c r="AF2515">
        <f>IFERROR(__xludf.DUMMYFUNCTION("VALUE(REGEXREPLACE(G2515,""[^[:digit:]]"", """"))"),1108.0)</f>
        <v>1108</v>
      </c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</row>
    <row r="2516">
      <c r="A2516" s="7" t="s">
        <v>371</v>
      </c>
      <c r="B2516" s="7" t="s">
        <v>1910</v>
      </c>
      <c r="C2516" s="7">
        <f>4</f>
        <v>4</v>
      </c>
      <c r="D2516" s="7">
        <v>2.0</v>
      </c>
      <c r="E2516" s="7">
        <v>1.0</v>
      </c>
      <c r="F2516" s="7" t="s">
        <v>50</v>
      </c>
      <c r="G2516" s="7" t="s">
        <v>1687</v>
      </c>
      <c r="H2516" s="9" t="s">
        <v>2979</v>
      </c>
      <c r="I2516" t="s">
        <v>3857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 t="str">
        <f t="shared" si="1"/>
        <v>Built-up :</v>
      </c>
      <c r="AE2516" s="7" t="str">
        <f t="shared" si="2"/>
        <v> sq. ft.</v>
      </c>
      <c r="AF2516">
        <f>IFERROR(__xludf.DUMMYFUNCTION("VALUE(REGEXREPLACE(G2516,""[^[:digit:]]"", """"))"),1207.0)</f>
        <v>1207</v>
      </c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  <c r="AS2516" s="7" t="s">
        <v>27</v>
      </c>
    </row>
    <row r="2517">
      <c r="A2517" s="7" t="s">
        <v>371</v>
      </c>
      <c r="B2517" s="7" t="s">
        <v>639</v>
      </c>
      <c r="C2517" s="7">
        <f t="shared" ref="C2517:C2518" si="329">3</f>
        <v>3</v>
      </c>
      <c r="D2517" s="7">
        <v>2.0</v>
      </c>
      <c r="E2517" s="7">
        <v>1.0</v>
      </c>
      <c r="F2517" s="7" t="s">
        <v>354</v>
      </c>
      <c r="G2517" s="7" t="s">
        <v>1178</v>
      </c>
      <c r="H2517" s="9" t="s">
        <v>2979</v>
      </c>
      <c r="I2517" t="s">
        <v>3561</v>
      </c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 t="str">
        <f t="shared" si="1"/>
        <v>Built-up :</v>
      </c>
      <c r="AE2517" s="7" t="str">
        <f t="shared" si="2"/>
        <v> sq. ft.</v>
      </c>
      <c r="AF2517">
        <f>IFERROR(__xludf.DUMMYFUNCTION("VALUE(REGEXREPLACE(G2517,""[^[:digit:]]"", """"))"),930.0)</f>
        <v>930</v>
      </c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  <c r="AS2517" s="7" t="s">
        <v>27</v>
      </c>
    </row>
    <row r="2518">
      <c r="A2518" s="7" t="s">
        <v>104</v>
      </c>
      <c r="B2518" s="7" t="s">
        <v>1911</v>
      </c>
      <c r="C2518" s="7">
        <f t="shared" si="329"/>
        <v>3</v>
      </c>
      <c r="D2518" s="7">
        <v>2.0</v>
      </c>
      <c r="E2518" s="7">
        <v>1.0</v>
      </c>
      <c r="F2518" s="7" t="s">
        <v>83</v>
      </c>
      <c r="G2518" s="7" t="s">
        <v>1635</v>
      </c>
      <c r="H2518" s="9" t="s">
        <v>2979</v>
      </c>
      <c r="I2518" t="s">
        <v>3827</v>
      </c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 t="str">
        <f t="shared" si="1"/>
        <v>Built-up :</v>
      </c>
      <c r="AE2518" s="7" t="str">
        <f t="shared" si="2"/>
        <v> sq. ft.</v>
      </c>
      <c r="AF2518">
        <f>IFERROR(__xludf.DUMMYFUNCTION("VALUE(REGEXREPLACE(G2518,""[^[:digit:]]"", """"))"),1010.0)</f>
        <v>1010</v>
      </c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  <c r="AS2518" s="7" t="s">
        <v>27</v>
      </c>
    </row>
    <row r="2519">
      <c r="A2519" s="7" t="s">
        <v>371</v>
      </c>
      <c r="B2519" s="7" t="s">
        <v>172</v>
      </c>
      <c r="C2519" s="7">
        <f>4</f>
        <v>4</v>
      </c>
      <c r="D2519" s="7">
        <v>2.0</v>
      </c>
      <c r="E2519" s="7">
        <v>1.0</v>
      </c>
      <c r="F2519" s="7" t="s">
        <v>50</v>
      </c>
      <c r="G2519" s="7" t="s">
        <v>461</v>
      </c>
      <c r="H2519" s="9" t="s">
        <v>2979</v>
      </c>
      <c r="I2519" t="s">
        <v>3172</v>
      </c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 t="str">
        <f t="shared" si="1"/>
        <v>Built-up :</v>
      </c>
      <c r="AE2519" s="7" t="str">
        <f t="shared" si="2"/>
        <v> sq. ft.</v>
      </c>
      <c r="AF2519">
        <f>IFERROR(__xludf.DUMMYFUNCTION("VALUE(REGEXREPLACE(G2519,""[^[:digit:]]"", """"))"),1900.0)</f>
        <v>1900</v>
      </c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  <c r="AR2519" s="7"/>
      <c r="AS2519" s="7" t="s">
        <v>27</v>
      </c>
    </row>
    <row r="2520">
      <c r="A2520" s="7" t="s">
        <v>371</v>
      </c>
      <c r="B2520" s="7" t="s">
        <v>286</v>
      </c>
      <c r="C2520" s="7">
        <f t="shared" ref="C2520:C2521" si="330">3+1</f>
        <v>4</v>
      </c>
      <c r="D2520" s="7">
        <v>3.0</v>
      </c>
      <c r="E2520" s="9">
        <v>2.0</v>
      </c>
      <c r="F2520" s="7" t="s">
        <v>54</v>
      </c>
      <c r="G2520" s="7" t="s">
        <v>1909</v>
      </c>
      <c r="H2520" s="9" t="s">
        <v>2981</v>
      </c>
      <c r="I2520" t="s">
        <v>3718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 t="s">
        <v>3372</v>
      </c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 t="str">
        <f t="shared" si="1"/>
        <v>Land area </v>
      </c>
      <c r="AE2520" s="7" t="str">
        <f t="shared" si="2"/>
        <v> sq. ft.</v>
      </c>
      <c r="AF2520">
        <f>IFERROR(__xludf.DUMMYFUNCTION("VALUE(REGEXREPLACE(G2520,""[^[:digit:]]"", """"))"),1860.0)</f>
        <v>1860</v>
      </c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  <c r="AR2520" s="7"/>
      <c r="AS2520" s="7" t="s">
        <v>103</v>
      </c>
    </row>
    <row r="2521">
      <c r="A2521" s="7" t="s">
        <v>371</v>
      </c>
      <c r="B2521" s="7" t="s">
        <v>983</v>
      </c>
      <c r="C2521" s="7">
        <f t="shared" si="330"/>
        <v>4</v>
      </c>
      <c r="D2521" s="7">
        <v>3.0</v>
      </c>
      <c r="E2521" s="7">
        <v>2.0</v>
      </c>
      <c r="F2521" s="7" t="s">
        <v>93</v>
      </c>
      <c r="G2521" s="7" t="s">
        <v>1521</v>
      </c>
      <c r="H2521" s="9" t="s">
        <v>2979</v>
      </c>
      <c r="I2521" t="s">
        <v>3758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 t="str">
        <f t="shared" si="1"/>
        <v>Built-up :</v>
      </c>
      <c r="AE2521" s="7" t="str">
        <f t="shared" si="2"/>
        <v> sq. ft.</v>
      </c>
      <c r="AF2521">
        <f>IFERROR(__xludf.DUMMYFUNCTION("VALUE(REGEXREPLACE(G2521,""[^[:digit:]]"", """"))"),1267.0)</f>
        <v>1267</v>
      </c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  <c r="AR2521" s="7"/>
    </row>
    <row r="2522">
      <c r="A2522" s="7" t="s">
        <v>371</v>
      </c>
      <c r="B2522" s="7" t="s">
        <v>969</v>
      </c>
      <c r="C2522" s="7">
        <f t="shared" ref="C2522:C2524" si="331">3</f>
        <v>3</v>
      </c>
      <c r="D2522" s="7">
        <v>2.0</v>
      </c>
      <c r="E2522" s="7">
        <v>2.0</v>
      </c>
      <c r="F2522" s="7" t="s">
        <v>83</v>
      </c>
      <c r="G2522" s="7" t="s">
        <v>604</v>
      </c>
      <c r="H2522" s="9" t="s">
        <v>2979</v>
      </c>
      <c r="I2522" t="s">
        <v>3244</v>
      </c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 t="str">
        <f t="shared" si="1"/>
        <v>Built-up :</v>
      </c>
      <c r="AE2522" s="7" t="str">
        <f t="shared" si="2"/>
        <v> sq. ft.</v>
      </c>
      <c r="AF2522">
        <f>IFERROR(__xludf.DUMMYFUNCTION("VALUE(REGEXREPLACE(G2522,""[^[:digit:]]"", """"))"),1150.0)</f>
        <v>1150</v>
      </c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  <c r="AR2522" s="7"/>
      <c r="AS2522" s="7" t="s">
        <v>27</v>
      </c>
    </row>
    <row r="2523">
      <c r="A2523" s="7" t="s">
        <v>32</v>
      </c>
      <c r="B2523" s="7" t="s">
        <v>639</v>
      </c>
      <c r="C2523" s="7">
        <f t="shared" si="331"/>
        <v>3</v>
      </c>
      <c r="D2523" s="7">
        <v>3.0</v>
      </c>
      <c r="E2523" s="7">
        <v>2.0</v>
      </c>
      <c r="F2523" s="7" t="s">
        <v>83</v>
      </c>
      <c r="G2523" s="7" t="s">
        <v>1912</v>
      </c>
      <c r="H2523" s="9" t="s">
        <v>2979</v>
      </c>
      <c r="I2523" t="s">
        <v>3994</v>
      </c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 t="str">
        <f t="shared" si="1"/>
        <v>Built-up :</v>
      </c>
      <c r="AE2523" s="7" t="str">
        <f t="shared" si="2"/>
        <v> sq. ft.</v>
      </c>
      <c r="AF2523">
        <f>IFERROR(__xludf.DUMMYFUNCTION("VALUE(REGEXREPLACE(G2523,""[^[:digit:]]"", """"))"),1106.0)</f>
        <v>1106</v>
      </c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  <c r="AR2523" s="7"/>
      <c r="AS2523" s="7" t="s">
        <v>103</v>
      </c>
    </row>
    <row r="2524">
      <c r="A2524" s="7" t="s">
        <v>32</v>
      </c>
      <c r="B2524" s="7" t="s">
        <v>1676</v>
      </c>
      <c r="C2524" s="7">
        <f t="shared" si="331"/>
        <v>3</v>
      </c>
      <c r="D2524" s="7">
        <v>2.0</v>
      </c>
      <c r="E2524" s="7">
        <v>2.0</v>
      </c>
      <c r="F2524" s="7" t="s">
        <v>83</v>
      </c>
      <c r="G2524" s="7" t="s">
        <v>504</v>
      </c>
      <c r="H2524" s="9" t="s">
        <v>2979</v>
      </c>
      <c r="I2524" t="s">
        <v>3198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 t="str">
        <f t="shared" si="1"/>
        <v>Built-up :</v>
      </c>
      <c r="AE2524" s="7" t="str">
        <f t="shared" si="2"/>
        <v> sq. ft.</v>
      </c>
      <c r="AF2524">
        <f>IFERROR(__xludf.DUMMYFUNCTION("VALUE(REGEXREPLACE(G2524,""[^[:digit:]]"", """"))"),1018.0)</f>
        <v>1018</v>
      </c>
      <c r="AG2524" s="7"/>
      <c r="AH2524" s="7"/>
      <c r="AI2524" s="7"/>
      <c r="AJ2524" s="7"/>
      <c r="AK2524" s="7"/>
      <c r="AL2524" s="7"/>
      <c r="AM2524" s="7"/>
      <c r="AN2524" s="7"/>
      <c r="AO2524" s="7"/>
      <c r="AP2524" s="7"/>
      <c r="AQ2524" s="7"/>
      <c r="AR2524" s="7"/>
      <c r="AS2524" s="7" t="s">
        <v>103</v>
      </c>
    </row>
    <row r="2525">
      <c r="A2525" s="7" t="s">
        <v>371</v>
      </c>
      <c r="B2525" s="7" t="s">
        <v>983</v>
      </c>
      <c r="C2525" s="7">
        <f>3+1</f>
        <v>4</v>
      </c>
      <c r="D2525" s="7">
        <v>3.0</v>
      </c>
      <c r="E2525" s="7">
        <v>2.0</v>
      </c>
      <c r="F2525" s="7" t="s">
        <v>93</v>
      </c>
      <c r="G2525" s="7" t="s">
        <v>1521</v>
      </c>
      <c r="H2525" s="9" t="s">
        <v>2979</v>
      </c>
      <c r="I2525" t="s">
        <v>3758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 t="str">
        <f t="shared" si="1"/>
        <v>Built-up :</v>
      </c>
      <c r="AE2525" s="7" t="str">
        <f t="shared" si="2"/>
        <v> sq. ft.</v>
      </c>
      <c r="AF2525">
        <f>IFERROR(__xludf.DUMMYFUNCTION("VALUE(REGEXREPLACE(G2525,""[^[:digit:]]"", """"))"),1267.0)</f>
        <v>1267</v>
      </c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  <c r="AR2525" s="7"/>
    </row>
    <row r="2526">
      <c r="A2526" s="7" t="s">
        <v>155</v>
      </c>
      <c r="B2526" s="7" t="s">
        <v>316</v>
      </c>
      <c r="C2526" s="7">
        <f t="shared" ref="C2526:C2527" si="332">3</f>
        <v>3</v>
      </c>
      <c r="D2526" s="7">
        <v>3.0</v>
      </c>
      <c r="E2526" s="9">
        <v>2.0</v>
      </c>
      <c r="F2526" s="7" t="s">
        <v>83</v>
      </c>
      <c r="G2526" s="7" t="s">
        <v>630</v>
      </c>
      <c r="H2526" s="9" t="s">
        <v>2979</v>
      </c>
      <c r="I2526" t="s">
        <v>3257</v>
      </c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 t="str">
        <f t="shared" si="1"/>
        <v>Built-up :</v>
      </c>
      <c r="AE2526" s="7" t="str">
        <f t="shared" si="2"/>
        <v> sq. ft.</v>
      </c>
      <c r="AF2526">
        <f>IFERROR(__xludf.DUMMYFUNCTION("VALUE(REGEXREPLACE(G2526,""[^[:digit:]]"", """"))"),1186.0)</f>
        <v>1186</v>
      </c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  <c r="AR2526" s="7"/>
    </row>
    <row r="2527">
      <c r="A2527" s="7" t="s">
        <v>155</v>
      </c>
      <c r="B2527" s="7" t="s">
        <v>191</v>
      </c>
      <c r="C2527" s="7">
        <f t="shared" si="332"/>
        <v>3</v>
      </c>
      <c r="D2527" s="7">
        <v>2.0</v>
      </c>
      <c r="E2527" s="9">
        <v>2.0</v>
      </c>
      <c r="F2527" s="7" t="s">
        <v>83</v>
      </c>
      <c r="G2527" s="7" t="s">
        <v>382</v>
      </c>
      <c r="H2527" s="9" t="s">
        <v>2979</v>
      </c>
      <c r="I2527" t="s">
        <v>3136</v>
      </c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 t="str">
        <f t="shared" si="1"/>
        <v>Built-up :</v>
      </c>
      <c r="AE2527" s="7" t="str">
        <f t="shared" si="2"/>
        <v> sq. ft.</v>
      </c>
      <c r="AF2527">
        <f>IFERROR(__xludf.DUMMYFUNCTION("VALUE(REGEXREPLACE(G2527,""[^[:digit:]]"", """"))"),1488.0)</f>
        <v>1488</v>
      </c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  <c r="AR2527" s="7"/>
    </row>
    <row r="2528">
      <c r="A2528" s="7" t="s">
        <v>155</v>
      </c>
      <c r="B2528" s="7" t="s">
        <v>132</v>
      </c>
      <c r="C2528" s="7">
        <f t="shared" ref="C2528:C2529" si="333">3+1</f>
        <v>4</v>
      </c>
      <c r="D2528" s="7">
        <v>4.0</v>
      </c>
      <c r="E2528" s="7">
        <v>2.0</v>
      </c>
      <c r="F2528" s="7" t="s">
        <v>83</v>
      </c>
      <c r="G2528" s="7" t="s">
        <v>1246</v>
      </c>
      <c r="H2528" s="9" t="s">
        <v>2979</v>
      </c>
      <c r="I2528" t="s">
        <v>3604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 t="str">
        <f t="shared" si="1"/>
        <v>Built-up :</v>
      </c>
      <c r="AE2528" s="7" t="str">
        <f t="shared" si="2"/>
        <v> sq. ft.</v>
      </c>
      <c r="AF2528">
        <f>IFERROR(__xludf.DUMMYFUNCTION("VALUE(REGEXREPLACE(G2528,""[^[:digit:]]"", """"))"),1567.0)</f>
        <v>1567</v>
      </c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  <c r="AR2528" s="7"/>
      <c r="AS2528" s="7" t="s">
        <v>27</v>
      </c>
    </row>
    <row r="2529">
      <c r="A2529" s="7" t="s">
        <v>155</v>
      </c>
      <c r="B2529" s="7" t="s">
        <v>641</v>
      </c>
      <c r="C2529" s="7">
        <f t="shared" si="333"/>
        <v>4</v>
      </c>
      <c r="D2529" s="7">
        <v>3.0</v>
      </c>
      <c r="E2529" s="9">
        <v>2.0</v>
      </c>
      <c r="F2529" s="7" t="s">
        <v>83</v>
      </c>
      <c r="G2529" s="7" t="s">
        <v>345</v>
      </c>
      <c r="H2529" s="9" t="s">
        <v>2979</v>
      </c>
      <c r="I2529" t="s">
        <v>3119</v>
      </c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 t="str">
        <f t="shared" si="1"/>
        <v>Built-up :</v>
      </c>
      <c r="AE2529" s="7" t="str">
        <f t="shared" si="2"/>
        <v> sq. ft.</v>
      </c>
      <c r="AF2529">
        <f>IFERROR(__xludf.DUMMYFUNCTION("VALUE(REGEXREPLACE(G2529,""[^[:digit:]]"", """"))"),1381.0)</f>
        <v>1381</v>
      </c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  <c r="AR2529" s="7"/>
      <c r="AS2529" s="7" t="s">
        <v>22</v>
      </c>
    </row>
    <row r="2530">
      <c r="A2530" s="7" t="s">
        <v>143</v>
      </c>
      <c r="B2530" s="7" t="s">
        <v>629</v>
      </c>
      <c r="C2530" s="7">
        <f>1</f>
        <v>1</v>
      </c>
      <c r="D2530" s="7">
        <v>1.0</v>
      </c>
      <c r="E2530" s="7">
        <v>1.0</v>
      </c>
      <c r="F2530" s="7" t="s">
        <v>20</v>
      </c>
      <c r="G2530" s="7" t="s">
        <v>1913</v>
      </c>
      <c r="H2530" s="9" t="s">
        <v>2979</v>
      </c>
      <c r="I2530" t="s">
        <v>3995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 t="str">
        <f t="shared" si="1"/>
        <v>Built-up :</v>
      </c>
      <c r="AE2530" s="7" t="str">
        <f t="shared" si="2"/>
        <v> sq. ft.</v>
      </c>
      <c r="AF2530">
        <f>IFERROR(__xludf.DUMMYFUNCTION("VALUE(REGEXREPLACE(G2530,""[^[:digit:]]"", """"))"),732.0)</f>
        <v>732</v>
      </c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  <c r="AR2530" s="7"/>
      <c r="AS2530" s="7" t="s">
        <v>22</v>
      </c>
    </row>
    <row r="2531">
      <c r="A2531" s="7" t="s">
        <v>100</v>
      </c>
      <c r="B2531" s="7" t="s">
        <v>635</v>
      </c>
      <c r="C2531" s="7">
        <f>4</f>
        <v>4</v>
      </c>
      <c r="D2531" s="7">
        <v>2.0</v>
      </c>
      <c r="E2531" s="7">
        <v>2.0</v>
      </c>
      <c r="F2531" s="7" t="s">
        <v>83</v>
      </c>
      <c r="G2531" s="7" t="s">
        <v>716</v>
      </c>
      <c r="H2531" s="9" t="s">
        <v>2979</v>
      </c>
      <c r="I2531" t="s">
        <v>3296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 t="str">
        <f t="shared" si="1"/>
        <v>Built-up :</v>
      </c>
      <c r="AE2531" s="7" t="str">
        <f t="shared" si="2"/>
        <v> sq. ft.</v>
      </c>
      <c r="AF2531">
        <f>IFERROR(__xludf.DUMMYFUNCTION("VALUE(REGEXREPLACE(G2531,""[^[:digit:]]"", """"))"),1073.0)</f>
        <v>1073</v>
      </c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7"/>
      <c r="AR2531" s="7"/>
      <c r="AS2531" s="7" t="s">
        <v>27</v>
      </c>
    </row>
    <row r="2532">
      <c r="A2532" s="7" t="s">
        <v>72</v>
      </c>
      <c r="B2532" s="7" t="s">
        <v>53</v>
      </c>
      <c r="C2532" s="7">
        <f>4+1</f>
        <v>5</v>
      </c>
      <c r="D2532" s="7">
        <v>4.0</v>
      </c>
      <c r="E2532" s="7">
        <v>2.0</v>
      </c>
      <c r="F2532" s="7" t="s">
        <v>83</v>
      </c>
      <c r="G2532" s="7" t="s">
        <v>307</v>
      </c>
      <c r="H2532" s="9" t="s">
        <v>2979</v>
      </c>
      <c r="I2532" t="s">
        <v>3102</v>
      </c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 t="str">
        <f t="shared" si="1"/>
        <v>Built-up :</v>
      </c>
      <c r="AE2532" s="7" t="str">
        <f t="shared" si="2"/>
        <v> sq. ft.</v>
      </c>
      <c r="AF2532">
        <f>IFERROR(__xludf.DUMMYFUNCTION("VALUE(REGEXREPLACE(G2532,""[^[:digit:]]"", """"))"),2500.0)</f>
        <v>2500</v>
      </c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  <c r="AR2532" s="7"/>
    </row>
    <row r="2533">
      <c r="A2533" s="7" t="s">
        <v>17</v>
      </c>
      <c r="B2533" s="7" t="s">
        <v>236</v>
      </c>
      <c r="C2533" s="7">
        <f>1+1</f>
        <v>2</v>
      </c>
      <c r="E2533" s="9">
        <v>2.0</v>
      </c>
      <c r="F2533" s="7" t="s">
        <v>20</v>
      </c>
      <c r="G2533" s="7" t="s">
        <v>342</v>
      </c>
      <c r="H2533" s="9" t="s">
        <v>2979</v>
      </c>
      <c r="I2533" t="s">
        <v>3117</v>
      </c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 t="str">
        <f t="shared" si="1"/>
        <v>Built-up :</v>
      </c>
      <c r="AE2533" s="7" t="str">
        <f t="shared" si="2"/>
        <v> sq. ft.</v>
      </c>
      <c r="AF2533">
        <f>IFERROR(__xludf.DUMMYFUNCTION("VALUE(REGEXREPLACE(G2533,""[^[:digit:]]"", """"))"),1076.0)</f>
        <v>1076</v>
      </c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7" t="s">
        <v>27</v>
      </c>
    </row>
    <row r="2534">
      <c r="A2534" s="7" t="s">
        <v>89</v>
      </c>
      <c r="B2534" s="7" t="s">
        <v>807</v>
      </c>
      <c r="C2534" s="7">
        <f t="shared" ref="C2534:C2535" si="334">4+1</f>
        <v>5</v>
      </c>
      <c r="D2534" s="7">
        <v>6.0</v>
      </c>
      <c r="E2534" s="9">
        <v>2.0</v>
      </c>
      <c r="F2534" s="7" t="s">
        <v>90</v>
      </c>
      <c r="G2534" s="7" t="s">
        <v>791</v>
      </c>
      <c r="H2534" s="9" t="s">
        <v>2981</v>
      </c>
      <c r="I2534" t="s">
        <v>3341</v>
      </c>
      <c r="J2534" s="7"/>
      <c r="K2534" s="7"/>
      <c r="L2534" s="7"/>
      <c r="M2534" s="7"/>
      <c r="N2534" s="7"/>
      <c r="O2534" s="7"/>
      <c r="P2534" s="7"/>
      <c r="Q2534" s="7"/>
      <c r="R2534" s="7"/>
      <c r="S2534" s="7" t="s">
        <v>2993</v>
      </c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 t="str">
        <f t="shared" si="1"/>
        <v>Land area </v>
      </c>
      <c r="AE2534" s="7" t="str">
        <f t="shared" si="2"/>
        <v> sq. ft.</v>
      </c>
      <c r="AF2534">
        <f>IFERROR(__xludf.DUMMYFUNCTION("VALUE(REGEXREPLACE(G2534,""[^[:digit:]]"", """"))"),2680.0)</f>
        <v>2680</v>
      </c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  <c r="AR2534" s="7"/>
      <c r="AS2534" s="7" t="s">
        <v>103</v>
      </c>
    </row>
    <row r="2535">
      <c r="A2535" s="7" t="s">
        <v>89</v>
      </c>
      <c r="B2535" s="7" t="s">
        <v>243</v>
      </c>
      <c r="C2535" s="7">
        <f t="shared" si="334"/>
        <v>5</v>
      </c>
      <c r="D2535" s="7">
        <v>6.0</v>
      </c>
      <c r="E2535" s="9">
        <v>2.0</v>
      </c>
      <c r="F2535" s="7" t="s">
        <v>90</v>
      </c>
      <c r="G2535" s="7" t="s">
        <v>344</v>
      </c>
      <c r="H2535" s="9" t="s">
        <v>2981</v>
      </c>
      <c r="I2535" t="s">
        <v>3118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 t="s">
        <v>2993</v>
      </c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 t="str">
        <f t="shared" si="1"/>
        <v>Land area </v>
      </c>
      <c r="AE2535" s="7" t="str">
        <f t="shared" si="2"/>
        <v> sq. ft.</v>
      </c>
      <c r="AF2535">
        <f>IFERROR(__xludf.DUMMYFUNCTION("VALUE(REGEXREPLACE(G2535,""[^[:digit:]]"", """"))"),2480.0)</f>
        <v>2480</v>
      </c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7"/>
      <c r="AR2535" s="7"/>
      <c r="AS2535" s="7" t="s">
        <v>103</v>
      </c>
    </row>
    <row r="2536">
      <c r="A2536" s="7" t="s">
        <v>358</v>
      </c>
      <c r="B2536" s="7" t="s">
        <v>507</v>
      </c>
      <c r="C2536" s="7">
        <f t="shared" ref="C2536:C2537" si="335">3</f>
        <v>3</v>
      </c>
      <c r="D2536" s="7">
        <v>2.0</v>
      </c>
      <c r="E2536" s="9">
        <v>2.0</v>
      </c>
      <c r="F2536" s="7" t="s">
        <v>83</v>
      </c>
      <c r="G2536" s="7" t="s">
        <v>1914</v>
      </c>
      <c r="H2536" s="9" t="s">
        <v>2981</v>
      </c>
      <c r="I2536" t="s">
        <v>3996</v>
      </c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 t="str">
        <f t="shared" si="1"/>
        <v>Land area </v>
      </c>
      <c r="AE2536" s="7" t="str">
        <f t="shared" si="2"/>
        <v> sq. ft.</v>
      </c>
      <c r="AF2536">
        <f>IFERROR(__xludf.DUMMYFUNCTION("VALUE(REGEXREPLACE(G2536,""[^[:digit:]]"", """"))"),1019.0)</f>
        <v>1019</v>
      </c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 t="s">
        <v>27</v>
      </c>
    </row>
    <row r="2537">
      <c r="A2537" s="7" t="s">
        <v>1014</v>
      </c>
      <c r="B2537" s="7" t="s">
        <v>1915</v>
      </c>
      <c r="C2537" s="7">
        <f t="shared" si="335"/>
        <v>3</v>
      </c>
      <c r="D2537" s="7">
        <v>2.0</v>
      </c>
      <c r="E2537" s="7">
        <v>2.0</v>
      </c>
      <c r="F2537" s="7" t="s">
        <v>494</v>
      </c>
      <c r="G2537" s="7" t="s">
        <v>1916</v>
      </c>
      <c r="H2537" s="9" t="s">
        <v>2981</v>
      </c>
      <c r="I2537" t="s">
        <v>3718</v>
      </c>
      <c r="J2537" s="7"/>
      <c r="K2537" s="7"/>
      <c r="L2537" s="7"/>
      <c r="M2537" s="7"/>
      <c r="N2537" s="7"/>
      <c r="O2537" s="7"/>
      <c r="P2537" s="7"/>
      <c r="Q2537" s="7"/>
      <c r="R2537" s="7"/>
      <c r="S2537" s="7" t="s">
        <v>3188</v>
      </c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 t="str">
        <f t="shared" si="1"/>
        <v>Land area </v>
      </c>
      <c r="AE2537" s="7" t="str">
        <f t="shared" si="2"/>
        <v> sq. ft.</v>
      </c>
      <c r="AF2537">
        <f>IFERROR(__xludf.DUMMYFUNCTION("VALUE(REGEXREPLACE(G2537,""[^[:digit:]]"", """"))"),1290.0)</f>
        <v>1290</v>
      </c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 t="s">
        <v>27</v>
      </c>
    </row>
    <row r="2538">
      <c r="A2538" s="7" t="s">
        <v>428</v>
      </c>
      <c r="B2538" s="7" t="s">
        <v>606</v>
      </c>
      <c r="C2538" s="7">
        <f>1</f>
        <v>1</v>
      </c>
      <c r="D2538" s="7">
        <v>1.0</v>
      </c>
      <c r="E2538" s="9">
        <v>2.0</v>
      </c>
      <c r="F2538" s="7" t="s">
        <v>82</v>
      </c>
      <c r="G2538" s="7" t="s">
        <v>1917</v>
      </c>
      <c r="H2538" s="9" t="s">
        <v>2979</v>
      </c>
      <c r="I2538" t="s">
        <v>3997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 t="str">
        <f t="shared" si="1"/>
        <v>Built-up :</v>
      </c>
      <c r="AE2538" s="7" t="str">
        <f t="shared" si="2"/>
        <v> sq. ft.</v>
      </c>
      <c r="AF2538">
        <f>IFERROR(__xludf.DUMMYFUNCTION("VALUE(REGEXREPLACE(G2538,""[^[:digit:]]"", """"))"),465.0)</f>
        <v>465</v>
      </c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  <c r="AR2538" s="7"/>
      <c r="AS2538" s="7" t="s">
        <v>22</v>
      </c>
    </row>
    <row r="2539">
      <c r="A2539" s="7" t="s">
        <v>48</v>
      </c>
      <c r="B2539" s="7" t="s">
        <v>543</v>
      </c>
      <c r="C2539" s="7">
        <f t="shared" ref="C2539:C2543" si="336">3</f>
        <v>3</v>
      </c>
      <c r="D2539" s="7">
        <v>2.0</v>
      </c>
      <c r="E2539" s="7">
        <v>1.0</v>
      </c>
      <c r="F2539" s="7" t="s">
        <v>30</v>
      </c>
      <c r="G2539" s="7" t="s">
        <v>1918</v>
      </c>
      <c r="H2539" s="9" t="s">
        <v>2979</v>
      </c>
      <c r="I2539" t="s">
        <v>3998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 t="str">
        <f t="shared" si="1"/>
        <v>Built-up :</v>
      </c>
      <c r="AE2539" s="7" t="str">
        <f t="shared" si="2"/>
        <v> sq. ft.</v>
      </c>
      <c r="AF2539">
        <f>IFERROR(__xludf.DUMMYFUNCTION("VALUE(REGEXREPLACE(G2539,""[^[:digit:]]"", """"))"),1129.0)</f>
        <v>1129</v>
      </c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7"/>
      <c r="AR2539" s="7"/>
      <c r="AS2539" s="7" t="s">
        <v>103</v>
      </c>
    </row>
    <row r="2540">
      <c r="A2540" s="7" t="s">
        <v>171</v>
      </c>
      <c r="B2540" s="7" t="s">
        <v>1919</v>
      </c>
      <c r="C2540" s="7">
        <f t="shared" si="336"/>
        <v>3</v>
      </c>
      <c r="D2540" s="7">
        <v>2.0</v>
      </c>
      <c r="E2540" s="7">
        <v>2.0</v>
      </c>
      <c r="F2540" s="7" t="s">
        <v>82</v>
      </c>
      <c r="G2540" s="7" t="s">
        <v>930</v>
      </c>
      <c r="H2540" s="9" t="s">
        <v>2979</v>
      </c>
      <c r="I2540" t="s">
        <v>3412</v>
      </c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 t="str">
        <f t="shared" si="1"/>
        <v>Built-up :</v>
      </c>
      <c r="AE2540" s="7" t="str">
        <f t="shared" si="2"/>
        <v> sq. ft.</v>
      </c>
      <c r="AF2540">
        <f>IFERROR(__xludf.DUMMYFUNCTION("VALUE(REGEXREPLACE(G2540,""[^[:digit:]]"", """"))"),1270.0)</f>
        <v>1270</v>
      </c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7"/>
      <c r="AR2540" s="7"/>
      <c r="AS2540" s="7" t="s">
        <v>27</v>
      </c>
    </row>
    <row r="2541">
      <c r="A2541" s="7" t="s">
        <v>17</v>
      </c>
      <c r="B2541" s="7" t="s">
        <v>1895</v>
      </c>
      <c r="C2541" s="7">
        <f t="shared" si="336"/>
        <v>3</v>
      </c>
      <c r="D2541" s="7">
        <v>3.0</v>
      </c>
      <c r="E2541" s="7">
        <v>2.0</v>
      </c>
      <c r="F2541" s="7" t="s">
        <v>83</v>
      </c>
      <c r="G2541" s="7" t="s">
        <v>1381</v>
      </c>
      <c r="H2541" s="9" t="s">
        <v>2979</v>
      </c>
      <c r="I2541" t="s">
        <v>3682</v>
      </c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 t="str">
        <f t="shared" si="1"/>
        <v>Built-up :</v>
      </c>
      <c r="AE2541" s="7" t="str">
        <f t="shared" si="2"/>
        <v> sq. ft.</v>
      </c>
      <c r="AF2541">
        <f>IFERROR(__xludf.DUMMYFUNCTION("VALUE(REGEXREPLACE(G2541,""[^[:digit:]]"", """"))"),1228.0)</f>
        <v>1228</v>
      </c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  <c r="AR2541" s="7"/>
      <c r="AS2541" s="7" t="s">
        <v>22</v>
      </c>
    </row>
    <row r="2542">
      <c r="A2542" s="7" t="s">
        <v>17</v>
      </c>
      <c r="B2542" s="7" t="s">
        <v>243</v>
      </c>
      <c r="C2542" s="7">
        <f t="shared" si="336"/>
        <v>3</v>
      </c>
      <c r="D2542" s="7">
        <v>3.0</v>
      </c>
      <c r="E2542" s="7">
        <v>2.0</v>
      </c>
      <c r="F2542" s="7" t="s">
        <v>83</v>
      </c>
      <c r="G2542" s="7" t="s">
        <v>380</v>
      </c>
      <c r="H2542" s="9" t="s">
        <v>2979</v>
      </c>
      <c r="I2542" t="s">
        <v>3135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 t="str">
        <f t="shared" si="1"/>
        <v>Built-up :</v>
      </c>
      <c r="AE2542" s="7" t="str">
        <f t="shared" si="2"/>
        <v> sq. ft.</v>
      </c>
      <c r="AF2542">
        <f>IFERROR(__xludf.DUMMYFUNCTION("VALUE(REGEXREPLACE(G2542,""[^[:digit:]]"", """"))"),871.0)</f>
        <v>871</v>
      </c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  <c r="AR2542" s="7"/>
      <c r="AS2542" s="7" t="s">
        <v>22</v>
      </c>
    </row>
    <row r="2543">
      <c r="A2543" s="7" t="s">
        <v>17</v>
      </c>
      <c r="B2543" s="7" t="s">
        <v>1920</v>
      </c>
      <c r="C2543" s="7">
        <f t="shared" si="336"/>
        <v>3</v>
      </c>
      <c r="D2543" s="7">
        <v>3.0</v>
      </c>
      <c r="E2543" s="7">
        <v>2.0</v>
      </c>
      <c r="F2543" s="7" t="s">
        <v>83</v>
      </c>
      <c r="G2543" s="7" t="s">
        <v>826</v>
      </c>
      <c r="H2543" s="9" t="s">
        <v>2979</v>
      </c>
      <c r="I2543" t="s">
        <v>3358</v>
      </c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 t="str">
        <f t="shared" si="1"/>
        <v>Built-up :</v>
      </c>
      <c r="AE2543" s="7" t="str">
        <f t="shared" si="2"/>
        <v> sq. ft.</v>
      </c>
      <c r="AF2543">
        <f>IFERROR(__xludf.DUMMYFUNCTION("VALUE(REGEXREPLACE(G2543,""[^[:digit:]]"", """"))"),1031.0)</f>
        <v>1031</v>
      </c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  <c r="AR2543" s="7"/>
      <c r="AS2543" s="7" t="s">
        <v>22</v>
      </c>
    </row>
    <row r="2544">
      <c r="A2544" s="7" t="s">
        <v>17</v>
      </c>
      <c r="B2544" s="7" t="s">
        <v>156</v>
      </c>
      <c r="C2544" s="7">
        <f t="shared" ref="C2544:C2546" si="337">2</f>
        <v>2</v>
      </c>
      <c r="D2544" s="7">
        <v>2.0</v>
      </c>
      <c r="E2544" s="9">
        <v>2.0</v>
      </c>
      <c r="F2544" s="7" t="s">
        <v>121</v>
      </c>
      <c r="G2544" s="7" t="s">
        <v>1921</v>
      </c>
      <c r="H2544" s="9" t="s">
        <v>2979</v>
      </c>
      <c r="I2544" t="s">
        <v>3999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 t="str">
        <f t="shared" si="1"/>
        <v>Built-up :</v>
      </c>
      <c r="AE2544" s="7" t="str">
        <f t="shared" si="2"/>
        <v> sq. ft.</v>
      </c>
      <c r="AF2544">
        <f>IFERROR(__xludf.DUMMYFUNCTION("VALUE(REGEXREPLACE(G2544,""[^[:digit:]]"", """"))"),1149.0)</f>
        <v>1149</v>
      </c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  <c r="AR2544" s="7"/>
      <c r="AS2544" s="7" t="s">
        <v>22</v>
      </c>
    </row>
    <row r="2545">
      <c r="A2545" s="7" t="s">
        <v>164</v>
      </c>
      <c r="B2545" s="7" t="s">
        <v>309</v>
      </c>
      <c r="C2545" s="7">
        <f t="shared" si="337"/>
        <v>2</v>
      </c>
      <c r="D2545" s="7">
        <v>2.0</v>
      </c>
      <c r="E2545" s="7">
        <v>1.0</v>
      </c>
      <c r="F2545" s="7" t="s">
        <v>20</v>
      </c>
      <c r="G2545" s="7" t="s">
        <v>1922</v>
      </c>
      <c r="H2545" s="9" t="s">
        <v>2979</v>
      </c>
      <c r="I2545" t="s">
        <v>4000</v>
      </c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 t="str">
        <f t="shared" si="1"/>
        <v>Built-up :</v>
      </c>
      <c r="AE2545" s="7" t="str">
        <f t="shared" si="2"/>
        <v> sq. ft.</v>
      </c>
      <c r="AF2545">
        <f>IFERROR(__xludf.DUMMYFUNCTION("VALUE(REGEXREPLACE(G2545,""[^[:digit:]]"", """"))"),1625.0)</f>
        <v>1625</v>
      </c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  <c r="AR2545" s="7"/>
    </row>
    <row r="2546">
      <c r="A2546" s="7" t="s">
        <v>17</v>
      </c>
      <c r="B2546" s="7" t="s">
        <v>322</v>
      </c>
      <c r="C2546" s="7">
        <f t="shared" si="337"/>
        <v>2</v>
      </c>
      <c r="D2546" s="7">
        <v>2.0</v>
      </c>
      <c r="E2546" s="9">
        <v>2.0</v>
      </c>
      <c r="F2546" s="7" t="s">
        <v>20</v>
      </c>
      <c r="G2546" s="7" t="s">
        <v>303</v>
      </c>
      <c r="H2546" s="9" t="s">
        <v>2979</v>
      </c>
      <c r="I2546" t="s">
        <v>3099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 t="str">
        <f t="shared" si="1"/>
        <v>Built-up :</v>
      </c>
      <c r="AE2546" s="7" t="str">
        <f t="shared" si="2"/>
        <v> sq. ft.</v>
      </c>
      <c r="AF2546">
        <f>IFERROR(__xludf.DUMMYFUNCTION("VALUE(REGEXREPLACE(G2546,""[^[:digit:]]"", """"))"),1485.0)</f>
        <v>1485</v>
      </c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  <c r="AR2546" s="7"/>
    </row>
    <row r="2547">
      <c r="A2547" s="7" t="s">
        <v>164</v>
      </c>
      <c r="B2547" s="7" t="s">
        <v>403</v>
      </c>
      <c r="C2547" s="7">
        <f>2+1</f>
        <v>3</v>
      </c>
      <c r="D2547" s="7">
        <v>3.0</v>
      </c>
      <c r="E2547" s="7">
        <v>1.0</v>
      </c>
      <c r="F2547" s="7" t="s">
        <v>20</v>
      </c>
      <c r="G2547" s="7" t="s">
        <v>234</v>
      </c>
      <c r="H2547" s="9" t="s">
        <v>2979</v>
      </c>
      <c r="I2547" t="s">
        <v>3068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 t="str">
        <f t="shared" si="1"/>
        <v>Built-up :</v>
      </c>
      <c r="AE2547" s="7" t="str">
        <f t="shared" si="2"/>
        <v> sq. ft.</v>
      </c>
      <c r="AF2547">
        <f>IFERROR(__xludf.DUMMYFUNCTION("VALUE(REGEXREPLACE(G2547,""[^[:digit:]]"", """"))"),1399.0)</f>
        <v>1399</v>
      </c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  <c r="AR2547" s="7"/>
    </row>
    <row r="2548">
      <c r="A2548" s="7" t="s">
        <v>164</v>
      </c>
      <c r="B2548" s="7" t="s">
        <v>460</v>
      </c>
      <c r="C2548" s="7">
        <f>2</f>
        <v>2</v>
      </c>
      <c r="D2548" s="7">
        <v>2.0</v>
      </c>
      <c r="E2548" s="7">
        <v>1.0</v>
      </c>
      <c r="F2548" s="7" t="s">
        <v>20</v>
      </c>
      <c r="G2548" s="7" t="s">
        <v>234</v>
      </c>
      <c r="H2548" s="9" t="s">
        <v>2979</v>
      </c>
      <c r="I2548" t="s">
        <v>3068</v>
      </c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 t="str">
        <f t="shared" si="1"/>
        <v>Built-up :</v>
      </c>
      <c r="AE2548" s="7" t="str">
        <f t="shared" si="2"/>
        <v> sq. ft.</v>
      </c>
      <c r="AF2548">
        <f>IFERROR(__xludf.DUMMYFUNCTION("VALUE(REGEXREPLACE(G2548,""[^[:digit:]]"", """"))"),1399.0)</f>
        <v>1399</v>
      </c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</row>
    <row r="2549">
      <c r="A2549" s="7" t="s">
        <v>17</v>
      </c>
      <c r="B2549" s="7" t="s">
        <v>281</v>
      </c>
      <c r="C2549" s="7">
        <f>3</f>
        <v>3</v>
      </c>
      <c r="D2549" s="7">
        <v>3.0</v>
      </c>
      <c r="E2549" s="9">
        <v>2.0</v>
      </c>
      <c r="F2549" s="7" t="s">
        <v>20</v>
      </c>
      <c r="G2549" s="7" t="s">
        <v>1923</v>
      </c>
      <c r="H2549" s="9" t="s">
        <v>2979</v>
      </c>
      <c r="I2549" t="s">
        <v>4001</v>
      </c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 t="str">
        <f t="shared" si="1"/>
        <v>Built-up :</v>
      </c>
      <c r="AE2549" s="7" t="str">
        <f t="shared" si="2"/>
        <v> sq. ft.</v>
      </c>
      <c r="AF2549">
        <f>IFERROR(__xludf.DUMMYFUNCTION("VALUE(REGEXREPLACE(G2549,""[^[:digit:]]"", """"))"),2470.0)</f>
        <v>2470</v>
      </c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  <c r="AR2549" s="7"/>
    </row>
    <row r="2550">
      <c r="A2550" s="7" t="s">
        <v>164</v>
      </c>
      <c r="B2550" s="7" t="s">
        <v>116</v>
      </c>
      <c r="C2550" s="7">
        <f>1+1</f>
        <v>2</v>
      </c>
      <c r="D2550" s="7">
        <v>2.0</v>
      </c>
      <c r="E2550" s="9">
        <v>2.0</v>
      </c>
      <c r="F2550" s="7" t="s">
        <v>20</v>
      </c>
      <c r="G2550" s="7" t="s">
        <v>237</v>
      </c>
      <c r="H2550" s="9" t="s">
        <v>2979</v>
      </c>
      <c r="I2550" t="s">
        <v>3069</v>
      </c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 t="str">
        <f t="shared" si="1"/>
        <v>Built-up :</v>
      </c>
      <c r="AE2550" s="7" t="str">
        <f t="shared" si="2"/>
        <v> sq. ft.</v>
      </c>
      <c r="AF2550">
        <f>IFERROR(__xludf.DUMMYFUNCTION("VALUE(REGEXREPLACE(G2550,""[^[:digit:]]"", """"))"),1087.0)</f>
        <v>1087</v>
      </c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  <c r="AR2550" s="7"/>
    </row>
    <row r="2551">
      <c r="A2551" s="7" t="s">
        <v>17</v>
      </c>
      <c r="B2551" s="7" t="s">
        <v>1924</v>
      </c>
      <c r="C2551" s="7">
        <f>3+2</f>
        <v>5</v>
      </c>
      <c r="D2551" s="7">
        <v>5.0</v>
      </c>
      <c r="E2551" s="9">
        <v>2.0</v>
      </c>
      <c r="F2551" s="7" t="s">
        <v>121</v>
      </c>
      <c r="G2551" s="7" t="s">
        <v>1925</v>
      </c>
      <c r="H2551" s="9" t="s">
        <v>2979</v>
      </c>
      <c r="I2551" t="s">
        <v>4002</v>
      </c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 t="str">
        <f t="shared" si="1"/>
        <v>Built-up :</v>
      </c>
      <c r="AE2551" s="7" t="str">
        <f t="shared" si="2"/>
        <v> sq. ft.</v>
      </c>
      <c r="AF2551">
        <f>IFERROR(__xludf.DUMMYFUNCTION("VALUE(REGEXREPLACE(G2551,""[^[:digit:]]"", """"))"),2096.0)</f>
        <v>2096</v>
      </c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7" t="s">
        <v>22</v>
      </c>
    </row>
    <row r="2552">
      <c r="A2552" s="7" t="s">
        <v>33</v>
      </c>
      <c r="B2552" s="7" t="s">
        <v>1075</v>
      </c>
      <c r="C2552" s="7">
        <f t="shared" ref="C2552:C2553" si="338">5</f>
        <v>5</v>
      </c>
      <c r="D2552" s="7">
        <v>3.0</v>
      </c>
      <c r="E2552" s="7">
        <v>2.0</v>
      </c>
      <c r="F2552" s="7" t="s">
        <v>30</v>
      </c>
      <c r="G2552" s="7" t="s">
        <v>307</v>
      </c>
      <c r="H2552" s="9" t="s">
        <v>2979</v>
      </c>
      <c r="I2552" t="s">
        <v>3102</v>
      </c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 t="str">
        <f t="shared" si="1"/>
        <v>Built-up :</v>
      </c>
      <c r="AE2552" s="7" t="str">
        <f t="shared" si="2"/>
        <v> sq. ft.</v>
      </c>
      <c r="AF2552">
        <f>IFERROR(__xludf.DUMMYFUNCTION("VALUE(REGEXREPLACE(G2552,""[^[:digit:]]"", """"))"),2500.0)</f>
        <v>2500</v>
      </c>
      <c r="AG2552" s="7"/>
      <c r="AH2552" s="7"/>
      <c r="AI2552" s="7"/>
      <c r="AJ2552" s="7"/>
      <c r="AK2552" s="7"/>
      <c r="AL2552" s="7"/>
      <c r="AM2552" s="7"/>
      <c r="AN2552" s="7"/>
      <c r="AO2552" s="7"/>
      <c r="AP2552" s="7"/>
      <c r="AQ2552" s="7"/>
      <c r="AR2552" s="7"/>
      <c r="AS2552" s="7" t="s">
        <v>103</v>
      </c>
    </row>
    <row r="2553">
      <c r="A2553" s="7" t="s">
        <v>33</v>
      </c>
      <c r="B2553" s="7" t="s">
        <v>1075</v>
      </c>
      <c r="C2553" s="7">
        <f t="shared" si="338"/>
        <v>5</v>
      </c>
      <c r="D2553" s="7">
        <v>3.0</v>
      </c>
      <c r="E2553" s="7">
        <v>2.0</v>
      </c>
      <c r="F2553" s="7" t="s">
        <v>30</v>
      </c>
      <c r="G2553" s="7" t="s">
        <v>307</v>
      </c>
      <c r="H2553" s="9" t="s">
        <v>2979</v>
      </c>
      <c r="I2553" t="s">
        <v>3102</v>
      </c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 t="str">
        <f t="shared" si="1"/>
        <v>Built-up :</v>
      </c>
      <c r="AE2553" s="7" t="str">
        <f t="shared" si="2"/>
        <v> sq. ft.</v>
      </c>
      <c r="AF2553">
        <f>IFERROR(__xludf.DUMMYFUNCTION("VALUE(REGEXREPLACE(G2553,""[^[:digit:]]"", """"))"),2500.0)</f>
        <v>2500</v>
      </c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7"/>
      <c r="AR2553" s="7"/>
      <c r="AS2553" s="7" t="s">
        <v>103</v>
      </c>
    </row>
    <row r="2554">
      <c r="A2554" s="7" t="s">
        <v>17</v>
      </c>
      <c r="B2554" s="7" t="s">
        <v>158</v>
      </c>
      <c r="C2554" s="7">
        <f>3</f>
        <v>3</v>
      </c>
      <c r="D2554" s="7">
        <v>3.0</v>
      </c>
      <c r="E2554" s="9">
        <v>2.0</v>
      </c>
      <c r="F2554" s="7" t="s">
        <v>83</v>
      </c>
      <c r="G2554" s="7" t="s">
        <v>285</v>
      </c>
      <c r="H2554" s="9" t="s">
        <v>2979</v>
      </c>
      <c r="I2554" t="s">
        <v>3092</v>
      </c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 t="str">
        <f t="shared" si="1"/>
        <v>Built-up :</v>
      </c>
      <c r="AE2554" s="7" t="str">
        <f t="shared" si="2"/>
        <v> sq. ft.</v>
      </c>
      <c r="AF2554">
        <f>IFERROR(__xludf.DUMMYFUNCTION("VALUE(REGEXREPLACE(G2554,""[^[:digit:]]"", """"))"),2174.0)</f>
        <v>2174</v>
      </c>
      <c r="AG2554" s="7"/>
      <c r="AH2554" s="7"/>
      <c r="AI2554" s="7"/>
      <c r="AJ2554" s="7"/>
      <c r="AK2554" s="7"/>
      <c r="AL2554" s="7"/>
      <c r="AM2554" s="7"/>
      <c r="AN2554" s="7"/>
      <c r="AO2554" s="7"/>
      <c r="AP2554" s="7"/>
      <c r="AQ2554" s="7"/>
      <c r="AR2554" s="7"/>
      <c r="AS2554" s="7" t="s">
        <v>27</v>
      </c>
    </row>
    <row r="2555">
      <c r="A2555" s="7" t="s">
        <v>17</v>
      </c>
      <c r="B2555" s="7" t="s">
        <v>1152</v>
      </c>
      <c r="C2555" s="7">
        <f>2</f>
        <v>2</v>
      </c>
      <c r="D2555" s="7">
        <v>3.0</v>
      </c>
      <c r="E2555" s="9">
        <v>2.0</v>
      </c>
      <c r="F2555" s="7" t="s">
        <v>83</v>
      </c>
      <c r="G2555" s="7" t="s">
        <v>173</v>
      </c>
      <c r="H2555" s="9" t="s">
        <v>2979</v>
      </c>
      <c r="I2555" t="s">
        <v>3038</v>
      </c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 t="str">
        <f t="shared" si="1"/>
        <v>Built-up :</v>
      </c>
      <c r="AE2555" s="7" t="str">
        <f t="shared" si="2"/>
        <v> sq. ft.</v>
      </c>
      <c r="AF2555">
        <f>IFERROR(__xludf.DUMMYFUNCTION("VALUE(REGEXREPLACE(G2555,""[^[:digit:]]"", """"))"),1550.0)</f>
        <v>1550</v>
      </c>
      <c r="AG2555" s="7"/>
      <c r="AH2555" s="7"/>
      <c r="AI2555" s="7"/>
      <c r="AJ2555" s="7"/>
      <c r="AK2555" s="7"/>
      <c r="AL2555" s="7"/>
      <c r="AM2555" s="7"/>
      <c r="AN2555" s="7"/>
      <c r="AO2555" s="7"/>
      <c r="AP2555" s="7"/>
      <c r="AQ2555" s="7"/>
      <c r="AR2555" s="7"/>
      <c r="AS2555" s="7" t="s">
        <v>22</v>
      </c>
    </row>
    <row r="2556">
      <c r="A2556" s="7" t="s">
        <v>1158</v>
      </c>
      <c r="B2556" s="7" t="s">
        <v>507</v>
      </c>
      <c r="C2556" s="7" t="s">
        <v>325</v>
      </c>
      <c r="D2556" s="7">
        <v>1.0</v>
      </c>
      <c r="E2556" s="9">
        <v>2.0</v>
      </c>
      <c r="F2556" s="7" t="s">
        <v>20</v>
      </c>
      <c r="G2556" s="7" t="s">
        <v>1575</v>
      </c>
      <c r="H2556" s="9" t="s">
        <v>2979</v>
      </c>
      <c r="I2556" t="s">
        <v>3789</v>
      </c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 t="str">
        <f t="shared" si="1"/>
        <v>Built-up :</v>
      </c>
      <c r="AE2556" s="7" t="str">
        <f t="shared" si="2"/>
        <v> sq. ft.</v>
      </c>
      <c r="AF2556">
        <f>IFERROR(__xludf.DUMMYFUNCTION("VALUE(REGEXREPLACE(G2556,""[^[:digit:]]"", """"))"),527.0)</f>
        <v>527</v>
      </c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7"/>
      <c r="AR2556" s="7"/>
      <c r="AS2556" s="7" t="s">
        <v>22</v>
      </c>
    </row>
    <row r="2557">
      <c r="A2557" s="7" t="s">
        <v>72</v>
      </c>
      <c r="B2557" s="7" t="s">
        <v>1926</v>
      </c>
      <c r="C2557" s="7">
        <f t="shared" ref="C2557:C2558" si="339">4+1</f>
        <v>5</v>
      </c>
      <c r="D2557" s="7">
        <v>5.0</v>
      </c>
      <c r="E2557" s="7">
        <v>3.0</v>
      </c>
      <c r="F2557" s="7" t="s">
        <v>83</v>
      </c>
      <c r="G2557" s="7" t="s">
        <v>1927</v>
      </c>
      <c r="H2557" s="9" t="s">
        <v>2979</v>
      </c>
      <c r="I2557" t="s">
        <v>4003</v>
      </c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 t="str">
        <f t="shared" si="1"/>
        <v>Built-up :</v>
      </c>
      <c r="AE2557" s="7" t="str">
        <f t="shared" si="2"/>
        <v> sq. ft.</v>
      </c>
      <c r="AF2557">
        <f>IFERROR(__xludf.DUMMYFUNCTION("VALUE(REGEXREPLACE(G2557,""[^[:digit:]]"", """"))"),3704.0)</f>
        <v>3704</v>
      </c>
      <c r="AG2557" s="7"/>
      <c r="AH2557" s="7"/>
      <c r="AI2557" s="7"/>
      <c r="AJ2557" s="7"/>
      <c r="AK2557" s="7"/>
      <c r="AL2557" s="7"/>
      <c r="AM2557" s="7"/>
      <c r="AN2557" s="7"/>
      <c r="AO2557" s="7"/>
      <c r="AP2557" s="7"/>
      <c r="AQ2557" s="7"/>
      <c r="AR2557" s="7"/>
      <c r="AS2557" s="7" t="s">
        <v>27</v>
      </c>
    </row>
    <row r="2558">
      <c r="A2558" s="7" t="s">
        <v>72</v>
      </c>
      <c r="B2558" s="7" t="s">
        <v>1047</v>
      </c>
      <c r="C2558" s="7">
        <f t="shared" si="339"/>
        <v>5</v>
      </c>
      <c r="D2558" s="7">
        <v>5.0</v>
      </c>
      <c r="E2558" s="7">
        <v>3.0</v>
      </c>
      <c r="F2558" s="7" t="s">
        <v>83</v>
      </c>
      <c r="G2558" s="7" t="s">
        <v>994</v>
      </c>
      <c r="H2558" s="9" t="s">
        <v>2979</v>
      </c>
      <c r="I2558" t="s">
        <v>3441</v>
      </c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 t="str">
        <f t="shared" si="1"/>
        <v>Built-up :</v>
      </c>
      <c r="AE2558" s="7" t="str">
        <f t="shared" si="2"/>
        <v> sq. ft.</v>
      </c>
      <c r="AF2558">
        <f>IFERROR(__xludf.DUMMYFUNCTION("VALUE(REGEXREPLACE(G2558,""[^[:digit:]]"", """"))"),3668.0)</f>
        <v>3668</v>
      </c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  <c r="AR2558" s="7"/>
      <c r="AS2558" s="7" t="s">
        <v>27</v>
      </c>
    </row>
    <row r="2559">
      <c r="A2559" s="7" t="s">
        <v>32</v>
      </c>
      <c r="B2559" s="7" t="s">
        <v>983</v>
      </c>
      <c r="C2559" s="7">
        <f>3</f>
        <v>3</v>
      </c>
      <c r="D2559" s="7">
        <v>2.0</v>
      </c>
      <c r="E2559" s="7">
        <v>2.0</v>
      </c>
      <c r="F2559" s="7" t="s">
        <v>494</v>
      </c>
      <c r="G2559" s="7" t="s">
        <v>1928</v>
      </c>
      <c r="H2559" s="9" t="s">
        <v>2981</v>
      </c>
      <c r="I2559" t="s">
        <v>3710</v>
      </c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 t="str">
        <f t="shared" si="1"/>
        <v>Land area </v>
      </c>
      <c r="AE2559" s="7" t="str">
        <f t="shared" si="2"/>
        <v> sq. ft.</v>
      </c>
      <c r="AF2559">
        <f>IFERROR(__xludf.DUMMYFUNCTION("VALUE(REGEXREPLACE(G2559,""[^[:digit:]]"", """"))"),1470.0)</f>
        <v>1470</v>
      </c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7"/>
      <c r="AR2559" s="7"/>
      <c r="AS2559" s="7" t="s">
        <v>27</v>
      </c>
    </row>
    <row r="2560">
      <c r="A2560" s="7" t="s">
        <v>371</v>
      </c>
      <c r="B2560" s="7" t="s">
        <v>936</v>
      </c>
      <c r="C2560" s="7">
        <f t="shared" ref="C2560:C2563" si="340">3+1</f>
        <v>4</v>
      </c>
      <c r="D2560" s="7">
        <v>3.0</v>
      </c>
      <c r="E2560" s="7">
        <v>2.0</v>
      </c>
      <c r="F2560" s="7" t="s">
        <v>30</v>
      </c>
      <c r="G2560" s="7" t="s">
        <v>1929</v>
      </c>
      <c r="H2560" s="9" t="s">
        <v>2979</v>
      </c>
      <c r="I2560" t="s">
        <v>4004</v>
      </c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 t="str">
        <f t="shared" si="1"/>
        <v>Built-up :</v>
      </c>
      <c r="AE2560" s="7" t="str">
        <f t="shared" si="2"/>
        <v> sq. ft.</v>
      </c>
      <c r="AF2560">
        <f>IFERROR(__xludf.DUMMYFUNCTION("VALUE(REGEXREPLACE(G2560,""[^[:digit:]]"", """"))"),1828.0)</f>
        <v>1828</v>
      </c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7"/>
      <c r="AR2560" s="7"/>
      <c r="AS2560" s="7" t="s">
        <v>27</v>
      </c>
    </row>
    <row r="2561">
      <c r="A2561" s="7" t="s">
        <v>371</v>
      </c>
      <c r="B2561" s="7" t="s">
        <v>34</v>
      </c>
      <c r="C2561" s="7">
        <f t="shared" si="340"/>
        <v>4</v>
      </c>
      <c r="D2561" s="7">
        <v>3.0</v>
      </c>
      <c r="E2561" s="7">
        <v>2.0</v>
      </c>
      <c r="F2561" s="7" t="s">
        <v>30</v>
      </c>
      <c r="G2561" s="7" t="s">
        <v>1929</v>
      </c>
      <c r="H2561" s="9" t="s">
        <v>2979</v>
      </c>
      <c r="I2561" t="s">
        <v>4004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 t="str">
        <f t="shared" si="1"/>
        <v>Built-up :</v>
      </c>
      <c r="AE2561" s="7" t="str">
        <f t="shared" si="2"/>
        <v> sq. ft.</v>
      </c>
      <c r="AF2561">
        <f>IFERROR(__xludf.DUMMYFUNCTION("VALUE(REGEXREPLACE(G2561,""[^[:digit:]]"", """"))"),1828.0)</f>
        <v>1828</v>
      </c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7"/>
      <c r="AR2561" s="7"/>
      <c r="AS2561" s="7" t="s">
        <v>27</v>
      </c>
    </row>
    <row r="2562">
      <c r="A2562" s="7" t="s">
        <v>72</v>
      </c>
      <c r="B2562" s="7" t="s">
        <v>322</v>
      </c>
      <c r="C2562" s="7">
        <f t="shared" si="340"/>
        <v>4</v>
      </c>
      <c r="D2562" s="7">
        <v>5.0</v>
      </c>
      <c r="E2562" s="9">
        <v>2.0</v>
      </c>
      <c r="F2562" s="7" t="s">
        <v>30</v>
      </c>
      <c r="G2562" s="7" t="s">
        <v>729</v>
      </c>
      <c r="H2562" s="9" t="s">
        <v>2981</v>
      </c>
      <c r="I2562" t="s">
        <v>3306</v>
      </c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 t="str">
        <f t="shared" si="1"/>
        <v>Land area </v>
      </c>
      <c r="AE2562" s="7" t="str">
        <f t="shared" si="2"/>
        <v> sq. ft.</v>
      </c>
      <c r="AF2562">
        <f>IFERROR(__xludf.DUMMYFUNCTION("VALUE(REGEXREPLACE(G2562,""[^[:digit:]]"", """"))"),0.0)</f>
        <v>0</v>
      </c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7"/>
      <c r="AR2562" s="7"/>
      <c r="AS2562" s="7" t="s">
        <v>27</v>
      </c>
    </row>
    <row r="2563">
      <c r="A2563" s="7" t="s">
        <v>72</v>
      </c>
      <c r="B2563" s="7" t="s">
        <v>322</v>
      </c>
      <c r="C2563" s="7">
        <f t="shared" si="340"/>
        <v>4</v>
      </c>
      <c r="D2563" s="7">
        <v>5.0</v>
      </c>
      <c r="E2563" s="7">
        <v>3.0</v>
      </c>
      <c r="F2563" s="7" t="s">
        <v>93</v>
      </c>
      <c r="G2563" s="7" t="s">
        <v>376</v>
      </c>
      <c r="H2563" s="9" t="s">
        <v>2979</v>
      </c>
      <c r="I2563" t="s">
        <v>3133</v>
      </c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 t="str">
        <f t="shared" si="1"/>
        <v>Built-up :</v>
      </c>
      <c r="AE2563" s="7" t="str">
        <f t="shared" si="2"/>
        <v> sq. ft.</v>
      </c>
      <c r="AF2563">
        <f>IFERROR(__xludf.DUMMYFUNCTION("VALUE(REGEXREPLACE(G2563,""[^[:digit:]]"", """"))"),2411.0)</f>
        <v>2411</v>
      </c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  <c r="AR2563" s="7"/>
      <c r="AS2563" s="7" t="s">
        <v>27</v>
      </c>
    </row>
    <row r="2564">
      <c r="A2564" s="7" t="s">
        <v>72</v>
      </c>
      <c r="B2564" s="7" t="s">
        <v>313</v>
      </c>
      <c r="C2564" s="7">
        <f>4+1</f>
        <v>5</v>
      </c>
      <c r="D2564" s="7">
        <v>7.0</v>
      </c>
      <c r="E2564" s="9">
        <v>2.0</v>
      </c>
      <c r="F2564" s="7" t="s">
        <v>30</v>
      </c>
      <c r="G2564" s="7" t="s">
        <v>729</v>
      </c>
      <c r="H2564" s="9" t="s">
        <v>2981</v>
      </c>
      <c r="I2564" t="s">
        <v>3306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 t="str">
        <f t="shared" si="1"/>
        <v>Land area </v>
      </c>
      <c r="AE2564" s="7" t="str">
        <f t="shared" si="2"/>
        <v> sq. ft.</v>
      </c>
      <c r="AF2564">
        <f>IFERROR(__xludf.DUMMYFUNCTION("VALUE(REGEXREPLACE(G2564,""[^[:digit:]]"", """"))"),0.0)</f>
        <v>0</v>
      </c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 t="s">
        <v>27</v>
      </c>
    </row>
    <row r="2565">
      <c r="A2565" s="7" t="s">
        <v>164</v>
      </c>
      <c r="B2565" s="7" t="s">
        <v>1930</v>
      </c>
      <c r="C2565" s="7">
        <f>3</f>
        <v>3</v>
      </c>
      <c r="D2565" s="7">
        <v>3.0</v>
      </c>
      <c r="E2565" s="7">
        <v>3.0</v>
      </c>
      <c r="F2565" s="7" t="s">
        <v>20</v>
      </c>
      <c r="G2565" s="7" t="s">
        <v>1684</v>
      </c>
      <c r="H2565" s="9" t="s">
        <v>2979</v>
      </c>
      <c r="I2565" t="s">
        <v>3855</v>
      </c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 t="str">
        <f t="shared" si="1"/>
        <v>Built-up :</v>
      </c>
      <c r="AE2565" s="7" t="str">
        <f t="shared" si="2"/>
        <v> sq. ft.</v>
      </c>
      <c r="AF2565">
        <f>IFERROR(__xludf.DUMMYFUNCTION("VALUE(REGEXREPLACE(G2565,""[^[:digit:]]"", """"))"),1166.0)</f>
        <v>1166</v>
      </c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  <c r="AR2565" s="7"/>
      <c r="AS2565" s="7" t="s">
        <v>27</v>
      </c>
    </row>
    <row r="2566">
      <c r="A2566" s="7" t="s">
        <v>164</v>
      </c>
      <c r="B2566" s="7" t="s">
        <v>1931</v>
      </c>
      <c r="C2566" s="7">
        <f>1</f>
        <v>1</v>
      </c>
      <c r="D2566" s="7">
        <v>1.0</v>
      </c>
      <c r="E2566" s="9">
        <v>2.0</v>
      </c>
      <c r="F2566" s="7" t="s">
        <v>20</v>
      </c>
      <c r="G2566" s="7" t="s">
        <v>242</v>
      </c>
      <c r="H2566" s="9" t="s">
        <v>2979</v>
      </c>
      <c r="I2566" t="s">
        <v>3072</v>
      </c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 t="str">
        <f t="shared" si="1"/>
        <v>Built-up :</v>
      </c>
      <c r="AE2566" s="7" t="str">
        <f t="shared" si="2"/>
        <v> sq. ft.</v>
      </c>
      <c r="AF2566">
        <f>IFERROR(__xludf.DUMMYFUNCTION("VALUE(REGEXREPLACE(G2566,""[^[:digit:]]"", """"))"),650.0)</f>
        <v>650</v>
      </c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  <c r="AR2566" s="7"/>
      <c r="AS2566" s="7" t="s">
        <v>27</v>
      </c>
    </row>
    <row r="2567">
      <c r="A2567" s="7" t="s">
        <v>164</v>
      </c>
      <c r="B2567" s="7" t="s">
        <v>1932</v>
      </c>
      <c r="C2567" s="7">
        <f>1+1</f>
        <v>2</v>
      </c>
      <c r="D2567" s="7">
        <v>2.0</v>
      </c>
      <c r="E2567" s="7">
        <v>2.0</v>
      </c>
      <c r="F2567" s="7" t="s">
        <v>82</v>
      </c>
      <c r="G2567" s="7" t="s">
        <v>910</v>
      </c>
      <c r="H2567" s="9" t="s">
        <v>2979</v>
      </c>
      <c r="I2567" t="s">
        <v>3401</v>
      </c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 t="str">
        <f t="shared" si="1"/>
        <v>Built-up :</v>
      </c>
      <c r="AE2567" s="7" t="str">
        <f t="shared" si="2"/>
        <v> sq. ft.</v>
      </c>
      <c r="AF2567">
        <f>IFERROR(__xludf.DUMMYFUNCTION("VALUE(REGEXREPLACE(G2567,""[^[:digit:]]"", """"))"),858.0)</f>
        <v>858</v>
      </c>
      <c r="AG2567" s="7"/>
      <c r="AH2567" s="7"/>
      <c r="AI2567" s="7"/>
      <c r="AJ2567" s="7"/>
      <c r="AK2567" s="7"/>
      <c r="AL2567" s="7"/>
      <c r="AM2567" s="7"/>
      <c r="AN2567" s="7"/>
      <c r="AO2567" s="7"/>
      <c r="AP2567" s="7"/>
      <c r="AQ2567" s="7"/>
      <c r="AR2567" s="7"/>
      <c r="AS2567" s="7" t="s">
        <v>27</v>
      </c>
    </row>
    <row r="2568">
      <c r="A2568" s="7" t="s">
        <v>148</v>
      </c>
      <c r="B2568" s="7" t="s">
        <v>309</v>
      </c>
      <c r="C2568" s="7">
        <f>4+1</f>
        <v>5</v>
      </c>
      <c r="D2568" s="7">
        <v>5.0</v>
      </c>
      <c r="E2568" s="9">
        <v>2.0</v>
      </c>
      <c r="F2568" s="7" t="s">
        <v>562</v>
      </c>
      <c r="G2568" s="7" t="s">
        <v>1031</v>
      </c>
      <c r="H2568" s="9" t="s">
        <v>2979</v>
      </c>
      <c r="I2568" t="s">
        <v>3466</v>
      </c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 t="str">
        <f t="shared" si="1"/>
        <v>Built-up :</v>
      </c>
      <c r="AE2568" s="7" t="str">
        <f t="shared" si="2"/>
        <v> sq. ft.</v>
      </c>
      <c r="AF2568">
        <f>IFERROR(__xludf.DUMMYFUNCTION("VALUE(REGEXREPLACE(G2568,""[^[:digit:]]"", """"))"),3650.0)</f>
        <v>3650</v>
      </c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7"/>
      <c r="AR2568" s="7"/>
      <c r="AS2568" s="7" t="s">
        <v>22</v>
      </c>
    </row>
    <row r="2569">
      <c r="A2569" s="7" t="s">
        <v>171</v>
      </c>
      <c r="B2569" s="7" t="s">
        <v>1911</v>
      </c>
      <c r="C2569" s="7">
        <f>1</f>
        <v>1</v>
      </c>
      <c r="D2569" s="7">
        <v>1.0</v>
      </c>
      <c r="E2569" s="7">
        <v>1.0</v>
      </c>
      <c r="F2569" s="7" t="s">
        <v>20</v>
      </c>
      <c r="G2569" s="7" t="s">
        <v>1933</v>
      </c>
      <c r="H2569" s="9" t="s">
        <v>2979</v>
      </c>
      <c r="I2569" t="s">
        <v>4005</v>
      </c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 t="str">
        <f t="shared" si="1"/>
        <v>Built-up :</v>
      </c>
      <c r="AE2569" s="7" t="str">
        <f t="shared" si="2"/>
        <v> sq. ft.</v>
      </c>
      <c r="AF2569">
        <f>IFERROR(__xludf.DUMMYFUNCTION("VALUE(REGEXREPLACE(G2569,""[^[:digit:]]"", """"))"),555.0)</f>
        <v>555</v>
      </c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</row>
    <row r="2570">
      <c r="A2570" s="7" t="s">
        <v>89</v>
      </c>
      <c r="B2570" s="7" t="s">
        <v>563</v>
      </c>
      <c r="C2570" s="7">
        <f>2+1</f>
        <v>3</v>
      </c>
      <c r="D2570" s="7">
        <v>2.0</v>
      </c>
      <c r="E2570" s="7">
        <v>2.0</v>
      </c>
      <c r="F2570" s="7" t="s">
        <v>20</v>
      </c>
      <c r="G2570" s="7" t="s">
        <v>764</v>
      </c>
      <c r="H2570" s="9" t="s">
        <v>2979</v>
      </c>
      <c r="I2570" t="s">
        <v>3325</v>
      </c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 t="str">
        <f t="shared" si="1"/>
        <v>Built-up :</v>
      </c>
      <c r="AE2570" s="7" t="str">
        <f t="shared" si="2"/>
        <v> sq. ft.</v>
      </c>
      <c r="AF2570">
        <f>IFERROR(__xludf.DUMMYFUNCTION("VALUE(REGEXREPLACE(G2570,""[^[:digit:]]"", """"))"),1025.0)</f>
        <v>1025</v>
      </c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7"/>
      <c r="AR2570" s="7"/>
      <c r="AS2570" s="7" t="s">
        <v>22</v>
      </c>
    </row>
    <row r="2571">
      <c r="A2571" s="7" t="s">
        <v>89</v>
      </c>
      <c r="B2571" s="7" t="s">
        <v>1880</v>
      </c>
      <c r="C2571" s="7">
        <f>1</f>
        <v>1</v>
      </c>
      <c r="D2571" s="7">
        <v>1.0</v>
      </c>
      <c r="E2571" s="7">
        <v>2.0</v>
      </c>
      <c r="F2571" s="7" t="s">
        <v>82</v>
      </c>
      <c r="G2571" s="7" t="s">
        <v>924</v>
      </c>
      <c r="H2571" s="9" t="s">
        <v>2979</v>
      </c>
      <c r="I2571" t="s">
        <v>3406</v>
      </c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 t="str">
        <f t="shared" si="1"/>
        <v>Built-up :</v>
      </c>
      <c r="AE2571" s="7" t="str">
        <f t="shared" si="2"/>
        <v> sq. ft.</v>
      </c>
      <c r="AF2571">
        <f>IFERROR(__xludf.DUMMYFUNCTION("VALUE(REGEXREPLACE(G2571,""[^[:digit:]]"", """"))"),750.0)</f>
        <v>750</v>
      </c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7"/>
      <c r="AR2571" s="7"/>
      <c r="AS2571" s="7" t="s">
        <v>27</v>
      </c>
    </row>
    <row r="2572">
      <c r="A2572" s="7" t="s">
        <v>32</v>
      </c>
      <c r="B2572" s="7" t="s">
        <v>1915</v>
      </c>
      <c r="C2572" s="7">
        <f>4</f>
        <v>4</v>
      </c>
      <c r="D2572" s="7">
        <v>3.0</v>
      </c>
      <c r="E2572" s="7">
        <v>2.0</v>
      </c>
      <c r="F2572" s="7" t="s">
        <v>54</v>
      </c>
      <c r="G2572" s="7" t="s">
        <v>1458</v>
      </c>
      <c r="H2572" s="9" t="s">
        <v>2981</v>
      </c>
      <c r="I2572" t="s">
        <v>3516</v>
      </c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 t="str">
        <f t="shared" si="1"/>
        <v>Land area </v>
      </c>
      <c r="AE2572" s="7" t="str">
        <f t="shared" si="2"/>
        <v> sq. ft.</v>
      </c>
      <c r="AF2572">
        <f>IFERROR(__xludf.DUMMYFUNCTION("VALUE(REGEXREPLACE(G2572,""[^[:digit:]]"", """"))"),1400.0)</f>
        <v>1400</v>
      </c>
      <c r="AG2572" s="7"/>
      <c r="AH2572" s="7"/>
      <c r="AI2572" s="7"/>
      <c r="AJ2572" s="7"/>
      <c r="AK2572" s="7"/>
      <c r="AL2572" s="7"/>
      <c r="AM2572" s="7"/>
      <c r="AN2572" s="7"/>
      <c r="AO2572" s="7"/>
      <c r="AP2572" s="7"/>
      <c r="AQ2572" s="7"/>
      <c r="AR2572" s="7"/>
      <c r="AS2572" s="7" t="s">
        <v>103</v>
      </c>
    </row>
    <row r="2573">
      <c r="A2573" s="7" t="s">
        <v>32</v>
      </c>
      <c r="B2573" s="7" t="s">
        <v>1823</v>
      </c>
      <c r="C2573" s="7">
        <f>3</f>
        <v>3</v>
      </c>
      <c r="D2573" s="7">
        <v>2.0</v>
      </c>
      <c r="E2573" s="7">
        <v>1.0</v>
      </c>
      <c r="F2573" s="7" t="s">
        <v>121</v>
      </c>
      <c r="G2573" s="7" t="s">
        <v>1934</v>
      </c>
      <c r="H2573" s="9" t="s">
        <v>2981</v>
      </c>
      <c r="I2573" t="s">
        <v>4006</v>
      </c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 t="str">
        <f t="shared" si="1"/>
        <v>Land area </v>
      </c>
      <c r="AE2573" s="7" t="str">
        <f t="shared" si="2"/>
        <v> sq. ft.</v>
      </c>
      <c r="AF2573">
        <f>IFERROR(__xludf.DUMMYFUNCTION("VALUE(REGEXREPLACE(G2573,""[^[:digit:]]"", """"))"),1097.0)</f>
        <v>1097</v>
      </c>
      <c r="AG2573" s="7"/>
      <c r="AH2573" s="7"/>
      <c r="AI2573" s="7"/>
      <c r="AJ2573" s="7"/>
      <c r="AK2573" s="7"/>
      <c r="AL2573" s="7"/>
      <c r="AM2573" s="7"/>
      <c r="AN2573" s="7"/>
      <c r="AO2573" s="7"/>
      <c r="AP2573" s="7"/>
      <c r="AQ2573" s="7"/>
      <c r="AR2573" s="7"/>
      <c r="AS2573" s="7" t="s">
        <v>27</v>
      </c>
    </row>
    <row r="2574">
      <c r="A2574" s="7" t="s">
        <v>77</v>
      </c>
      <c r="B2574" s="7" t="s">
        <v>306</v>
      </c>
      <c r="C2574" s="7">
        <f>3+1</f>
        <v>4</v>
      </c>
      <c r="D2574" s="7">
        <v>4.0</v>
      </c>
      <c r="E2574" s="7">
        <v>2.0</v>
      </c>
      <c r="F2574" s="7" t="s">
        <v>169</v>
      </c>
      <c r="G2574" s="7" t="s">
        <v>307</v>
      </c>
      <c r="H2574" s="9" t="s">
        <v>2979</v>
      </c>
      <c r="I2574" t="s">
        <v>3102</v>
      </c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 t="str">
        <f t="shared" si="1"/>
        <v>Built-up :</v>
      </c>
      <c r="AE2574" s="7" t="str">
        <f t="shared" si="2"/>
        <v> sq. ft.</v>
      </c>
      <c r="AF2574">
        <f>IFERROR(__xludf.DUMMYFUNCTION("VALUE(REGEXREPLACE(G2574,""[^[:digit:]]"", """"))"),2500.0)</f>
        <v>2500</v>
      </c>
      <c r="AG2574" s="7"/>
      <c r="AH2574" s="7"/>
      <c r="AI2574" s="7"/>
      <c r="AJ2574" s="7"/>
      <c r="AK2574" s="7"/>
      <c r="AL2574" s="7"/>
      <c r="AM2574" s="7"/>
      <c r="AN2574" s="7"/>
      <c r="AO2574" s="7"/>
      <c r="AP2574" s="7"/>
      <c r="AQ2574" s="7"/>
      <c r="AR2574" s="7"/>
      <c r="AS2574" s="7" t="s">
        <v>22</v>
      </c>
    </row>
    <row r="2575">
      <c r="A2575" s="7" t="s">
        <v>77</v>
      </c>
      <c r="B2575" s="7" t="s">
        <v>468</v>
      </c>
      <c r="C2575" s="7">
        <f>4+1</f>
        <v>5</v>
      </c>
      <c r="D2575" s="7">
        <v>5.0</v>
      </c>
      <c r="E2575" s="7">
        <v>2.0</v>
      </c>
      <c r="F2575" s="7" t="s">
        <v>562</v>
      </c>
      <c r="G2575" s="7" t="s">
        <v>727</v>
      </c>
      <c r="H2575" s="9" t="s">
        <v>2979</v>
      </c>
      <c r="I2575" t="s">
        <v>3305</v>
      </c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 t="str">
        <f t="shared" si="1"/>
        <v>Built-up :</v>
      </c>
      <c r="AE2575" s="7" t="str">
        <f t="shared" si="2"/>
        <v> sq. ft.</v>
      </c>
      <c r="AF2575">
        <f>IFERROR(__xludf.DUMMYFUNCTION("VALUE(REGEXREPLACE(G2575,""[^[:digit:]]"", """"))"),3300.0)</f>
        <v>3300</v>
      </c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7"/>
      <c r="AR2575" s="7"/>
      <c r="AS2575" s="7" t="s">
        <v>27</v>
      </c>
    </row>
    <row r="2576">
      <c r="A2576" s="7" t="s">
        <v>77</v>
      </c>
      <c r="B2576" s="7" t="s">
        <v>281</v>
      </c>
      <c r="C2576" s="7">
        <f>3+2</f>
        <v>5</v>
      </c>
      <c r="D2576" s="7">
        <v>5.0</v>
      </c>
      <c r="E2576" s="7">
        <v>2.0</v>
      </c>
      <c r="F2576" s="7" t="s">
        <v>282</v>
      </c>
      <c r="G2576" s="7" t="s">
        <v>727</v>
      </c>
      <c r="H2576" s="9" t="s">
        <v>2979</v>
      </c>
      <c r="I2576" t="s">
        <v>3305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 t="str">
        <f t="shared" si="1"/>
        <v>Built-up :</v>
      </c>
      <c r="AE2576" s="7" t="str">
        <f t="shared" si="2"/>
        <v> sq. ft.</v>
      </c>
      <c r="AF2576">
        <f>IFERROR(__xludf.DUMMYFUNCTION("VALUE(REGEXREPLACE(G2576,""[^[:digit:]]"", """"))"),3300.0)</f>
        <v>3300</v>
      </c>
      <c r="AG2576" s="7"/>
      <c r="AH2576" s="7"/>
      <c r="AI2576" s="7"/>
      <c r="AJ2576" s="7"/>
      <c r="AK2576" s="7"/>
      <c r="AL2576" s="7"/>
      <c r="AM2576" s="7"/>
      <c r="AN2576" s="7"/>
      <c r="AO2576" s="7"/>
      <c r="AP2576" s="7"/>
      <c r="AQ2576" s="7"/>
      <c r="AR2576" s="7"/>
      <c r="AS2576" s="7" t="s">
        <v>27</v>
      </c>
    </row>
    <row r="2577">
      <c r="A2577" s="7" t="s">
        <v>77</v>
      </c>
      <c r="B2577" s="7" t="s">
        <v>73</v>
      </c>
      <c r="C2577" s="7">
        <f>3</f>
        <v>3</v>
      </c>
      <c r="D2577" s="7">
        <v>3.0</v>
      </c>
      <c r="E2577" s="7">
        <v>2.0</v>
      </c>
      <c r="F2577" s="7" t="s">
        <v>90</v>
      </c>
      <c r="G2577" s="7" t="s">
        <v>461</v>
      </c>
      <c r="H2577" s="9" t="s">
        <v>2979</v>
      </c>
      <c r="I2577" t="s">
        <v>3172</v>
      </c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 t="str">
        <f t="shared" si="1"/>
        <v>Built-up :</v>
      </c>
      <c r="AE2577" s="7" t="str">
        <f t="shared" si="2"/>
        <v> sq. ft.</v>
      </c>
      <c r="AF2577">
        <f>IFERROR(__xludf.DUMMYFUNCTION("VALUE(REGEXREPLACE(G2577,""[^[:digit:]]"", """"))"),1900.0)</f>
        <v>1900</v>
      </c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7"/>
      <c r="AR2577" s="7"/>
      <c r="AS2577" s="7" t="s">
        <v>103</v>
      </c>
    </row>
    <row r="2578">
      <c r="A2578" s="7" t="s">
        <v>77</v>
      </c>
      <c r="B2578" s="7" t="s">
        <v>304</v>
      </c>
      <c r="C2578" s="7">
        <f>7+1</f>
        <v>8</v>
      </c>
      <c r="D2578" s="7">
        <v>9.0</v>
      </c>
      <c r="E2578" s="7">
        <v>4.0</v>
      </c>
      <c r="F2578" s="7" t="s">
        <v>300</v>
      </c>
      <c r="G2578" s="7" t="s">
        <v>794</v>
      </c>
      <c r="H2578" s="9" t="s">
        <v>2979</v>
      </c>
      <c r="I2578" t="s">
        <v>3343</v>
      </c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 t="str">
        <f t="shared" si="1"/>
        <v>Built-up :</v>
      </c>
      <c r="AE2578" s="7" t="str">
        <f t="shared" si="2"/>
        <v> sq. ft.</v>
      </c>
      <c r="AF2578">
        <f>IFERROR(__xludf.DUMMYFUNCTION("VALUE(REGEXREPLACE(G2578,""[^[:digit:]]"", """"))"),6900.0)</f>
        <v>6900</v>
      </c>
      <c r="AG2578" s="7"/>
      <c r="AH2578" s="7"/>
      <c r="AI2578" s="7"/>
      <c r="AJ2578" s="7"/>
      <c r="AK2578" s="7"/>
      <c r="AL2578" s="7"/>
      <c r="AM2578" s="7"/>
      <c r="AN2578" s="7"/>
      <c r="AO2578" s="7"/>
      <c r="AP2578" s="7"/>
      <c r="AQ2578" s="7"/>
      <c r="AR2578" s="7"/>
      <c r="AS2578" s="7" t="s">
        <v>27</v>
      </c>
    </row>
    <row r="2579">
      <c r="A2579" s="7" t="s">
        <v>77</v>
      </c>
      <c r="B2579" s="7" t="s">
        <v>749</v>
      </c>
      <c r="C2579" s="7">
        <f>4+1</f>
        <v>5</v>
      </c>
      <c r="D2579" s="7">
        <v>6.0</v>
      </c>
      <c r="E2579" s="7">
        <v>4.0</v>
      </c>
      <c r="F2579" s="7" t="s">
        <v>273</v>
      </c>
      <c r="G2579" s="7" t="s">
        <v>1935</v>
      </c>
      <c r="H2579" s="9" t="s">
        <v>2979</v>
      </c>
      <c r="I2579" t="s">
        <v>4007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 t="str">
        <f t="shared" si="1"/>
        <v>Built-up :</v>
      </c>
      <c r="AE2579" s="7" t="str">
        <f t="shared" si="2"/>
        <v> sq. ft.</v>
      </c>
      <c r="AF2579">
        <f>IFERROR(__xludf.DUMMYFUNCTION("VALUE(REGEXREPLACE(G2579,""[^[:digit:]]"", """"))"),4600.0)</f>
        <v>4600</v>
      </c>
      <c r="AG2579" s="7"/>
      <c r="AH2579" s="7"/>
      <c r="AI2579" s="7"/>
      <c r="AJ2579" s="7"/>
      <c r="AK2579" s="7"/>
      <c r="AL2579" s="7"/>
      <c r="AM2579" s="7"/>
      <c r="AN2579" s="7"/>
      <c r="AO2579" s="7"/>
      <c r="AP2579" s="7"/>
      <c r="AQ2579" s="7"/>
      <c r="AR2579" s="7"/>
      <c r="AS2579" s="7" t="s">
        <v>27</v>
      </c>
    </row>
    <row r="2580">
      <c r="A2580" s="7" t="s">
        <v>37</v>
      </c>
      <c r="B2580" s="7" t="s">
        <v>599</v>
      </c>
      <c r="C2580" s="7">
        <f>3</f>
        <v>3</v>
      </c>
      <c r="D2580" s="7">
        <v>2.0</v>
      </c>
      <c r="E2580" s="7">
        <v>1.0</v>
      </c>
      <c r="F2580" s="7" t="s">
        <v>93</v>
      </c>
      <c r="G2580" s="7" t="s">
        <v>471</v>
      </c>
      <c r="H2580" s="9" t="s">
        <v>2979</v>
      </c>
      <c r="I2580" t="s">
        <v>3179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 t="str">
        <f t="shared" si="1"/>
        <v>Built-up :</v>
      </c>
      <c r="AE2580" s="7" t="str">
        <f t="shared" si="2"/>
        <v> sq. ft.</v>
      </c>
      <c r="AF2580">
        <f>IFERROR(__xludf.DUMMYFUNCTION("VALUE(REGEXREPLACE(G2580,""[^[:digit:]]"", """"))"),1400.0)</f>
        <v>1400</v>
      </c>
      <c r="AG2580" s="7"/>
      <c r="AH2580" s="7"/>
      <c r="AI2580" s="7"/>
      <c r="AJ2580" s="7"/>
      <c r="AK2580" s="7"/>
      <c r="AL2580" s="7"/>
      <c r="AM2580" s="7"/>
      <c r="AN2580" s="7"/>
      <c r="AO2580" s="7"/>
      <c r="AP2580" s="7"/>
      <c r="AQ2580" s="7"/>
      <c r="AR2580" s="7"/>
      <c r="AS2580" s="7" t="s">
        <v>22</v>
      </c>
    </row>
    <row r="2581">
      <c r="A2581" s="7" t="s">
        <v>28</v>
      </c>
      <c r="B2581" s="7" t="s">
        <v>156</v>
      </c>
      <c r="C2581" s="7">
        <f>3+1</f>
        <v>4</v>
      </c>
      <c r="D2581" s="7">
        <v>4.0</v>
      </c>
      <c r="E2581" s="7">
        <v>3.0</v>
      </c>
      <c r="F2581" s="7" t="s">
        <v>30</v>
      </c>
      <c r="G2581" s="7" t="s">
        <v>743</v>
      </c>
      <c r="H2581" s="9" t="s">
        <v>2979</v>
      </c>
      <c r="I2581" t="s">
        <v>3315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 t="str">
        <f t="shared" si="1"/>
        <v>Built-up :</v>
      </c>
      <c r="AE2581" s="7" t="str">
        <f t="shared" si="2"/>
        <v> sq. ft.</v>
      </c>
      <c r="AF2581">
        <f>IFERROR(__xludf.DUMMYFUNCTION("VALUE(REGEXREPLACE(G2581,""[^[:digit:]]"", """"))"),2111.0)</f>
        <v>2111</v>
      </c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7"/>
      <c r="AR2581" s="7"/>
      <c r="AS2581" s="7" t="s">
        <v>22</v>
      </c>
    </row>
    <row r="2582">
      <c r="A2582" s="7" t="s">
        <v>428</v>
      </c>
      <c r="B2582" s="7" t="s">
        <v>346</v>
      </c>
      <c r="C2582" s="7">
        <f>2</f>
        <v>2</v>
      </c>
      <c r="D2582" s="7">
        <v>2.0</v>
      </c>
      <c r="E2582" s="7">
        <v>2.0</v>
      </c>
      <c r="F2582" s="7" t="s">
        <v>121</v>
      </c>
      <c r="G2582" s="7" t="s">
        <v>734</v>
      </c>
      <c r="H2582" s="9" t="s">
        <v>2979</v>
      </c>
      <c r="I2582" t="s">
        <v>3308</v>
      </c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 t="str">
        <f t="shared" si="1"/>
        <v>Built-up :</v>
      </c>
      <c r="AE2582" s="7" t="str">
        <f t="shared" si="2"/>
        <v> sq. ft.</v>
      </c>
      <c r="AF2582">
        <f>IFERROR(__xludf.DUMMYFUNCTION("VALUE(REGEXREPLACE(G2582,""[^[:digit:]]"", """"))"),1100.0)</f>
        <v>1100</v>
      </c>
      <c r="AG2582" s="7"/>
      <c r="AH2582" s="7"/>
      <c r="AI2582" s="7"/>
      <c r="AJ2582" s="7"/>
      <c r="AK2582" s="7"/>
      <c r="AL2582" s="7"/>
      <c r="AM2582" s="7"/>
      <c r="AN2582" s="7"/>
      <c r="AO2582" s="7"/>
      <c r="AP2582" s="7"/>
      <c r="AQ2582" s="7"/>
      <c r="AR2582" s="7"/>
      <c r="AS2582" s="7" t="s">
        <v>22</v>
      </c>
    </row>
    <row r="2583">
      <c r="A2583" s="7" t="s">
        <v>428</v>
      </c>
      <c r="B2583" s="7" t="s">
        <v>712</v>
      </c>
      <c r="C2583" s="7">
        <f t="shared" ref="C2583:C2584" si="341">3</f>
        <v>3</v>
      </c>
      <c r="D2583" s="7">
        <v>3.0</v>
      </c>
      <c r="E2583" s="7">
        <v>3.0</v>
      </c>
      <c r="F2583" s="7" t="s">
        <v>82</v>
      </c>
      <c r="G2583" s="7" t="s">
        <v>330</v>
      </c>
      <c r="H2583" s="9" t="s">
        <v>2979</v>
      </c>
      <c r="I2583" t="s">
        <v>3111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 t="str">
        <f t="shared" si="1"/>
        <v>Built-up :</v>
      </c>
      <c r="AE2583" s="7" t="str">
        <f t="shared" si="2"/>
        <v> sq. ft.</v>
      </c>
      <c r="AF2583">
        <f>IFERROR(__xludf.DUMMYFUNCTION("VALUE(REGEXREPLACE(G2583,""[^[:digit:]]"", """"))"),1930.0)</f>
        <v>1930</v>
      </c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  <c r="AR2583" s="7"/>
      <c r="AS2583" s="7" t="s">
        <v>22</v>
      </c>
    </row>
    <row r="2584">
      <c r="A2584" s="7" t="s">
        <v>177</v>
      </c>
      <c r="B2584" s="7" t="s">
        <v>1432</v>
      </c>
      <c r="C2584" s="7">
        <f t="shared" si="341"/>
        <v>3</v>
      </c>
      <c r="D2584" s="7">
        <v>2.0</v>
      </c>
      <c r="E2584" s="7">
        <v>3.0</v>
      </c>
      <c r="F2584" s="7" t="s">
        <v>83</v>
      </c>
      <c r="G2584" s="7" t="s">
        <v>1936</v>
      </c>
      <c r="H2584" s="9" t="s">
        <v>2981</v>
      </c>
      <c r="I2584" t="s">
        <v>4008</v>
      </c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 t="str">
        <f t="shared" si="1"/>
        <v>Land area </v>
      </c>
      <c r="AE2584" s="7" t="str">
        <f t="shared" si="2"/>
        <v> sq. ft.</v>
      </c>
      <c r="AF2584">
        <f>IFERROR(__xludf.DUMMYFUNCTION("VALUE(REGEXREPLACE(G2584,""[^[:digit:]]"", """"))"),1550.0)</f>
        <v>1550</v>
      </c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7"/>
      <c r="AR2584" s="7"/>
      <c r="AS2584" s="7" t="s">
        <v>22</v>
      </c>
    </row>
    <row r="2585">
      <c r="A2585" s="7" t="s">
        <v>72</v>
      </c>
      <c r="B2585" s="7" t="s">
        <v>151</v>
      </c>
      <c r="C2585" s="7">
        <f>6+1</f>
        <v>7</v>
      </c>
      <c r="D2585" s="7">
        <v>5.0</v>
      </c>
      <c r="E2585" s="7">
        <v>4.0</v>
      </c>
      <c r="F2585" s="7" t="s">
        <v>43</v>
      </c>
      <c r="G2585" s="7" t="s">
        <v>860</v>
      </c>
      <c r="H2585" s="9" t="s">
        <v>2981</v>
      </c>
      <c r="I2585" t="s">
        <v>3376</v>
      </c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 t="str">
        <f t="shared" si="1"/>
        <v>Land area </v>
      </c>
      <c r="AE2585" s="7" t="str">
        <f t="shared" si="2"/>
        <v> sq. ft.</v>
      </c>
      <c r="AF2585">
        <f>IFERROR(__xludf.DUMMYFUNCTION("VALUE(REGEXREPLACE(G2585,""[^[:digit:]]"", """"))"),4000.0)</f>
        <v>4000</v>
      </c>
      <c r="AG2585" s="7"/>
      <c r="AH2585" s="7"/>
      <c r="AI2585" s="7"/>
      <c r="AJ2585" s="7"/>
      <c r="AK2585" s="7"/>
      <c r="AL2585" s="7"/>
      <c r="AM2585" s="7"/>
      <c r="AN2585" s="7"/>
      <c r="AO2585" s="7"/>
      <c r="AP2585" s="7"/>
      <c r="AQ2585" s="7"/>
      <c r="AR2585" s="7"/>
    </row>
    <row r="2586">
      <c r="A2586" s="7" t="s">
        <v>177</v>
      </c>
      <c r="B2586" s="7" t="s">
        <v>45</v>
      </c>
      <c r="C2586" s="7">
        <f>4</f>
        <v>4</v>
      </c>
      <c r="D2586" s="7">
        <v>3.0</v>
      </c>
      <c r="E2586" s="7">
        <v>2.0</v>
      </c>
      <c r="F2586" s="7" t="s">
        <v>169</v>
      </c>
      <c r="G2586" s="7" t="s">
        <v>719</v>
      </c>
      <c r="H2586" s="9" t="s">
        <v>2981</v>
      </c>
      <c r="I2586" t="s">
        <v>3299</v>
      </c>
      <c r="J2586" s="7"/>
      <c r="K2586" s="7"/>
      <c r="L2586" s="7"/>
      <c r="M2586" s="7"/>
      <c r="N2586" s="7"/>
      <c r="O2586" s="7"/>
      <c r="P2586" s="7"/>
      <c r="Q2586" s="7"/>
      <c r="R2586" s="7"/>
      <c r="S2586" s="7" t="s">
        <v>3101</v>
      </c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 t="str">
        <f t="shared" si="1"/>
        <v>Land area </v>
      </c>
      <c r="AE2586" s="7" t="str">
        <f t="shared" si="2"/>
        <v> sq. ft.</v>
      </c>
      <c r="AF2586">
        <f>IFERROR(__xludf.DUMMYFUNCTION("VALUE(REGEXREPLACE(G2586,""[^[:digit:]]"", """"))"),2285.0)</f>
        <v>2285</v>
      </c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7"/>
      <c r="AR2586" s="7"/>
      <c r="AS2586" s="7" t="s">
        <v>27</v>
      </c>
    </row>
    <row r="2587">
      <c r="A2587" s="7" t="s">
        <v>177</v>
      </c>
      <c r="B2587" s="7" t="s">
        <v>1610</v>
      </c>
      <c r="C2587" s="7">
        <f>5+1</f>
        <v>6</v>
      </c>
      <c r="D2587" s="7">
        <v>5.0</v>
      </c>
      <c r="E2587" s="7">
        <v>4.0</v>
      </c>
      <c r="F2587" s="7" t="s">
        <v>25</v>
      </c>
      <c r="G2587" s="7" t="s">
        <v>1937</v>
      </c>
      <c r="H2587" s="9" t="s">
        <v>2981</v>
      </c>
      <c r="I2587" t="s">
        <v>4009</v>
      </c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 t="str">
        <f t="shared" si="1"/>
        <v>Land area </v>
      </c>
      <c r="AE2587" s="7" t="str">
        <f t="shared" si="2"/>
        <v> sq. ft.</v>
      </c>
      <c r="AF2587">
        <f>IFERROR(__xludf.DUMMYFUNCTION("VALUE(REGEXREPLACE(G2587,""[^[:digit:]]"", """"))"),5242.0)</f>
        <v>5242</v>
      </c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7"/>
      <c r="AR2587" s="7"/>
      <c r="AS2587" s="7" t="s">
        <v>27</v>
      </c>
    </row>
    <row r="2588">
      <c r="A2588" s="7" t="s">
        <v>177</v>
      </c>
      <c r="B2588" s="7" t="s">
        <v>1079</v>
      </c>
      <c r="C2588" s="7">
        <f t="shared" ref="C2588:C2589" si="342">4+1</f>
        <v>5</v>
      </c>
      <c r="D2588" s="7">
        <v>4.0</v>
      </c>
      <c r="E2588" s="7">
        <v>3.0</v>
      </c>
      <c r="F2588" s="7" t="s">
        <v>169</v>
      </c>
      <c r="G2588" s="7" t="s">
        <v>211</v>
      </c>
      <c r="H2588" s="9" t="s">
        <v>2981</v>
      </c>
      <c r="I2588" t="s">
        <v>2992</v>
      </c>
      <c r="J2588" s="7"/>
      <c r="K2588" s="7"/>
      <c r="L2588" s="7"/>
      <c r="M2588" s="7"/>
      <c r="N2588" s="7"/>
      <c r="O2588" s="7"/>
      <c r="P2588" s="7"/>
      <c r="Q2588" s="7"/>
      <c r="R2588" s="7"/>
      <c r="S2588" s="7" t="s">
        <v>2993</v>
      </c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 t="str">
        <f t="shared" si="1"/>
        <v>Land area </v>
      </c>
      <c r="AE2588" s="7" t="str">
        <f t="shared" si="2"/>
        <v> sq. ft.</v>
      </c>
      <c r="AF2588">
        <f>IFERROR(__xludf.DUMMYFUNCTION("VALUE(REGEXREPLACE(G2588,""[^[:digit:]]"", """"))"),2280.0)</f>
        <v>2280</v>
      </c>
      <c r="AG2588" s="7"/>
      <c r="AH2588" s="7"/>
      <c r="AI2588" s="7"/>
      <c r="AJ2588" s="7"/>
      <c r="AK2588" s="7"/>
      <c r="AL2588" s="7"/>
      <c r="AM2588" s="7"/>
      <c r="AN2588" s="7"/>
      <c r="AO2588" s="7"/>
      <c r="AP2588" s="7"/>
      <c r="AQ2588" s="7"/>
      <c r="AR2588" s="7"/>
      <c r="AS2588" s="7" t="s">
        <v>27</v>
      </c>
    </row>
    <row r="2589">
      <c r="A2589" s="7" t="s">
        <v>177</v>
      </c>
      <c r="B2589" s="7" t="s">
        <v>1032</v>
      </c>
      <c r="C2589" s="7">
        <f t="shared" si="342"/>
        <v>5</v>
      </c>
      <c r="D2589" s="7">
        <v>4.0</v>
      </c>
      <c r="E2589" s="7">
        <v>3.0</v>
      </c>
      <c r="F2589" s="7" t="s">
        <v>61</v>
      </c>
      <c r="G2589" s="7" t="s">
        <v>62</v>
      </c>
      <c r="H2589" s="9" t="s">
        <v>2981</v>
      </c>
      <c r="I2589" t="s">
        <v>2995</v>
      </c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 t="str">
        <f t="shared" si="1"/>
        <v>Land area </v>
      </c>
      <c r="AE2589" s="7" t="str">
        <f t="shared" si="2"/>
        <v> sq. ft.</v>
      </c>
      <c r="AF2589">
        <f>IFERROR(__xludf.DUMMYFUNCTION("VALUE(REGEXREPLACE(G2589,""[^[:digit:]]"", """"))"),6000.0)</f>
        <v>6000</v>
      </c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  <c r="AR2589" s="7"/>
      <c r="AS2589" s="7" t="s">
        <v>103</v>
      </c>
    </row>
    <row r="2590">
      <c r="A2590" s="7" t="s">
        <v>28</v>
      </c>
      <c r="B2590" s="7" t="s">
        <v>56</v>
      </c>
      <c r="C2590" s="7">
        <f>7</f>
        <v>7</v>
      </c>
      <c r="D2590" s="7">
        <v>7.0</v>
      </c>
      <c r="E2590" s="9">
        <v>2.0</v>
      </c>
      <c r="F2590" s="7" t="s">
        <v>300</v>
      </c>
      <c r="G2590" s="7" t="s">
        <v>1938</v>
      </c>
      <c r="H2590" s="9" t="s">
        <v>2981</v>
      </c>
      <c r="I2590" t="s">
        <v>4010</v>
      </c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 t="str">
        <f t="shared" si="1"/>
        <v>Land area </v>
      </c>
      <c r="AE2590" s="7" t="str">
        <f t="shared" si="2"/>
        <v> sq. ft.</v>
      </c>
      <c r="AF2590">
        <f>IFERROR(__xludf.DUMMYFUNCTION("VALUE(REGEXREPLACE(G2590,""[^[:digit:]]"", """"))"),2249.0)</f>
        <v>2249</v>
      </c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7"/>
      <c r="AR2590" s="7"/>
    </row>
    <row r="2591">
      <c r="A2591" s="7" t="s">
        <v>104</v>
      </c>
      <c r="B2591" s="7" t="s">
        <v>613</v>
      </c>
      <c r="C2591" s="7">
        <f t="shared" ref="C2591:C2592" si="343">5+1</f>
        <v>6</v>
      </c>
      <c r="D2591" s="7">
        <v>7.0</v>
      </c>
      <c r="E2591" s="7">
        <v>5.0</v>
      </c>
      <c r="F2591" s="7" t="s">
        <v>90</v>
      </c>
      <c r="G2591" s="7" t="s">
        <v>908</v>
      </c>
      <c r="H2591" s="9" t="s">
        <v>2981</v>
      </c>
      <c r="I2591" t="s">
        <v>3399</v>
      </c>
      <c r="J2591" s="7"/>
      <c r="K2591" s="7"/>
      <c r="L2591" s="7"/>
      <c r="M2591" s="7"/>
      <c r="N2591" s="7"/>
      <c r="O2591" s="7"/>
      <c r="P2591" s="7"/>
      <c r="Q2591" s="7"/>
      <c r="R2591" s="7"/>
      <c r="S2591" s="7" t="s">
        <v>3400</v>
      </c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 t="str">
        <f t="shared" si="1"/>
        <v>Land area </v>
      </c>
      <c r="AE2591" s="7" t="str">
        <f t="shared" si="2"/>
        <v> sq. ft.</v>
      </c>
      <c r="AF2591">
        <f>IFERROR(__xludf.DUMMYFUNCTION("VALUE(REGEXREPLACE(G2591,""[^[:digit:]]"", """"))"),2493.0)</f>
        <v>2493</v>
      </c>
      <c r="AG2591" s="7"/>
      <c r="AH2591" s="7"/>
      <c r="AI2591" s="7"/>
      <c r="AJ2591" s="7"/>
      <c r="AK2591" s="7"/>
      <c r="AL2591" s="7"/>
      <c r="AM2591" s="7"/>
      <c r="AN2591" s="7"/>
      <c r="AO2591" s="7"/>
      <c r="AP2591" s="7"/>
      <c r="AQ2591" s="7"/>
      <c r="AR2591" s="7"/>
      <c r="AS2591" s="7" t="s">
        <v>103</v>
      </c>
    </row>
    <row r="2592">
      <c r="A2592" s="7" t="s">
        <v>358</v>
      </c>
      <c r="B2592" s="7" t="s">
        <v>808</v>
      </c>
      <c r="C2592" s="7">
        <f t="shared" si="343"/>
        <v>6</v>
      </c>
      <c r="D2592" s="7">
        <v>4.0</v>
      </c>
      <c r="E2592" s="7">
        <v>5.0</v>
      </c>
      <c r="F2592" s="7" t="s">
        <v>793</v>
      </c>
      <c r="G2592" s="7" t="s">
        <v>1939</v>
      </c>
      <c r="H2592" s="9" t="s">
        <v>2979</v>
      </c>
      <c r="I2592" t="s">
        <v>4011</v>
      </c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 t="str">
        <f t="shared" si="1"/>
        <v>Built-up :</v>
      </c>
      <c r="AE2592" s="7" t="str">
        <f t="shared" si="2"/>
        <v> sq. ft.</v>
      </c>
      <c r="AF2592">
        <f>IFERROR(__xludf.DUMMYFUNCTION("VALUE(REGEXREPLACE(G2592,""[^[:digit:]]"", """"))"),2482.0)</f>
        <v>2482</v>
      </c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7"/>
      <c r="AR2592" s="7"/>
      <c r="AS2592" s="7" t="s">
        <v>103</v>
      </c>
    </row>
    <row r="2593">
      <c r="A2593" s="7" t="s">
        <v>32</v>
      </c>
      <c r="B2593" s="7" t="s">
        <v>657</v>
      </c>
      <c r="C2593" s="7">
        <f>4</f>
        <v>4</v>
      </c>
      <c r="D2593" s="7">
        <v>3.0</v>
      </c>
      <c r="E2593" s="9">
        <v>2.0</v>
      </c>
      <c r="F2593" s="7" t="s">
        <v>184</v>
      </c>
      <c r="G2593" s="7" t="s">
        <v>1940</v>
      </c>
      <c r="H2593" s="9" t="s">
        <v>2981</v>
      </c>
      <c r="I2593" t="s">
        <v>4012</v>
      </c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 t="str">
        <f t="shared" si="1"/>
        <v>Land area </v>
      </c>
      <c r="AE2593" s="7" t="str">
        <f t="shared" si="2"/>
        <v> sq. ft.</v>
      </c>
      <c r="AF2593">
        <f>IFERROR(__xludf.DUMMYFUNCTION("VALUE(REGEXREPLACE(G2593,""[^[:digit:]]"", """"))"),4999.0)</f>
        <v>4999</v>
      </c>
      <c r="AG2593" s="7"/>
      <c r="AH2593" s="7"/>
      <c r="AI2593" s="7"/>
      <c r="AJ2593" s="7"/>
      <c r="AK2593" s="7"/>
      <c r="AL2593" s="7"/>
      <c r="AM2593" s="7"/>
      <c r="AN2593" s="7"/>
      <c r="AO2593" s="7"/>
      <c r="AP2593" s="7"/>
      <c r="AQ2593" s="7"/>
      <c r="AR2593" s="7"/>
      <c r="AS2593" s="7" t="s">
        <v>103</v>
      </c>
    </row>
    <row r="2594">
      <c r="A2594" s="7" t="s">
        <v>17</v>
      </c>
      <c r="B2594" s="7" t="s">
        <v>1941</v>
      </c>
      <c r="C2594" s="7">
        <f>2</f>
        <v>2</v>
      </c>
      <c r="D2594" s="7">
        <v>2.0</v>
      </c>
      <c r="E2594" s="7">
        <v>1.0</v>
      </c>
      <c r="F2594" s="7" t="s">
        <v>30</v>
      </c>
      <c r="G2594" s="7" t="s">
        <v>380</v>
      </c>
      <c r="H2594" s="9" t="s">
        <v>2979</v>
      </c>
      <c r="I2594" t="s">
        <v>3135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 t="str">
        <f t="shared" si="1"/>
        <v>Built-up :</v>
      </c>
      <c r="AE2594" s="7" t="str">
        <f t="shared" si="2"/>
        <v> sq. ft.</v>
      </c>
      <c r="AF2594">
        <f>IFERROR(__xludf.DUMMYFUNCTION("VALUE(REGEXREPLACE(G2594,""[^[:digit:]]"", """"))"),871.0)</f>
        <v>871</v>
      </c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7"/>
      <c r="AR2594" s="7"/>
      <c r="AS2594" s="7" t="s">
        <v>27</v>
      </c>
    </row>
    <row r="2595">
      <c r="A2595" s="7" t="s">
        <v>17</v>
      </c>
      <c r="B2595" s="7" t="s">
        <v>1942</v>
      </c>
      <c r="C2595" s="7">
        <f>3</f>
        <v>3</v>
      </c>
      <c r="D2595" s="7">
        <v>3.0</v>
      </c>
      <c r="E2595" s="7">
        <v>1.0</v>
      </c>
      <c r="F2595" s="7" t="s">
        <v>93</v>
      </c>
      <c r="G2595" s="7" t="s">
        <v>202</v>
      </c>
      <c r="H2595" s="9" t="s">
        <v>2979</v>
      </c>
      <c r="I2595" t="s">
        <v>3050</v>
      </c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 t="str">
        <f t="shared" si="1"/>
        <v>Built-up :</v>
      </c>
      <c r="AE2595" s="7" t="str">
        <f t="shared" si="2"/>
        <v> sq. ft.</v>
      </c>
      <c r="AF2595">
        <f>IFERROR(__xludf.DUMMYFUNCTION("VALUE(REGEXREPLACE(G2595,""[^[:digit:]]"", """"))"),1232.0)</f>
        <v>1232</v>
      </c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  <c r="AR2595" s="7"/>
      <c r="AS2595" s="7" t="s">
        <v>22</v>
      </c>
    </row>
    <row r="2596">
      <c r="A2596" s="7" t="s">
        <v>17</v>
      </c>
      <c r="B2596" s="7" t="s">
        <v>1943</v>
      </c>
      <c r="C2596" s="7">
        <f>2</f>
        <v>2</v>
      </c>
      <c r="D2596" s="7">
        <v>2.0</v>
      </c>
      <c r="E2596" s="7">
        <v>1.0</v>
      </c>
      <c r="F2596" s="7" t="s">
        <v>93</v>
      </c>
      <c r="G2596" s="7" t="s">
        <v>380</v>
      </c>
      <c r="H2596" s="9" t="s">
        <v>2979</v>
      </c>
      <c r="I2596" t="s">
        <v>3135</v>
      </c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 t="str">
        <f t="shared" si="1"/>
        <v>Built-up :</v>
      </c>
      <c r="AE2596" s="7" t="str">
        <f t="shared" si="2"/>
        <v> sq. ft.</v>
      </c>
      <c r="AF2596">
        <f>IFERROR(__xludf.DUMMYFUNCTION("VALUE(REGEXREPLACE(G2596,""[^[:digit:]]"", """"))"),871.0)</f>
        <v>871</v>
      </c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7"/>
      <c r="AR2596" s="7"/>
      <c r="AS2596" s="7" t="s">
        <v>22</v>
      </c>
    </row>
    <row r="2597">
      <c r="A2597" s="7" t="s">
        <v>17</v>
      </c>
      <c r="B2597" s="7" t="s">
        <v>34</v>
      </c>
      <c r="C2597" s="7">
        <f>2+1</f>
        <v>3</v>
      </c>
      <c r="D2597" s="7">
        <v>2.0</v>
      </c>
      <c r="E2597" s="9">
        <v>2.0</v>
      </c>
      <c r="F2597" s="7" t="s">
        <v>82</v>
      </c>
      <c r="G2597" s="7" t="s">
        <v>1361</v>
      </c>
      <c r="H2597" s="9" t="s">
        <v>2979</v>
      </c>
      <c r="I2597" t="s">
        <v>3670</v>
      </c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 t="str">
        <f t="shared" si="1"/>
        <v>Built-up :</v>
      </c>
      <c r="AE2597" s="7" t="str">
        <f t="shared" si="2"/>
        <v> sq. ft.</v>
      </c>
      <c r="AF2597">
        <f>IFERROR(__xludf.DUMMYFUNCTION("VALUE(REGEXREPLACE(G2597,""[^[:digit:]]"", """"))"),744.0)</f>
        <v>744</v>
      </c>
      <c r="AG2597" s="7"/>
      <c r="AH2597" s="7"/>
      <c r="AI2597" s="7"/>
      <c r="AJ2597" s="7"/>
      <c r="AK2597" s="7"/>
      <c r="AL2597" s="7"/>
      <c r="AM2597" s="7"/>
      <c r="AN2597" s="7"/>
      <c r="AO2597" s="7"/>
      <c r="AP2597" s="7"/>
      <c r="AQ2597" s="7"/>
      <c r="AR2597" s="7"/>
      <c r="AS2597" s="7" t="s">
        <v>27</v>
      </c>
    </row>
    <row r="2598">
      <c r="A2598" s="7" t="s">
        <v>17</v>
      </c>
      <c r="B2598" s="7" t="s">
        <v>245</v>
      </c>
      <c r="C2598" s="7">
        <f>1+1</f>
        <v>2</v>
      </c>
      <c r="D2598" s="7">
        <v>1.0</v>
      </c>
      <c r="E2598" s="9">
        <v>2.0</v>
      </c>
      <c r="F2598" s="7" t="s">
        <v>20</v>
      </c>
      <c r="G2598" s="7" t="s">
        <v>1944</v>
      </c>
      <c r="H2598" s="9" t="s">
        <v>2979</v>
      </c>
      <c r="I2598" t="s">
        <v>3531</v>
      </c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 t="str">
        <f t="shared" si="1"/>
        <v>Built-up :</v>
      </c>
      <c r="AE2598" s="7" t="str">
        <f t="shared" si="2"/>
        <v> sq. ft.</v>
      </c>
      <c r="AF2598">
        <f>IFERROR(__xludf.DUMMYFUNCTION("VALUE(REGEXREPLACE(G2598,""[^[:digit:]]"", """"))"),602.0)</f>
        <v>602</v>
      </c>
      <c r="AG2598" s="7"/>
      <c r="AH2598" s="7"/>
      <c r="AI2598" s="7"/>
      <c r="AJ2598" s="7"/>
      <c r="AK2598" s="7"/>
      <c r="AL2598" s="7"/>
      <c r="AM2598" s="7"/>
      <c r="AN2598" s="7"/>
      <c r="AO2598" s="7"/>
      <c r="AP2598" s="7"/>
      <c r="AQ2598" s="7"/>
      <c r="AR2598" s="7"/>
      <c r="AS2598" s="7" t="s">
        <v>22</v>
      </c>
    </row>
    <row r="2599">
      <c r="A2599" s="7" t="s">
        <v>17</v>
      </c>
      <c r="B2599" s="7" t="s">
        <v>284</v>
      </c>
      <c r="C2599" s="7">
        <f>2+1</f>
        <v>3</v>
      </c>
      <c r="D2599" s="7">
        <v>2.0</v>
      </c>
      <c r="E2599" s="9">
        <v>2.0</v>
      </c>
      <c r="F2599" s="7" t="s">
        <v>82</v>
      </c>
      <c r="G2599" s="7" t="s">
        <v>1945</v>
      </c>
      <c r="H2599" s="9" t="s">
        <v>2979</v>
      </c>
      <c r="I2599" t="s">
        <v>4013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 t="str">
        <f t="shared" si="1"/>
        <v>Built-up :</v>
      </c>
      <c r="AE2599" s="7" t="str">
        <f t="shared" si="2"/>
        <v> sq. ft.</v>
      </c>
      <c r="AF2599">
        <f>IFERROR(__xludf.DUMMYFUNCTION("VALUE(REGEXREPLACE(G2599,""[^[:digit:]]"", """"))"),805.0)</f>
        <v>805</v>
      </c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7"/>
      <c r="AR2599" s="7"/>
      <c r="AS2599" s="7" t="s">
        <v>27</v>
      </c>
    </row>
    <row r="2600">
      <c r="A2600" s="7" t="s">
        <v>17</v>
      </c>
      <c r="B2600" s="7" t="s">
        <v>1946</v>
      </c>
      <c r="C2600" s="7">
        <f>2</f>
        <v>2</v>
      </c>
      <c r="D2600" s="7">
        <v>2.0</v>
      </c>
      <c r="E2600" s="9">
        <v>2.0</v>
      </c>
      <c r="F2600" s="7" t="s">
        <v>121</v>
      </c>
      <c r="G2600" s="7" t="s">
        <v>1428</v>
      </c>
      <c r="H2600" s="9" t="s">
        <v>2979</v>
      </c>
      <c r="I2600" t="s">
        <v>3706</v>
      </c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 t="str">
        <f t="shared" si="1"/>
        <v>Built-up :</v>
      </c>
      <c r="AE2600" s="7" t="str">
        <f t="shared" si="2"/>
        <v> sq. ft.</v>
      </c>
      <c r="AF2600">
        <f>IFERROR(__xludf.DUMMYFUNCTION("VALUE(REGEXREPLACE(G2600,""[^[:digit:]]"", """"))"),793.0)</f>
        <v>793</v>
      </c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7"/>
      <c r="AR2600" s="7"/>
      <c r="AS2600" s="7" t="s">
        <v>27</v>
      </c>
    </row>
    <row r="2601">
      <c r="A2601" s="7" t="s">
        <v>17</v>
      </c>
      <c r="B2601" s="7" t="s">
        <v>191</v>
      </c>
      <c r="C2601" s="7">
        <f>1+1</f>
        <v>2</v>
      </c>
      <c r="D2601" s="7">
        <v>1.0</v>
      </c>
      <c r="E2601" s="9">
        <v>2.0</v>
      </c>
      <c r="F2601" s="7" t="s">
        <v>121</v>
      </c>
      <c r="G2601" s="7" t="s">
        <v>949</v>
      </c>
      <c r="H2601" s="9" t="s">
        <v>2979</v>
      </c>
      <c r="I2601" t="s">
        <v>3422</v>
      </c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 t="str">
        <f t="shared" si="1"/>
        <v>Built-up :</v>
      </c>
      <c r="AE2601" s="7" t="str">
        <f t="shared" si="2"/>
        <v> sq. ft.</v>
      </c>
      <c r="AF2601">
        <f>IFERROR(__xludf.DUMMYFUNCTION("VALUE(REGEXREPLACE(G2601,""[^[:digit:]]"", """"))"),635.0)</f>
        <v>635</v>
      </c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7"/>
      <c r="AR2601" s="7"/>
      <c r="AS2601" s="7" t="s">
        <v>22</v>
      </c>
    </row>
    <row r="2602">
      <c r="A2602" s="7" t="s">
        <v>1158</v>
      </c>
      <c r="B2602" s="7" t="s">
        <v>201</v>
      </c>
      <c r="C2602" s="7">
        <f>3</f>
        <v>3</v>
      </c>
      <c r="D2602" s="7">
        <v>2.0</v>
      </c>
      <c r="E2602" s="7">
        <v>1.0</v>
      </c>
      <c r="F2602" s="7" t="s">
        <v>20</v>
      </c>
      <c r="G2602" s="7" t="s">
        <v>135</v>
      </c>
      <c r="H2602" s="9" t="s">
        <v>2979</v>
      </c>
      <c r="I2602" t="s">
        <v>3023</v>
      </c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 t="str">
        <f t="shared" si="1"/>
        <v>Built-up :</v>
      </c>
      <c r="AE2602" s="7" t="str">
        <f t="shared" si="2"/>
        <v> sq. ft.</v>
      </c>
      <c r="AF2602">
        <f>IFERROR(__xludf.DUMMYFUNCTION("VALUE(REGEXREPLACE(G2602,""[^[:digit:]]"", """"))"),1200.0)</f>
        <v>1200</v>
      </c>
      <c r="AG2602" s="7"/>
      <c r="AH2602" s="7"/>
      <c r="AI2602" s="7"/>
      <c r="AJ2602" s="7"/>
      <c r="AK2602" s="7"/>
      <c r="AL2602" s="7"/>
      <c r="AM2602" s="7"/>
      <c r="AN2602" s="7"/>
      <c r="AO2602" s="7"/>
      <c r="AP2602" s="7"/>
      <c r="AQ2602" s="7"/>
      <c r="AR2602" s="7"/>
      <c r="AS2602" s="7" t="s">
        <v>22</v>
      </c>
    </row>
    <row r="2603">
      <c r="A2603" s="7" t="s">
        <v>1158</v>
      </c>
      <c r="B2603" s="7" t="s">
        <v>329</v>
      </c>
      <c r="C2603" s="7">
        <f>4</f>
        <v>4</v>
      </c>
      <c r="D2603" s="7">
        <v>3.0</v>
      </c>
      <c r="E2603" s="7">
        <v>3.0</v>
      </c>
      <c r="F2603" s="7" t="s">
        <v>20</v>
      </c>
      <c r="G2603" s="7" t="s">
        <v>1947</v>
      </c>
      <c r="H2603" s="9" t="s">
        <v>2979</v>
      </c>
      <c r="I2603" t="s">
        <v>4014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 t="str">
        <f t="shared" si="1"/>
        <v>Built-up :</v>
      </c>
      <c r="AE2603" s="7" t="str">
        <f t="shared" si="2"/>
        <v> sq. ft.</v>
      </c>
      <c r="AF2603">
        <f>IFERROR(__xludf.DUMMYFUNCTION("VALUE(REGEXREPLACE(G2603,""[^[:digit:]]"", """"))"),1722.0)</f>
        <v>1722</v>
      </c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7"/>
      <c r="AR2603" s="7"/>
      <c r="AS2603" s="7" t="s">
        <v>22</v>
      </c>
    </row>
    <row r="2604">
      <c r="A2604" s="7" t="s">
        <v>164</v>
      </c>
      <c r="B2604" s="7" t="s">
        <v>501</v>
      </c>
      <c r="C2604" s="7">
        <f t="shared" ref="C2604:C2605" si="344">2</f>
        <v>2</v>
      </c>
      <c r="D2604" s="7">
        <v>1.0</v>
      </c>
      <c r="E2604" s="7">
        <v>1.0</v>
      </c>
      <c r="F2604" s="7" t="s">
        <v>20</v>
      </c>
      <c r="G2604" s="7" t="s">
        <v>237</v>
      </c>
      <c r="H2604" s="9" t="s">
        <v>2979</v>
      </c>
      <c r="I2604" t="s">
        <v>3069</v>
      </c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 t="str">
        <f t="shared" si="1"/>
        <v>Built-up :</v>
      </c>
      <c r="AE2604" s="7" t="str">
        <f t="shared" si="2"/>
        <v> sq. ft.</v>
      </c>
      <c r="AF2604">
        <f>IFERROR(__xludf.DUMMYFUNCTION("VALUE(REGEXREPLACE(G2604,""[^[:digit:]]"", """"))"),1087.0)</f>
        <v>1087</v>
      </c>
      <c r="AG2604" s="7"/>
      <c r="AH2604" s="7"/>
      <c r="AI2604" s="7"/>
      <c r="AJ2604" s="7"/>
      <c r="AK2604" s="7"/>
      <c r="AL2604" s="7"/>
      <c r="AM2604" s="7"/>
      <c r="AN2604" s="7"/>
      <c r="AO2604" s="7"/>
      <c r="AP2604" s="7"/>
      <c r="AQ2604" s="7"/>
      <c r="AR2604" s="7"/>
      <c r="AS2604" s="7" t="s">
        <v>22</v>
      </c>
    </row>
    <row r="2605">
      <c r="A2605" s="7" t="s">
        <v>164</v>
      </c>
      <c r="B2605" s="7" t="s">
        <v>239</v>
      </c>
      <c r="C2605" s="7">
        <f t="shared" si="344"/>
        <v>2</v>
      </c>
      <c r="D2605" s="7">
        <v>1.0</v>
      </c>
      <c r="E2605" s="7">
        <v>1.0</v>
      </c>
      <c r="F2605" s="7" t="s">
        <v>20</v>
      </c>
      <c r="G2605" s="7" t="s">
        <v>237</v>
      </c>
      <c r="H2605" s="9" t="s">
        <v>2979</v>
      </c>
      <c r="I2605" t="s">
        <v>3069</v>
      </c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 t="str">
        <f t="shared" si="1"/>
        <v>Built-up :</v>
      </c>
      <c r="AE2605" s="7" t="str">
        <f t="shared" si="2"/>
        <v> sq. ft.</v>
      </c>
      <c r="AF2605">
        <f>IFERROR(__xludf.DUMMYFUNCTION("VALUE(REGEXREPLACE(G2605,""[^[:digit:]]"", """"))"),1087.0)</f>
        <v>1087</v>
      </c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7"/>
      <c r="AR2605" s="7"/>
      <c r="AS2605" s="7" t="s">
        <v>27</v>
      </c>
    </row>
    <row r="2606">
      <c r="A2606" s="7" t="s">
        <v>1158</v>
      </c>
      <c r="B2606" s="7" t="s">
        <v>87</v>
      </c>
      <c r="C2606" s="7">
        <f>3</f>
        <v>3</v>
      </c>
      <c r="D2606" s="7">
        <v>2.0</v>
      </c>
      <c r="E2606" s="9">
        <v>2.0</v>
      </c>
      <c r="F2606" s="7" t="s">
        <v>354</v>
      </c>
      <c r="G2606" s="7" t="s">
        <v>505</v>
      </c>
      <c r="H2606" s="9" t="s">
        <v>2979</v>
      </c>
      <c r="I2606" t="s">
        <v>3199</v>
      </c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 t="str">
        <f t="shared" si="1"/>
        <v>Built-up :</v>
      </c>
      <c r="AE2606" s="7" t="str">
        <f t="shared" si="2"/>
        <v> sq. ft.</v>
      </c>
      <c r="AF2606">
        <f>IFERROR(__xludf.DUMMYFUNCTION("VALUE(REGEXREPLACE(G2606,""[^[:digit:]]"", """"))"),900.0)</f>
        <v>900</v>
      </c>
      <c r="AG2606" s="7"/>
      <c r="AH2606" s="7"/>
      <c r="AI2606" s="7"/>
      <c r="AJ2606" s="7"/>
      <c r="AK2606" s="7"/>
      <c r="AL2606" s="7"/>
      <c r="AM2606" s="7"/>
      <c r="AN2606" s="7"/>
      <c r="AO2606" s="7"/>
      <c r="AP2606" s="7"/>
      <c r="AQ2606" s="7"/>
      <c r="AR2606" s="7"/>
    </row>
    <row r="2607">
      <c r="A2607" s="7" t="s">
        <v>41</v>
      </c>
      <c r="B2607" s="7" t="s">
        <v>1825</v>
      </c>
      <c r="C2607" s="7">
        <f t="shared" ref="C2607:C2608" si="345">4</f>
        <v>4</v>
      </c>
      <c r="D2607" s="7">
        <v>3.0</v>
      </c>
      <c r="E2607" s="7">
        <v>10.0</v>
      </c>
      <c r="F2607" s="7" t="s">
        <v>67</v>
      </c>
      <c r="G2607" s="7" t="s">
        <v>1948</v>
      </c>
      <c r="H2607" s="9" t="s">
        <v>2981</v>
      </c>
      <c r="I2607" t="s">
        <v>4015</v>
      </c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 t="str">
        <f t="shared" si="1"/>
        <v>Land area </v>
      </c>
      <c r="AE2607" s="7" t="str">
        <f t="shared" si="2"/>
        <v> sq. ft.</v>
      </c>
      <c r="AF2607">
        <f>IFERROR(__xludf.DUMMYFUNCTION("VALUE(REGEXREPLACE(G2607,""[^[:digit:]]"", """"))"),9149.0)</f>
        <v>9149</v>
      </c>
      <c r="AG2607" s="7"/>
      <c r="AH2607" s="7"/>
      <c r="AI2607" s="7"/>
      <c r="AJ2607" s="7"/>
      <c r="AK2607" s="7"/>
      <c r="AL2607" s="7"/>
      <c r="AM2607" s="7"/>
      <c r="AN2607" s="7"/>
      <c r="AO2607" s="7"/>
      <c r="AP2607" s="7"/>
      <c r="AQ2607" s="7"/>
      <c r="AR2607" s="7"/>
      <c r="AS2607" s="7" t="s">
        <v>27</v>
      </c>
    </row>
    <row r="2608">
      <c r="A2608" s="7" t="s">
        <v>1158</v>
      </c>
      <c r="B2608" s="7" t="s">
        <v>1825</v>
      </c>
      <c r="C2608" s="7">
        <f t="shared" si="345"/>
        <v>4</v>
      </c>
      <c r="D2608" s="7">
        <v>3.0</v>
      </c>
      <c r="E2608" s="7">
        <v>10.0</v>
      </c>
      <c r="F2608" s="7" t="s">
        <v>67</v>
      </c>
      <c r="G2608" s="7" t="s">
        <v>1948</v>
      </c>
      <c r="H2608" s="9" t="s">
        <v>2981</v>
      </c>
      <c r="I2608" t="s">
        <v>4015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 t="str">
        <f t="shared" si="1"/>
        <v>Land area </v>
      </c>
      <c r="AE2608" s="7" t="str">
        <f t="shared" si="2"/>
        <v> sq. ft.</v>
      </c>
      <c r="AF2608">
        <f>IFERROR(__xludf.DUMMYFUNCTION("VALUE(REGEXREPLACE(G2608,""[^[:digit:]]"", """"))"),9149.0)</f>
        <v>9149</v>
      </c>
      <c r="AG2608" s="7"/>
      <c r="AH2608" s="7"/>
      <c r="AI2608" s="7"/>
      <c r="AJ2608" s="7"/>
      <c r="AK2608" s="7"/>
      <c r="AL2608" s="7"/>
      <c r="AM2608" s="7"/>
      <c r="AN2608" s="7"/>
      <c r="AO2608" s="7"/>
      <c r="AP2608" s="7"/>
      <c r="AQ2608" s="7"/>
      <c r="AR2608" s="7"/>
      <c r="AS2608" s="7" t="s">
        <v>27</v>
      </c>
    </row>
    <row r="2609">
      <c r="A2609" s="7" t="s">
        <v>28</v>
      </c>
      <c r="B2609" s="7" t="s">
        <v>1949</v>
      </c>
      <c r="C2609" s="7">
        <f>3+1</f>
        <v>4</v>
      </c>
      <c r="D2609" s="7">
        <v>5.0</v>
      </c>
      <c r="E2609" s="7">
        <v>2.0</v>
      </c>
      <c r="F2609" s="7" t="s">
        <v>30</v>
      </c>
      <c r="G2609" s="7" t="s">
        <v>1950</v>
      </c>
      <c r="H2609" s="9" t="s">
        <v>2979</v>
      </c>
      <c r="I2609" t="s">
        <v>4016</v>
      </c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 t="str">
        <f t="shared" si="1"/>
        <v>Built-up :</v>
      </c>
      <c r="AE2609" s="7" t="str">
        <f t="shared" si="2"/>
        <v> sq. ft.</v>
      </c>
      <c r="AF2609">
        <f>IFERROR(__xludf.DUMMYFUNCTION("VALUE(REGEXREPLACE(G2609,""[^[:digit:]]"", """"))"),2018.0)</f>
        <v>2018</v>
      </c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7"/>
      <c r="AR2609" s="7"/>
      <c r="AS2609" s="7" t="s">
        <v>27</v>
      </c>
    </row>
    <row r="2610">
      <c r="A2610" s="7" t="s">
        <v>262</v>
      </c>
      <c r="B2610" s="7" t="s">
        <v>1951</v>
      </c>
      <c r="E2610" s="9">
        <v>2.0</v>
      </c>
      <c r="F2610" s="7" t="s">
        <v>1204</v>
      </c>
      <c r="G2610" s="7" t="s">
        <v>1952</v>
      </c>
      <c r="H2610" s="9" t="s">
        <v>2981</v>
      </c>
      <c r="I2610" t="s">
        <v>4017</v>
      </c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 t="str">
        <f t="shared" si="1"/>
        <v>Land area </v>
      </c>
      <c r="AE2610" s="7" t="str">
        <f t="shared" si="2"/>
        <v> sq. ft.</v>
      </c>
      <c r="AF2610">
        <f>IFERROR(__xludf.DUMMYFUNCTION("VALUE(REGEXREPLACE(G2610,""[^[:digit:]]"", """"))"),9375.0)</f>
        <v>9375</v>
      </c>
      <c r="AG2610" s="7"/>
      <c r="AH2610" s="7"/>
      <c r="AI2610" s="7"/>
      <c r="AJ2610" s="7"/>
      <c r="AK2610" s="7"/>
      <c r="AL2610" s="7"/>
      <c r="AM2610" s="7"/>
      <c r="AN2610" s="7"/>
      <c r="AO2610" s="7"/>
      <c r="AP2610" s="7"/>
      <c r="AQ2610" s="7"/>
      <c r="AR2610" s="7"/>
    </row>
    <row r="2611">
      <c r="A2611" s="7" t="s">
        <v>358</v>
      </c>
      <c r="B2611" s="7" t="s">
        <v>346</v>
      </c>
      <c r="C2611" s="7">
        <f>2</f>
        <v>2</v>
      </c>
      <c r="D2611" s="7">
        <v>2.0</v>
      </c>
      <c r="E2611" s="7">
        <v>2.0</v>
      </c>
      <c r="F2611" s="7" t="s">
        <v>93</v>
      </c>
      <c r="G2611" s="7" t="s">
        <v>1686</v>
      </c>
      <c r="H2611" s="9" t="s">
        <v>2979</v>
      </c>
      <c r="I2611" t="s">
        <v>3856</v>
      </c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 t="str">
        <f t="shared" si="1"/>
        <v>Built-up :</v>
      </c>
      <c r="AE2611" s="7" t="str">
        <f t="shared" si="2"/>
        <v> sq. ft.</v>
      </c>
      <c r="AF2611">
        <f>IFERROR(__xludf.DUMMYFUNCTION("VALUE(REGEXREPLACE(G2611,""[^[:digit:]]"", """"))"),1021.0)</f>
        <v>1021</v>
      </c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7"/>
      <c r="AR2611" s="7"/>
      <c r="AS2611" s="7" t="s">
        <v>27</v>
      </c>
    </row>
    <row r="2612">
      <c r="A2612" s="7" t="s">
        <v>28</v>
      </c>
      <c r="B2612" s="7" t="s">
        <v>1953</v>
      </c>
      <c r="C2612" s="7">
        <f>3+1</f>
        <v>4</v>
      </c>
      <c r="D2612" s="7">
        <v>5.0</v>
      </c>
      <c r="E2612" s="7">
        <v>2.0</v>
      </c>
      <c r="F2612" s="7" t="s">
        <v>30</v>
      </c>
      <c r="G2612" s="7" t="s">
        <v>97</v>
      </c>
      <c r="H2612" s="9" t="s">
        <v>2979</v>
      </c>
      <c r="I2612" t="s">
        <v>3005</v>
      </c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 t="str">
        <f t="shared" si="1"/>
        <v>Built-up :</v>
      </c>
      <c r="AE2612" s="7" t="str">
        <f t="shared" si="2"/>
        <v> sq. ft.</v>
      </c>
      <c r="AF2612">
        <f>IFERROR(__xludf.DUMMYFUNCTION("VALUE(REGEXREPLACE(G2612,""[^[:digit:]]"", """"))"),1876.0)</f>
        <v>1876</v>
      </c>
      <c r="AG2612" s="7"/>
      <c r="AH2612" s="7"/>
      <c r="AI2612" s="7"/>
      <c r="AJ2612" s="7"/>
      <c r="AK2612" s="7"/>
      <c r="AL2612" s="7"/>
      <c r="AM2612" s="7"/>
      <c r="AN2612" s="7"/>
      <c r="AO2612" s="7"/>
      <c r="AP2612" s="7"/>
      <c r="AQ2612" s="7"/>
      <c r="AR2612" s="7"/>
      <c r="AS2612" s="7" t="s">
        <v>27</v>
      </c>
    </row>
    <row r="2613">
      <c r="A2613" s="7" t="s">
        <v>72</v>
      </c>
      <c r="B2613" s="7" t="s">
        <v>24</v>
      </c>
      <c r="E2613" s="9">
        <v>2.0</v>
      </c>
      <c r="F2613" s="7" t="s">
        <v>667</v>
      </c>
      <c r="G2613" s="7" t="s">
        <v>1954</v>
      </c>
      <c r="H2613" s="9" t="s">
        <v>2981</v>
      </c>
      <c r="I2613" t="s">
        <v>4018</v>
      </c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 t="str">
        <f t="shared" si="1"/>
        <v>Land area </v>
      </c>
      <c r="AE2613" s="7" t="str">
        <f t="shared" si="2"/>
        <v> sq. ft.</v>
      </c>
      <c r="AF2613">
        <f>IFERROR(__xludf.DUMMYFUNCTION("VALUE(REGEXREPLACE(G2613,""[^[:digit:]]"", """"))"),9800.0)</f>
        <v>9800</v>
      </c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7"/>
      <c r="AR2613" s="7"/>
    </row>
    <row r="2614">
      <c r="A2614" s="7" t="s">
        <v>17</v>
      </c>
      <c r="B2614" s="7" t="s">
        <v>281</v>
      </c>
      <c r="C2614" s="7">
        <f t="shared" ref="C2614:C2615" si="346">3+1</f>
        <v>4</v>
      </c>
      <c r="D2614" s="7">
        <v>5.0</v>
      </c>
      <c r="E2614" s="7">
        <v>3.0</v>
      </c>
      <c r="F2614" s="7" t="s">
        <v>83</v>
      </c>
      <c r="G2614" s="7" t="s">
        <v>1421</v>
      </c>
      <c r="H2614" s="9" t="s">
        <v>2979</v>
      </c>
      <c r="I2614" t="s">
        <v>3702</v>
      </c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 t="str">
        <f t="shared" si="1"/>
        <v>Built-up :</v>
      </c>
      <c r="AE2614" s="7" t="str">
        <f t="shared" si="2"/>
        <v> sq. ft.</v>
      </c>
      <c r="AF2614">
        <f>IFERROR(__xludf.DUMMYFUNCTION("VALUE(REGEXREPLACE(G2614,""[^[:digit:]]"", """"))"),3109.0)</f>
        <v>3109</v>
      </c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7"/>
      <c r="AR2614" s="7"/>
      <c r="AS2614" s="7" t="s">
        <v>27</v>
      </c>
    </row>
    <row r="2615">
      <c r="A2615" s="7" t="s">
        <v>32</v>
      </c>
      <c r="B2615" s="7" t="s">
        <v>1098</v>
      </c>
      <c r="C2615" s="7">
        <f t="shared" si="346"/>
        <v>4</v>
      </c>
      <c r="D2615" s="7">
        <v>3.0</v>
      </c>
      <c r="E2615" s="9">
        <v>2.0</v>
      </c>
      <c r="F2615" s="7" t="s">
        <v>83</v>
      </c>
      <c r="G2615" s="7" t="s">
        <v>726</v>
      </c>
      <c r="H2615" s="9" t="s">
        <v>2979</v>
      </c>
      <c r="I2615" t="s">
        <v>3304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 t="str">
        <f t="shared" si="1"/>
        <v>Built-up :</v>
      </c>
      <c r="AE2615" s="7" t="str">
        <f t="shared" si="2"/>
        <v> sq. ft.</v>
      </c>
      <c r="AF2615">
        <f>IFERROR(__xludf.DUMMYFUNCTION("VALUE(REGEXREPLACE(G2615,""[^[:digit:]]"", """"))"),1700.0)</f>
        <v>1700</v>
      </c>
      <c r="AG2615" s="7"/>
      <c r="AH2615" s="7"/>
      <c r="AI2615" s="7"/>
      <c r="AJ2615" s="7"/>
      <c r="AK2615" s="7"/>
      <c r="AL2615" s="7"/>
      <c r="AM2615" s="7"/>
      <c r="AN2615" s="7"/>
      <c r="AO2615" s="7"/>
      <c r="AP2615" s="7"/>
      <c r="AQ2615" s="7"/>
      <c r="AR2615" s="7"/>
      <c r="AS2615" s="7" t="s">
        <v>27</v>
      </c>
    </row>
    <row r="2616">
      <c r="A2616" s="7" t="s">
        <v>32</v>
      </c>
      <c r="B2616" s="7" t="s">
        <v>311</v>
      </c>
      <c r="C2616" s="7">
        <f>2</f>
        <v>2</v>
      </c>
      <c r="D2616" s="7">
        <v>2.0</v>
      </c>
      <c r="E2616" s="7">
        <v>1.0</v>
      </c>
      <c r="F2616" s="7" t="s">
        <v>20</v>
      </c>
      <c r="G2616" s="7" t="s">
        <v>323</v>
      </c>
      <c r="H2616" s="9" t="s">
        <v>2979</v>
      </c>
      <c r="I2616" t="s">
        <v>3108</v>
      </c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 t="str">
        <f t="shared" si="1"/>
        <v>Built-up :</v>
      </c>
      <c r="AE2616" s="7" t="str">
        <f t="shared" si="2"/>
        <v> sq. ft.</v>
      </c>
      <c r="AF2616">
        <f>IFERROR(__xludf.DUMMYFUNCTION("VALUE(REGEXREPLACE(G2616,""[^[:digit:]]"", """"))"),915.0)</f>
        <v>915</v>
      </c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7"/>
      <c r="AR2616" s="7"/>
      <c r="AS2616" s="7" t="s">
        <v>22</v>
      </c>
    </row>
    <row r="2617">
      <c r="A2617" s="7" t="s">
        <v>33</v>
      </c>
      <c r="B2617" s="7" t="s">
        <v>268</v>
      </c>
      <c r="C2617" s="7">
        <f>4</f>
        <v>4</v>
      </c>
      <c r="D2617" s="7">
        <v>4.0</v>
      </c>
      <c r="E2617" s="7">
        <v>1.0</v>
      </c>
      <c r="F2617" s="7" t="s">
        <v>83</v>
      </c>
      <c r="G2617" s="7" t="s">
        <v>1955</v>
      </c>
      <c r="H2617" s="9" t="s">
        <v>2979</v>
      </c>
      <c r="I2617" t="s">
        <v>4019</v>
      </c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 t="str">
        <f t="shared" si="1"/>
        <v>Built-up :</v>
      </c>
      <c r="AE2617" s="7" t="str">
        <f t="shared" si="2"/>
        <v> sq. ft.</v>
      </c>
      <c r="AF2617">
        <f>IFERROR(__xludf.DUMMYFUNCTION("VALUE(REGEXREPLACE(G2617,""[^[:digit:]]"", """"))"),1424.0)</f>
        <v>1424</v>
      </c>
      <c r="AG2617" s="7"/>
      <c r="AH2617" s="7"/>
      <c r="AI2617" s="7"/>
      <c r="AJ2617" s="7"/>
      <c r="AK2617" s="7"/>
      <c r="AL2617" s="7"/>
      <c r="AM2617" s="7"/>
      <c r="AN2617" s="7"/>
      <c r="AO2617" s="7"/>
      <c r="AP2617" s="7"/>
      <c r="AQ2617" s="7"/>
      <c r="AR2617" s="7"/>
      <c r="AS2617" s="7" t="s">
        <v>22</v>
      </c>
    </row>
    <row r="2618">
      <c r="A2618" s="7" t="s">
        <v>33</v>
      </c>
      <c r="B2618" s="7" t="s">
        <v>1892</v>
      </c>
      <c r="C2618" s="7">
        <f>3</f>
        <v>3</v>
      </c>
      <c r="D2618" s="7">
        <v>2.0</v>
      </c>
      <c r="E2618" s="7">
        <v>1.0</v>
      </c>
      <c r="F2618" s="7" t="s">
        <v>83</v>
      </c>
      <c r="G2618" s="7" t="s">
        <v>1956</v>
      </c>
      <c r="H2618" s="9" t="s">
        <v>2979</v>
      </c>
      <c r="I2618" t="s">
        <v>4020</v>
      </c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 t="str">
        <f t="shared" si="1"/>
        <v>Built-up :</v>
      </c>
      <c r="AE2618" s="7" t="str">
        <f t="shared" si="2"/>
        <v> sq. ft.</v>
      </c>
      <c r="AF2618">
        <f>IFERROR(__xludf.DUMMYFUNCTION("VALUE(REGEXREPLACE(G2618,""[^[:digit:]]"", """"))"),1242.0)</f>
        <v>1242</v>
      </c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7"/>
      <c r="AR2618" s="7"/>
      <c r="AS2618" s="7" t="s">
        <v>22</v>
      </c>
    </row>
    <row r="2619">
      <c r="A2619" s="7" t="s">
        <v>33</v>
      </c>
      <c r="B2619" s="7" t="s">
        <v>1166</v>
      </c>
      <c r="C2619" s="7">
        <f>3+1</f>
        <v>4</v>
      </c>
      <c r="D2619" s="7">
        <v>3.0</v>
      </c>
      <c r="E2619" s="7">
        <v>2.0</v>
      </c>
      <c r="F2619" s="7" t="s">
        <v>83</v>
      </c>
      <c r="G2619" s="7" t="s">
        <v>1132</v>
      </c>
      <c r="H2619" s="9" t="s">
        <v>2979</v>
      </c>
      <c r="I2619" t="s">
        <v>3525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 t="str">
        <f t="shared" si="1"/>
        <v>Built-up :</v>
      </c>
      <c r="AE2619" s="7" t="str">
        <f t="shared" si="2"/>
        <v> sq. ft.</v>
      </c>
      <c r="AF2619">
        <f>IFERROR(__xludf.DUMMYFUNCTION("VALUE(REGEXREPLACE(G2619,""[^[:digit:]]"", """"))"),1600.0)</f>
        <v>1600</v>
      </c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7"/>
      <c r="AR2619" s="7"/>
      <c r="AS2619" s="7" t="s">
        <v>22</v>
      </c>
    </row>
    <row r="2620">
      <c r="A2620" s="7" t="s">
        <v>33</v>
      </c>
      <c r="B2620" s="7" t="s">
        <v>361</v>
      </c>
      <c r="C2620" s="7">
        <f t="shared" ref="C2620:C2621" si="347">3</f>
        <v>3</v>
      </c>
      <c r="D2620" s="7">
        <v>3.0</v>
      </c>
      <c r="E2620" s="7">
        <v>2.0</v>
      </c>
      <c r="F2620" s="7" t="s">
        <v>30</v>
      </c>
      <c r="G2620" s="7" t="s">
        <v>1156</v>
      </c>
      <c r="H2620" s="9" t="s">
        <v>2979</v>
      </c>
      <c r="I2620" t="s">
        <v>3545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 t="str">
        <f t="shared" si="1"/>
        <v>Built-up :</v>
      </c>
      <c r="AE2620" s="7" t="str">
        <f t="shared" si="2"/>
        <v> sq. ft.</v>
      </c>
      <c r="AF2620">
        <f>IFERROR(__xludf.DUMMYFUNCTION("VALUE(REGEXREPLACE(G2620,""[^[:digit:]]"", """"))"),1003.0)</f>
        <v>1003</v>
      </c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7"/>
      <c r="AR2620" s="7"/>
    </row>
    <row r="2621">
      <c r="A2621" s="7" t="s">
        <v>72</v>
      </c>
      <c r="B2621" s="7" t="s">
        <v>1957</v>
      </c>
      <c r="C2621" s="7">
        <f t="shared" si="347"/>
        <v>3</v>
      </c>
      <c r="D2621" s="7">
        <v>2.0</v>
      </c>
      <c r="E2621" s="7">
        <v>1.0</v>
      </c>
      <c r="F2621" s="7" t="s">
        <v>93</v>
      </c>
      <c r="G2621" s="7" t="s">
        <v>1381</v>
      </c>
      <c r="H2621" s="9" t="s">
        <v>2979</v>
      </c>
      <c r="I2621" t="s">
        <v>3682</v>
      </c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 t="str">
        <f t="shared" si="1"/>
        <v>Built-up :</v>
      </c>
      <c r="AE2621" s="7" t="str">
        <f t="shared" si="2"/>
        <v> sq. ft.</v>
      </c>
      <c r="AF2621">
        <f>IFERROR(__xludf.DUMMYFUNCTION("VALUE(REGEXREPLACE(G2621,""[^[:digit:]]"", """"))"),1228.0)</f>
        <v>1228</v>
      </c>
      <c r="AG2621" s="7"/>
      <c r="AH2621" s="7"/>
      <c r="AI2621" s="7"/>
      <c r="AJ2621" s="7"/>
      <c r="AK2621" s="7"/>
      <c r="AL2621" s="7"/>
      <c r="AM2621" s="7"/>
      <c r="AN2621" s="7"/>
      <c r="AO2621" s="7"/>
      <c r="AP2621" s="7"/>
      <c r="AQ2621" s="7"/>
      <c r="AR2621" s="7"/>
      <c r="AS2621" s="7" t="s">
        <v>27</v>
      </c>
    </row>
    <row r="2622">
      <c r="A2622" s="7" t="s">
        <v>37</v>
      </c>
      <c r="B2622" s="7" t="s">
        <v>605</v>
      </c>
      <c r="C2622" s="7">
        <f>4</f>
        <v>4</v>
      </c>
      <c r="D2622" s="7">
        <v>3.0</v>
      </c>
      <c r="E2622" s="9">
        <v>2.0</v>
      </c>
      <c r="F2622" s="7" t="s">
        <v>54</v>
      </c>
      <c r="G2622" s="7" t="s">
        <v>1958</v>
      </c>
      <c r="H2622" s="9" t="s">
        <v>2981</v>
      </c>
      <c r="I2622" t="s">
        <v>4021</v>
      </c>
      <c r="J2622" s="7"/>
      <c r="K2622" s="7"/>
      <c r="L2622" s="7"/>
      <c r="M2622" s="7"/>
      <c r="N2622" s="7"/>
      <c r="O2622" s="7"/>
      <c r="P2622" s="7"/>
      <c r="Q2622" s="7"/>
      <c r="R2622" s="7"/>
      <c r="S2622" s="7" t="s">
        <v>3101</v>
      </c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 t="str">
        <f t="shared" si="1"/>
        <v>Land area </v>
      </c>
      <c r="AE2622" s="7" t="str">
        <f t="shared" si="2"/>
        <v> sq. ft.</v>
      </c>
      <c r="AF2622">
        <f>IFERROR(__xludf.DUMMYFUNCTION("VALUE(REGEXREPLACE(G2622,""[^[:digit:]]"", """"))"),2085.0)</f>
        <v>2085</v>
      </c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7"/>
      <c r="AR2622" s="7"/>
      <c r="AS2622" s="7" t="s">
        <v>103</v>
      </c>
    </row>
    <row r="2623">
      <c r="A2623" s="7" t="s">
        <v>48</v>
      </c>
      <c r="B2623" s="7" t="s">
        <v>1265</v>
      </c>
      <c r="C2623" s="7">
        <f>2</f>
        <v>2</v>
      </c>
      <c r="D2623" s="7">
        <v>1.0</v>
      </c>
      <c r="E2623" s="9">
        <v>2.0</v>
      </c>
      <c r="F2623" s="7" t="s">
        <v>54</v>
      </c>
      <c r="G2623" s="7" t="s">
        <v>1959</v>
      </c>
      <c r="H2623" s="9" t="s">
        <v>2981</v>
      </c>
      <c r="I2623" t="s">
        <v>3074</v>
      </c>
      <c r="J2623" s="7"/>
      <c r="K2623" s="7"/>
      <c r="L2623" s="7"/>
      <c r="M2623" s="7"/>
      <c r="N2623" s="7"/>
      <c r="O2623" s="7"/>
      <c r="P2623" s="7"/>
      <c r="Q2623" s="7"/>
      <c r="R2623" s="7"/>
      <c r="S2623" s="7" t="s">
        <v>3009</v>
      </c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 t="str">
        <f t="shared" si="1"/>
        <v>Land area </v>
      </c>
      <c r="AE2623" s="7" t="str">
        <f t="shared" si="2"/>
        <v> sq. ft.</v>
      </c>
      <c r="AF2623">
        <f>IFERROR(__xludf.DUMMYFUNCTION("VALUE(REGEXREPLACE(G2623,""[^[:digit:]]"", """"))"),1555.0)</f>
        <v>1555</v>
      </c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7"/>
      <c r="AR2623" s="7"/>
      <c r="AS2623" s="7" t="s">
        <v>103</v>
      </c>
    </row>
    <row r="2624">
      <c r="A2624" s="7" t="s">
        <v>1960</v>
      </c>
      <c r="B2624" s="7" t="s">
        <v>953</v>
      </c>
      <c r="C2624" s="7">
        <f>3</f>
        <v>3</v>
      </c>
      <c r="D2624" s="7">
        <v>2.0</v>
      </c>
      <c r="E2624" s="9">
        <v>2.0</v>
      </c>
      <c r="F2624" s="7" t="s">
        <v>1378</v>
      </c>
      <c r="G2624" s="7" t="s">
        <v>1961</v>
      </c>
      <c r="H2624" s="9" t="s">
        <v>2981</v>
      </c>
      <c r="I2624" t="s">
        <v>4022</v>
      </c>
      <c r="J2624" s="7"/>
      <c r="K2624" s="7"/>
      <c r="L2624" s="7"/>
      <c r="M2624" s="7"/>
      <c r="N2624" s="7"/>
      <c r="O2624" s="7"/>
      <c r="P2624" s="7"/>
      <c r="Q2624" s="7"/>
      <c r="R2624" s="7"/>
      <c r="S2624" s="7" t="s">
        <v>3298</v>
      </c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 t="str">
        <f t="shared" si="1"/>
        <v>Land area </v>
      </c>
      <c r="AE2624" s="7" t="str">
        <f t="shared" si="2"/>
        <v> sq. ft.</v>
      </c>
      <c r="AF2624">
        <f>IFERROR(__xludf.DUMMYFUNCTION("VALUE(REGEXREPLACE(G2624,""[^[:digit:]]"", """"))"),4265.0)</f>
        <v>4265</v>
      </c>
      <c r="AG2624" s="7"/>
      <c r="AH2624" s="7"/>
      <c r="AI2624" s="7"/>
      <c r="AJ2624" s="7"/>
      <c r="AK2624" s="7"/>
      <c r="AL2624" s="7"/>
      <c r="AM2624" s="7"/>
      <c r="AN2624" s="7"/>
      <c r="AO2624" s="7"/>
      <c r="AP2624" s="7"/>
      <c r="AQ2624" s="7"/>
      <c r="AR2624" s="7"/>
      <c r="AS2624" s="7" t="s">
        <v>27</v>
      </c>
    </row>
    <row r="2625">
      <c r="A2625" s="7" t="s">
        <v>188</v>
      </c>
      <c r="B2625" s="7" t="s">
        <v>967</v>
      </c>
      <c r="C2625" s="7">
        <f t="shared" ref="C2625:C2626" si="348">1</f>
        <v>1</v>
      </c>
      <c r="D2625" s="7">
        <v>1.0</v>
      </c>
      <c r="E2625" s="9">
        <v>2.0</v>
      </c>
      <c r="F2625" s="7" t="s">
        <v>385</v>
      </c>
      <c r="G2625" s="7" t="s">
        <v>1962</v>
      </c>
      <c r="H2625" s="9" t="s">
        <v>2981</v>
      </c>
      <c r="I2625" t="s">
        <v>3411</v>
      </c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 t="str">
        <f t="shared" si="1"/>
        <v>Land area </v>
      </c>
      <c r="AE2625" s="7" t="str">
        <f t="shared" si="2"/>
        <v> sq. ft.</v>
      </c>
      <c r="AF2625">
        <f>IFERROR(__xludf.DUMMYFUNCTION("VALUE(REGEXREPLACE(G2625,""[^[:digit:]]"", """"))"),624.0)</f>
        <v>624</v>
      </c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7"/>
      <c r="AR2625" s="7"/>
      <c r="AS2625" s="7" t="s">
        <v>22</v>
      </c>
    </row>
    <row r="2626">
      <c r="A2626" s="7" t="s">
        <v>100</v>
      </c>
      <c r="B2626" s="7" t="s">
        <v>510</v>
      </c>
      <c r="C2626" s="7">
        <f t="shared" si="348"/>
        <v>1</v>
      </c>
      <c r="D2626" s="7">
        <v>1.0</v>
      </c>
      <c r="E2626" s="7">
        <v>1.0</v>
      </c>
      <c r="F2626" s="7" t="s">
        <v>938</v>
      </c>
      <c r="G2626" s="7" t="s">
        <v>786</v>
      </c>
      <c r="H2626" s="9" t="s">
        <v>2979</v>
      </c>
      <c r="I2626" t="s">
        <v>3339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 t="str">
        <f t="shared" si="1"/>
        <v>Built-up :</v>
      </c>
      <c r="AE2626" s="7" t="str">
        <f t="shared" si="2"/>
        <v> sq. ft.</v>
      </c>
      <c r="AF2626">
        <f>IFERROR(__xludf.DUMMYFUNCTION("VALUE(REGEXREPLACE(G2626,""[^[:digit:]]"", """"))"),775.0)</f>
        <v>775</v>
      </c>
      <c r="AG2626" s="7"/>
      <c r="AH2626" s="7"/>
      <c r="AI2626" s="7"/>
      <c r="AJ2626" s="7"/>
      <c r="AK2626" s="7"/>
      <c r="AL2626" s="7"/>
      <c r="AM2626" s="7"/>
      <c r="AN2626" s="7"/>
      <c r="AO2626" s="7"/>
      <c r="AP2626" s="7"/>
      <c r="AQ2626" s="7"/>
      <c r="AR2626" s="7"/>
      <c r="AS2626" s="7" t="s">
        <v>27</v>
      </c>
    </row>
    <row r="2627">
      <c r="A2627" s="7" t="s">
        <v>104</v>
      </c>
      <c r="B2627" s="7" t="s">
        <v>761</v>
      </c>
      <c r="C2627" s="7">
        <f>3+1</f>
        <v>4</v>
      </c>
      <c r="D2627" s="7">
        <v>2.0</v>
      </c>
      <c r="E2627" s="9">
        <v>2.0</v>
      </c>
      <c r="F2627" s="7" t="s">
        <v>1185</v>
      </c>
      <c r="G2627" s="7" t="s">
        <v>471</v>
      </c>
      <c r="H2627" s="9" t="s">
        <v>2979</v>
      </c>
      <c r="I2627" t="s">
        <v>3179</v>
      </c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 t="str">
        <f t="shared" si="1"/>
        <v>Built-up :</v>
      </c>
      <c r="AE2627" s="7" t="str">
        <f t="shared" si="2"/>
        <v> sq. ft.</v>
      </c>
      <c r="AF2627">
        <f>IFERROR(__xludf.DUMMYFUNCTION("VALUE(REGEXREPLACE(G2627,""[^[:digit:]]"", """"))"),1400.0)</f>
        <v>1400</v>
      </c>
      <c r="AG2627" s="7"/>
      <c r="AH2627" s="7"/>
      <c r="AI2627" s="7"/>
      <c r="AJ2627" s="7"/>
      <c r="AK2627" s="7"/>
      <c r="AL2627" s="7"/>
      <c r="AM2627" s="7"/>
      <c r="AN2627" s="7"/>
      <c r="AO2627" s="7"/>
      <c r="AP2627" s="7"/>
      <c r="AQ2627" s="7"/>
      <c r="AR2627" s="7"/>
    </row>
    <row r="2628">
      <c r="A2628" s="7" t="s">
        <v>188</v>
      </c>
      <c r="B2628" s="7" t="s">
        <v>407</v>
      </c>
      <c r="C2628" s="7">
        <f>2</f>
        <v>2</v>
      </c>
      <c r="D2628" s="7">
        <v>1.0</v>
      </c>
      <c r="E2628" s="9">
        <v>2.0</v>
      </c>
      <c r="F2628" s="7" t="s">
        <v>121</v>
      </c>
      <c r="G2628" s="7" t="s">
        <v>1963</v>
      </c>
      <c r="H2628" s="9" t="s">
        <v>2981</v>
      </c>
      <c r="I2628" t="s">
        <v>4023</v>
      </c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 t="str">
        <f t="shared" si="1"/>
        <v>Land area </v>
      </c>
      <c r="AE2628" s="7" t="str">
        <f t="shared" si="2"/>
        <v> sq. ft.</v>
      </c>
      <c r="AF2628">
        <f>IFERROR(__xludf.DUMMYFUNCTION("VALUE(REGEXREPLACE(G2628,""[^[:digit:]]"", """"))"),829.0)</f>
        <v>829</v>
      </c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7"/>
      <c r="AR2628" s="7"/>
      <c r="AS2628" s="7" t="s">
        <v>22</v>
      </c>
    </row>
    <row r="2629">
      <c r="A2629" s="7" t="s">
        <v>428</v>
      </c>
      <c r="B2629" s="7" t="s">
        <v>221</v>
      </c>
      <c r="C2629" s="7">
        <f>1</f>
        <v>1</v>
      </c>
      <c r="D2629" s="7">
        <v>1.0</v>
      </c>
      <c r="E2629" s="7">
        <v>1.0</v>
      </c>
      <c r="F2629" s="7" t="s">
        <v>20</v>
      </c>
      <c r="G2629" s="7" t="s">
        <v>1964</v>
      </c>
      <c r="H2629" s="9" t="s">
        <v>2979</v>
      </c>
      <c r="I2629" t="s">
        <v>4024</v>
      </c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 t="str">
        <f t="shared" si="1"/>
        <v>Built-up :</v>
      </c>
      <c r="AE2629" s="7" t="str">
        <f t="shared" si="2"/>
        <v> sq. ft.</v>
      </c>
      <c r="AF2629">
        <f>IFERROR(__xludf.DUMMYFUNCTION("VALUE(REGEXREPLACE(G2629,""[^[:digit:]]"", """"))"),705.0)</f>
        <v>705</v>
      </c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7"/>
      <c r="AR2629" s="7"/>
      <c r="AS2629" s="7" t="s">
        <v>22</v>
      </c>
    </row>
    <row r="2630">
      <c r="A2630" s="7" t="s">
        <v>32</v>
      </c>
      <c r="B2630" s="7" t="s">
        <v>1678</v>
      </c>
      <c r="C2630" s="7">
        <f>4</f>
        <v>4</v>
      </c>
      <c r="D2630" s="7">
        <v>3.0</v>
      </c>
      <c r="E2630" s="7">
        <v>2.0</v>
      </c>
      <c r="F2630" s="7" t="s">
        <v>54</v>
      </c>
      <c r="G2630" s="7" t="s">
        <v>55</v>
      </c>
      <c r="H2630" s="9" t="s">
        <v>2981</v>
      </c>
      <c r="I2630" t="s">
        <v>2992</v>
      </c>
      <c r="J2630" s="7"/>
      <c r="K2630" s="7"/>
      <c r="L2630" s="7"/>
      <c r="M2630" s="7"/>
      <c r="N2630" s="7"/>
      <c r="O2630" s="7"/>
      <c r="P2630" s="7"/>
      <c r="Q2630" s="7"/>
      <c r="R2630" s="7"/>
      <c r="S2630" s="7" t="s">
        <v>2993</v>
      </c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 t="str">
        <f t="shared" si="1"/>
        <v>Land area </v>
      </c>
      <c r="AE2630" s="7" t="str">
        <f t="shared" si="2"/>
        <v> sq. ft.</v>
      </c>
      <c r="AF2630" s="7">
        <v>1760.0</v>
      </c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7"/>
      <c r="AR2630" s="7"/>
      <c r="AS2630" s="7" t="s">
        <v>27</v>
      </c>
    </row>
    <row r="2631">
      <c r="A2631" s="7" t="s">
        <v>72</v>
      </c>
      <c r="B2631" s="7" t="s">
        <v>110</v>
      </c>
      <c r="C2631" s="7">
        <f>4+1</f>
        <v>5</v>
      </c>
      <c r="D2631" s="7">
        <v>5.0</v>
      </c>
      <c r="E2631" s="7">
        <v>3.0</v>
      </c>
      <c r="F2631" s="7" t="s">
        <v>83</v>
      </c>
      <c r="G2631" s="7" t="s">
        <v>431</v>
      </c>
      <c r="H2631" s="9" t="s">
        <v>2979</v>
      </c>
      <c r="I2631" t="s">
        <v>3159</v>
      </c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 t="str">
        <f t="shared" si="1"/>
        <v>Built-up :</v>
      </c>
      <c r="AE2631" s="7" t="str">
        <f t="shared" si="2"/>
        <v> sq. ft.</v>
      </c>
      <c r="AF2631">
        <f>IFERROR(__xludf.DUMMYFUNCTION("VALUE(REGEXREPLACE(G2631,""[^[:digit:]]"", """"))"),2906.0)</f>
        <v>2906</v>
      </c>
      <c r="AG2631" s="7"/>
      <c r="AH2631" s="7"/>
      <c r="AI2631" s="7"/>
      <c r="AJ2631" s="7"/>
      <c r="AK2631" s="7"/>
      <c r="AL2631" s="7"/>
      <c r="AM2631" s="7"/>
      <c r="AN2631" s="7"/>
      <c r="AO2631" s="7"/>
      <c r="AP2631" s="7"/>
      <c r="AQ2631" s="7"/>
      <c r="AR2631" s="7"/>
    </row>
    <row r="2632">
      <c r="A2632" s="7" t="s">
        <v>267</v>
      </c>
      <c r="B2632" s="7" t="s">
        <v>172</v>
      </c>
      <c r="C2632" s="7">
        <f>2</f>
        <v>2</v>
      </c>
      <c r="D2632" s="7">
        <v>2.0</v>
      </c>
      <c r="E2632" s="7">
        <v>1.0</v>
      </c>
      <c r="F2632" s="7" t="s">
        <v>93</v>
      </c>
      <c r="G2632" s="7" t="s">
        <v>1965</v>
      </c>
      <c r="H2632" s="9" t="s">
        <v>2979</v>
      </c>
      <c r="I2632" t="s">
        <v>4025</v>
      </c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 t="str">
        <f t="shared" si="1"/>
        <v>Built-up :</v>
      </c>
      <c r="AE2632" s="7" t="str">
        <f t="shared" si="2"/>
        <v> sq. ft.</v>
      </c>
      <c r="AF2632">
        <f>IFERROR(__xludf.DUMMYFUNCTION("VALUE(REGEXREPLACE(G2632,""[^[:digit:]]"", """"))"),968.0)</f>
        <v>968</v>
      </c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7"/>
      <c r="AR2632" s="7"/>
      <c r="AS2632" s="7" t="s">
        <v>22</v>
      </c>
    </row>
    <row r="2633">
      <c r="A2633" s="7" t="s">
        <v>32</v>
      </c>
      <c r="B2633" s="7" t="s">
        <v>1966</v>
      </c>
      <c r="C2633" s="7">
        <f>3</f>
        <v>3</v>
      </c>
      <c r="D2633" s="7">
        <v>2.0</v>
      </c>
      <c r="E2633" s="7">
        <v>1.0</v>
      </c>
      <c r="F2633" s="7" t="s">
        <v>83</v>
      </c>
      <c r="G2633" s="7" t="s">
        <v>734</v>
      </c>
      <c r="H2633" s="9" t="s">
        <v>2979</v>
      </c>
      <c r="I2633" t="s">
        <v>3308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 t="str">
        <f t="shared" si="1"/>
        <v>Built-up :</v>
      </c>
      <c r="AE2633" s="7" t="str">
        <f t="shared" si="2"/>
        <v> sq. ft.</v>
      </c>
      <c r="AF2633">
        <f>IFERROR(__xludf.DUMMYFUNCTION("VALUE(REGEXREPLACE(G2633,""[^[:digit:]]"", """"))"),1100.0)</f>
        <v>1100</v>
      </c>
      <c r="AG2633" s="7"/>
      <c r="AH2633" s="7"/>
      <c r="AI2633" s="7"/>
      <c r="AJ2633" s="7"/>
      <c r="AK2633" s="7"/>
      <c r="AL2633" s="7"/>
      <c r="AM2633" s="7"/>
      <c r="AN2633" s="7"/>
      <c r="AO2633" s="7"/>
      <c r="AP2633" s="7"/>
      <c r="AQ2633" s="7"/>
      <c r="AR2633" s="7"/>
      <c r="AS2633" s="7" t="s">
        <v>27</v>
      </c>
    </row>
    <row r="2634">
      <c r="A2634" s="7" t="s">
        <v>428</v>
      </c>
      <c r="B2634" s="7" t="s">
        <v>138</v>
      </c>
      <c r="C2634" s="7">
        <f t="shared" ref="C2634:C2635" si="349">4+1</f>
        <v>5</v>
      </c>
      <c r="D2634" s="7">
        <v>5.0</v>
      </c>
      <c r="E2634" s="7">
        <v>2.0</v>
      </c>
      <c r="F2634" s="7" t="s">
        <v>93</v>
      </c>
      <c r="G2634" s="7" t="s">
        <v>483</v>
      </c>
      <c r="H2634" s="9" t="s">
        <v>2979</v>
      </c>
      <c r="I2634" t="s">
        <v>3185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 t="str">
        <f t="shared" si="1"/>
        <v>Built-up :</v>
      </c>
      <c r="AE2634" s="7" t="str">
        <f t="shared" si="2"/>
        <v> sq. ft.</v>
      </c>
      <c r="AF2634">
        <f>IFERROR(__xludf.DUMMYFUNCTION("VALUE(REGEXREPLACE(G2634,""[^[:digit:]]"", """"))"),2300.0)</f>
        <v>2300</v>
      </c>
      <c r="AG2634" s="7"/>
      <c r="AH2634" s="7"/>
      <c r="AI2634" s="7"/>
      <c r="AJ2634" s="7"/>
      <c r="AK2634" s="7"/>
      <c r="AL2634" s="7"/>
      <c r="AM2634" s="7"/>
      <c r="AN2634" s="7"/>
      <c r="AO2634" s="7"/>
      <c r="AP2634" s="7"/>
      <c r="AQ2634" s="7"/>
      <c r="AR2634" s="7"/>
      <c r="AS2634" s="7" t="s">
        <v>27</v>
      </c>
    </row>
    <row r="2635">
      <c r="A2635" s="7" t="s">
        <v>32</v>
      </c>
      <c r="B2635" s="7" t="s">
        <v>229</v>
      </c>
      <c r="C2635" s="7">
        <f t="shared" si="349"/>
        <v>5</v>
      </c>
      <c r="D2635" s="7">
        <v>4.0</v>
      </c>
      <c r="E2635" s="7">
        <v>3.0</v>
      </c>
      <c r="F2635" s="7" t="s">
        <v>64</v>
      </c>
      <c r="G2635" s="7" t="s">
        <v>1967</v>
      </c>
      <c r="H2635" s="9" t="s">
        <v>2981</v>
      </c>
      <c r="I2635" t="s">
        <v>3610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 t="s">
        <v>2990</v>
      </c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 t="str">
        <f t="shared" si="1"/>
        <v>Land area </v>
      </c>
      <c r="AE2635" s="7" t="str">
        <f t="shared" si="2"/>
        <v> sq. ft.</v>
      </c>
      <c r="AF2635">
        <f>IFERROR(__xludf.DUMMYFUNCTION("VALUE(REGEXREPLACE(G2635,""[^[:digit:]]"", """"))"),3575.0)</f>
        <v>3575</v>
      </c>
      <c r="AG2635" s="7"/>
      <c r="AH2635" s="7"/>
      <c r="AI2635" s="7"/>
      <c r="AJ2635" s="7"/>
      <c r="AK2635" s="7"/>
      <c r="AL2635" s="7"/>
      <c r="AM2635" s="7"/>
      <c r="AN2635" s="7"/>
      <c r="AO2635" s="7"/>
      <c r="AP2635" s="7"/>
      <c r="AQ2635" s="7"/>
      <c r="AR2635" s="7"/>
      <c r="AS2635" s="7" t="s">
        <v>27</v>
      </c>
    </row>
    <row r="2636">
      <c r="A2636" s="7" t="s">
        <v>32</v>
      </c>
      <c r="B2636" s="7" t="s">
        <v>1968</v>
      </c>
      <c r="C2636" s="7">
        <f>3+1</f>
        <v>4</v>
      </c>
      <c r="D2636" s="7">
        <v>2.0</v>
      </c>
      <c r="E2636" s="7">
        <v>1.0</v>
      </c>
      <c r="F2636" s="7" t="s">
        <v>83</v>
      </c>
      <c r="G2636" s="7" t="s">
        <v>1677</v>
      </c>
      <c r="H2636" s="9" t="s">
        <v>2979</v>
      </c>
      <c r="I2636" t="s">
        <v>3850</v>
      </c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 t="str">
        <f t="shared" si="1"/>
        <v>Built-up :</v>
      </c>
      <c r="AE2636" s="7" t="str">
        <f t="shared" si="2"/>
        <v> sq. ft.</v>
      </c>
      <c r="AF2636">
        <f>IFERROR(__xludf.DUMMYFUNCTION("VALUE(REGEXREPLACE(G2636,""[^[:digit:]]"", """"))"),1142.0)</f>
        <v>1142</v>
      </c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7"/>
      <c r="AR2636" s="7"/>
    </row>
    <row r="2637">
      <c r="A2637" s="7" t="s">
        <v>32</v>
      </c>
      <c r="B2637" s="7" t="s">
        <v>1603</v>
      </c>
      <c r="C2637" s="7">
        <f>2+1</f>
        <v>3</v>
      </c>
      <c r="D2637" s="7">
        <v>2.0</v>
      </c>
      <c r="E2637" s="7">
        <v>1.0</v>
      </c>
      <c r="F2637" s="7" t="s">
        <v>93</v>
      </c>
      <c r="G2637" s="7" t="s">
        <v>786</v>
      </c>
      <c r="H2637" s="9" t="s">
        <v>2979</v>
      </c>
      <c r="I2637" t="s">
        <v>3339</v>
      </c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 t="str">
        <f t="shared" si="1"/>
        <v>Built-up :</v>
      </c>
      <c r="AE2637" s="7" t="str">
        <f t="shared" si="2"/>
        <v> sq. ft.</v>
      </c>
      <c r="AF2637">
        <f>IFERROR(__xludf.DUMMYFUNCTION("VALUE(REGEXREPLACE(G2637,""[^[:digit:]]"", """"))"),775.0)</f>
        <v>775</v>
      </c>
      <c r="AG2637" s="7"/>
      <c r="AH2637" s="7"/>
      <c r="AI2637" s="7"/>
      <c r="AJ2637" s="7"/>
      <c r="AK2637" s="7"/>
      <c r="AL2637" s="7"/>
      <c r="AM2637" s="7"/>
      <c r="AN2637" s="7"/>
      <c r="AO2637" s="7"/>
      <c r="AP2637" s="7"/>
      <c r="AQ2637" s="7"/>
      <c r="AR2637" s="7"/>
      <c r="AS2637" s="7" t="s">
        <v>103</v>
      </c>
    </row>
    <row r="2638">
      <c r="A2638" s="7" t="s">
        <v>432</v>
      </c>
      <c r="B2638" s="7" t="s">
        <v>966</v>
      </c>
      <c r="C2638" s="7">
        <f>2</f>
        <v>2</v>
      </c>
      <c r="D2638" s="7">
        <v>2.0</v>
      </c>
      <c r="E2638" s="9">
        <v>2.0</v>
      </c>
      <c r="F2638" s="7" t="s">
        <v>20</v>
      </c>
      <c r="G2638" s="7" t="s">
        <v>1969</v>
      </c>
      <c r="H2638" s="9" t="s">
        <v>2979</v>
      </c>
      <c r="I2638" t="s">
        <v>4026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 t="str">
        <f t="shared" si="1"/>
        <v>Built-up :</v>
      </c>
      <c r="AE2638" s="7" t="str">
        <f t="shared" si="2"/>
        <v> sq. ft.</v>
      </c>
      <c r="AF2638">
        <f>IFERROR(__xludf.DUMMYFUNCTION("VALUE(REGEXREPLACE(G2638,""[^[:digit:]]"", """"))"),955.0)</f>
        <v>955</v>
      </c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7"/>
      <c r="AR2638" s="7"/>
      <c r="AS2638" s="7" t="s">
        <v>22</v>
      </c>
    </row>
    <row r="2639">
      <c r="A2639" s="7" t="s">
        <v>171</v>
      </c>
      <c r="B2639" s="7" t="s">
        <v>761</v>
      </c>
      <c r="C2639" s="7">
        <f>3</f>
        <v>3</v>
      </c>
      <c r="D2639" s="7">
        <v>2.0</v>
      </c>
      <c r="E2639" s="7">
        <v>2.0</v>
      </c>
      <c r="F2639" s="7" t="s">
        <v>83</v>
      </c>
      <c r="G2639" s="7" t="s">
        <v>747</v>
      </c>
      <c r="H2639" s="9" t="s">
        <v>2979</v>
      </c>
      <c r="I2639" t="s">
        <v>3318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 t="str">
        <f t="shared" si="1"/>
        <v>Built-up :</v>
      </c>
      <c r="AE2639" s="7" t="str">
        <f t="shared" si="2"/>
        <v> sq. ft.</v>
      </c>
      <c r="AF2639">
        <f>IFERROR(__xludf.DUMMYFUNCTION("VALUE(REGEXREPLACE(G2639,""[^[:digit:]]"", """"))"),1000.0)</f>
        <v>1000</v>
      </c>
      <c r="AG2639" s="7"/>
      <c r="AH2639" s="7"/>
      <c r="AI2639" s="7"/>
      <c r="AJ2639" s="7"/>
      <c r="AK2639" s="7"/>
      <c r="AL2639" s="7"/>
      <c r="AM2639" s="7"/>
      <c r="AN2639" s="7"/>
      <c r="AO2639" s="7"/>
      <c r="AP2639" s="7"/>
      <c r="AQ2639" s="7"/>
      <c r="AR2639" s="7"/>
      <c r="AS2639" s="7" t="s">
        <v>103</v>
      </c>
    </row>
    <row r="2640">
      <c r="A2640" s="7" t="s">
        <v>104</v>
      </c>
      <c r="B2640" s="7" t="s">
        <v>18</v>
      </c>
      <c r="C2640" s="7">
        <f>4+1</f>
        <v>5</v>
      </c>
      <c r="D2640" s="7">
        <v>4.0</v>
      </c>
      <c r="E2640" s="7">
        <v>4.0</v>
      </c>
      <c r="F2640" s="7" t="s">
        <v>90</v>
      </c>
      <c r="G2640" s="7" t="s">
        <v>719</v>
      </c>
      <c r="H2640" s="9" t="s">
        <v>2981</v>
      </c>
      <c r="I2640" t="s">
        <v>3299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 t="s">
        <v>3101</v>
      </c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 t="str">
        <f t="shared" si="1"/>
        <v>Land area </v>
      </c>
      <c r="AE2640" s="7" t="str">
        <f t="shared" si="2"/>
        <v> sq. ft.</v>
      </c>
      <c r="AF2640">
        <f>IFERROR(__xludf.DUMMYFUNCTION("VALUE(REGEXREPLACE(G2640,""[^[:digit:]]"", """"))"),2285.0)</f>
        <v>2285</v>
      </c>
      <c r="AG2640" s="7"/>
      <c r="AH2640" s="7"/>
      <c r="AI2640" s="7"/>
      <c r="AJ2640" s="7"/>
      <c r="AK2640" s="7"/>
      <c r="AL2640" s="7"/>
      <c r="AM2640" s="7"/>
      <c r="AN2640" s="7"/>
      <c r="AO2640" s="7"/>
      <c r="AP2640" s="7"/>
      <c r="AQ2640" s="7"/>
      <c r="AR2640" s="7"/>
      <c r="AS2640" s="7" t="s">
        <v>27</v>
      </c>
    </row>
    <row r="2641">
      <c r="A2641" s="7" t="s">
        <v>104</v>
      </c>
      <c r="B2641" s="7" t="s">
        <v>132</v>
      </c>
      <c r="C2641" s="7">
        <f>5</f>
        <v>5</v>
      </c>
      <c r="D2641" s="7">
        <v>4.0</v>
      </c>
      <c r="E2641" s="9">
        <v>2.0</v>
      </c>
      <c r="F2641" s="7" t="s">
        <v>54</v>
      </c>
      <c r="G2641" s="7" t="s">
        <v>719</v>
      </c>
      <c r="H2641" s="9" t="s">
        <v>2981</v>
      </c>
      <c r="I2641" t="s">
        <v>3299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 t="s">
        <v>3101</v>
      </c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 t="str">
        <f t="shared" si="1"/>
        <v>Land area </v>
      </c>
      <c r="AE2641" s="7" t="str">
        <f t="shared" si="2"/>
        <v> sq. ft.</v>
      </c>
      <c r="AF2641">
        <f>IFERROR(__xludf.DUMMYFUNCTION("VALUE(REGEXREPLACE(G2641,""[^[:digit:]]"", """"))"),2285.0)</f>
        <v>2285</v>
      </c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  <c r="AR2641" s="7"/>
      <c r="AS2641" s="7" t="s">
        <v>27</v>
      </c>
    </row>
    <row r="2642">
      <c r="A2642" s="7" t="s">
        <v>100</v>
      </c>
      <c r="B2642" s="7" t="s">
        <v>314</v>
      </c>
      <c r="C2642" s="7">
        <f>2</f>
        <v>2</v>
      </c>
      <c r="D2642" s="7">
        <v>2.0</v>
      </c>
      <c r="E2642" s="7">
        <v>2.0</v>
      </c>
      <c r="F2642" s="7" t="s">
        <v>83</v>
      </c>
      <c r="G2642" s="7" t="s">
        <v>1332</v>
      </c>
      <c r="H2642" s="9" t="s">
        <v>2979</v>
      </c>
      <c r="I2642" t="s">
        <v>3652</v>
      </c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 t="str">
        <f t="shared" si="1"/>
        <v>Built-up :</v>
      </c>
      <c r="AE2642" s="7" t="str">
        <f t="shared" si="2"/>
        <v> sq. ft.</v>
      </c>
      <c r="AF2642">
        <f>IFERROR(__xludf.DUMMYFUNCTION("VALUE(REGEXREPLACE(G2642,""[^[:digit:]]"", """"))"),1164.0)</f>
        <v>1164</v>
      </c>
      <c r="AG2642" s="7"/>
      <c r="AH2642" s="7"/>
      <c r="AI2642" s="7"/>
      <c r="AJ2642" s="7"/>
      <c r="AK2642" s="7"/>
      <c r="AL2642" s="7"/>
      <c r="AM2642" s="7"/>
      <c r="AN2642" s="7"/>
      <c r="AO2642" s="7"/>
      <c r="AP2642" s="7"/>
      <c r="AQ2642" s="7"/>
      <c r="AR2642" s="7"/>
      <c r="AS2642" s="7" t="s">
        <v>22</v>
      </c>
    </row>
    <row r="2643">
      <c r="A2643" s="7" t="s">
        <v>104</v>
      </c>
      <c r="B2643" s="7" t="s">
        <v>311</v>
      </c>
      <c r="C2643" s="7">
        <f>6</f>
        <v>6</v>
      </c>
      <c r="D2643" s="7">
        <v>4.0</v>
      </c>
      <c r="E2643" s="9">
        <v>2.0</v>
      </c>
      <c r="F2643" s="7" t="s">
        <v>90</v>
      </c>
      <c r="G2643" s="7" t="s">
        <v>1119</v>
      </c>
      <c r="H2643" s="9" t="s">
        <v>2981</v>
      </c>
      <c r="I2643" t="s">
        <v>3516</v>
      </c>
      <c r="J2643" s="7"/>
      <c r="K2643" s="7"/>
      <c r="L2643" s="7"/>
      <c r="M2643" s="7"/>
      <c r="N2643" s="7"/>
      <c r="O2643" s="7"/>
      <c r="P2643" s="7"/>
      <c r="Q2643" s="7"/>
      <c r="R2643" s="7"/>
      <c r="S2643" s="7" t="s">
        <v>3121</v>
      </c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 t="str">
        <f t="shared" si="1"/>
        <v>Land area </v>
      </c>
      <c r="AE2643" s="7" t="str">
        <f t="shared" si="2"/>
        <v> sq. ft.</v>
      </c>
      <c r="AF2643">
        <f>IFERROR(__xludf.DUMMYFUNCTION("VALUE(REGEXREPLACE(G2643,""[^[:digit:]]"", """"))"),2070.0)</f>
        <v>2070</v>
      </c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  <c r="AR2643" s="7"/>
      <c r="AS2643" s="7" t="s">
        <v>27</v>
      </c>
    </row>
    <row r="2644">
      <c r="A2644" s="7" t="s">
        <v>104</v>
      </c>
      <c r="B2644" s="7" t="s">
        <v>229</v>
      </c>
      <c r="C2644" s="7">
        <f>4+1</f>
        <v>5</v>
      </c>
      <c r="D2644" s="7">
        <v>2.0</v>
      </c>
      <c r="E2644" s="9">
        <v>2.0</v>
      </c>
      <c r="F2644" s="7" t="s">
        <v>1579</v>
      </c>
      <c r="G2644" s="7" t="s">
        <v>1580</v>
      </c>
      <c r="H2644" s="9" t="s">
        <v>2981</v>
      </c>
      <c r="I2644" t="s">
        <v>3791</v>
      </c>
      <c r="J2644" s="7"/>
      <c r="K2644" s="7"/>
      <c r="L2644" s="7"/>
      <c r="M2644" s="7"/>
      <c r="N2644" s="7"/>
      <c r="O2644" s="7"/>
      <c r="P2644" s="7"/>
      <c r="Q2644" s="7"/>
      <c r="R2644" s="7"/>
      <c r="S2644" s="7" t="s">
        <v>3121</v>
      </c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 t="str">
        <f t="shared" si="1"/>
        <v>Land area </v>
      </c>
      <c r="AE2644" s="7" t="str">
        <f t="shared" si="2"/>
        <v> sq. ft.</v>
      </c>
      <c r="AF2644">
        <f>IFERROR(__xludf.DUMMYFUNCTION("VALUE(REGEXREPLACE(G2644,""[^[:digit:]]"", """"))"),4270.0)</f>
        <v>4270</v>
      </c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  <c r="AR2644" s="7"/>
      <c r="AS2644" s="7" t="s">
        <v>27</v>
      </c>
    </row>
    <row r="2645">
      <c r="A2645" s="7" t="s">
        <v>1014</v>
      </c>
      <c r="B2645" s="7" t="s">
        <v>329</v>
      </c>
      <c r="C2645" s="7">
        <f>5</f>
        <v>5</v>
      </c>
      <c r="D2645" s="7">
        <v>5.0</v>
      </c>
      <c r="E2645" s="9">
        <v>2.0</v>
      </c>
      <c r="F2645" s="7" t="s">
        <v>562</v>
      </c>
      <c r="G2645" s="7" t="s">
        <v>344</v>
      </c>
      <c r="H2645" s="9" t="s">
        <v>2981</v>
      </c>
      <c r="I2645" t="s">
        <v>3118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 t="s">
        <v>2993</v>
      </c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 t="str">
        <f t="shared" si="1"/>
        <v>Land area </v>
      </c>
      <c r="AE2645" s="7" t="str">
        <f t="shared" si="2"/>
        <v> sq. ft.</v>
      </c>
      <c r="AF2645">
        <f>IFERROR(__xludf.DUMMYFUNCTION("VALUE(REGEXREPLACE(G2645,""[^[:digit:]]"", """"))"),2480.0)</f>
        <v>2480</v>
      </c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  <c r="AR2645" s="7"/>
    </row>
    <row r="2646">
      <c r="A2646" s="7" t="s">
        <v>104</v>
      </c>
      <c r="B2646" s="7" t="s">
        <v>229</v>
      </c>
      <c r="C2646" s="7">
        <f>4</f>
        <v>4</v>
      </c>
      <c r="D2646" s="7">
        <v>3.0</v>
      </c>
      <c r="E2646" s="9">
        <v>2.0</v>
      </c>
      <c r="F2646" s="7" t="s">
        <v>169</v>
      </c>
      <c r="G2646" s="7" t="s">
        <v>1121</v>
      </c>
      <c r="H2646" s="9" t="s">
        <v>2981</v>
      </c>
      <c r="I2646" t="s">
        <v>3518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 t="s">
        <v>3121</v>
      </c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 t="str">
        <f t="shared" si="1"/>
        <v>Land area </v>
      </c>
      <c r="AE2646" s="7" t="str">
        <f t="shared" si="2"/>
        <v> sq. ft.</v>
      </c>
      <c r="AF2646">
        <f>IFERROR(__xludf.DUMMYFUNCTION("VALUE(REGEXREPLACE(G2646,""[^[:digit:]]"", """"))"),2270.0)</f>
        <v>2270</v>
      </c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  <c r="AR2646" s="7"/>
      <c r="AS2646" s="7" t="s">
        <v>27</v>
      </c>
    </row>
    <row r="2647">
      <c r="A2647" s="7" t="s">
        <v>72</v>
      </c>
      <c r="B2647" s="7" t="s">
        <v>327</v>
      </c>
      <c r="C2647" s="7">
        <f>4+1</f>
        <v>5</v>
      </c>
      <c r="D2647" s="7">
        <v>5.0</v>
      </c>
      <c r="E2647" s="7">
        <v>3.0</v>
      </c>
      <c r="F2647" s="7" t="s">
        <v>83</v>
      </c>
      <c r="G2647" s="7" t="s">
        <v>1970</v>
      </c>
      <c r="H2647" s="9" t="s">
        <v>2979</v>
      </c>
      <c r="I2647" t="s">
        <v>4027</v>
      </c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 t="str">
        <f t="shared" si="1"/>
        <v>Built-up :</v>
      </c>
      <c r="AE2647" s="7" t="str">
        <f t="shared" si="2"/>
        <v> sq. ft.</v>
      </c>
      <c r="AF2647">
        <f>IFERROR(__xludf.DUMMYFUNCTION("VALUE(REGEXREPLACE(G2647,""[^[:digit:]]"", """"))"),2513.0)</f>
        <v>2513</v>
      </c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  <c r="AR2647" s="7"/>
      <c r="AS2647" s="7" t="s">
        <v>22</v>
      </c>
    </row>
    <row r="2648">
      <c r="A2648" s="7" t="s">
        <v>104</v>
      </c>
      <c r="B2648" s="7" t="s">
        <v>327</v>
      </c>
      <c r="C2648" s="7">
        <f>5</f>
        <v>5</v>
      </c>
      <c r="D2648" s="7">
        <v>5.0</v>
      </c>
      <c r="E2648" s="7">
        <v>4.0</v>
      </c>
      <c r="F2648" s="7" t="s">
        <v>90</v>
      </c>
      <c r="G2648" s="7" t="s">
        <v>283</v>
      </c>
      <c r="H2648" s="9" t="s">
        <v>2981</v>
      </c>
      <c r="I2648" t="s">
        <v>3091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 t="s">
        <v>2990</v>
      </c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 t="str">
        <f t="shared" si="1"/>
        <v>Land area </v>
      </c>
      <c r="AE2648" s="7" t="str">
        <f t="shared" si="2"/>
        <v> sq. ft.</v>
      </c>
      <c r="AF2648">
        <f>IFERROR(__xludf.DUMMYFUNCTION("VALUE(REGEXREPLACE(G2648,""[^[:digit:]]"", """"))"),2275.0)</f>
        <v>2275</v>
      </c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  <c r="AR2648" s="7"/>
      <c r="AS2648" s="7" t="s">
        <v>27</v>
      </c>
    </row>
    <row r="2649">
      <c r="A2649" s="7" t="s">
        <v>77</v>
      </c>
      <c r="B2649" s="7" t="s">
        <v>462</v>
      </c>
      <c r="C2649" s="7">
        <f>3</f>
        <v>3</v>
      </c>
      <c r="D2649" s="7">
        <v>3.0</v>
      </c>
      <c r="E2649" s="7">
        <v>2.0</v>
      </c>
      <c r="F2649" s="7" t="s">
        <v>90</v>
      </c>
      <c r="G2649" s="7" t="s">
        <v>461</v>
      </c>
      <c r="H2649" s="9" t="s">
        <v>2979</v>
      </c>
      <c r="I2649" t="s">
        <v>3172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 t="str">
        <f t="shared" si="1"/>
        <v>Built-up :</v>
      </c>
      <c r="AE2649" s="7" t="str">
        <f t="shared" si="2"/>
        <v> sq. ft.</v>
      </c>
      <c r="AF2649">
        <f>IFERROR(__xludf.DUMMYFUNCTION("VALUE(REGEXREPLACE(G2649,""[^[:digit:]]"", """"))"),1900.0)</f>
        <v>1900</v>
      </c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  <c r="AR2649" s="7"/>
      <c r="AS2649" s="7" t="s">
        <v>27</v>
      </c>
    </row>
    <row r="2650">
      <c r="A2650" s="7" t="s">
        <v>32</v>
      </c>
      <c r="B2650" s="7" t="s">
        <v>221</v>
      </c>
      <c r="C2650" s="7">
        <f>3+1</f>
        <v>4</v>
      </c>
      <c r="D2650" s="7">
        <v>2.0</v>
      </c>
      <c r="E2650" s="9">
        <v>2.0</v>
      </c>
      <c r="F2650" s="7" t="s">
        <v>30</v>
      </c>
      <c r="G2650" s="7" t="s">
        <v>1971</v>
      </c>
      <c r="H2650" s="9" t="s">
        <v>2979</v>
      </c>
      <c r="I2650" t="s">
        <v>4028</v>
      </c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 t="str">
        <f t="shared" si="1"/>
        <v>Built-up :</v>
      </c>
      <c r="AE2650" s="7" t="str">
        <f t="shared" si="2"/>
        <v> sq. ft.</v>
      </c>
      <c r="AF2650">
        <f>IFERROR(__xludf.DUMMYFUNCTION("VALUE(REGEXREPLACE(G2650,""[^[:digit:]]"", """"))"),1464.0)</f>
        <v>1464</v>
      </c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  <c r="AR2650" s="7"/>
      <c r="AS2650" s="7" t="s">
        <v>27</v>
      </c>
    </row>
    <row r="2651">
      <c r="A2651" s="7" t="s">
        <v>23</v>
      </c>
      <c r="B2651" s="7" t="s">
        <v>1038</v>
      </c>
      <c r="C2651" s="7">
        <f>4+1</f>
        <v>5</v>
      </c>
      <c r="D2651" s="7">
        <v>5.0</v>
      </c>
      <c r="E2651" s="9">
        <v>2.0</v>
      </c>
      <c r="F2651" s="7" t="s">
        <v>25</v>
      </c>
      <c r="G2651" s="7" t="s">
        <v>1972</v>
      </c>
      <c r="H2651" s="9" t="s">
        <v>2981</v>
      </c>
      <c r="I2651" t="s">
        <v>4029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 t="str">
        <f t="shared" si="1"/>
        <v>Land area </v>
      </c>
      <c r="AE2651" s="7" t="str">
        <f t="shared" si="2"/>
        <v> sq. ft.</v>
      </c>
      <c r="AF2651">
        <f>IFERROR(__xludf.DUMMYFUNCTION("VALUE(REGEXREPLACE(G2651,""[^[:digit:]]"", """"))"),4277.0)</f>
        <v>4277</v>
      </c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  <c r="AR2651" s="7"/>
      <c r="AS2651" s="7" t="s">
        <v>27</v>
      </c>
    </row>
    <row r="2652">
      <c r="A2652" s="7" t="s">
        <v>267</v>
      </c>
      <c r="B2652" s="7" t="s">
        <v>172</v>
      </c>
      <c r="C2652" s="7">
        <f>2</f>
        <v>2</v>
      </c>
      <c r="D2652" s="7">
        <v>2.0</v>
      </c>
      <c r="E2652" s="7">
        <v>1.0</v>
      </c>
      <c r="F2652" s="7" t="s">
        <v>83</v>
      </c>
      <c r="G2652" s="7" t="s">
        <v>1965</v>
      </c>
      <c r="H2652" s="9" t="s">
        <v>2979</v>
      </c>
      <c r="I2652" t="s">
        <v>4025</v>
      </c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 t="str">
        <f t="shared" si="1"/>
        <v>Built-up :</v>
      </c>
      <c r="AE2652" s="7" t="str">
        <f t="shared" si="2"/>
        <v> sq. ft.</v>
      </c>
      <c r="AF2652">
        <f>IFERROR(__xludf.DUMMYFUNCTION("VALUE(REGEXREPLACE(G2652,""[^[:digit:]]"", """"))"),968.0)</f>
        <v>968</v>
      </c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  <c r="AR2652" s="7"/>
      <c r="AS2652" s="7" t="s">
        <v>22</v>
      </c>
    </row>
    <row r="2653">
      <c r="A2653" s="7" t="s">
        <v>33</v>
      </c>
      <c r="B2653" s="7" t="s">
        <v>984</v>
      </c>
      <c r="C2653" s="7">
        <f>5+1</f>
        <v>6</v>
      </c>
      <c r="D2653" s="7">
        <v>5.0</v>
      </c>
      <c r="E2653" s="7">
        <v>4.0</v>
      </c>
      <c r="F2653" s="7" t="s">
        <v>90</v>
      </c>
      <c r="G2653" s="7" t="s">
        <v>283</v>
      </c>
      <c r="H2653" s="9" t="s">
        <v>2981</v>
      </c>
      <c r="I2653" t="s">
        <v>3091</v>
      </c>
      <c r="J2653" s="7"/>
      <c r="K2653" s="7"/>
      <c r="L2653" s="7"/>
      <c r="M2653" s="7"/>
      <c r="N2653" s="7"/>
      <c r="O2653" s="7"/>
      <c r="P2653" s="7"/>
      <c r="Q2653" s="7"/>
      <c r="R2653" s="7"/>
      <c r="S2653" s="7" t="s">
        <v>2990</v>
      </c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 t="str">
        <f t="shared" si="1"/>
        <v>Land area </v>
      </c>
      <c r="AE2653" s="7" t="str">
        <f t="shared" si="2"/>
        <v> sq. ft.</v>
      </c>
      <c r="AF2653">
        <f>IFERROR(__xludf.DUMMYFUNCTION("VALUE(REGEXREPLACE(G2653,""[^[:digit:]]"", """"))"),2275.0)</f>
        <v>2275</v>
      </c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  <c r="AR2653" s="7"/>
      <c r="AS2653" s="7" t="s">
        <v>22</v>
      </c>
    </row>
    <row r="2654">
      <c r="A2654" s="7" t="s">
        <v>33</v>
      </c>
      <c r="B2654" s="7" t="s">
        <v>543</v>
      </c>
      <c r="C2654" s="7">
        <f t="shared" ref="C2654:C2655" si="350">4</f>
        <v>4</v>
      </c>
      <c r="D2654" s="7">
        <v>2.0</v>
      </c>
      <c r="E2654" s="7">
        <v>2.0</v>
      </c>
      <c r="F2654" s="7" t="s">
        <v>96</v>
      </c>
      <c r="G2654" s="7" t="s">
        <v>1444</v>
      </c>
      <c r="H2654" s="9" t="s">
        <v>2981</v>
      </c>
      <c r="I2654" t="s">
        <v>3718</v>
      </c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 t="str">
        <f t="shared" si="1"/>
        <v>Land area </v>
      </c>
      <c r="AE2654" s="7" t="str">
        <f t="shared" si="2"/>
        <v> sq. ft.</v>
      </c>
      <c r="AF2654">
        <f>IFERROR(__xludf.DUMMYFUNCTION("VALUE(REGEXREPLACE(G2654,""[^[:digit:]]"", """"))"),1080.0)</f>
        <v>1080</v>
      </c>
      <c r="AG2654" s="7"/>
      <c r="AH2654" s="7"/>
      <c r="AI2654" s="7"/>
      <c r="AJ2654" s="7"/>
      <c r="AK2654" s="7"/>
      <c r="AL2654" s="7"/>
      <c r="AM2654" s="7"/>
      <c r="AN2654" s="7"/>
      <c r="AO2654" s="7"/>
      <c r="AP2654" s="7"/>
      <c r="AQ2654" s="7"/>
      <c r="AR2654" s="7"/>
      <c r="AS2654" s="7" t="s">
        <v>22</v>
      </c>
    </row>
    <row r="2655">
      <c r="A2655" s="7" t="s">
        <v>32</v>
      </c>
      <c r="B2655" s="7" t="s">
        <v>1533</v>
      </c>
      <c r="C2655" s="7">
        <f t="shared" si="350"/>
        <v>4</v>
      </c>
      <c r="D2655" s="7">
        <v>4.0</v>
      </c>
      <c r="E2655" s="7">
        <v>4.0</v>
      </c>
      <c r="F2655" s="7" t="s">
        <v>54</v>
      </c>
      <c r="G2655" s="7" t="s">
        <v>283</v>
      </c>
      <c r="H2655" s="9" t="s">
        <v>2981</v>
      </c>
      <c r="I2655" t="s">
        <v>3091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 t="s">
        <v>2990</v>
      </c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 t="str">
        <f t="shared" si="1"/>
        <v>Land area </v>
      </c>
      <c r="AE2655" s="7" t="str">
        <f t="shared" si="2"/>
        <v> sq. ft.</v>
      </c>
      <c r="AF2655">
        <f>IFERROR(__xludf.DUMMYFUNCTION("VALUE(REGEXREPLACE(G2655,""[^[:digit:]]"", """"))"),2275.0)</f>
        <v>2275</v>
      </c>
      <c r="AG2655" s="7"/>
      <c r="AH2655" s="7"/>
      <c r="AI2655" s="7"/>
      <c r="AJ2655" s="7"/>
      <c r="AK2655" s="7"/>
      <c r="AL2655" s="7"/>
      <c r="AM2655" s="7"/>
      <c r="AN2655" s="7"/>
      <c r="AO2655" s="7"/>
      <c r="AP2655" s="7"/>
      <c r="AQ2655" s="7"/>
      <c r="AR2655" s="7"/>
      <c r="AS2655" s="7" t="s">
        <v>22</v>
      </c>
    </row>
    <row r="2656">
      <c r="A2656" s="7" t="s">
        <v>241</v>
      </c>
      <c r="B2656" s="7" t="s">
        <v>969</v>
      </c>
      <c r="C2656" s="7">
        <f t="shared" ref="C2656:C2657" si="351">3</f>
        <v>3</v>
      </c>
      <c r="D2656" s="7">
        <v>2.0</v>
      </c>
      <c r="E2656" s="7">
        <v>1.0</v>
      </c>
      <c r="F2656" s="7" t="s">
        <v>82</v>
      </c>
      <c r="G2656" s="7" t="s">
        <v>954</v>
      </c>
      <c r="H2656" s="9" t="s">
        <v>2979</v>
      </c>
      <c r="I2656" t="s">
        <v>3424</v>
      </c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 t="str">
        <f t="shared" si="1"/>
        <v>Built-up :</v>
      </c>
      <c r="AE2656" s="7" t="str">
        <f t="shared" si="2"/>
        <v> sq. ft.</v>
      </c>
      <c r="AF2656">
        <f>IFERROR(__xludf.DUMMYFUNCTION("VALUE(REGEXREPLACE(G2656,""[^[:digit:]]"", """"))"),935.0)</f>
        <v>935</v>
      </c>
      <c r="AG2656" s="7"/>
      <c r="AH2656" s="7"/>
      <c r="AI2656" s="7"/>
      <c r="AJ2656" s="7"/>
      <c r="AK2656" s="7"/>
      <c r="AL2656" s="7"/>
      <c r="AM2656" s="7"/>
      <c r="AN2656" s="7"/>
      <c r="AO2656" s="7"/>
      <c r="AP2656" s="7"/>
      <c r="AQ2656" s="7"/>
      <c r="AR2656" s="7"/>
      <c r="AS2656" s="7" t="s">
        <v>27</v>
      </c>
    </row>
    <row r="2657">
      <c r="A2657" s="7" t="s">
        <v>32</v>
      </c>
      <c r="B2657" s="7" t="s">
        <v>507</v>
      </c>
      <c r="C2657" s="7">
        <f t="shared" si="351"/>
        <v>3</v>
      </c>
      <c r="D2657" s="7">
        <v>2.0</v>
      </c>
      <c r="E2657" s="7">
        <v>2.0</v>
      </c>
      <c r="F2657" s="7" t="s">
        <v>82</v>
      </c>
      <c r="G2657" s="7" t="s">
        <v>1973</v>
      </c>
      <c r="H2657" s="9" t="s">
        <v>2979</v>
      </c>
      <c r="I2657" t="s">
        <v>4030</v>
      </c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 t="str">
        <f t="shared" si="1"/>
        <v>Built-up :</v>
      </c>
      <c r="AE2657" s="7" t="str">
        <f t="shared" si="2"/>
        <v> sq. ft.</v>
      </c>
      <c r="AF2657">
        <f>IFERROR(__xludf.DUMMYFUNCTION("VALUE(REGEXREPLACE(G2657,""[^[:digit:]]"", """"))"),1304.0)</f>
        <v>1304</v>
      </c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7"/>
      <c r="AR2657" s="7"/>
      <c r="AS2657" s="7" t="s">
        <v>22</v>
      </c>
    </row>
    <row r="2658">
      <c r="A2658" s="7" t="s">
        <v>89</v>
      </c>
      <c r="B2658" s="7" t="s">
        <v>162</v>
      </c>
      <c r="C2658" s="7">
        <f>4+1</f>
        <v>5</v>
      </c>
      <c r="D2658" s="7">
        <v>4.0</v>
      </c>
      <c r="E2658" s="7">
        <v>2.0</v>
      </c>
      <c r="F2658" s="7" t="s">
        <v>90</v>
      </c>
      <c r="G2658" s="7" t="s">
        <v>91</v>
      </c>
      <c r="H2658" s="9" t="s">
        <v>2981</v>
      </c>
      <c r="I2658" t="s">
        <v>3003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 t="s">
        <v>2990</v>
      </c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 t="str">
        <f t="shared" si="1"/>
        <v>Land area </v>
      </c>
      <c r="AE2658" s="7" t="str">
        <f t="shared" si="2"/>
        <v> sq. ft.</v>
      </c>
      <c r="AF2658">
        <f>IFERROR(__xludf.DUMMYFUNCTION("VALUE(REGEXREPLACE(G2658,""[^[:digit:]]"", """"))"),2075.0)</f>
        <v>2075</v>
      </c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7"/>
      <c r="AR2658" s="7"/>
      <c r="AS2658" s="7" t="s">
        <v>27</v>
      </c>
    </row>
    <row r="2659">
      <c r="A2659" s="7" t="s">
        <v>515</v>
      </c>
      <c r="B2659" s="7" t="s">
        <v>403</v>
      </c>
      <c r="C2659" s="7">
        <f t="shared" ref="C2659:C2660" si="352">5</f>
        <v>5</v>
      </c>
      <c r="D2659" s="7">
        <v>5.0</v>
      </c>
      <c r="E2659" s="7">
        <v>3.0</v>
      </c>
      <c r="F2659" s="7" t="s">
        <v>64</v>
      </c>
      <c r="G2659" s="7" t="s">
        <v>1974</v>
      </c>
      <c r="H2659" s="9" t="s">
        <v>2981</v>
      </c>
      <c r="I2659" t="s">
        <v>3409</v>
      </c>
      <c r="J2659" s="7"/>
      <c r="K2659" s="7"/>
      <c r="L2659" s="7"/>
      <c r="M2659" s="7"/>
      <c r="N2659" s="7"/>
      <c r="O2659" s="7"/>
      <c r="P2659" s="7"/>
      <c r="Q2659" s="7"/>
      <c r="R2659" s="7"/>
      <c r="S2659" s="7" t="s">
        <v>3121</v>
      </c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 t="str">
        <f t="shared" si="1"/>
        <v>Land area </v>
      </c>
      <c r="AE2659" s="7" t="str">
        <f t="shared" si="2"/>
        <v> sq. ft.</v>
      </c>
      <c r="AF2659">
        <f>IFERROR(__xludf.DUMMYFUNCTION("VALUE(REGEXREPLACE(G2659,""[^[:digit:]]"", """"))"),4070.0)</f>
        <v>4070</v>
      </c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7"/>
      <c r="AR2659" s="7"/>
      <c r="AS2659" s="7" t="s">
        <v>27</v>
      </c>
    </row>
    <row r="2660">
      <c r="A2660" s="7" t="s">
        <v>77</v>
      </c>
      <c r="B2660" s="7" t="s">
        <v>460</v>
      </c>
      <c r="C2660" s="7">
        <f t="shared" si="352"/>
        <v>5</v>
      </c>
      <c r="D2660" s="7">
        <v>4.0</v>
      </c>
      <c r="E2660" s="7">
        <v>4.0</v>
      </c>
      <c r="F2660" s="7" t="s">
        <v>203</v>
      </c>
      <c r="G2660" s="7" t="s">
        <v>1100</v>
      </c>
      <c r="H2660" s="9" t="s">
        <v>2981</v>
      </c>
      <c r="I2660" t="s">
        <v>3091</v>
      </c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 t="str">
        <f t="shared" si="1"/>
        <v>Land area </v>
      </c>
      <c r="AE2660" s="7" t="str">
        <f t="shared" si="2"/>
        <v> sq. ft.</v>
      </c>
      <c r="AF2660">
        <f>IFERROR(__xludf.DUMMYFUNCTION("VALUE(REGEXREPLACE(G2660,""[^[:digit:]]"", """"))"),2275.0)</f>
        <v>2275</v>
      </c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7"/>
      <c r="AR2660" s="7"/>
      <c r="AS2660" s="7" t="s">
        <v>27</v>
      </c>
    </row>
    <row r="2661">
      <c r="A2661" s="7" t="s">
        <v>100</v>
      </c>
      <c r="B2661" s="7" t="s">
        <v>1975</v>
      </c>
      <c r="C2661" s="7">
        <f>3</f>
        <v>3</v>
      </c>
      <c r="D2661" s="7">
        <v>3.0</v>
      </c>
      <c r="E2661" s="7">
        <v>3.0</v>
      </c>
      <c r="F2661" s="7" t="s">
        <v>20</v>
      </c>
      <c r="G2661" s="7" t="s">
        <v>1976</v>
      </c>
      <c r="H2661" s="9" t="s">
        <v>2979</v>
      </c>
      <c r="I2661" t="s">
        <v>4031</v>
      </c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 t="str">
        <f t="shared" si="1"/>
        <v>Built-up :</v>
      </c>
      <c r="AE2661" s="7" t="str">
        <f t="shared" si="2"/>
        <v> sq. ft.</v>
      </c>
      <c r="AF2661">
        <f>IFERROR(__xludf.DUMMYFUNCTION("VALUE(REGEXREPLACE(G2661,""[^[:digit:]]"", """"))"),1288.0)</f>
        <v>1288</v>
      </c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7"/>
      <c r="AR2661" s="7"/>
      <c r="AS2661" s="7" t="s">
        <v>103</v>
      </c>
    </row>
    <row r="2662">
      <c r="A2662" s="7" t="s">
        <v>72</v>
      </c>
      <c r="B2662" s="7" t="s">
        <v>351</v>
      </c>
      <c r="C2662" s="7">
        <f>5</f>
        <v>5</v>
      </c>
      <c r="D2662" s="7">
        <v>4.0</v>
      </c>
      <c r="E2662" s="9">
        <v>2.0</v>
      </c>
      <c r="F2662" s="7" t="s">
        <v>64</v>
      </c>
      <c r="G2662" s="7" t="s">
        <v>1491</v>
      </c>
      <c r="H2662" s="9" t="s">
        <v>2981</v>
      </c>
      <c r="I2662" t="s">
        <v>3062</v>
      </c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 t="str">
        <f t="shared" si="1"/>
        <v>Land area </v>
      </c>
      <c r="AE2662" s="7" t="str">
        <f t="shared" si="2"/>
        <v> sq. ft.</v>
      </c>
      <c r="AF2662">
        <f>IFERROR(__xludf.DUMMYFUNCTION("VALUE(REGEXREPLACE(G2662,""[^[:digit:]]"", """"))"),2400.0)</f>
        <v>2400</v>
      </c>
      <c r="AG2662" s="7"/>
      <c r="AH2662" s="7"/>
      <c r="AI2662" s="7"/>
      <c r="AJ2662" s="7"/>
      <c r="AK2662" s="7"/>
      <c r="AL2662" s="7"/>
      <c r="AM2662" s="7"/>
      <c r="AN2662" s="7"/>
      <c r="AO2662" s="7"/>
      <c r="AP2662" s="7"/>
      <c r="AQ2662" s="7"/>
      <c r="AR2662" s="7"/>
      <c r="AS2662" s="7" t="s">
        <v>27</v>
      </c>
    </row>
    <row r="2663">
      <c r="A2663" s="7" t="s">
        <v>72</v>
      </c>
      <c r="B2663" s="7" t="s">
        <v>1180</v>
      </c>
      <c r="C2663" s="7">
        <f t="shared" ref="C2663:C2664" si="353">5+1</f>
        <v>6</v>
      </c>
      <c r="D2663" s="7">
        <v>5.0</v>
      </c>
      <c r="E2663" s="9">
        <v>2.0</v>
      </c>
      <c r="F2663" s="7" t="s">
        <v>43</v>
      </c>
      <c r="G2663" s="7" t="s">
        <v>860</v>
      </c>
      <c r="H2663" s="9" t="s">
        <v>2981</v>
      </c>
      <c r="I2663" t="s">
        <v>3376</v>
      </c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 t="str">
        <f t="shared" si="1"/>
        <v>Land area </v>
      </c>
      <c r="AE2663" s="7" t="str">
        <f t="shared" si="2"/>
        <v> sq. ft.</v>
      </c>
      <c r="AF2663">
        <f>IFERROR(__xludf.DUMMYFUNCTION("VALUE(REGEXREPLACE(G2663,""[^[:digit:]]"", """"))"),4000.0)</f>
        <v>4000</v>
      </c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7"/>
      <c r="AR2663" s="7"/>
      <c r="AS2663" s="7" t="s">
        <v>27</v>
      </c>
    </row>
    <row r="2664">
      <c r="A2664" s="7" t="s">
        <v>72</v>
      </c>
      <c r="B2664" s="7" t="s">
        <v>1827</v>
      </c>
      <c r="C2664" s="7">
        <f t="shared" si="353"/>
        <v>6</v>
      </c>
      <c r="D2664" s="7">
        <v>5.0</v>
      </c>
      <c r="E2664" s="9">
        <v>2.0</v>
      </c>
      <c r="F2664" s="7" t="s">
        <v>43</v>
      </c>
      <c r="G2664" s="7" t="s">
        <v>860</v>
      </c>
      <c r="H2664" s="9" t="s">
        <v>2981</v>
      </c>
      <c r="I2664" t="s">
        <v>3376</v>
      </c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 t="str">
        <f t="shared" si="1"/>
        <v>Land area </v>
      </c>
      <c r="AE2664" s="7" t="str">
        <f t="shared" si="2"/>
        <v> sq. ft.</v>
      </c>
      <c r="AF2664">
        <f>IFERROR(__xludf.DUMMYFUNCTION("VALUE(REGEXREPLACE(G2664,""[^[:digit:]]"", """"))"),4000.0)</f>
        <v>4000</v>
      </c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7"/>
      <c r="AR2664" s="7"/>
      <c r="AS2664" s="7" t="s">
        <v>27</v>
      </c>
    </row>
    <row r="2665">
      <c r="A2665" s="7" t="s">
        <v>33</v>
      </c>
      <c r="B2665" s="7" t="s">
        <v>201</v>
      </c>
      <c r="C2665" s="7">
        <f t="shared" ref="C2665:C2666" si="354">3</f>
        <v>3</v>
      </c>
      <c r="D2665" s="7">
        <v>2.0</v>
      </c>
      <c r="E2665" s="7">
        <v>2.0</v>
      </c>
      <c r="F2665" s="7" t="s">
        <v>83</v>
      </c>
      <c r="G2665" s="7" t="s">
        <v>1977</v>
      </c>
      <c r="H2665" s="9" t="s">
        <v>2979</v>
      </c>
      <c r="I2665" t="s">
        <v>4032</v>
      </c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 t="str">
        <f t="shared" si="1"/>
        <v>Built-up :</v>
      </c>
      <c r="AE2665" s="7" t="str">
        <f t="shared" si="2"/>
        <v> sq. ft.</v>
      </c>
      <c r="AF2665">
        <f>IFERROR(__xludf.DUMMYFUNCTION("VALUE(REGEXREPLACE(G2665,""[^[:digit:]]"", """"))"),1403.0)</f>
        <v>1403</v>
      </c>
      <c r="AG2665" s="7"/>
      <c r="AH2665" s="7"/>
      <c r="AI2665" s="7"/>
      <c r="AJ2665" s="7"/>
      <c r="AK2665" s="7"/>
      <c r="AL2665" s="7"/>
      <c r="AM2665" s="7"/>
      <c r="AN2665" s="7"/>
      <c r="AO2665" s="7"/>
      <c r="AP2665" s="7"/>
      <c r="AQ2665" s="7"/>
      <c r="AR2665" s="7"/>
      <c r="AS2665" s="7" t="s">
        <v>27</v>
      </c>
    </row>
    <row r="2666">
      <c r="A2666" s="7" t="s">
        <v>155</v>
      </c>
      <c r="B2666" s="7" t="s">
        <v>1308</v>
      </c>
      <c r="C2666" s="7">
        <f t="shared" si="354"/>
        <v>3</v>
      </c>
      <c r="D2666" s="7">
        <v>2.0</v>
      </c>
      <c r="E2666" s="9">
        <v>2.0</v>
      </c>
      <c r="F2666" s="7" t="s">
        <v>93</v>
      </c>
      <c r="G2666" s="7" t="s">
        <v>819</v>
      </c>
      <c r="H2666" s="9" t="s">
        <v>2979</v>
      </c>
      <c r="I2666" t="s">
        <v>3355</v>
      </c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 t="str">
        <f t="shared" si="1"/>
        <v>Built-up :</v>
      </c>
      <c r="AE2666" s="7" t="str">
        <f t="shared" si="2"/>
        <v> sq. ft.</v>
      </c>
      <c r="AF2666">
        <f>IFERROR(__xludf.DUMMYFUNCTION("VALUE(REGEXREPLACE(G2666,""[^[:digit:]]"", """"))"),1063.0)</f>
        <v>1063</v>
      </c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7"/>
      <c r="AR2666" s="7"/>
      <c r="AS2666" s="7" t="s">
        <v>27</v>
      </c>
    </row>
    <row r="2667">
      <c r="A2667" s="7" t="s">
        <v>72</v>
      </c>
      <c r="B2667" s="7" t="s">
        <v>151</v>
      </c>
      <c r="C2667" s="7">
        <f>5+1</f>
        <v>6</v>
      </c>
      <c r="D2667" s="7">
        <v>5.0</v>
      </c>
      <c r="E2667" s="9">
        <v>2.0</v>
      </c>
      <c r="F2667" s="7" t="s">
        <v>43</v>
      </c>
      <c r="G2667" s="7" t="s">
        <v>860</v>
      </c>
      <c r="H2667" s="9" t="s">
        <v>2981</v>
      </c>
      <c r="I2667" t="s">
        <v>3376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 t="str">
        <f t="shared" si="1"/>
        <v>Land area </v>
      </c>
      <c r="AE2667" s="7" t="str">
        <f t="shared" si="2"/>
        <v> sq. ft.</v>
      </c>
      <c r="AF2667">
        <f>IFERROR(__xludf.DUMMYFUNCTION("VALUE(REGEXREPLACE(G2667,""[^[:digit:]]"", """"))"),4000.0)</f>
        <v>4000</v>
      </c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7"/>
      <c r="AR2667" s="7"/>
      <c r="AS2667" s="7" t="s">
        <v>27</v>
      </c>
    </row>
    <row r="2668">
      <c r="A2668" s="7" t="s">
        <v>32</v>
      </c>
      <c r="B2668" s="7" t="s">
        <v>1978</v>
      </c>
      <c r="C2668" s="7">
        <f>3</f>
        <v>3</v>
      </c>
      <c r="D2668" s="7">
        <v>2.0</v>
      </c>
      <c r="E2668" s="7">
        <v>2.0</v>
      </c>
      <c r="F2668" s="7" t="s">
        <v>83</v>
      </c>
      <c r="G2668" s="7" t="s">
        <v>157</v>
      </c>
      <c r="H2668" s="9" t="s">
        <v>2979</v>
      </c>
      <c r="I2668" t="s">
        <v>3031</v>
      </c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 t="str">
        <f t="shared" si="1"/>
        <v>Built-up :</v>
      </c>
      <c r="AE2668" s="7" t="str">
        <f t="shared" si="2"/>
        <v> sq. ft.</v>
      </c>
      <c r="AF2668">
        <f>IFERROR(__xludf.DUMMYFUNCTION("VALUE(REGEXREPLACE(G2668,""[^[:digit:]]"", """"))"),1050.0)</f>
        <v>1050</v>
      </c>
      <c r="AG2668" s="7"/>
      <c r="AH2668" s="7"/>
      <c r="AI2668" s="7"/>
      <c r="AJ2668" s="7"/>
      <c r="AK2668" s="7"/>
      <c r="AL2668" s="7"/>
      <c r="AM2668" s="7"/>
      <c r="AN2668" s="7"/>
      <c r="AO2668" s="7"/>
      <c r="AP2668" s="7"/>
      <c r="AQ2668" s="7"/>
      <c r="AR2668" s="7"/>
      <c r="AS2668" s="7" t="s">
        <v>103</v>
      </c>
    </row>
    <row r="2669">
      <c r="A2669" s="7" t="s">
        <v>1979</v>
      </c>
      <c r="B2669" s="7" t="s">
        <v>1980</v>
      </c>
      <c r="C2669" s="7">
        <f>4</f>
        <v>4</v>
      </c>
      <c r="D2669" s="7">
        <v>3.0</v>
      </c>
      <c r="E2669" s="9">
        <v>2.0</v>
      </c>
      <c r="F2669" s="7" t="s">
        <v>54</v>
      </c>
      <c r="G2669" s="7" t="s">
        <v>750</v>
      </c>
      <c r="H2669" s="9" t="s">
        <v>2981</v>
      </c>
      <c r="I2669" t="s">
        <v>3297</v>
      </c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 t="str">
        <f t="shared" si="1"/>
        <v>Land area </v>
      </c>
      <c r="AE2669" s="7" t="str">
        <f t="shared" si="2"/>
        <v> sq. ft.</v>
      </c>
      <c r="AF2669">
        <f>IFERROR(__xludf.DUMMYFUNCTION("VALUE(REGEXREPLACE(G2669,""[^[:digit:]]"", """"))"),1300.0)</f>
        <v>1300</v>
      </c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7"/>
      <c r="AR2669" s="7"/>
      <c r="AS2669" s="7" t="s">
        <v>27</v>
      </c>
    </row>
    <row r="2670">
      <c r="A2670" s="7" t="s">
        <v>32</v>
      </c>
      <c r="B2670" s="7" t="s">
        <v>1615</v>
      </c>
      <c r="C2670" s="7">
        <f>1+1</f>
        <v>2</v>
      </c>
      <c r="D2670" s="7">
        <v>1.0</v>
      </c>
      <c r="E2670" s="7">
        <v>1.0</v>
      </c>
      <c r="F2670" s="7" t="s">
        <v>503</v>
      </c>
      <c r="G2670" s="7" t="s">
        <v>1616</v>
      </c>
      <c r="H2670" s="9" t="s">
        <v>2979</v>
      </c>
      <c r="I2670" t="s">
        <v>3813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 t="str">
        <f t="shared" si="1"/>
        <v>Built-up :</v>
      </c>
      <c r="AE2670" s="7" t="str">
        <f t="shared" si="2"/>
        <v> sq. ft.</v>
      </c>
      <c r="AF2670">
        <f>IFERROR(__xludf.DUMMYFUNCTION("VALUE(REGEXREPLACE(G2670,""[^[:digit:]]"", """"))"),694.0)</f>
        <v>694</v>
      </c>
      <c r="AG2670" s="7"/>
      <c r="AH2670" s="7"/>
      <c r="AI2670" s="7"/>
      <c r="AJ2670" s="7"/>
      <c r="AK2670" s="7"/>
      <c r="AL2670" s="7"/>
      <c r="AM2670" s="7"/>
      <c r="AN2670" s="7"/>
      <c r="AO2670" s="7"/>
      <c r="AP2670" s="7"/>
      <c r="AQ2670" s="7"/>
      <c r="AR2670" s="7"/>
      <c r="AS2670" s="7" t="s">
        <v>27</v>
      </c>
    </row>
    <row r="2671">
      <c r="A2671" s="7" t="s">
        <v>104</v>
      </c>
      <c r="B2671" s="7" t="s">
        <v>172</v>
      </c>
      <c r="C2671" s="7">
        <f t="shared" ref="C2671:C2673" si="355">3</f>
        <v>3</v>
      </c>
      <c r="D2671" s="7">
        <v>2.0</v>
      </c>
      <c r="E2671" s="9">
        <v>2.0</v>
      </c>
      <c r="F2671" s="7" t="s">
        <v>343</v>
      </c>
      <c r="G2671" s="7" t="s">
        <v>1732</v>
      </c>
      <c r="H2671" s="9" t="s">
        <v>2981</v>
      </c>
      <c r="I2671" t="s">
        <v>3889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 t="s">
        <v>3298</v>
      </c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 t="str">
        <f t="shared" si="1"/>
        <v>Land area </v>
      </c>
      <c r="AE2671" s="7" t="str">
        <f t="shared" si="2"/>
        <v> sq. ft.</v>
      </c>
      <c r="AF2671">
        <f>IFERROR(__xludf.DUMMYFUNCTION("VALUE(REGEXREPLACE(G2671,""[^[:digit:]]"", """"))"),2265.0)</f>
        <v>2265</v>
      </c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7"/>
      <c r="AR2671" s="7"/>
      <c r="AS2671" s="7" t="s">
        <v>103</v>
      </c>
    </row>
    <row r="2672">
      <c r="A2672" s="7" t="s">
        <v>580</v>
      </c>
      <c r="B2672" s="7" t="s">
        <v>536</v>
      </c>
      <c r="C2672" s="7">
        <f t="shared" si="355"/>
        <v>3</v>
      </c>
      <c r="D2672" s="7">
        <v>2.0</v>
      </c>
      <c r="E2672" s="7">
        <v>2.0</v>
      </c>
      <c r="F2672" s="7" t="s">
        <v>93</v>
      </c>
      <c r="G2672" s="7" t="s">
        <v>948</v>
      </c>
      <c r="H2672" s="9" t="s">
        <v>2979</v>
      </c>
      <c r="I2672" t="s">
        <v>3421</v>
      </c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 t="str">
        <f t="shared" si="1"/>
        <v>Built-up :</v>
      </c>
      <c r="AE2672" s="7" t="str">
        <f t="shared" si="2"/>
        <v> sq. ft.</v>
      </c>
      <c r="AF2672">
        <f>IFERROR(__xludf.DUMMYFUNCTION("VALUE(REGEXREPLACE(G2672,""[^[:digit:]]"", """"))"),960.0)</f>
        <v>960</v>
      </c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7"/>
      <c r="AR2672" s="7"/>
      <c r="AS2672" s="7" t="s">
        <v>27</v>
      </c>
    </row>
    <row r="2673">
      <c r="A2673" s="7" t="s">
        <v>104</v>
      </c>
      <c r="B2673" s="7" t="s">
        <v>1981</v>
      </c>
      <c r="C2673" s="7">
        <f t="shared" si="355"/>
        <v>3</v>
      </c>
      <c r="D2673" s="7">
        <v>2.0</v>
      </c>
      <c r="E2673" s="9">
        <v>2.0</v>
      </c>
      <c r="F2673" s="7" t="s">
        <v>50</v>
      </c>
      <c r="G2673" s="7" t="s">
        <v>1907</v>
      </c>
      <c r="H2673" s="9" t="s">
        <v>2979</v>
      </c>
      <c r="I2673" t="s">
        <v>3993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 t="str">
        <f t="shared" si="1"/>
        <v>Built-up :</v>
      </c>
      <c r="AE2673" s="7" t="str">
        <f t="shared" si="2"/>
        <v> sq. ft.</v>
      </c>
      <c r="AF2673">
        <f>IFERROR(__xludf.DUMMYFUNCTION("VALUE(REGEXREPLACE(G2673,""[^[:digit:]]"", """"))"),860.0)</f>
        <v>860</v>
      </c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7"/>
      <c r="AR2673" s="7"/>
      <c r="AS2673" s="7" t="s">
        <v>27</v>
      </c>
    </row>
    <row r="2674">
      <c r="A2674" s="7" t="s">
        <v>109</v>
      </c>
      <c r="B2674" s="7" t="s">
        <v>172</v>
      </c>
      <c r="C2674" s="7">
        <f>3+1</f>
        <v>4</v>
      </c>
      <c r="D2674" s="7">
        <v>2.0</v>
      </c>
      <c r="E2674" s="7">
        <v>1.0</v>
      </c>
      <c r="F2674" s="7" t="s">
        <v>30</v>
      </c>
      <c r="G2674" s="7" t="s">
        <v>471</v>
      </c>
      <c r="H2674" s="9" t="s">
        <v>2979</v>
      </c>
      <c r="I2674" t="s">
        <v>3179</v>
      </c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 t="str">
        <f t="shared" si="1"/>
        <v>Built-up :</v>
      </c>
      <c r="AE2674" s="7" t="str">
        <f t="shared" si="2"/>
        <v> sq. ft.</v>
      </c>
      <c r="AF2674">
        <f>IFERROR(__xludf.DUMMYFUNCTION("VALUE(REGEXREPLACE(G2674,""[^[:digit:]]"", """"))"),1400.0)</f>
        <v>1400</v>
      </c>
      <c r="AG2674" s="7"/>
      <c r="AH2674" s="7"/>
      <c r="AI2674" s="7"/>
      <c r="AJ2674" s="7"/>
      <c r="AK2674" s="7"/>
      <c r="AL2674" s="7"/>
      <c r="AM2674" s="7"/>
      <c r="AN2674" s="7"/>
      <c r="AO2674" s="7"/>
      <c r="AP2674" s="7"/>
      <c r="AQ2674" s="7"/>
      <c r="AR2674" s="7"/>
      <c r="AS2674" s="7" t="s">
        <v>27</v>
      </c>
    </row>
    <row r="2675">
      <c r="A2675" s="7" t="s">
        <v>104</v>
      </c>
      <c r="B2675" s="7" t="s">
        <v>87</v>
      </c>
      <c r="C2675" s="7">
        <f>4</f>
        <v>4</v>
      </c>
      <c r="D2675" s="7">
        <v>2.0</v>
      </c>
      <c r="E2675" s="9">
        <v>2.0</v>
      </c>
      <c r="F2675" s="7" t="s">
        <v>343</v>
      </c>
      <c r="G2675" s="7" t="s">
        <v>1119</v>
      </c>
      <c r="H2675" s="9" t="s">
        <v>2981</v>
      </c>
      <c r="I2675" t="s">
        <v>3516</v>
      </c>
      <c r="J2675" s="7"/>
      <c r="K2675" s="7"/>
      <c r="L2675" s="7"/>
      <c r="M2675" s="7"/>
      <c r="N2675" s="7"/>
      <c r="O2675" s="7"/>
      <c r="P2675" s="7"/>
      <c r="Q2675" s="7"/>
      <c r="R2675" s="7"/>
      <c r="S2675" s="7" t="s">
        <v>3121</v>
      </c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 t="str">
        <f t="shared" si="1"/>
        <v>Land area </v>
      </c>
      <c r="AE2675" s="7" t="str">
        <f t="shared" si="2"/>
        <v> sq. ft.</v>
      </c>
      <c r="AF2675">
        <f>IFERROR(__xludf.DUMMYFUNCTION("VALUE(REGEXREPLACE(G2675,""[^[:digit:]]"", """"))"),2070.0)</f>
        <v>2070</v>
      </c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7"/>
      <c r="AR2675" s="7"/>
      <c r="AS2675" s="7" t="s">
        <v>27</v>
      </c>
    </row>
    <row r="2676">
      <c r="A2676" s="7" t="s">
        <v>23</v>
      </c>
      <c r="B2676" s="7" t="s">
        <v>149</v>
      </c>
      <c r="C2676" s="7">
        <f>4+1</f>
        <v>5</v>
      </c>
      <c r="D2676" s="7">
        <v>6.0</v>
      </c>
      <c r="E2676" s="9">
        <v>2.0</v>
      </c>
      <c r="F2676" s="7" t="s">
        <v>61</v>
      </c>
      <c r="G2676" s="7" t="s">
        <v>1982</v>
      </c>
      <c r="H2676" s="9" t="s">
        <v>2981</v>
      </c>
      <c r="I2676" t="s">
        <v>4033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 t="str">
        <f t="shared" si="1"/>
        <v>Land area </v>
      </c>
      <c r="AE2676" s="7" t="str">
        <f t="shared" si="2"/>
        <v> sq. ft.</v>
      </c>
      <c r="AF2676">
        <f>IFERROR(__xludf.DUMMYFUNCTION("VALUE(REGEXREPLACE(G2676,""[^[:digit:]]"", """"))"),3704.0)</f>
        <v>3704</v>
      </c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7"/>
      <c r="AR2676" s="7"/>
    </row>
    <row r="2677">
      <c r="A2677" s="7" t="s">
        <v>23</v>
      </c>
      <c r="B2677" s="7" t="s">
        <v>1797</v>
      </c>
      <c r="C2677" s="7">
        <f>4+2</f>
        <v>6</v>
      </c>
      <c r="D2677" s="7">
        <v>5.0</v>
      </c>
      <c r="E2677" s="9">
        <v>2.0</v>
      </c>
      <c r="F2677" s="7" t="s">
        <v>67</v>
      </c>
      <c r="G2677" s="7" t="s">
        <v>769</v>
      </c>
      <c r="H2677" s="9" t="s">
        <v>2981</v>
      </c>
      <c r="I2677" t="s">
        <v>3327</v>
      </c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 t="str">
        <f t="shared" si="1"/>
        <v>Land area </v>
      </c>
      <c r="AE2677" s="7" t="str">
        <f t="shared" si="2"/>
        <v> sq. ft.</v>
      </c>
      <c r="AF2677">
        <f>IFERROR(__xludf.DUMMYFUNCTION("VALUE(REGEXREPLACE(G2677,""[^[:digit:]]"", """"))"),8600.0)</f>
        <v>8600</v>
      </c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7"/>
      <c r="AR2677" s="7"/>
      <c r="AS2677" s="7" t="s">
        <v>27</v>
      </c>
    </row>
    <row r="2678">
      <c r="A2678" s="7" t="s">
        <v>23</v>
      </c>
      <c r="B2678" s="7" t="s">
        <v>1983</v>
      </c>
      <c r="C2678" s="7">
        <f>4+1</f>
        <v>5</v>
      </c>
      <c r="D2678" s="7">
        <v>6.0</v>
      </c>
      <c r="E2678" s="7">
        <v>2.0</v>
      </c>
      <c r="F2678" s="7" t="s">
        <v>64</v>
      </c>
      <c r="G2678" s="7" t="s">
        <v>44</v>
      </c>
      <c r="H2678" s="9" t="s">
        <v>2981</v>
      </c>
      <c r="I2678" t="s">
        <v>2988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 t="str">
        <f t="shared" si="1"/>
        <v>Land area </v>
      </c>
      <c r="AE2678" s="7" t="str">
        <f t="shared" si="2"/>
        <v> sq. ft.</v>
      </c>
      <c r="AF2678">
        <f>IFERROR(__xludf.DUMMYFUNCTION("VALUE(REGEXREPLACE(G2678,""[^[:digit:]]"", """"))"),3600.0)</f>
        <v>3600</v>
      </c>
      <c r="AG2678" s="7"/>
      <c r="AH2678" s="7"/>
      <c r="AI2678" s="7"/>
      <c r="AJ2678" s="7"/>
      <c r="AK2678" s="7"/>
      <c r="AL2678" s="7"/>
      <c r="AM2678" s="7"/>
      <c r="AN2678" s="7"/>
      <c r="AO2678" s="7"/>
      <c r="AP2678" s="7"/>
      <c r="AQ2678" s="7"/>
      <c r="AR2678" s="7"/>
      <c r="AS2678" s="7" t="s">
        <v>27</v>
      </c>
    </row>
    <row r="2679">
      <c r="A2679" s="7" t="s">
        <v>100</v>
      </c>
      <c r="B2679" s="7" t="s">
        <v>1334</v>
      </c>
      <c r="C2679" s="7">
        <f t="shared" ref="C2679:C2680" si="356">3</f>
        <v>3</v>
      </c>
      <c r="D2679" s="7">
        <v>2.0</v>
      </c>
      <c r="E2679" s="7">
        <v>2.0</v>
      </c>
      <c r="F2679" s="7" t="s">
        <v>93</v>
      </c>
      <c r="G2679" s="7" t="s">
        <v>1115</v>
      </c>
      <c r="H2679" s="9" t="s">
        <v>2979</v>
      </c>
      <c r="I2679" t="s">
        <v>3512</v>
      </c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 t="str">
        <f t="shared" si="1"/>
        <v>Built-up :</v>
      </c>
      <c r="AE2679" s="7" t="str">
        <f t="shared" si="2"/>
        <v> sq. ft.</v>
      </c>
      <c r="AF2679">
        <f>IFERROR(__xludf.DUMMYFUNCTION("VALUE(REGEXREPLACE(G2679,""[^[:digit:]]"", """"))"),1578.0)</f>
        <v>1578</v>
      </c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7"/>
      <c r="AR2679" s="7"/>
      <c r="AS2679" s="7" t="s">
        <v>27</v>
      </c>
    </row>
    <row r="2680">
      <c r="A2680" s="7" t="s">
        <v>267</v>
      </c>
      <c r="B2680" s="7" t="s">
        <v>409</v>
      </c>
      <c r="C2680" s="7">
        <f t="shared" si="356"/>
        <v>3</v>
      </c>
      <c r="D2680" s="7">
        <v>2.0</v>
      </c>
      <c r="E2680" s="7">
        <v>1.0</v>
      </c>
      <c r="F2680" s="7" t="s">
        <v>30</v>
      </c>
      <c r="G2680" s="7" t="s">
        <v>1481</v>
      </c>
      <c r="H2680" s="9" t="s">
        <v>2979</v>
      </c>
      <c r="I2680" t="s">
        <v>3734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 t="str">
        <f t="shared" si="1"/>
        <v>Built-up :</v>
      </c>
      <c r="AE2680" s="7" t="str">
        <f t="shared" si="2"/>
        <v> sq. ft.</v>
      </c>
      <c r="AF2680">
        <f>IFERROR(__xludf.DUMMYFUNCTION("VALUE(REGEXREPLACE(G2680,""[^[:digit:]]"", """"))"),1140.0)</f>
        <v>1140</v>
      </c>
      <c r="AG2680" s="7"/>
      <c r="AH2680" s="7"/>
      <c r="AI2680" s="7"/>
      <c r="AJ2680" s="7"/>
      <c r="AK2680" s="7"/>
      <c r="AL2680" s="7"/>
      <c r="AM2680" s="7"/>
      <c r="AN2680" s="7"/>
      <c r="AO2680" s="7"/>
      <c r="AP2680" s="7"/>
      <c r="AQ2680" s="7"/>
      <c r="AR2680" s="7"/>
      <c r="AS2680" s="7" t="s">
        <v>22</v>
      </c>
    </row>
    <row r="2681">
      <c r="A2681" s="7" t="s">
        <v>32</v>
      </c>
      <c r="B2681" s="7" t="s">
        <v>1984</v>
      </c>
      <c r="C2681" s="7">
        <f t="shared" ref="C2681:C2682" si="357">4</f>
        <v>4</v>
      </c>
      <c r="D2681" s="7">
        <v>2.0</v>
      </c>
      <c r="E2681" s="7">
        <v>2.0</v>
      </c>
      <c r="F2681" s="7" t="s">
        <v>54</v>
      </c>
      <c r="G2681" s="7" t="s">
        <v>1121</v>
      </c>
      <c r="H2681" s="9" t="s">
        <v>2981</v>
      </c>
      <c r="I2681" t="s">
        <v>3518</v>
      </c>
      <c r="J2681" s="7"/>
      <c r="K2681" s="7"/>
      <c r="L2681" s="7"/>
      <c r="M2681" s="7"/>
      <c r="N2681" s="7"/>
      <c r="O2681" s="7"/>
      <c r="P2681" s="7"/>
      <c r="Q2681" s="7"/>
      <c r="R2681" s="7"/>
      <c r="S2681" s="7" t="s">
        <v>3121</v>
      </c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 t="str">
        <f t="shared" si="1"/>
        <v>Land area </v>
      </c>
      <c r="AE2681" s="7" t="str">
        <f t="shared" si="2"/>
        <v> sq. ft.</v>
      </c>
      <c r="AF2681">
        <f>IFERROR(__xludf.DUMMYFUNCTION("VALUE(REGEXREPLACE(G2681,""[^[:digit:]]"", """"))"),2270.0)</f>
        <v>2270</v>
      </c>
      <c r="AG2681" s="7"/>
      <c r="AH2681" s="7"/>
      <c r="AI2681" s="7"/>
      <c r="AJ2681" s="7"/>
      <c r="AK2681" s="7"/>
      <c r="AL2681" s="7"/>
      <c r="AM2681" s="7"/>
      <c r="AN2681" s="7"/>
      <c r="AO2681" s="7"/>
      <c r="AP2681" s="7"/>
      <c r="AQ2681" s="7"/>
      <c r="AR2681" s="7"/>
      <c r="AS2681" s="7" t="s">
        <v>103</v>
      </c>
    </row>
    <row r="2682">
      <c r="A2682" s="7" t="s">
        <v>32</v>
      </c>
      <c r="B2682" s="7" t="s">
        <v>1696</v>
      </c>
      <c r="C2682" s="7">
        <f t="shared" si="357"/>
        <v>4</v>
      </c>
      <c r="D2682" s="7">
        <v>3.0</v>
      </c>
      <c r="E2682" s="7">
        <v>4.0</v>
      </c>
      <c r="F2682" s="7" t="s">
        <v>54</v>
      </c>
      <c r="G2682" s="7" t="s">
        <v>211</v>
      </c>
      <c r="H2682" s="9" t="s">
        <v>2981</v>
      </c>
      <c r="I2682" t="s">
        <v>2992</v>
      </c>
      <c r="J2682" s="7"/>
      <c r="K2682" s="7"/>
      <c r="L2682" s="7"/>
      <c r="M2682" s="7"/>
      <c r="N2682" s="7"/>
      <c r="O2682" s="7"/>
      <c r="P2682" s="7"/>
      <c r="Q2682" s="7"/>
      <c r="R2682" s="7"/>
      <c r="S2682" s="7" t="s">
        <v>2993</v>
      </c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 t="str">
        <f t="shared" si="1"/>
        <v>Land area </v>
      </c>
      <c r="AE2682" s="7" t="str">
        <f t="shared" si="2"/>
        <v> sq. ft.</v>
      </c>
      <c r="AF2682">
        <f>IFERROR(__xludf.DUMMYFUNCTION("VALUE(REGEXREPLACE(G2682,""[^[:digit:]]"", """"))"),2280.0)</f>
        <v>2280</v>
      </c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7"/>
      <c r="AR2682" s="7"/>
      <c r="AS2682" s="7" t="s">
        <v>27</v>
      </c>
    </row>
    <row r="2683">
      <c r="A2683" s="7" t="s">
        <v>267</v>
      </c>
      <c r="B2683" s="7" t="s">
        <v>1823</v>
      </c>
      <c r="C2683" s="7">
        <f>2</f>
        <v>2</v>
      </c>
      <c r="D2683" s="7">
        <v>2.0</v>
      </c>
      <c r="E2683" s="7">
        <v>1.0</v>
      </c>
      <c r="F2683" s="7" t="s">
        <v>82</v>
      </c>
      <c r="G2683" s="7" t="s">
        <v>269</v>
      </c>
      <c r="H2683" s="9" t="s">
        <v>2979</v>
      </c>
      <c r="I2683" t="s">
        <v>3084</v>
      </c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 t="str">
        <f t="shared" si="1"/>
        <v>Built-up :</v>
      </c>
      <c r="AE2683" s="7" t="str">
        <f t="shared" si="2"/>
        <v> sq. ft.</v>
      </c>
      <c r="AF2683">
        <f>IFERROR(__xludf.DUMMYFUNCTION("VALUE(REGEXREPLACE(G2683,""[^[:digit:]]"", """"))"),715.0)</f>
        <v>715</v>
      </c>
      <c r="AG2683" s="7"/>
      <c r="AH2683" s="7"/>
      <c r="AI2683" s="7"/>
      <c r="AJ2683" s="7"/>
      <c r="AK2683" s="7"/>
      <c r="AL2683" s="7"/>
      <c r="AM2683" s="7"/>
      <c r="AN2683" s="7"/>
      <c r="AO2683" s="7"/>
      <c r="AP2683" s="7"/>
      <c r="AQ2683" s="7"/>
      <c r="AR2683" s="7"/>
      <c r="AS2683" s="7" t="s">
        <v>27</v>
      </c>
    </row>
    <row r="2684">
      <c r="A2684" s="7" t="s">
        <v>77</v>
      </c>
      <c r="B2684" s="7" t="s">
        <v>245</v>
      </c>
      <c r="C2684" s="7">
        <f>1</f>
        <v>1</v>
      </c>
      <c r="D2684" s="7">
        <v>2.0</v>
      </c>
      <c r="E2684" s="7">
        <v>1.0</v>
      </c>
      <c r="F2684" s="7" t="s">
        <v>93</v>
      </c>
      <c r="G2684" s="7" t="s">
        <v>323</v>
      </c>
      <c r="H2684" s="9" t="s">
        <v>2979</v>
      </c>
      <c r="I2684" t="s">
        <v>3108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 t="str">
        <f t="shared" si="1"/>
        <v>Built-up :</v>
      </c>
      <c r="AE2684" s="7" t="str">
        <f t="shared" si="2"/>
        <v> sq. ft.</v>
      </c>
      <c r="AF2684">
        <f>IFERROR(__xludf.DUMMYFUNCTION("VALUE(REGEXREPLACE(G2684,""[^[:digit:]]"", """"))"),915.0)</f>
        <v>915</v>
      </c>
      <c r="AG2684" s="7"/>
      <c r="AH2684" s="7"/>
      <c r="AI2684" s="7"/>
      <c r="AJ2684" s="7"/>
      <c r="AK2684" s="7"/>
      <c r="AL2684" s="7"/>
      <c r="AM2684" s="7"/>
      <c r="AN2684" s="7"/>
      <c r="AO2684" s="7"/>
      <c r="AP2684" s="7"/>
      <c r="AQ2684" s="7"/>
      <c r="AR2684" s="7"/>
      <c r="AS2684" s="7" t="s">
        <v>22</v>
      </c>
    </row>
    <row r="2685">
      <c r="A2685" s="7" t="s">
        <v>267</v>
      </c>
      <c r="B2685" s="7" t="s">
        <v>125</v>
      </c>
      <c r="C2685" s="7">
        <f>5</f>
        <v>5</v>
      </c>
      <c r="D2685" s="7">
        <v>5.0</v>
      </c>
      <c r="E2685" s="7">
        <v>3.0</v>
      </c>
      <c r="F2685" s="7" t="s">
        <v>184</v>
      </c>
      <c r="G2685" s="7" t="s">
        <v>1985</v>
      </c>
      <c r="H2685" s="9" t="s">
        <v>2981</v>
      </c>
      <c r="I2685" t="s">
        <v>4034</v>
      </c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 t="str">
        <f t="shared" si="1"/>
        <v>Land area </v>
      </c>
      <c r="AE2685" s="7" t="str">
        <f t="shared" si="2"/>
        <v> sq. ft.</v>
      </c>
      <c r="AF2685">
        <f>IFERROR(__xludf.DUMMYFUNCTION("VALUE(REGEXREPLACE(G2685,""[^[:digit:]]"", """"))"),3885.0)</f>
        <v>3885</v>
      </c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7"/>
      <c r="AR2685" s="7"/>
      <c r="AS2685" s="7" t="s">
        <v>27</v>
      </c>
    </row>
    <row r="2686">
      <c r="A2686" s="7" t="s">
        <v>267</v>
      </c>
      <c r="B2686" s="7" t="s">
        <v>563</v>
      </c>
      <c r="C2686" s="7">
        <f>3</f>
        <v>3</v>
      </c>
      <c r="D2686" s="7">
        <v>3.0</v>
      </c>
      <c r="E2686" s="7">
        <v>2.0</v>
      </c>
      <c r="F2686" s="7" t="s">
        <v>83</v>
      </c>
      <c r="G2686" s="7" t="s">
        <v>1986</v>
      </c>
      <c r="H2686" s="9" t="s">
        <v>2979</v>
      </c>
      <c r="I2686" t="s">
        <v>4035</v>
      </c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 t="str">
        <f t="shared" si="1"/>
        <v>Built-up :</v>
      </c>
      <c r="AE2686" s="7" t="str">
        <f t="shared" si="2"/>
        <v> sq. ft.</v>
      </c>
      <c r="AF2686">
        <f>IFERROR(__xludf.DUMMYFUNCTION("VALUE(REGEXREPLACE(G2686,""[^[:digit:]]"", """"))"),1261.0)</f>
        <v>1261</v>
      </c>
      <c r="AG2686" s="7"/>
      <c r="AH2686" s="7"/>
      <c r="AI2686" s="7"/>
      <c r="AJ2686" s="7"/>
      <c r="AK2686" s="7"/>
      <c r="AL2686" s="7"/>
      <c r="AM2686" s="7"/>
      <c r="AN2686" s="7"/>
      <c r="AO2686" s="7"/>
      <c r="AP2686" s="7"/>
      <c r="AQ2686" s="7"/>
      <c r="AR2686" s="7"/>
      <c r="AS2686" s="7" t="s">
        <v>22</v>
      </c>
    </row>
    <row r="2687">
      <c r="A2687" s="7" t="s">
        <v>32</v>
      </c>
      <c r="B2687" s="7" t="s">
        <v>1114</v>
      </c>
      <c r="C2687" s="7">
        <f>5+1</f>
        <v>6</v>
      </c>
      <c r="D2687" s="7">
        <v>4.0</v>
      </c>
      <c r="E2687" s="9">
        <v>2.0</v>
      </c>
      <c r="F2687" s="7" t="s">
        <v>562</v>
      </c>
      <c r="G2687" s="7" t="s">
        <v>1798</v>
      </c>
      <c r="H2687" s="9" t="s">
        <v>2979</v>
      </c>
      <c r="I2687" t="s">
        <v>3928</v>
      </c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 t="str">
        <f t="shared" si="1"/>
        <v>Built-up :</v>
      </c>
      <c r="AE2687" s="7" t="str">
        <f t="shared" si="2"/>
        <v> sq. ft.</v>
      </c>
      <c r="AF2687">
        <f>IFERROR(__xludf.DUMMYFUNCTION("VALUE(REGEXREPLACE(G2687,""[^[:digit:]]"", """"))"),4200.0)</f>
        <v>4200</v>
      </c>
      <c r="AG2687" s="7"/>
      <c r="AH2687" s="7"/>
      <c r="AI2687" s="7"/>
      <c r="AJ2687" s="7"/>
      <c r="AK2687" s="7"/>
      <c r="AL2687" s="7"/>
      <c r="AM2687" s="7"/>
      <c r="AN2687" s="7"/>
      <c r="AO2687" s="7"/>
      <c r="AP2687" s="7"/>
      <c r="AQ2687" s="7"/>
      <c r="AR2687" s="7"/>
      <c r="AS2687" s="7" t="s">
        <v>27</v>
      </c>
    </row>
    <row r="2688">
      <c r="A2688" s="7" t="s">
        <v>32</v>
      </c>
      <c r="B2688" s="7" t="s">
        <v>1075</v>
      </c>
      <c r="C2688" s="7">
        <f>5</f>
        <v>5</v>
      </c>
      <c r="D2688" s="7">
        <v>3.0</v>
      </c>
      <c r="E2688" s="9">
        <v>2.0</v>
      </c>
      <c r="F2688" s="7" t="s">
        <v>169</v>
      </c>
      <c r="G2688" s="7" t="s">
        <v>1987</v>
      </c>
      <c r="H2688" s="9" t="s">
        <v>2981</v>
      </c>
      <c r="I2688" t="s">
        <v>4036</v>
      </c>
      <c r="J2688" s="7"/>
      <c r="K2688" s="7"/>
      <c r="L2688" s="7"/>
      <c r="M2688" s="7"/>
      <c r="N2688" s="7"/>
      <c r="O2688" s="7"/>
      <c r="P2688" s="7"/>
      <c r="Q2688" s="7"/>
      <c r="R2688" s="7"/>
      <c r="S2688" s="7" t="s">
        <v>4037</v>
      </c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 t="str">
        <f t="shared" si="1"/>
        <v>Land area </v>
      </c>
      <c r="AE2688" s="7" t="str">
        <f t="shared" si="2"/>
        <v> sq. ft.</v>
      </c>
      <c r="AF2688" s="7">
        <v>1892.0</v>
      </c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7"/>
      <c r="AR2688" s="7"/>
      <c r="AS2688" s="7" t="s">
        <v>27</v>
      </c>
    </row>
    <row r="2689">
      <c r="A2689" s="7" t="s">
        <v>28</v>
      </c>
      <c r="B2689" s="7" t="s">
        <v>191</v>
      </c>
      <c r="C2689" s="7">
        <f t="shared" ref="C2689:C2690" si="358">2</f>
        <v>2</v>
      </c>
      <c r="D2689" s="7">
        <v>2.0</v>
      </c>
      <c r="E2689" s="7">
        <v>1.0</v>
      </c>
      <c r="F2689" s="7" t="s">
        <v>20</v>
      </c>
      <c r="G2689" s="7" t="s">
        <v>1656</v>
      </c>
      <c r="H2689" s="9" t="s">
        <v>2979</v>
      </c>
      <c r="I2689" t="s">
        <v>3840</v>
      </c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 t="str">
        <f t="shared" si="1"/>
        <v>Built-up :</v>
      </c>
      <c r="AE2689" s="7" t="str">
        <f t="shared" si="2"/>
        <v> sq. ft.</v>
      </c>
      <c r="AF2689">
        <f>IFERROR(__xludf.DUMMYFUNCTION("VALUE(REGEXREPLACE(G2689,""[^[:digit:]]"", """"))"),1145.0)</f>
        <v>1145</v>
      </c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7"/>
      <c r="AR2689" s="7"/>
      <c r="AS2689" s="7" t="s">
        <v>22</v>
      </c>
    </row>
    <row r="2690">
      <c r="A2690" s="7" t="s">
        <v>28</v>
      </c>
      <c r="B2690" s="7" t="s">
        <v>229</v>
      </c>
      <c r="C2690" s="7">
        <f t="shared" si="358"/>
        <v>2</v>
      </c>
      <c r="D2690" s="7">
        <v>2.0</v>
      </c>
      <c r="E2690" s="9">
        <v>2.0</v>
      </c>
      <c r="F2690" s="7" t="s">
        <v>121</v>
      </c>
      <c r="G2690" s="7" t="s">
        <v>1656</v>
      </c>
      <c r="H2690" s="9" t="s">
        <v>2979</v>
      </c>
      <c r="I2690" t="s">
        <v>3840</v>
      </c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 t="str">
        <f t="shared" si="1"/>
        <v>Built-up :</v>
      </c>
      <c r="AE2690" s="7" t="str">
        <f t="shared" si="2"/>
        <v> sq. ft.</v>
      </c>
      <c r="AF2690">
        <f>IFERROR(__xludf.DUMMYFUNCTION("VALUE(REGEXREPLACE(G2690,""[^[:digit:]]"", """"))"),1145.0)</f>
        <v>1145</v>
      </c>
      <c r="AG2690" s="7"/>
      <c r="AH2690" s="7"/>
      <c r="AI2690" s="7"/>
      <c r="AJ2690" s="7"/>
      <c r="AK2690" s="7"/>
      <c r="AL2690" s="7"/>
      <c r="AM2690" s="7"/>
      <c r="AN2690" s="7"/>
      <c r="AO2690" s="7"/>
      <c r="AP2690" s="7"/>
      <c r="AQ2690" s="7"/>
      <c r="AR2690" s="7"/>
      <c r="AS2690" s="7" t="s">
        <v>22</v>
      </c>
    </row>
    <row r="2691">
      <c r="A2691" s="7" t="s">
        <v>32</v>
      </c>
      <c r="B2691" s="7" t="s">
        <v>890</v>
      </c>
      <c r="C2691" s="7">
        <f>3</f>
        <v>3</v>
      </c>
      <c r="D2691" s="7">
        <v>2.0</v>
      </c>
      <c r="E2691" s="7">
        <v>2.0</v>
      </c>
      <c r="F2691" s="7" t="s">
        <v>54</v>
      </c>
      <c r="G2691" s="7" t="s">
        <v>1988</v>
      </c>
      <c r="H2691" s="9" t="s">
        <v>2981</v>
      </c>
      <c r="I2691" t="s">
        <v>3751</v>
      </c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 t="str">
        <f t="shared" si="1"/>
        <v>Land area </v>
      </c>
      <c r="AE2691" s="7" t="str">
        <f t="shared" si="2"/>
        <v> sq. ft.</v>
      </c>
      <c r="AF2691">
        <f>IFERROR(__xludf.DUMMYFUNCTION("VALUE(REGEXREPLACE(G2691,""[^[:digit:]]"", """"))"),990.0)</f>
        <v>990</v>
      </c>
      <c r="AG2691" s="7"/>
      <c r="AH2691" s="7"/>
      <c r="AI2691" s="7"/>
      <c r="AJ2691" s="7"/>
      <c r="AK2691" s="7"/>
      <c r="AL2691" s="7"/>
      <c r="AM2691" s="7"/>
      <c r="AN2691" s="7"/>
      <c r="AO2691" s="7"/>
      <c r="AP2691" s="7"/>
      <c r="AQ2691" s="7"/>
      <c r="AR2691" s="7"/>
      <c r="AS2691" s="7" t="s">
        <v>27</v>
      </c>
    </row>
    <row r="2692">
      <c r="A2692" s="7" t="s">
        <v>267</v>
      </c>
      <c r="B2692" s="7" t="s">
        <v>403</v>
      </c>
      <c r="C2692" s="7">
        <f>4</f>
        <v>4</v>
      </c>
      <c r="D2692" s="7">
        <v>3.0</v>
      </c>
      <c r="E2692" s="7">
        <v>2.0</v>
      </c>
      <c r="F2692" s="7" t="s">
        <v>30</v>
      </c>
      <c r="G2692" s="7" t="s">
        <v>1077</v>
      </c>
      <c r="H2692" s="9" t="s">
        <v>2979</v>
      </c>
      <c r="I2692" t="s">
        <v>3491</v>
      </c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 t="str">
        <f t="shared" si="1"/>
        <v>Built-up :</v>
      </c>
      <c r="AE2692" s="7" t="str">
        <f t="shared" si="2"/>
        <v> sq. ft.</v>
      </c>
      <c r="AF2692">
        <f>IFERROR(__xludf.DUMMYFUNCTION("VALUE(REGEXREPLACE(G2692,""[^[:digit:]]"", """"))"),2600.0)</f>
        <v>2600</v>
      </c>
      <c r="AG2692" s="7"/>
      <c r="AH2692" s="7"/>
      <c r="AI2692" s="7"/>
      <c r="AJ2692" s="7"/>
      <c r="AK2692" s="7"/>
      <c r="AL2692" s="7"/>
      <c r="AM2692" s="7"/>
      <c r="AN2692" s="7"/>
      <c r="AO2692" s="7"/>
      <c r="AP2692" s="7"/>
      <c r="AQ2692" s="7"/>
      <c r="AR2692" s="7"/>
      <c r="AS2692" s="7" t="s">
        <v>27</v>
      </c>
    </row>
    <row r="2693">
      <c r="A2693" s="7" t="s">
        <v>104</v>
      </c>
      <c r="B2693" s="7" t="s">
        <v>1213</v>
      </c>
      <c r="C2693" s="7">
        <f>3</f>
        <v>3</v>
      </c>
      <c r="D2693" s="7">
        <v>2.0</v>
      </c>
      <c r="E2693" s="7">
        <v>1.0</v>
      </c>
      <c r="F2693" s="7" t="s">
        <v>96</v>
      </c>
      <c r="G2693" s="7" t="s">
        <v>1020</v>
      </c>
      <c r="H2693" s="9" t="s">
        <v>2979</v>
      </c>
      <c r="I2693" t="s">
        <v>3458</v>
      </c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 t="str">
        <f t="shared" si="1"/>
        <v>Built-up :</v>
      </c>
      <c r="AE2693" s="7" t="str">
        <f t="shared" si="2"/>
        <v> sq. ft.</v>
      </c>
      <c r="AF2693">
        <f>IFERROR(__xludf.DUMMYFUNCTION("VALUE(REGEXREPLACE(G2693,""[^[:digit:]]"", """"))"),945.0)</f>
        <v>945</v>
      </c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7"/>
      <c r="AR2693" s="7"/>
      <c r="AS2693" s="7" t="s">
        <v>27</v>
      </c>
    </row>
    <row r="2694">
      <c r="A2694" s="7" t="s">
        <v>267</v>
      </c>
      <c r="B2694" s="7" t="s">
        <v>236</v>
      </c>
      <c r="C2694" s="7">
        <f>4</f>
        <v>4</v>
      </c>
      <c r="D2694" s="7">
        <v>4.0</v>
      </c>
      <c r="E2694" s="7">
        <v>3.0</v>
      </c>
      <c r="F2694" s="7" t="s">
        <v>46</v>
      </c>
      <c r="G2694" s="7" t="s">
        <v>1989</v>
      </c>
      <c r="H2694" s="9" t="s">
        <v>2981</v>
      </c>
      <c r="I2694" t="s">
        <v>4038</v>
      </c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 t="str">
        <f t="shared" si="1"/>
        <v>Land area </v>
      </c>
      <c r="AE2694" s="7" t="str">
        <f t="shared" si="2"/>
        <v> sq. ft.</v>
      </c>
      <c r="AF2694">
        <f>IFERROR(__xludf.DUMMYFUNCTION("VALUE(REGEXREPLACE(G2694,""[^[:digit:]]"", """"))"),4570.0)</f>
        <v>4570</v>
      </c>
      <c r="AG2694" s="7"/>
      <c r="AH2694" s="7"/>
      <c r="AI2694" s="7"/>
      <c r="AJ2694" s="7"/>
      <c r="AK2694" s="7"/>
      <c r="AL2694" s="7"/>
      <c r="AM2694" s="7"/>
      <c r="AN2694" s="7"/>
      <c r="AO2694" s="7"/>
      <c r="AP2694" s="7"/>
      <c r="AQ2694" s="7"/>
      <c r="AR2694" s="7"/>
      <c r="AS2694" s="7" t="s">
        <v>27</v>
      </c>
    </row>
    <row r="2695">
      <c r="A2695" s="7" t="s">
        <v>267</v>
      </c>
      <c r="B2695" s="7" t="s">
        <v>1351</v>
      </c>
      <c r="C2695" s="7">
        <f>3+1</f>
        <v>4</v>
      </c>
      <c r="D2695" s="7">
        <v>3.0</v>
      </c>
      <c r="E2695" s="7">
        <v>3.0</v>
      </c>
      <c r="F2695" s="7" t="s">
        <v>30</v>
      </c>
      <c r="G2695" s="7" t="s">
        <v>1856</v>
      </c>
      <c r="H2695" s="9" t="s">
        <v>2979</v>
      </c>
      <c r="I2695" t="s">
        <v>3962</v>
      </c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 t="str">
        <f t="shared" si="1"/>
        <v>Built-up :</v>
      </c>
      <c r="AE2695" s="7" t="str">
        <f t="shared" si="2"/>
        <v> sq. ft.</v>
      </c>
      <c r="AF2695">
        <f>IFERROR(__xludf.DUMMYFUNCTION("VALUE(REGEXREPLACE(G2695,""[^[:digit:]]"", """"))"),1650.0)</f>
        <v>1650</v>
      </c>
      <c r="AG2695" s="7"/>
      <c r="AH2695" s="7"/>
      <c r="AI2695" s="7"/>
      <c r="AJ2695" s="7"/>
      <c r="AK2695" s="7"/>
      <c r="AL2695" s="7"/>
      <c r="AM2695" s="7"/>
      <c r="AN2695" s="7"/>
      <c r="AO2695" s="7"/>
      <c r="AP2695" s="7"/>
      <c r="AQ2695" s="7"/>
      <c r="AR2695" s="7"/>
      <c r="AS2695" s="7" t="s">
        <v>22</v>
      </c>
    </row>
    <row r="2696">
      <c r="A2696" s="7" t="s">
        <v>267</v>
      </c>
      <c r="B2696" s="7" t="s">
        <v>361</v>
      </c>
      <c r="C2696" s="7">
        <f t="shared" ref="C2696:C2697" si="359">2</f>
        <v>2</v>
      </c>
      <c r="D2696" s="7">
        <v>2.0</v>
      </c>
      <c r="E2696" s="7">
        <v>1.0</v>
      </c>
      <c r="F2696" s="7" t="s">
        <v>93</v>
      </c>
      <c r="G2696" s="7" t="s">
        <v>1990</v>
      </c>
      <c r="H2696" s="9" t="s">
        <v>2979</v>
      </c>
      <c r="I2696" t="s">
        <v>4039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 t="str">
        <f t="shared" si="1"/>
        <v>Built-up :</v>
      </c>
      <c r="AE2696" s="7" t="str">
        <f t="shared" si="2"/>
        <v> sq. ft.</v>
      </c>
      <c r="AF2696">
        <f>IFERROR(__xludf.DUMMYFUNCTION("VALUE(REGEXREPLACE(G2696,""[^[:digit:]]"", """"))"),988.0)</f>
        <v>988</v>
      </c>
      <c r="AG2696" s="7"/>
      <c r="AH2696" s="7"/>
      <c r="AI2696" s="7"/>
      <c r="AJ2696" s="7"/>
      <c r="AK2696" s="7"/>
      <c r="AL2696" s="7"/>
      <c r="AM2696" s="7"/>
      <c r="AN2696" s="7"/>
      <c r="AO2696" s="7"/>
      <c r="AP2696" s="7"/>
      <c r="AQ2696" s="7"/>
      <c r="AR2696" s="7"/>
      <c r="AS2696" s="7" t="s">
        <v>22</v>
      </c>
    </row>
    <row r="2697">
      <c r="A2697" s="7" t="s">
        <v>41</v>
      </c>
      <c r="B2697" s="7" t="s">
        <v>603</v>
      </c>
      <c r="C2697" s="7">
        <f t="shared" si="359"/>
        <v>2</v>
      </c>
      <c r="D2697" s="7">
        <v>2.0</v>
      </c>
      <c r="E2697" s="7">
        <v>2.0</v>
      </c>
      <c r="F2697" s="7" t="s">
        <v>83</v>
      </c>
      <c r="G2697" s="7" t="s">
        <v>764</v>
      </c>
      <c r="H2697" s="9" t="s">
        <v>2979</v>
      </c>
      <c r="I2697" t="s">
        <v>3325</v>
      </c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 t="str">
        <f t="shared" si="1"/>
        <v>Built-up :</v>
      </c>
      <c r="AE2697" s="7" t="str">
        <f t="shared" si="2"/>
        <v> sq. ft.</v>
      </c>
      <c r="AF2697">
        <f>IFERROR(__xludf.DUMMYFUNCTION("VALUE(REGEXREPLACE(G2697,""[^[:digit:]]"", """"))"),1025.0)</f>
        <v>1025</v>
      </c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7"/>
      <c r="AR2697" s="7"/>
      <c r="AS2697" s="7" t="s">
        <v>22</v>
      </c>
    </row>
    <row r="2698">
      <c r="A2698" s="7" t="s">
        <v>37</v>
      </c>
      <c r="B2698" s="7" t="s">
        <v>138</v>
      </c>
      <c r="C2698" s="7">
        <f>3</f>
        <v>3</v>
      </c>
      <c r="D2698" s="7">
        <v>2.0</v>
      </c>
      <c r="E2698" s="7">
        <v>1.0</v>
      </c>
      <c r="F2698" s="7" t="s">
        <v>30</v>
      </c>
      <c r="G2698" s="7" t="s">
        <v>1810</v>
      </c>
      <c r="H2698" s="9" t="s">
        <v>2979</v>
      </c>
      <c r="I2698" t="s">
        <v>3934</v>
      </c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 t="str">
        <f t="shared" si="1"/>
        <v>Built-up :</v>
      </c>
      <c r="AE2698" s="7" t="str">
        <f t="shared" si="2"/>
        <v> sq. ft.</v>
      </c>
      <c r="AF2698">
        <f>IFERROR(__xludf.DUMMYFUNCTION("VALUE(REGEXREPLACE(G2698,""[^[:digit:]]"", """"))"),1370.0)</f>
        <v>1370</v>
      </c>
      <c r="AG2698" s="7"/>
      <c r="AH2698" s="7"/>
      <c r="AI2698" s="7"/>
      <c r="AJ2698" s="7"/>
      <c r="AK2698" s="7"/>
      <c r="AL2698" s="7"/>
      <c r="AM2698" s="7"/>
      <c r="AN2698" s="7"/>
      <c r="AO2698" s="7"/>
      <c r="AP2698" s="7"/>
      <c r="AQ2698" s="7"/>
      <c r="AR2698" s="7"/>
      <c r="AS2698" s="7" t="s">
        <v>27</v>
      </c>
    </row>
    <row r="2699">
      <c r="A2699" s="7" t="s">
        <v>171</v>
      </c>
      <c r="B2699" s="7" t="s">
        <v>715</v>
      </c>
      <c r="C2699" s="7">
        <f>2</f>
        <v>2</v>
      </c>
      <c r="D2699" s="7">
        <v>2.0</v>
      </c>
      <c r="E2699" s="7">
        <v>2.0</v>
      </c>
      <c r="F2699" s="7" t="s">
        <v>343</v>
      </c>
      <c r="G2699" s="7" t="s">
        <v>1119</v>
      </c>
      <c r="H2699" s="9" t="s">
        <v>2981</v>
      </c>
      <c r="I2699" t="s">
        <v>3516</v>
      </c>
      <c r="J2699" s="7"/>
      <c r="K2699" s="7"/>
      <c r="L2699" s="7"/>
      <c r="M2699" s="7"/>
      <c r="N2699" s="7"/>
      <c r="O2699" s="7"/>
      <c r="P2699" s="7"/>
      <c r="Q2699" s="7"/>
      <c r="R2699" s="7"/>
      <c r="S2699" s="7" t="s">
        <v>3121</v>
      </c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 t="str">
        <f t="shared" si="1"/>
        <v>Land area </v>
      </c>
      <c r="AE2699" s="7" t="str">
        <f t="shared" si="2"/>
        <v> sq. ft.</v>
      </c>
      <c r="AF2699">
        <f>IFERROR(__xludf.DUMMYFUNCTION("VALUE(REGEXREPLACE(G2699,""[^[:digit:]]"", """"))"),2070.0)</f>
        <v>2070</v>
      </c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7"/>
      <c r="AR2699" s="7"/>
      <c r="AS2699" s="7" t="s">
        <v>22</v>
      </c>
    </row>
    <row r="2700">
      <c r="A2700" s="7" t="s">
        <v>32</v>
      </c>
      <c r="B2700" s="7" t="s">
        <v>1308</v>
      </c>
      <c r="C2700" s="7">
        <f>1</f>
        <v>1</v>
      </c>
      <c r="D2700" s="7">
        <v>1.0</v>
      </c>
      <c r="E2700" s="9">
        <v>2.0</v>
      </c>
      <c r="F2700" s="7" t="s">
        <v>93</v>
      </c>
      <c r="G2700" s="7" t="s">
        <v>1350</v>
      </c>
      <c r="H2700" s="9" t="s">
        <v>2979</v>
      </c>
      <c r="I2700" t="s">
        <v>3661</v>
      </c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 t="str">
        <f t="shared" si="1"/>
        <v>Built-up :</v>
      </c>
      <c r="AE2700" s="7" t="str">
        <f t="shared" si="2"/>
        <v> sq. ft.</v>
      </c>
      <c r="AF2700">
        <f>IFERROR(__xludf.DUMMYFUNCTION("VALUE(REGEXREPLACE(G2700,""[^[:digit:]]"", """"))"),610.0)</f>
        <v>610</v>
      </c>
      <c r="AG2700" s="7"/>
      <c r="AH2700" s="7"/>
      <c r="AI2700" s="7"/>
      <c r="AJ2700" s="7"/>
      <c r="AK2700" s="7"/>
      <c r="AL2700" s="7"/>
      <c r="AM2700" s="7"/>
      <c r="AN2700" s="7"/>
      <c r="AO2700" s="7"/>
      <c r="AP2700" s="7"/>
      <c r="AQ2700" s="7"/>
      <c r="AR2700" s="7"/>
      <c r="AS2700" s="7" t="s">
        <v>22</v>
      </c>
    </row>
    <row r="2701">
      <c r="A2701" s="7" t="s">
        <v>104</v>
      </c>
      <c r="B2701" s="7" t="s">
        <v>1880</v>
      </c>
      <c r="C2701" s="7">
        <f>3</f>
        <v>3</v>
      </c>
      <c r="D2701" s="7">
        <v>2.0</v>
      </c>
      <c r="E2701" s="7">
        <v>2.0</v>
      </c>
      <c r="F2701" s="7" t="s">
        <v>1185</v>
      </c>
      <c r="G2701" s="7" t="s">
        <v>1100</v>
      </c>
      <c r="H2701" s="9" t="s">
        <v>2981</v>
      </c>
      <c r="I2701" t="s">
        <v>3091</v>
      </c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 t="str">
        <f t="shared" si="1"/>
        <v>Land area </v>
      </c>
      <c r="AE2701" s="7" t="str">
        <f t="shared" si="2"/>
        <v> sq. ft.</v>
      </c>
      <c r="AF2701">
        <f>IFERROR(__xludf.DUMMYFUNCTION("VALUE(REGEXREPLACE(G2701,""[^[:digit:]]"", """"))"),2275.0)</f>
        <v>2275</v>
      </c>
      <c r="AG2701" s="7"/>
      <c r="AH2701" s="7"/>
      <c r="AI2701" s="7"/>
      <c r="AJ2701" s="7"/>
      <c r="AK2701" s="7"/>
      <c r="AL2701" s="7"/>
      <c r="AM2701" s="7"/>
      <c r="AN2701" s="7"/>
      <c r="AO2701" s="7"/>
      <c r="AP2701" s="7"/>
      <c r="AQ2701" s="7"/>
      <c r="AR2701" s="7"/>
    </row>
    <row r="2702">
      <c r="A2702" s="7" t="s">
        <v>267</v>
      </c>
      <c r="B2702" s="7" t="s">
        <v>172</v>
      </c>
      <c r="C2702" s="7">
        <f>2</f>
        <v>2</v>
      </c>
      <c r="D2702" s="7">
        <v>2.0</v>
      </c>
      <c r="E2702" s="7">
        <v>1.0</v>
      </c>
      <c r="F2702" s="7" t="s">
        <v>93</v>
      </c>
      <c r="G2702" s="7" t="s">
        <v>1532</v>
      </c>
      <c r="H2702" s="9" t="s">
        <v>2979</v>
      </c>
      <c r="I2702" t="s">
        <v>3764</v>
      </c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 t="str">
        <f t="shared" si="1"/>
        <v>Built-up :</v>
      </c>
      <c r="AE2702" s="7" t="str">
        <f t="shared" si="2"/>
        <v> sq. ft.</v>
      </c>
      <c r="AF2702">
        <f>IFERROR(__xludf.DUMMYFUNCTION("VALUE(REGEXREPLACE(G2702,""[^[:digit:]]"", """"))"),1044.0)</f>
        <v>1044</v>
      </c>
      <c r="AG2702" s="7"/>
      <c r="AH2702" s="7"/>
      <c r="AI2702" s="7"/>
      <c r="AJ2702" s="7"/>
      <c r="AK2702" s="7"/>
      <c r="AL2702" s="7"/>
      <c r="AM2702" s="7"/>
      <c r="AN2702" s="7"/>
      <c r="AO2702" s="7"/>
      <c r="AP2702" s="7"/>
      <c r="AQ2702" s="7"/>
      <c r="AR2702" s="7"/>
      <c r="AS2702" s="7" t="s">
        <v>27</v>
      </c>
    </row>
    <row r="2703">
      <c r="A2703" s="7" t="s">
        <v>23</v>
      </c>
      <c r="B2703" s="7" t="s">
        <v>523</v>
      </c>
      <c r="C2703" s="7">
        <f>5+1</f>
        <v>6</v>
      </c>
      <c r="D2703" s="7">
        <v>6.0</v>
      </c>
      <c r="E2703" s="9">
        <v>2.0</v>
      </c>
      <c r="F2703" s="7" t="s">
        <v>64</v>
      </c>
      <c r="G2703" s="7" t="s">
        <v>1991</v>
      </c>
      <c r="H2703" s="9" t="s">
        <v>2981</v>
      </c>
      <c r="I2703" t="s">
        <v>4040</v>
      </c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 t="str">
        <f t="shared" si="1"/>
        <v>Land area </v>
      </c>
      <c r="AE2703" s="7" t="str">
        <f t="shared" si="2"/>
        <v> sq. ft.</v>
      </c>
      <c r="AF2703">
        <f>IFERROR(__xludf.DUMMYFUNCTION("VALUE(REGEXREPLACE(G2703,""[^[:digit:]]"", """"))"),3300.0)</f>
        <v>3300</v>
      </c>
      <c r="AG2703" s="7"/>
      <c r="AH2703" s="7"/>
      <c r="AI2703" s="7"/>
      <c r="AJ2703" s="7"/>
      <c r="AK2703" s="7"/>
      <c r="AL2703" s="7"/>
      <c r="AM2703" s="7"/>
      <c r="AN2703" s="7"/>
      <c r="AO2703" s="7"/>
      <c r="AP2703" s="7"/>
      <c r="AQ2703" s="7"/>
      <c r="AR2703" s="7"/>
      <c r="AS2703" s="7" t="s">
        <v>27</v>
      </c>
    </row>
    <row r="2704">
      <c r="A2704" s="7" t="s">
        <v>32</v>
      </c>
      <c r="B2704" s="7" t="s">
        <v>951</v>
      </c>
      <c r="C2704" s="7">
        <f>3</f>
        <v>3</v>
      </c>
      <c r="D2704" s="7">
        <v>2.0</v>
      </c>
      <c r="E2704" s="7">
        <v>2.0</v>
      </c>
      <c r="F2704" s="7" t="s">
        <v>93</v>
      </c>
      <c r="G2704" s="7" t="s">
        <v>1864</v>
      </c>
      <c r="H2704" s="9" t="s">
        <v>2979</v>
      </c>
      <c r="I2704" t="s">
        <v>3965</v>
      </c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 t="str">
        <f t="shared" si="1"/>
        <v>Built-up :</v>
      </c>
      <c r="AE2704" s="7" t="str">
        <f t="shared" si="2"/>
        <v> sq. ft.</v>
      </c>
      <c r="AF2704">
        <f>IFERROR(__xludf.DUMMYFUNCTION("VALUE(REGEXREPLACE(G2704,""[^[:digit:]]"", """"))"),927.0)</f>
        <v>927</v>
      </c>
      <c r="AG2704" s="7"/>
      <c r="AH2704" s="7"/>
      <c r="AI2704" s="7"/>
      <c r="AJ2704" s="7"/>
      <c r="AK2704" s="7"/>
      <c r="AL2704" s="7"/>
      <c r="AM2704" s="7"/>
      <c r="AN2704" s="7"/>
      <c r="AO2704" s="7"/>
      <c r="AP2704" s="7"/>
      <c r="AQ2704" s="7"/>
      <c r="AR2704" s="7"/>
      <c r="AS2704" s="7" t="s">
        <v>27</v>
      </c>
    </row>
    <row r="2705">
      <c r="A2705" s="7" t="s">
        <v>32</v>
      </c>
      <c r="B2705" s="7" t="s">
        <v>1992</v>
      </c>
      <c r="C2705" s="7">
        <f>3+1</f>
        <v>4</v>
      </c>
      <c r="D2705" s="7">
        <v>2.0</v>
      </c>
      <c r="E2705" s="7">
        <v>1.0</v>
      </c>
      <c r="F2705" s="7" t="s">
        <v>83</v>
      </c>
      <c r="G2705" s="7" t="s">
        <v>1993</v>
      </c>
      <c r="H2705" s="9" t="s">
        <v>2979</v>
      </c>
      <c r="I2705" t="s">
        <v>4041</v>
      </c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 t="str">
        <f t="shared" si="1"/>
        <v>Built-up :</v>
      </c>
      <c r="AE2705" s="7" t="str">
        <f t="shared" si="2"/>
        <v> sq. ft.</v>
      </c>
      <c r="AF2705">
        <f>IFERROR(__xludf.DUMMYFUNCTION("VALUE(REGEXREPLACE(G2705,""[^[:digit:]]"", """"))"),1461.0)</f>
        <v>1461</v>
      </c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7"/>
      <c r="AR2705" s="7"/>
    </row>
    <row r="2706">
      <c r="A2706" s="7" t="s">
        <v>32</v>
      </c>
      <c r="B2706" s="7" t="s">
        <v>1423</v>
      </c>
      <c r="C2706" s="7">
        <f>2</f>
        <v>2</v>
      </c>
      <c r="D2706" s="7">
        <v>2.0</v>
      </c>
      <c r="E2706" s="7">
        <v>1.0</v>
      </c>
      <c r="F2706" s="7" t="s">
        <v>96</v>
      </c>
      <c r="G2706" s="7" t="s">
        <v>742</v>
      </c>
      <c r="H2706" s="9" t="s">
        <v>2979</v>
      </c>
      <c r="I2706" t="s">
        <v>3314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 t="str">
        <f t="shared" si="1"/>
        <v>Built-up :</v>
      </c>
      <c r="AE2706" s="7" t="str">
        <f t="shared" si="2"/>
        <v> sq. ft.</v>
      </c>
      <c r="AF2706">
        <f>IFERROR(__xludf.DUMMYFUNCTION("VALUE(REGEXREPLACE(G2706,""[^[:digit:]]"", """"))"),1072.0)</f>
        <v>1072</v>
      </c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7"/>
      <c r="AR2706" s="7"/>
      <c r="AS2706" s="7" t="s">
        <v>27</v>
      </c>
    </row>
    <row r="2707">
      <c r="A2707" s="7" t="s">
        <v>32</v>
      </c>
      <c r="B2707" s="7" t="s">
        <v>1994</v>
      </c>
      <c r="C2707" s="7">
        <f>3</f>
        <v>3</v>
      </c>
      <c r="D2707" s="7">
        <v>2.0</v>
      </c>
      <c r="E2707" s="7">
        <v>1.0</v>
      </c>
      <c r="F2707" s="7" t="s">
        <v>93</v>
      </c>
      <c r="G2707" s="7" t="s">
        <v>948</v>
      </c>
      <c r="H2707" s="9" t="s">
        <v>2979</v>
      </c>
      <c r="I2707" t="s">
        <v>3421</v>
      </c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 t="str">
        <f t="shared" si="1"/>
        <v>Built-up :</v>
      </c>
      <c r="AE2707" s="7" t="str">
        <f t="shared" si="2"/>
        <v> sq. ft.</v>
      </c>
      <c r="AF2707">
        <f>IFERROR(__xludf.DUMMYFUNCTION("VALUE(REGEXREPLACE(G2707,""[^[:digit:]]"", """"))"),960.0)</f>
        <v>960</v>
      </c>
      <c r="AG2707" s="7"/>
      <c r="AH2707" s="7"/>
      <c r="AI2707" s="7"/>
      <c r="AJ2707" s="7"/>
      <c r="AK2707" s="7"/>
      <c r="AL2707" s="7"/>
      <c r="AM2707" s="7"/>
      <c r="AN2707" s="7"/>
      <c r="AO2707" s="7"/>
      <c r="AP2707" s="7"/>
      <c r="AQ2707" s="7"/>
      <c r="AR2707" s="7"/>
      <c r="AS2707" s="7" t="s">
        <v>27</v>
      </c>
    </row>
    <row r="2708">
      <c r="A2708" s="7" t="s">
        <v>177</v>
      </c>
      <c r="C2708" s="7">
        <f>3+1</f>
        <v>4</v>
      </c>
      <c r="D2708" s="7">
        <v>4.0</v>
      </c>
      <c r="E2708" s="7">
        <v>2.0</v>
      </c>
      <c r="F2708" s="7" t="s">
        <v>30</v>
      </c>
      <c r="G2708" s="7" t="s">
        <v>1995</v>
      </c>
      <c r="H2708" s="9" t="s">
        <v>2979</v>
      </c>
      <c r="I2708" t="s">
        <v>4042</v>
      </c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 t="str">
        <f t="shared" si="1"/>
        <v>Built-up :</v>
      </c>
      <c r="AE2708" s="7" t="str">
        <f t="shared" si="2"/>
        <v> sq. ft.</v>
      </c>
      <c r="AF2708">
        <f>IFERROR(__xludf.DUMMYFUNCTION("VALUE(REGEXREPLACE(G2708,""[^[:digit:]]"", """"))"),2097.0)</f>
        <v>2097</v>
      </c>
      <c r="AG2708" s="7"/>
      <c r="AH2708" s="7"/>
      <c r="AI2708" s="7"/>
      <c r="AJ2708" s="7"/>
      <c r="AK2708" s="7"/>
      <c r="AL2708" s="7"/>
      <c r="AM2708" s="7"/>
      <c r="AN2708" s="7"/>
      <c r="AO2708" s="7"/>
      <c r="AP2708" s="7"/>
      <c r="AQ2708" s="7"/>
      <c r="AR2708" s="7"/>
      <c r="AS2708" s="7" t="s">
        <v>27</v>
      </c>
    </row>
    <row r="2709">
      <c r="A2709" s="7" t="s">
        <v>37</v>
      </c>
      <c r="B2709" s="7" t="s">
        <v>56</v>
      </c>
      <c r="C2709" s="7">
        <f>4</f>
        <v>4</v>
      </c>
      <c r="D2709" s="7">
        <v>3.0</v>
      </c>
      <c r="E2709" s="7">
        <v>2.0</v>
      </c>
      <c r="F2709" s="7" t="s">
        <v>30</v>
      </c>
      <c r="G2709" s="7" t="s">
        <v>1996</v>
      </c>
      <c r="H2709" s="9" t="s">
        <v>2979</v>
      </c>
      <c r="I2709" t="s">
        <v>4043</v>
      </c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 t="str">
        <f t="shared" si="1"/>
        <v>Built-up :</v>
      </c>
      <c r="AE2709" s="7" t="str">
        <f t="shared" si="2"/>
        <v> sq. ft.</v>
      </c>
      <c r="AF2709">
        <f>IFERROR(__xludf.DUMMYFUNCTION("VALUE(REGEXREPLACE(G2709,""[^[:digit:]]"", """"))"),2292.0)</f>
        <v>2292</v>
      </c>
      <c r="AG2709" s="7"/>
      <c r="AH2709" s="7"/>
      <c r="AI2709" s="7"/>
      <c r="AJ2709" s="7"/>
      <c r="AK2709" s="7"/>
      <c r="AL2709" s="7"/>
      <c r="AM2709" s="7"/>
      <c r="AN2709" s="7"/>
      <c r="AO2709" s="7"/>
      <c r="AP2709" s="7"/>
      <c r="AQ2709" s="7"/>
      <c r="AR2709" s="7"/>
      <c r="AS2709" s="7" t="s">
        <v>27</v>
      </c>
    </row>
    <row r="2710">
      <c r="A2710" s="7" t="s">
        <v>37</v>
      </c>
      <c r="B2710" s="7" t="s">
        <v>1997</v>
      </c>
      <c r="C2710" s="7">
        <f>3</f>
        <v>3</v>
      </c>
      <c r="D2710" s="7">
        <v>2.0</v>
      </c>
      <c r="E2710" s="7">
        <v>1.0</v>
      </c>
      <c r="F2710" s="7" t="s">
        <v>30</v>
      </c>
      <c r="G2710" s="7" t="s">
        <v>1998</v>
      </c>
      <c r="H2710" s="9" t="s">
        <v>2979</v>
      </c>
      <c r="I2710" t="s">
        <v>4044</v>
      </c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 t="str">
        <f t="shared" si="1"/>
        <v>Built-up :</v>
      </c>
      <c r="AE2710" s="7" t="str">
        <f t="shared" si="2"/>
        <v> sq. ft.</v>
      </c>
      <c r="AF2710">
        <f>IFERROR(__xludf.DUMMYFUNCTION("VALUE(REGEXREPLACE(G2710,""[^[:digit:]]"", """"))"),1384.0)</f>
        <v>1384</v>
      </c>
      <c r="AG2710" s="7"/>
      <c r="AH2710" s="7"/>
      <c r="AI2710" s="7"/>
      <c r="AJ2710" s="7"/>
      <c r="AK2710" s="7"/>
      <c r="AL2710" s="7"/>
      <c r="AM2710" s="7"/>
      <c r="AN2710" s="7"/>
      <c r="AO2710" s="7"/>
      <c r="AP2710" s="7"/>
      <c r="AQ2710" s="7"/>
      <c r="AR2710" s="7"/>
      <c r="AS2710" s="7" t="s">
        <v>22</v>
      </c>
    </row>
    <row r="2711">
      <c r="A2711" s="7" t="s">
        <v>692</v>
      </c>
      <c r="B2711" s="7" t="s">
        <v>329</v>
      </c>
      <c r="C2711" s="7">
        <f>3+1</f>
        <v>4</v>
      </c>
      <c r="D2711" s="7">
        <v>4.0</v>
      </c>
      <c r="E2711" s="9">
        <v>2.0</v>
      </c>
      <c r="F2711" s="7" t="s">
        <v>494</v>
      </c>
      <c r="G2711" s="7" t="s">
        <v>1999</v>
      </c>
      <c r="H2711" s="9" t="s">
        <v>2979</v>
      </c>
      <c r="I2711" t="s">
        <v>4045</v>
      </c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 t="str">
        <f t="shared" si="1"/>
        <v>Built-up :</v>
      </c>
      <c r="AE2711" s="7" t="str">
        <f t="shared" si="2"/>
        <v> sq. ft.</v>
      </c>
      <c r="AF2711">
        <f>IFERROR(__xludf.DUMMYFUNCTION("VALUE(REGEXREPLACE(G2711,""[^[:digit:]]"", """"))"),2800.0)</f>
        <v>2800</v>
      </c>
      <c r="AG2711" s="7"/>
      <c r="AH2711" s="7"/>
      <c r="AI2711" s="7"/>
      <c r="AJ2711" s="7"/>
      <c r="AK2711" s="7"/>
      <c r="AL2711" s="7"/>
      <c r="AM2711" s="7"/>
      <c r="AN2711" s="7"/>
      <c r="AO2711" s="7"/>
      <c r="AP2711" s="7"/>
      <c r="AQ2711" s="7"/>
      <c r="AR2711" s="7"/>
      <c r="AS2711" s="7" t="s">
        <v>27</v>
      </c>
    </row>
    <row r="2712">
      <c r="A2712" s="7" t="s">
        <v>267</v>
      </c>
      <c r="B2712" s="7" t="s">
        <v>702</v>
      </c>
      <c r="C2712" s="7">
        <f>1+1</f>
        <v>2</v>
      </c>
      <c r="D2712" s="7">
        <v>1.0</v>
      </c>
      <c r="E2712" s="7">
        <v>1.0</v>
      </c>
      <c r="F2712" s="7" t="s">
        <v>93</v>
      </c>
      <c r="G2712" s="7" t="s">
        <v>1210</v>
      </c>
      <c r="H2712" s="9" t="s">
        <v>2979</v>
      </c>
      <c r="I2712" t="s">
        <v>3579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 t="str">
        <f t="shared" si="1"/>
        <v>Built-up :</v>
      </c>
      <c r="AE2712" s="7" t="str">
        <f t="shared" si="2"/>
        <v> sq. ft.</v>
      </c>
      <c r="AF2712">
        <f>IFERROR(__xludf.DUMMYFUNCTION("VALUE(REGEXREPLACE(G2712,""[^[:digit:]]"", """"))"),680.0)</f>
        <v>680</v>
      </c>
      <c r="AG2712" s="7"/>
      <c r="AH2712" s="7"/>
      <c r="AI2712" s="7"/>
      <c r="AJ2712" s="7"/>
      <c r="AK2712" s="7"/>
      <c r="AL2712" s="7"/>
      <c r="AM2712" s="7"/>
      <c r="AN2712" s="7"/>
      <c r="AO2712" s="7"/>
      <c r="AP2712" s="7"/>
      <c r="AQ2712" s="7"/>
      <c r="AR2712" s="7"/>
      <c r="AS2712" s="7" t="s">
        <v>27</v>
      </c>
    </row>
    <row r="2713">
      <c r="A2713" s="7" t="s">
        <v>89</v>
      </c>
      <c r="B2713" s="7" t="s">
        <v>281</v>
      </c>
      <c r="C2713" s="7">
        <f>4+1</f>
        <v>5</v>
      </c>
      <c r="D2713" s="7">
        <v>5.0</v>
      </c>
      <c r="E2713" s="7">
        <v>5.0</v>
      </c>
      <c r="F2713" s="7" t="s">
        <v>43</v>
      </c>
      <c r="G2713" s="7" t="s">
        <v>912</v>
      </c>
      <c r="H2713" s="9" t="s">
        <v>2981</v>
      </c>
      <c r="I2713" t="s">
        <v>3183</v>
      </c>
      <c r="J2713" s="7"/>
      <c r="K2713" s="7"/>
      <c r="L2713" s="7"/>
      <c r="M2713" s="7"/>
      <c r="N2713" s="7"/>
      <c r="O2713" s="7"/>
      <c r="P2713" s="7"/>
      <c r="Q2713" s="7"/>
      <c r="R2713" s="7"/>
      <c r="S2713" s="7" t="s">
        <v>2993</v>
      </c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 t="str">
        <f t="shared" si="1"/>
        <v>Land area </v>
      </c>
      <c r="AE2713" s="7" t="str">
        <f t="shared" si="2"/>
        <v> sq. ft.</v>
      </c>
      <c r="AF2713">
        <f>IFERROR(__xludf.DUMMYFUNCTION("VALUE(REGEXREPLACE(G2713,""[^[:digit:]]"", """"))"),4080.0)</f>
        <v>4080</v>
      </c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7"/>
      <c r="AR2713" s="7"/>
      <c r="AS2713" s="7" t="s">
        <v>27</v>
      </c>
    </row>
    <row r="2714">
      <c r="A2714" s="7" t="s">
        <v>148</v>
      </c>
      <c r="B2714" s="7" t="s">
        <v>168</v>
      </c>
      <c r="C2714" s="7">
        <f>4</f>
        <v>4</v>
      </c>
      <c r="D2714" s="7">
        <v>3.0</v>
      </c>
      <c r="E2714" s="7">
        <v>3.0</v>
      </c>
      <c r="F2714" s="7" t="s">
        <v>54</v>
      </c>
      <c r="G2714" s="7" t="s">
        <v>211</v>
      </c>
      <c r="H2714" s="9" t="s">
        <v>2981</v>
      </c>
      <c r="I2714" t="s">
        <v>2992</v>
      </c>
      <c r="J2714" s="7"/>
      <c r="K2714" s="7"/>
      <c r="L2714" s="7"/>
      <c r="M2714" s="7"/>
      <c r="N2714" s="7"/>
      <c r="O2714" s="7"/>
      <c r="P2714" s="7"/>
      <c r="Q2714" s="7"/>
      <c r="R2714" s="7"/>
      <c r="S2714" s="7" t="s">
        <v>2993</v>
      </c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 t="str">
        <f t="shared" si="1"/>
        <v>Land area </v>
      </c>
      <c r="AE2714" s="7" t="str">
        <f t="shared" si="2"/>
        <v> sq. ft.</v>
      </c>
      <c r="AF2714">
        <f>IFERROR(__xludf.DUMMYFUNCTION("VALUE(REGEXREPLACE(G2714,""[^[:digit:]]"", """"))"),2280.0)</f>
        <v>2280</v>
      </c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7"/>
      <c r="AR2714" s="7"/>
      <c r="AS2714" s="7" t="s">
        <v>27</v>
      </c>
    </row>
    <row r="2715">
      <c r="A2715" s="7" t="s">
        <v>23</v>
      </c>
      <c r="B2715" s="7" t="s">
        <v>2000</v>
      </c>
      <c r="C2715" s="7">
        <f>1+1</f>
        <v>2</v>
      </c>
      <c r="D2715" s="7">
        <v>2.0</v>
      </c>
      <c r="E2715" s="9">
        <v>2.0</v>
      </c>
      <c r="F2715" s="7" t="s">
        <v>82</v>
      </c>
      <c r="G2715" s="7" t="s">
        <v>373</v>
      </c>
      <c r="H2715" s="9" t="s">
        <v>2979</v>
      </c>
      <c r="I2715" t="s">
        <v>3131</v>
      </c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 t="str">
        <f t="shared" si="1"/>
        <v>Built-up :</v>
      </c>
      <c r="AE2715" s="7" t="str">
        <f t="shared" si="2"/>
        <v> sq. ft.</v>
      </c>
      <c r="AF2715">
        <f>IFERROR(__xludf.DUMMYFUNCTION("VALUE(REGEXREPLACE(G2715,""[^[:digit:]]"", """"))"),1152.0)</f>
        <v>1152</v>
      </c>
      <c r="AG2715" s="7"/>
      <c r="AH2715" s="7"/>
      <c r="AI2715" s="7"/>
      <c r="AJ2715" s="7"/>
      <c r="AK2715" s="7"/>
      <c r="AL2715" s="7"/>
      <c r="AM2715" s="7"/>
      <c r="AN2715" s="7"/>
      <c r="AO2715" s="7"/>
      <c r="AP2715" s="7"/>
      <c r="AQ2715" s="7"/>
      <c r="AR2715" s="7"/>
      <c r="AS2715" s="7" t="s">
        <v>27</v>
      </c>
    </row>
    <row r="2716">
      <c r="A2716" s="7" t="s">
        <v>72</v>
      </c>
      <c r="B2716" s="7" t="s">
        <v>322</v>
      </c>
      <c r="C2716" s="7">
        <f t="shared" ref="C2716:C2718" si="360">3+1</f>
        <v>4</v>
      </c>
      <c r="D2716" s="7">
        <v>4.0</v>
      </c>
      <c r="E2716" s="7">
        <v>2.0</v>
      </c>
      <c r="F2716" s="7" t="s">
        <v>30</v>
      </c>
      <c r="G2716" s="7" t="s">
        <v>708</v>
      </c>
      <c r="H2716" s="9" t="s">
        <v>2979</v>
      </c>
      <c r="I2716" t="s">
        <v>3293</v>
      </c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 t="str">
        <f t="shared" si="1"/>
        <v>Built-up :</v>
      </c>
      <c r="AE2716" s="7" t="str">
        <f t="shared" si="2"/>
        <v> sq. ft.</v>
      </c>
      <c r="AF2716">
        <f>IFERROR(__xludf.DUMMYFUNCTION("VALUE(REGEXREPLACE(G2716,""[^[:digit:]]"", """"))"),2070.0)</f>
        <v>2070</v>
      </c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7"/>
      <c r="AR2716" s="7"/>
      <c r="AS2716" s="7" t="s">
        <v>22</v>
      </c>
    </row>
    <row r="2717">
      <c r="A2717" s="7" t="s">
        <v>72</v>
      </c>
      <c r="B2717" s="7" t="s">
        <v>56</v>
      </c>
      <c r="C2717" s="7">
        <f t="shared" si="360"/>
        <v>4</v>
      </c>
      <c r="D2717" s="7">
        <v>4.0</v>
      </c>
      <c r="E2717" s="7">
        <v>2.0</v>
      </c>
      <c r="F2717" s="7" t="s">
        <v>30</v>
      </c>
      <c r="G2717" s="7" t="s">
        <v>404</v>
      </c>
      <c r="H2717" s="9" t="s">
        <v>2979</v>
      </c>
      <c r="I2717" t="s">
        <v>3147</v>
      </c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 t="str">
        <f t="shared" si="1"/>
        <v>Built-up :</v>
      </c>
      <c r="AE2717" s="7" t="str">
        <f t="shared" si="2"/>
        <v> sq. ft.</v>
      </c>
      <c r="AF2717">
        <f>IFERROR(__xludf.DUMMYFUNCTION("VALUE(REGEXREPLACE(G2717,""[^[:digit:]]"", """"))"),1878.0)</f>
        <v>1878</v>
      </c>
      <c r="AG2717" s="7"/>
      <c r="AH2717" s="7"/>
      <c r="AI2717" s="7"/>
      <c r="AJ2717" s="7"/>
      <c r="AK2717" s="7"/>
      <c r="AL2717" s="7"/>
      <c r="AM2717" s="7"/>
      <c r="AN2717" s="7"/>
      <c r="AO2717" s="7"/>
      <c r="AP2717" s="7"/>
      <c r="AQ2717" s="7"/>
      <c r="AR2717" s="7"/>
      <c r="AS2717" s="7" t="s">
        <v>27</v>
      </c>
    </row>
    <row r="2718">
      <c r="A2718" s="7" t="s">
        <v>72</v>
      </c>
      <c r="B2718" s="7" t="s">
        <v>81</v>
      </c>
      <c r="C2718" s="7">
        <f t="shared" si="360"/>
        <v>4</v>
      </c>
      <c r="D2718" s="7">
        <v>4.0</v>
      </c>
      <c r="E2718" s="7">
        <v>2.0</v>
      </c>
      <c r="F2718" s="7" t="s">
        <v>30</v>
      </c>
      <c r="G2718" s="7" t="s">
        <v>334</v>
      </c>
      <c r="H2718" s="9" t="s">
        <v>2979</v>
      </c>
      <c r="I2718" t="s">
        <v>3112</v>
      </c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 t="str">
        <f t="shared" si="1"/>
        <v>Built-up :</v>
      </c>
      <c r="AE2718" s="7" t="str">
        <f t="shared" si="2"/>
        <v> sq. ft.</v>
      </c>
      <c r="AF2718">
        <f>IFERROR(__xludf.DUMMYFUNCTION("VALUE(REGEXREPLACE(G2718,""[^[:digit:]]"", """"))"),1496.0)</f>
        <v>1496</v>
      </c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7"/>
      <c r="AR2718" s="7"/>
      <c r="AS2718" s="7" t="s">
        <v>27</v>
      </c>
    </row>
    <row r="2719">
      <c r="A2719" s="7" t="s">
        <v>72</v>
      </c>
      <c r="B2719" s="7" t="s">
        <v>447</v>
      </c>
      <c r="C2719" s="7">
        <f>5+1</f>
        <v>6</v>
      </c>
      <c r="D2719" s="7">
        <v>6.0</v>
      </c>
      <c r="E2719" s="9">
        <v>2.0</v>
      </c>
      <c r="F2719" s="7" t="s">
        <v>83</v>
      </c>
      <c r="G2719" s="7" t="s">
        <v>2001</v>
      </c>
      <c r="H2719" s="9" t="s">
        <v>2979</v>
      </c>
      <c r="I2719" t="s">
        <v>4046</v>
      </c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 t="str">
        <f t="shared" si="1"/>
        <v>Built-up :</v>
      </c>
      <c r="AE2719" s="7" t="str">
        <f t="shared" si="2"/>
        <v> sq. ft.</v>
      </c>
      <c r="AF2719">
        <f>IFERROR(__xludf.DUMMYFUNCTION("VALUE(REGEXREPLACE(G2719,""[^[:digit:]]"", """"))"),3707.0)</f>
        <v>3707</v>
      </c>
      <c r="AG2719" s="7"/>
      <c r="AH2719" s="7"/>
      <c r="AI2719" s="7"/>
      <c r="AJ2719" s="7"/>
      <c r="AK2719" s="7"/>
      <c r="AL2719" s="7"/>
      <c r="AM2719" s="7"/>
      <c r="AN2719" s="7"/>
      <c r="AO2719" s="7"/>
      <c r="AP2719" s="7"/>
      <c r="AQ2719" s="7"/>
      <c r="AR2719" s="7"/>
      <c r="AS2719" s="7" t="s">
        <v>27</v>
      </c>
    </row>
    <row r="2720">
      <c r="A2720" s="7" t="s">
        <v>104</v>
      </c>
      <c r="B2720" s="7" t="s">
        <v>967</v>
      </c>
      <c r="C2720" s="7">
        <f>4</f>
        <v>4</v>
      </c>
      <c r="D2720" s="7">
        <v>4.0</v>
      </c>
      <c r="E2720" s="9">
        <v>2.0</v>
      </c>
      <c r="F2720" s="7" t="s">
        <v>2002</v>
      </c>
      <c r="G2720" s="7" t="s">
        <v>283</v>
      </c>
      <c r="H2720" s="9" t="s">
        <v>2981</v>
      </c>
      <c r="I2720" t="s">
        <v>3091</v>
      </c>
      <c r="J2720" s="7"/>
      <c r="K2720" s="7"/>
      <c r="L2720" s="7"/>
      <c r="M2720" s="7"/>
      <c r="N2720" s="7"/>
      <c r="O2720" s="7"/>
      <c r="P2720" s="7"/>
      <c r="Q2720" s="7"/>
      <c r="R2720" s="7"/>
      <c r="S2720" s="7" t="s">
        <v>2990</v>
      </c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 t="str">
        <f t="shared" si="1"/>
        <v>Land area </v>
      </c>
      <c r="AE2720" s="7" t="str">
        <f t="shared" si="2"/>
        <v> sq. ft.</v>
      </c>
      <c r="AF2720">
        <f>IFERROR(__xludf.DUMMYFUNCTION("VALUE(REGEXREPLACE(G2720,""[^[:digit:]]"", """"))"),2275.0)</f>
        <v>2275</v>
      </c>
      <c r="AG2720" s="7"/>
      <c r="AH2720" s="7"/>
      <c r="AI2720" s="7"/>
      <c r="AJ2720" s="7"/>
      <c r="AK2720" s="7"/>
      <c r="AL2720" s="7"/>
      <c r="AM2720" s="7"/>
      <c r="AN2720" s="7"/>
      <c r="AO2720" s="7"/>
      <c r="AP2720" s="7"/>
      <c r="AQ2720" s="7"/>
      <c r="AR2720" s="7"/>
      <c r="AS2720" s="7" t="s">
        <v>103</v>
      </c>
    </row>
    <row r="2721">
      <c r="A2721" s="7" t="s">
        <v>109</v>
      </c>
      <c r="B2721" s="7" t="s">
        <v>975</v>
      </c>
      <c r="C2721" s="7">
        <f>3</f>
        <v>3</v>
      </c>
      <c r="D2721" s="7">
        <v>2.0</v>
      </c>
      <c r="E2721" s="9">
        <v>2.0</v>
      </c>
      <c r="F2721" s="7" t="s">
        <v>83</v>
      </c>
      <c r="G2721" s="7" t="s">
        <v>157</v>
      </c>
      <c r="H2721" s="9" t="s">
        <v>2979</v>
      </c>
      <c r="I2721" t="s">
        <v>3031</v>
      </c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 t="str">
        <f t="shared" si="1"/>
        <v>Built-up :</v>
      </c>
      <c r="AE2721" s="7" t="str">
        <f t="shared" si="2"/>
        <v> sq. ft.</v>
      </c>
      <c r="AF2721">
        <f>IFERROR(__xludf.DUMMYFUNCTION("VALUE(REGEXREPLACE(G2721,""[^[:digit:]]"", """"))"),1050.0)</f>
        <v>1050</v>
      </c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7"/>
      <c r="AR2721" s="7"/>
      <c r="AS2721" s="7" t="s">
        <v>27</v>
      </c>
    </row>
    <row r="2722">
      <c r="A2722" s="7" t="s">
        <v>23</v>
      </c>
      <c r="B2722" s="7" t="s">
        <v>1140</v>
      </c>
      <c r="C2722" s="7" t="s">
        <v>325</v>
      </c>
      <c r="D2722" s="7">
        <v>1.0</v>
      </c>
      <c r="E2722" s="9">
        <v>2.0</v>
      </c>
      <c r="F2722" s="7" t="s">
        <v>82</v>
      </c>
      <c r="G2722" s="7" t="s">
        <v>88</v>
      </c>
      <c r="H2722" s="9" t="s">
        <v>2979</v>
      </c>
      <c r="I2722" t="s">
        <v>3002</v>
      </c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 t="str">
        <f t="shared" si="1"/>
        <v>Built-up :</v>
      </c>
      <c r="AE2722" s="7" t="str">
        <f t="shared" si="2"/>
        <v> sq. ft.</v>
      </c>
      <c r="AF2722">
        <f>IFERROR(__xludf.DUMMYFUNCTION("VALUE(REGEXREPLACE(G2722,""[^[:digit:]]"", """"))"),520.0)</f>
        <v>520</v>
      </c>
      <c r="AG2722" s="7"/>
      <c r="AH2722" s="7"/>
      <c r="AI2722" s="7"/>
      <c r="AJ2722" s="7"/>
      <c r="AK2722" s="7"/>
      <c r="AL2722" s="7"/>
      <c r="AM2722" s="7"/>
      <c r="AN2722" s="7"/>
      <c r="AO2722" s="7"/>
      <c r="AP2722" s="7"/>
      <c r="AQ2722" s="7"/>
      <c r="AR2722" s="7"/>
      <c r="AS2722" s="7" t="s">
        <v>22</v>
      </c>
    </row>
    <row r="2723">
      <c r="A2723" s="7" t="s">
        <v>37</v>
      </c>
      <c r="B2723" s="7" t="s">
        <v>118</v>
      </c>
      <c r="C2723" s="7">
        <f>4+1</f>
        <v>5</v>
      </c>
      <c r="D2723" s="7">
        <v>3.0</v>
      </c>
      <c r="E2723" s="7">
        <v>2.0</v>
      </c>
      <c r="F2723" s="7" t="s">
        <v>54</v>
      </c>
      <c r="G2723" s="7" t="s">
        <v>58</v>
      </c>
      <c r="H2723" s="9" t="s">
        <v>2981</v>
      </c>
      <c r="I2723" t="s">
        <v>2994</v>
      </c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 t="str">
        <f t="shared" si="1"/>
        <v>Land area </v>
      </c>
      <c r="AE2723" s="7" t="str">
        <f t="shared" si="2"/>
        <v> sq. ft.</v>
      </c>
      <c r="AF2723">
        <f>IFERROR(__xludf.DUMMYFUNCTION("VALUE(REGEXREPLACE(G2723,""[^[:digit:]]"", """"))"),1900.0)</f>
        <v>1900</v>
      </c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7"/>
      <c r="AR2723" s="7"/>
      <c r="AS2723" s="7" t="s">
        <v>27</v>
      </c>
    </row>
    <row r="2724">
      <c r="A2724" s="7" t="s">
        <v>37</v>
      </c>
      <c r="B2724" s="7" t="s">
        <v>277</v>
      </c>
      <c r="C2724" s="7">
        <f>2</f>
        <v>2</v>
      </c>
      <c r="D2724" s="7">
        <v>3.0</v>
      </c>
      <c r="E2724" s="7">
        <v>2.0</v>
      </c>
      <c r="F2724" s="7" t="s">
        <v>169</v>
      </c>
      <c r="G2724" s="7" t="s">
        <v>2003</v>
      </c>
      <c r="H2724" s="9" t="s">
        <v>2981</v>
      </c>
      <c r="I2724" t="s">
        <v>3086</v>
      </c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 t="str">
        <f t="shared" si="1"/>
        <v>Land area </v>
      </c>
      <c r="AE2724" s="7" t="str">
        <f t="shared" si="2"/>
        <v> sq. ft.</v>
      </c>
      <c r="AF2724">
        <f>IFERROR(__xludf.DUMMYFUNCTION("VALUE(REGEXREPLACE(G2724,""[^[:digit:]]"", """"))"),3095.0)</f>
        <v>3095</v>
      </c>
      <c r="AG2724" s="7"/>
      <c r="AH2724" s="7"/>
      <c r="AI2724" s="7"/>
      <c r="AJ2724" s="7"/>
      <c r="AK2724" s="7"/>
      <c r="AL2724" s="7"/>
      <c r="AM2724" s="7"/>
      <c r="AN2724" s="7"/>
      <c r="AO2724" s="7"/>
      <c r="AP2724" s="7"/>
      <c r="AQ2724" s="7"/>
      <c r="AR2724" s="7"/>
      <c r="AS2724" s="7" t="s">
        <v>27</v>
      </c>
    </row>
    <row r="2725">
      <c r="A2725" s="7" t="s">
        <v>23</v>
      </c>
      <c r="B2725" s="7" t="s">
        <v>2004</v>
      </c>
      <c r="E2725" s="9">
        <v>2.0</v>
      </c>
      <c r="F2725" s="7" t="s">
        <v>667</v>
      </c>
      <c r="G2725" s="7" t="s">
        <v>2005</v>
      </c>
      <c r="H2725" s="9" t="s">
        <v>2981</v>
      </c>
      <c r="I2725" t="s">
        <v>4047</v>
      </c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 t="str">
        <f t="shared" si="1"/>
        <v>Land area </v>
      </c>
      <c r="AE2725" s="7" t="str">
        <f t="shared" si="2"/>
        <v> sq. ft.</v>
      </c>
      <c r="AF2725">
        <f>IFERROR(__xludf.DUMMYFUNCTION("VALUE(REGEXREPLACE(G2725,""[^[:digit:]]"", """"))"),8438.0)</f>
        <v>8438</v>
      </c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7"/>
      <c r="AR2725" s="7"/>
    </row>
    <row r="2726">
      <c r="A2726" s="7" t="s">
        <v>17</v>
      </c>
      <c r="B2726" s="7" t="s">
        <v>18</v>
      </c>
      <c r="C2726" s="7">
        <f>3+1</f>
        <v>4</v>
      </c>
      <c r="D2726" s="7">
        <v>4.0</v>
      </c>
      <c r="E2726" s="9">
        <v>2.0</v>
      </c>
      <c r="F2726" s="7" t="s">
        <v>385</v>
      </c>
      <c r="G2726" s="7" t="s">
        <v>490</v>
      </c>
      <c r="H2726" s="9" t="s">
        <v>2979</v>
      </c>
      <c r="I2726" t="s">
        <v>3189</v>
      </c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 t="str">
        <f t="shared" si="1"/>
        <v>Built-up :</v>
      </c>
      <c r="AE2726" s="7" t="str">
        <f t="shared" si="2"/>
        <v> sq. ft.</v>
      </c>
      <c r="AF2726">
        <f>IFERROR(__xludf.DUMMYFUNCTION("VALUE(REGEXREPLACE(G2726,""[^[:digit:]]"", """"))"),1378.0)</f>
        <v>1378</v>
      </c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7"/>
      <c r="AR2726" s="7"/>
      <c r="AS2726" s="7" t="s">
        <v>27</v>
      </c>
    </row>
    <row r="2727">
      <c r="A2727" s="7" t="s">
        <v>17</v>
      </c>
      <c r="B2727" s="7" t="s">
        <v>191</v>
      </c>
      <c r="C2727" s="7">
        <f>2+2</f>
        <v>4</v>
      </c>
      <c r="D2727" s="7">
        <v>3.0</v>
      </c>
      <c r="E2727" s="9">
        <v>2.0</v>
      </c>
      <c r="F2727" s="7" t="s">
        <v>121</v>
      </c>
      <c r="G2727" s="7" t="s">
        <v>1505</v>
      </c>
      <c r="H2727" s="9" t="s">
        <v>2979</v>
      </c>
      <c r="I2727" t="s">
        <v>3750</v>
      </c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 t="str">
        <f t="shared" si="1"/>
        <v>Built-up :</v>
      </c>
      <c r="AE2727" s="7" t="str">
        <f t="shared" si="2"/>
        <v> sq. ft.</v>
      </c>
      <c r="AF2727">
        <f>IFERROR(__xludf.DUMMYFUNCTION("VALUE(REGEXREPLACE(G2727,""[^[:digit:]]"", """"))"),1281.0)</f>
        <v>1281</v>
      </c>
      <c r="AG2727" s="7"/>
      <c r="AH2727" s="7"/>
      <c r="AI2727" s="7"/>
      <c r="AJ2727" s="7"/>
      <c r="AK2727" s="7"/>
      <c r="AL2727" s="7"/>
      <c r="AM2727" s="7"/>
      <c r="AN2727" s="7"/>
      <c r="AO2727" s="7"/>
      <c r="AP2727" s="7"/>
      <c r="AQ2727" s="7"/>
      <c r="AR2727" s="7"/>
      <c r="AS2727" s="7" t="s">
        <v>27</v>
      </c>
    </row>
    <row r="2728">
      <c r="A2728" s="7" t="s">
        <v>17</v>
      </c>
      <c r="B2728" s="7" t="s">
        <v>34</v>
      </c>
      <c r="C2728" s="7">
        <f>2+1</f>
        <v>3</v>
      </c>
      <c r="D2728" s="7">
        <v>3.0</v>
      </c>
      <c r="E2728" s="9">
        <v>2.0</v>
      </c>
      <c r="F2728" s="7" t="s">
        <v>121</v>
      </c>
      <c r="G2728" s="7" t="s">
        <v>519</v>
      </c>
      <c r="H2728" s="9" t="s">
        <v>2979</v>
      </c>
      <c r="I2728" t="s">
        <v>3205</v>
      </c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 t="str">
        <f t="shared" si="1"/>
        <v>Built-up :</v>
      </c>
      <c r="AE2728" s="7" t="str">
        <f t="shared" si="2"/>
        <v> sq. ft.</v>
      </c>
      <c r="AF2728">
        <f>IFERROR(__xludf.DUMMYFUNCTION("VALUE(REGEXREPLACE(G2728,""[^[:digit:]]"", """"))"),1055.0)</f>
        <v>1055</v>
      </c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7"/>
      <c r="AR2728" s="7"/>
      <c r="AS2728" s="7" t="s">
        <v>27</v>
      </c>
    </row>
    <row r="2729">
      <c r="A2729" s="7" t="s">
        <v>17</v>
      </c>
      <c r="B2729" s="7" t="s">
        <v>214</v>
      </c>
      <c r="C2729" s="7">
        <f>3+1</f>
        <v>4</v>
      </c>
      <c r="D2729" s="7">
        <v>4.0</v>
      </c>
      <c r="E2729" s="9">
        <v>2.0</v>
      </c>
      <c r="F2729" s="7" t="s">
        <v>385</v>
      </c>
      <c r="G2729" s="7" t="s">
        <v>490</v>
      </c>
      <c r="H2729" s="9" t="s">
        <v>2979</v>
      </c>
      <c r="I2729" t="s">
        <v>3189</v>
      </c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 t="str">
        <f t="shared" si="1"/>
        <v>Built-up :</v>
      </c>
      <c r="AE2729" s="7" t="str">
        <f t="shared" si="2"/>
        <v> sq. ft.</v>
      </c>
      <c r="AF2729">
        <f>IFERROR(__xludf.DUMMYFUNCTION("VALUE(REGEXREPLACE(G2729,""[^[:digit:]]"", """"))"),1378.0)</f>
        <v>1378</v>
      </c>
      <c r="AG2729" s="7"/>
      <c r="AH2729" s="7"/>
      <c r="AI2729" s="7"/>
      <c r="AJ2729" s="7"/>
      <c r="AK2729" s="7"/>
      <c r="AL2729" s="7"/>
      <c r="AM2729" s="7"/>
      <c r="AN2729" s="7"/>
      <c r="AO2729" s="7"/>
      <c r="AP2729" s="7"/>
      <c r="AQ2729" s="7"/>
      <c r="AR2729" s="7"/>
      <c r="AS2729" s="7" t="s">
        <v>22</v>
      </c>
    </row>
    <row r="2730">
      <c r="A2730" s="7" t="s">
        <v>17</v>
      </c>
      <c r="B2730" s="7" t="s">
        <v>284</v>
      </c>
      <c r="C2730" s="7">
        <f>2+2</f>
        <v>4</v>
      </c>
      <c r="D2730" s="7">
        <v>3.0</v>
      </c>
      <c r="E2730" s="9">
        <v>2.0</v>
      </c>
      <c r="F2730" s="7" t="s">
        <v>385</v>
      </c>
      <c r="G2730" s="7" t="s">
        <v>2006</v>
      </c>
      <c r="H2730" s="9" t="s">
        <v>2981</v>
      </c>
      <c r="I2730" t="s">
        <v>4048</v>
      </c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 t="str">
        <f t="shared" si="1"/>
        <v>Land area </v>
      </c>
      <c r="AE2730" s="7" t="str">
        <f t="shared" si="2"/>
        <v> sq. ft.</v>
      </c>
      <c r="AF2730">
        <f>IFERROR(__xludf.DUMMYFUNCTION("VALUE(REGEXREPLACE(G2730,""[^[:digit:]]"", """"))"),1313.0)</f>
        <v>1313</v>
      </c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7"/>
      <c r="AR2730" s="7"/>
      <c r="AS2730" s="7" t="s">
        <v>22</v>
      </c>
    </row>
    <row r="2731">
      <c r="A2731" s="7" t="s">
        <v>1979</v>
      </c>
      <c r="B2731" s="7" t="s">
        <v>2007</v>
      </c>
      <c r="C2731" s="7">
        <f>4</f>
        <v>4</v>
      </c>
      <c r="D2731" s="7">
        <v>3.0</v>
      </c>
      <c r="E2731" s="9">
        <v>2.0</v>
      </c>
      <c r="F2731" s="7" t="s">
        <v>54</v>
      </c>
      <c r="G2731" s="7" t="s">
        <v>2008</v>
      </c>
      <c r="H2731" s="9" t="s">
        <v>2981</v>
      </c>
      <c r="I2731" t="s">
        <v>4049</v>
      </c>
      <c r="J2731" s="7"/>
      <c r="K2731" s="7"/>
      <c r="L2731" s="7"/>
      <c r="M2731" s="7"/>
      <c r="N2731" s="7"/>
      <c r="O2731" s="7"/>
      <c r="P2731" s="7"/>
      <c r="Q2731" s="7"/>
      <c r="R2731" s="7"/>
      <c r="S2731" s="7" t="s">
        <v>4050</v>
      </c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 t="str">
        <f t="shared" si="1"/>
        <v>Land area </v>
      </c>
      <c r="AE2731" s="7" t="str">
        <f t="shared" si="2"/>
        <v> sq. ft.</v>
      </c>
      <c r="AF2731">
        <f>IFERROR(__xludf.DUMMYFUNCTION("VALUE(REGEXREPLACE(G2731,""[^[:digit:]]"", """"))"),2268.0)</f>
        <v>2268</v>
      </c>
      <c r="AG2731" s="7"/>
      <c r="AH2731" s="7"/>
      <c r="AI2731" s="7"/>
      <c r="AJ2731" s="7"/>
      <c r="AK2731" s="7"/>
      <c r="AL2731" s="7"/>
      <c r="AM2731" s="7"/>
      <c r="AN2731" s="7"/>
      <c r="AO2731" s="7"/>
      <c r="AP2731" s="7"/>
      <c r="AQ2731" s="7"/>
      <c r="AR2731" s="7"/>
      <c r="AS2731" s="7" t="s">
        <v>27</v>
      </c>
    </row>
    <row r="2732">
      <c r="A2732" s="7" t="s">
        <v>32</v>
      </c>
      <c r="B2732" s="7" t="s">
        <v>243</v>
      </c>
      <c r="C2732" s="7">
        <f t="shared" ref="C2732:C2733" si="361">3</f>
        <v>3</v>
      </c>
      <c r="D2732" s="7">
        <v>2.0</v>
      </c>
      <c r="E2732" s="7">
        <v>1.0</v>
      </c>
      <c r="F2732" s="7" t="s">
        <v>82</v>
      </c>
      <c r="G2732" s="7" t="s">
        <v>2009</v>
      </c>
      <c r="H2732" s="9" t="s">
        <v>4051</v>
      </c>
      <c r="I2732" t="s">
        <v>4052</v>
      </c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 t="str">
        <f t="shared" si="1"/>
        <v>Built-up :</v>
      </c>
      <c r="AE2732" s="7" t="str">
        <f t="shared" si="2"/>
        <v>5 sq. m.</v>
      </c>
      <c r="AF2732">
        <f>IFERROR(__xludf.DUMMYFUNCTION("VALUE(REGEXREPLACE(G2732,""[^[:digit:]]"", """"))"),1405.0)</f>
        <v>1405</v>
      </c>
      <c r="AG2732" s="7"/>
      <c r="AH2732" s="7"/>
      <c r="AI2732" s="7"/>
      <c r="AJ2732" s="7"/>
      <c r="AK2732" s="7"/>
      <c r="AL2732" s="7"/>
      <c r="AM2732" s="7"/>
      <c r="AN2732" s="7"/>
      <c r="AO2732" s="7"/>
      <c r="AP2732" s="7"/>
      <c r="AQ2732" s="7"/>
      <c r="AR2732" s="7"/>
      <c r="AS2732" s="7" t="s">
        <v>27</v>
      </c>
    </row>
    <row r="2733">
      <c r="A2733" s="7" t="s">
        <v>32</v>
      </c>
      <c r="B2733" s="7" t="s">
        <v>1225</v>
      </c>
      <c r="C2733" s="7">
        <f t="shared" si="361"/>
        <v>3</v>
      </c>
      <c r="D2733" s="7">
        <v>2.0</v>
      </c>
      <c r="E2733" s="9">
        <v>2.0</v>
      </c>
      <c r="F2733" s="7" t="s">
        <v>82</v>
      </c>
      <c r="G2733" s="7" t="s">
        <v>2010</v>
      </c>
      <c r="H2733" s="9" t="s">
        <v>2979</v>
      </c>
      <c r="I2733" t="s">
        <v>4053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 t="str">
        <f t="shared" si="1"/>
        <v>Built-up :</v>
      </c>
      <c r="AE2733" s="7" t="str">
        <f t="shared" si="2"/>
        <v> sq. ft.</v>
      </c>
      <c r="AF2733">
        <f>IFERROR(__xludf.DUMMYFUNCTION("VALUE(REGEXREPLACE(G2733,""[^[:digit:]]"", """"))"),1222.0)</f>
        <v>1222</v>
      </c>
      <c r="AG2733" s="7"/>
      <c r="AH2733" s="7"/>
      <c r="AI2733" s="7"/>
      <c r="AJ2733" s="7"/>
      <c r="AK2733" s="7"/>
      <c r="AL2733" s="7"/>
      <c r="AM2733" s="7"/>
      <c r="AN2733" s="7"/>
      <c r="AO2733" s="7"/>
      <c r="AP2733" s="7"/>
      <c r="AQ2733" s="7"/>
      <c r="AR2733" s="7"/>
      <c r="AS2733" s="7" t="s">
        <v>27</v>
      </c>
    </row>
    <row r="2734">
      <c r="A2734" s="7" t="s">
        <v>32</v>
      </c>
      <c r="B2734" s="7" t="s">
        <v>311</v>
      </c>
      <c r="C2734" s="7">
        <f t="shared" ref="C2734:C2735" si="362">2</f>
        <v>2</v>
      </c>
      <c r="D2734" s="7">
        <v>2.0</v>
      </c>
      <c r="E2734" s="7">
        <v>1.0</v>
      </c>
      <c r="F2734" s="7" t="s">
        <v>20</v>
      </c>
      <c r="G2734" s="7" t="s">
        <v>1694</v>
      </c>
      <c r="H2734" s="9" t="s">
        <v>2979</v>
      </c>
      <c r="I2734" t="s">
        <v>3864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 t="str">
        <f t="shared" si="1"/>
        <v>Built-up :</v>
      </c>
      <c r="AE2734" s="7" t="str">
        <f t="shared" si="2"/>
        <v> sq. ft.</v>
      </c>
      <c r="AF2734">
        <f>IFERROR(__xludf.DUMMYFUNCTION("VALUE(REGEXREPLACE(G2734,""[^[:digit:]]"", """"))"),936.0)</f>
        <v>936</v>
      </c>
      <c r="AG2734" s="7"/>
      <c r="AH2734" s="7"/>
      <c r="AI2734" s="7"/>
      <c r="AJ2734" s="7"/>
      <c r="AK2734" s="7"/>
      <c r="AL2734" s="7"/>
      <c r="AM2734" s="7"/>
      <c r="AN2734" s="7"/>
      <c r="AO2734" s="7"/>
      <c r="AP2734" s="7"/>
      <c r="AQ2734" s="7"/>
      <c r="AR2734" s="7"/>
      <c r="AS2734" s="7" t="s">
        <v>27</v>
      </c>
    </row>
    <row r="2735">
      <c r="A2735" s="7" t="s">
        <v>32</v>
      </c>
      <c r="B2735" s="7" t="s">
        <v>349</v>
      </c>
      <c r="C2735" s="7">
        <f t="shared" si="362"/>
        <v>2</v>
      </c>
      <c r="D2735" s="7">
        <v>2.0</v>
      </c>
      <c r="E2735" s="7">
        <v>3.0</v>
      </c>
      <c r="F2735" s="7" t="s">
        <v>20</v>
      </c>
      <c r="G2735" s="7" t="s">
        <v>2011</v>
      </c>
      <c r="H2735" s="9" t="s">
        <v>2979</v>
      </c>
      <c r="I2735" t="s">
        <v>4054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 t="str">
        <f t="shared" si="1"/>
        <v>Built-up :</v>
      </c>
      <c r="AE2735" s="7" t="str">
        <f t="shared" si="2"/>
        <v> sq. ft.</v>
      </c>
      <c r="AF2735">
        <f>IFERROR(__xludf.DUMMYFUNCTION("VALUE(REGEXREPLACE(G2735,""[^[:digit:]]"", """"))"),1210.0)</f>
        <v>1210</v>
      </c>
      <c r="AG2735" s="7"/>
      <c r="AH2735" s="7"/>
      <c r="AI2735" s="7"/>
      <c r="AJ2735" s="7"/>
      <c r="AK2735" s="7"/>
      <c r="AL2735" s="7"/>
      <c r="AM2735" s="7"/>
      <c r="AN2735" s="7"/>
      <c r="AO2735" s="7"/>
      <c r="AP2735" s="7"/>
      <c r="AQ2735" s="7"/>
      <c r="AR2735" s="7"/>
      <c r="AS2735" s="7" t="s">
        <v>27</v>
      </c>
    </row>
    <row r="2736">
      <c r="A2736" s="7" t="s">
        <v>32</v>
      </c>
      <c r="B2736" s="7" t="s">
        <v>239</v>
      </c>
      <c r="C2736" s="7">
        <f>3</f>
        <v>3</v>
      </c>
      <c r="D2736" s="7">
        <v>2.0</v>
      </c>
      <c r="E2736" s="9">
        <v>2.0</v>
      </c>
      <c r="F2736" s="7" t="s">
        <v>82</v>
      </c>
      <c r="G2736" s="7" t="s">
        <v>2010</v>
      </c>
      <c r="H2736" s="9" t="s">
        <v>2979</v>
      </c>
      <c r="I2736" t="s">
        <v>4053</v>
      </c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 t="str">
        <f t="shared" si="1"/>
        <v>Built-up :</v>
      </c>
      <c r="AE2736" s="7" t="str">
        <f t="shared" si="2"/>
        <v> sq. ft.</v>
      </c>
      <c r="AF2736">
        <f>IFERROR(__xludf.DUMMYFUNCTION("VALUE(REGEXREPLACE(G2736,""[^[:digit:]]"", """"))"),1222.0)</f>
        <v>1222</v>
      </c>
      <c r="AG2736" s="7"/>
      <c r="AH2736" s="7"/>
      <c r="AI2736" s="7"/>
      <c r="AJ2736" s="7"/>
      <c r="AK2736" s="7"/>
      <c r="AL2736" s="7"/>
      <c r="AM2736" s="7"/>
      <c r="AN2736" s="7"/>
      <c r="AO2736" s="7"/>
      <c r="AP2736" s="7"/>
      <c r="AQ2736" s="7"/>
      <c r="AR2736" s="7"/>
      <c r="AS2736" s="7" t="s">
        <v>27</v>
      </c>
    </row>
    <row r="2737">
      <c r="A2737" s="7" t="s">
        <v>32</v>
      </c>
      <c r="B2737" s="7" t="s">
        <v>525</v>
      </c>
      <c r="C2737" s="7">
        <f>2</f>
        <v>2</v>
      </c>
      <c r="D2737" s="7">
        <v>2.0</v>
      </c>
      <c r="E2737" s="7">
        <v>1.0</v>
      </c>
      <c r="F2737" s="7" t="s">
        <v>20</v>
      </c>
      <c r="G2737" s="7" t="s">
        <v>392</v>
      </c>
      <c r="H2737" s="9" t="s">
        <v>2979</v>
      </c>
      <c r="I2737" t="s">
        <v>3141</v>
      </c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 t="str">
        <f t="shared" si="1"/>
        <v>Built-up :</v>
      </c>
      <c r="AE2737" s="7" t="str">
        <f t="shared" si="2"/>
        <v> sq. ft.</v>
      </c>
      <c r="AF2737">
        <f>IFERROR(__xludf.DUMMYFUNCTION("VALUE(REGEXREPLACE(G2737,""[^[:digit:]]"", """"))"),850.0)</f>
        <v>850</v>
      </c>
      <c r="AG2737" s="7"/>
      <c r="AH2737" s="7"/>
      <c r="AI2737" s="7"/>
      <c r="AJ2737" s="7"/>
      <c r="AK2737" s="7"/>
      <c r="AL2737" s="7"/>
      <c r="AM2737" s="7"/>
      <c r="AN2737" s="7"/>
      <c r="AO2737" s="7"/>
      <c r="AP2737" s="7"/>
      <c r="AQ2737" s="7"/>
      <c r="AR2737" s="7"/>
      <c r="AS2737" s="7" t="s">
        <v>103</v>
      </c>
    </row>
    <row r="2738">
      <c r="A2738" s="7" t="s">
        <v>32</v>
      </c>
      <c r="B2738" s="7" t="s">
        <v>349</v>
      </c>
      <c r="C2738" s="7">
        <f t="shared" ref="C2738:C2739" si="363">3</f>
        <v>3</v>
      </c>
      <c r="D2738" s="7">
        <v>2.0</v>
      </c>
      <c r="E2738" s="7">
        <v>1.0</v>
      </c>
      <c r="F2738" s="7" t="s">
        <v>82</v>
      </c>
      <c r="G2738" s="7" t="s">
        <v>237</v>
      </c>
      <c r="H2738" s="9" t="s">
        <v>2979</v>
      </c>
      <c r="I2738" t="s">
        <v>3069</v>
      </c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 t="str">
        <f t="shared" si="1"/>
        <v>Built-up :</v>
      </c>
      <c r="AE2738" s="7" t="str">
        <f t="shared" si="2"/>
        <v> sq. ft.</v>
      </c>
      <c r="AF2738">
        <f>IFERROR(__xludf.DUMMYFUNCTION("VALUE(REGEXREPLACE(G2738,""[^[:digit:]]"", """"))"),1087.0)</f>
        <v>1087</v>
      </c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7"/>
      <c r="AR2738" s="7"/>
      <c r="AS2738" s="7" t="s">
        <v>22</v>
      </c>
    </row>
    <row r="2739">
      <c r="A2739" s="7" t="s">
        <v>33</v>
      </c>
      <c r="B2739" s="7" t="s">
        <v>372</v>
      </c>
      <c r="C2739" s="7">
        <f t="shared" si="363"/>
        <v>3</v>
      </c>
      <c r="D2739" s="7">
        <v>2.0</v>
      </c>
      <c r="E2739" s="7">
        <v>2.0</v>
      </c>
      <c r="F2739" s="7" t="s">
        <v>93</v>
      </c>
      <c r="G2739" s="7" t="s">
        <v>734</v>
      </c>
      <c r="H2739" s="9" t="s">
        <v>2979</v>
      </c>
      <c r="I2739" t="s">
        <v>3308</v>
      </c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 t="str">
        <f t="shared" si="1"/>
        <v>Built-up :</v>
      </c>
      <c r="AE2739" s="7" t="str">
        <f t="shared" si="2"/>
        <v> sq. ft.</v>
      </c>
      <c r="AF2739">
        <f>IFERROR(__xludf.DUMMYFUNCTION("VALUE(REGEXREPLACE(G2739,""[^[:digit:]]"", """"))"),1100.0)</f>
        <v>1100</v>
      </c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7"/>
      <c r="AR2739" s="7"/>
      <c r="AS2739" s="7" t="s">
        <v>27</v>
      </c>
    </row>
    <row r="2740">
      <c r="A2740" s="7" t="s">
        <v>32</v>
      </c>
      <c r="B2740" s="7" t="s">
        <v>311</v>
      </c>
      <c r="C2740" s="7">
        <f>2</f>
        <v>2</v>
      </c>
      <c r="D2740" s="7">
        <v>2.0</v>
      </c>
      <c r="E2740" s="7">
        <v>1.0</v>
      </c>
      <c r="F2740" s="7" t="s">
        <v>20</v>
      </c>
      <c r="G2740" s="7" t="s">
        <v>2012</v>
      </c>
      <c r="H2740" s="9" t="s">
        <v>2979</v>
      </c>
      <c r="I2740" t="s">
        <v>4055</v>
      </c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 t="str">
        <f t="shared" si="1"/>
        <v>Built-up :</v>
      </c>
      <c r="AE2740" s="7" t="str">
        <f t="shared" si="2"/>
        <v> sq. ft.</v>
      </c>
      <c r="AF2740">
        <f>IFERROR(__xludf.DUMMYFUNCTION("VALUE(REGEXREPLACE(G2740,""[^[:digit:]]"", """"))"),883.0)</f>
        <v>883</v>
      </c>
      <c r="AG2740" s="7"/>
      <c r="AH2740" s="7"/>
      <c r="AI2740" s="7"/>
      <c r="AJ2740" s="7"/>
      <c r="AK2740" s="7"/>
      <c r="AL2740" s="7"/>
      <c r="AM2740" s="7"/>
      <c r="AN2740" s="7"/>
      <c r="AO2740" s="7"/>
      <c r="AP2740" s="7"/>
      <c r="AQ2740" s="7"/>
      <c r="AR2740" s="7"/>
      <c r="AS2740" s="7" t="s">
        <v>27</v>
      </c>
    </row>
    <row r="2741">
      <c r="A2741" s="7" t="s">
        <v>32</v>
      </c>
      <c r="B2741" s="7" t="s">
        <v>34</v>
      </c>
      <c r="C2741" s="7">
        <f>3+2</f>
        <v>5</v>
      </c>
      <c r="D2741" s="7">
        <v>2.0</v>
      </c>
      <c r="E2741" s="7">
        <v>1.0</v>
      </c>
      <c r="F2741" s="7" t="s">
        <v>20</v>
      </c>
      <c r="G2741" s="7" t="s">
        <v>2013</v>
      </c>
      <c r="H2741" s="9" t="s">
        <v>2979</v>
      </c>
      <c r="I2741" t="s">
        <v>4056</v>
      </c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 t="str">
        <f t="shared" si="1"/>
        <v>Built-up :</v>
      </c>
      <c r="AE2741" s="7" t="str">
        <f t="shared" si="2"/>
        <v> sq. ft.</v>
      </c>
      <c r="AF2741">
        <f>IFERROR(__xludf.DUMMYFUNCTION("VALUE(REGEXREPLACE(G2741,""[^[:digit:]]"", """"))"),953.0)</f>
        <v>953</v>
      </c>
      <c r="AG2741" s="7"/>
      <c r="AH2741" s="7"/>
      <c r="AI2741" s="7"/>
      <c r="AJ2741" s="7"/>
      <c r="AK2741" s="7"/>
      <c r="AL2741" s="7"/>
      <c r="AM2741" s="7"/>
      <c r="AN2741" s="7"/>
      <c r="AO2741" s="7"/>
      <c r="AP2741" s="7"/>
      <c r="AQ2741" s="7"/>
      <c r="AR2741" s="7"/>
      <c r="AS2741" s="7" t="s">
        <v>22</v>
      </c>
    </row>
    <row r="2742">
      <c r="A2742" s="7" t="s">
        <v>32</v>
      </c>
      <c r="B2742" s="7" t="s">
        <v>329</v>
      </c>
      <c r="C2742" s="7">
        <f>2</f>
        <v>2</v>
      </c>
      <c r="D2742" s="7">
        <v>2.0</v>
      </c>
      <c r="E2742" s="7">
        <v>1.0</v>
      </c>
      <c r="F2742" s="7" t="s">
        <v>82</v>
      </c>
      <c r="G2742" s="7" t="s">
        <v>1449</v>
      </c>
      <c r="H2742" s="9" t="s">
        <v>2979</v>
      </c>
      <c r="I2742" t="s">
        <v>3721</v>
      </c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 t="str">
        <f t="shared" si="1"/>
        <v>Built-up :</v>
      </c>
      <c r="AE2742" s="7" t="str">
        <f t="shared" si="2"/>
        <v> sq. ft.</v>
      </c>
      <c r="AF2742">
        <f>IFERROR(__xludf.DUMMYFUNCTION("VALUE(REGEXREPLACE(G2742,""[^[:digit:]]"", """"))"),931.0)</f>
        <v>931</v>
      </c>
      <c r="AG2742" s="7"/>
      <c r="AH2742" s="7"/>
      <c r="AI2742" s="7"/>
      <c r="AJ2742" s="7"/>
      <c r="AK2742" s="7"/>
      <c r="AL2742" s="7"/>
      <c r="AM2742" s="7"/>
      <c r="AN2742" s="7"/>
      <c r="AO2742" s="7"/>
      <c r="AP2742" s="7"/>
      <c r="AQ2742" s="7"/>
      <c r="AR2742" s="7"/>
      <c r="AS2742" s="7" t="s">
        <v>22</v>
      </c>
    </row>
    <row r="2743">
      <c r="A2743" s="7" t="s">
        <v>32</v>
      </c>
      <c r="B2743" s="7" t="s">
        <v>327</v>
      </c>
      <c r="C2743" s="7">
        <f>3</f>
        <v>3</v>
      </c>
      <c r="D2743" s="7">
        <v>2.0</v>
      </c>
      <c r="E2743" s="7">
        <v>2.0</v>
      </c>
      <c r="F2743" s="7" t="s">
        <v>20</v>
      </c>
      <c r="G2743" s="7" t="s">
        <v>237</v>
      </c>
      <c r="H2743" s="9" t="s">
        <v>2979</v>
      </c>
      <c r="I2743" t="s">
        <v>3069</v>
      </c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 t="str">
        <f t="shared" si="1"/>
        <v>Built-up :</v>
      </c>
      <c r="AE2743" s="7" t="str">
        <f t="shared" si="2"/>
        <v> sq. ft.</v>
      </c>
      <c r="AF2743">
        <f>IFERROR(__xludf.DUMMYFUNCTION("VALUE(REGEXREPLACE(G2743,""[^[:digit:]]"", """"))"),1087.0)</f>
        <v>1087</v>
      </c>
      <c r="AG2743" s="7"/>
      <c r="AH2743" s="7"/>
      <c r="AI2743" s="7"/>
      <c r="AJ2743" s="7"/>
      <c r="AK2743" s="7"/>
      <c r="AL2743" s="7"/>
      <c r="AM2743" s="7"/>
      <c r="AN2743" s="7"/>
      <c r="AO2743" s="7"/>
      <c r="AP2743" s="7"/>
      <c r="AQ2743" s="7"/>
      <c r="AR2743" s="7"/>
      <c r="AS2743" s="7" t="s">
        <v>103</v>
      </c>
    </row>
    <row r="2744">
      <c r="A2744" s="7" t="s">
        <v>32</v>
      </c>
      <c r="B2744" s="7" t="s">
        <v>956</v>
      </c>
      <c r="C2744" s="7">
        <f t="shared" ref="C2744:C2747" si="364">2</f>
        <v>2</v>
      </c>
      <c r="D2744" s="7">
        <v>2.0</v>
      </c>
      <c r="E2744" s="9">
        <v>2.0</v>
      </c>
      <c r="F2744" s="7" t="s">
        <v>82</v>
      </c>
      <c r="G2744" s="7" t="s">
        <v>2013</v>
      </c>
      <c r="H2744" s="9" t="s">
        <v>2979</v>
      </c>
      <c r="I2744" t="s">
        <v>4056</v>
      </c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 t="str">
        <f t="shared" si="1"/>
        <v>Built-up :</v>
      </c>
      <c r="AE2744" s="7" t="str">
        <f t="shared" si="2"/>
        <v> sq. ft.</v>
      </c>
      <c r="AF2744">
        <f>IFERROR(__xludf.DUMMYFUNCTION("VALUE(REGEXREPLACE(G2744,""[^[:digit:]]"", """"))"),953.0)</f>
        <v>953</v>
      </c>
      <c r="AG2744" s="7"/>
      <c r="AH2744" s="7"/>
      <c r="AI2744" s="7"/>
      <c r="AJ2744" s="7"/>
      <c r="AK2744" s="7"/>
      <c r="AL2744" s="7"/>
      <c r="AM2744" s="7"/>
      <c r="AN2744" s="7"/>
      <c r="AO2744" s="7"/>
      <c r="AP2744" s="7"/>
      <c r="AQ2744" s="7"/>
      <c r="AR2744" s="7"/>
      <c r="AS2744" s="7" t="s">
        <v>27</v>
      </c>
    </row>
    <row r="2745">
      <c r="A2745" s="7" t="s">
        <v>32</v>
      </c>
      <c r="B2745" s="7" t="s">
        <v>956</v>
      </c>
      <c r="C2745" s="7">
        <f t="shared" si="364"/>
        <v>2</v>
      </c>
      <c r="D2745" s="7">
        <v>2.0</v>
      </c>
      <c r="E2745" s="7">
        <v>1.0</v>
      </c>
      <c r="F2745" s="7" t="s">
        <v>20</v>
      </c>
      <c r="G2745" s="7" t="s">
        <v>323</v>
      </c>
      <c r="H2745" s="9" t="s">
        <v>2979</v>
      </c>
      <c r="I2745" t="s">
        <v>3108</v>
      </c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 t="str">
        <f t="shared" si="1"/>
        <v>Built-up :</v>
      </c>
      <c r="AE2745" s="7" t="str">
        <f t="shared" si="2"/>
        <v> sq. ft.</v>
      </c>
      <c r="AF2745">
        <f>IFERROR(__xludf.DUMMYFUNCTION("VALUE(REGEXREPLACE(G2745,""[^[:digit:]]"", """"))"),915.0)</f>
        <v>915</v>
      </c>
      <c r="AG2745" s="7"/>
      <c r="AH2745" s="7"/>
      <c r="AI2745" s="7"/>
      <c r="AJ2745" s="7"/>
      <c r="AK2745" s="7"/>
      <c r="AL2745" s="7"/>
      <c r="AM2745" s="7"/>
      <c r="AN2745" s="7"/>
      <c r="AO2745" s="7"/>
      <c r="AP2745" s="7"/>
      <c r="AQ2745" s="7"/>
      <c r="AR2745" s="7"/>
      <c r="AS2745" s="7" t="s">
        <v>27</v>
      </c>
    </row>
    <row r="2746">
      <c r="A2746" s="7" t="s">
        <v>32</v>
      </c>
      <c r="B2746" s="7" t="s">
        <v>311</v>
      </c>
      <c r="C2746" s="7">
        <f t="shared" si="364"/>
        <v>2</v>
      </c>
      <c r="D2746" s="7">
        <v>2.0</v>
      </c>
      <c r="E2746" s="7">
        <v>1.0</v>
      </c>
      <c r="F2746" s="7" t="s">
        <v>354</v>
      </c>
      <c r="G2746" s="7" t="s">
        <v>2013</v>
      </c>
      <c r="H2746" s="9" t="s">
        <v>2979</v>
      </c>
      <c r="I2746" t="s">
        <v>4056</v>
      </c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 t="str">
        <f t="shared" si="1"/>
        <v>Built-up :</v>
      </c>
      <c r="AE2746" s="7" t="str">
        <f t="shared" si="2"/>
        <v> sq. ft.</v>
      </c>
      <c r="AF2746">
        <f>IFERROR(__xludf.DUMMYFUNCTION("VALUE(REGEXREPLACE(G2746,""[^[:digit:]]"", """"))"),953.0)</f>
        <v>953</v>
      </c>
      <c r="AG2746" s="7"/>
      <c r="AH2746" s="7"/>
      <c r="AI2746" s="7"/>
      <c r="AJ2746" s="7"/>
      <c r="AK2746" s="7"/>
      <c r="AL2746" s="7"/>
      <c r="AM2746" s="7"/>
      <c r="AN2746" s="7"/>
      <c r="AO2746" s="7"/>
      <c r="AP2746" s="7"/>
      <c r="AQ2746" s="7"/>
      <c r="AR2746" s="7"/>
      <c r="AS2746" s="7" t="s">
        <v>22</v>
      </c>
    </row>
    <row r="2747">
      <c r="A2747" s="7" t="s">
        <v>32</v>
      </c>
      <c r="B2747" s="7" t="s">
        <v>956</v>
      </c>
      <c r="C2747" s="7">
        <f t="shared" si="364"/>
        <v>2</v>
      </c>
      <c r="D2747" s="7">
        <v>2.0</v>
      </c>
      <c r="E2747" s="9">
        <v>2.0</v>
      </c>
      <c r="F2747" s="7" t="s">
        <v>82</v>
      </c>
      <c r="G2747" s="7" t="s">
        <v>2014</v>
      </c>
      <c r="H2747" s="9" t="s">
        <v>2979</v>
      </c>
      <c r="I2747" t="s">
        <v>4057</v>
      </c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 t="str">
        <f t="shared" si="1"/>
        <v>Built-up :</v>
      </c>
      <c r="AE2747" s="7" t="str">
        <f t="shared" si="2"/>
        <v> sq. ft.</v>
      </c>
      <c r="AF2747">
        <f>IFERROR(__xludf.DUMMYFUNCTION("VALUE(REGEXREPLACE(G2747,""[^[:digit:]]"", """"))"),1028.0)</f>
        <v>1028</v>
      </c>
      <c r="AG2747" s="7"/>
      <c r="AH2747" s="7"/>
      <c r="AI2747" s="7"/>
      <c r="AJ2747" s="7"/>
      <c r="AK2747" s="7"/>
      <c r="AL2747" s="7"/>
      <c r="AM2747" s="7"/>
      <c r="AN2747" s="7"/>
      <c r="AO2747" s="7"/>
      <c r="AP2747" s="7"/>
      <c r="AQ2747" s="7"/>
      <c r="AR2747" s="7"/>
      <c r="AS2747" s="7" t="s">
        <v>27</v>
      </c>
    </row>
    <row r="2748">
      <c r="A2748" s="7" t="s">
        <v>428</v>
      </c>
      <c r="B2748" s="7" t="s">
        <v>2015</v>
      </c>
      <c r="C2748" s="7">
        <f>8</f>
        <v>8</v>
      </c>
      <c r="D2748" s="7">
        <v>7.0</v>
      </c>
      <c r="E2748" s="7">
        <v>6.0</v>
      </c>
      <c r="F2748" s="7" t="s">
        <v>25</v>
      </c>
      <c r="G2748" s="7" t="s">
        <v>593</v>
      </c>
      <c r="H2748" s="9" t="s">
        <v>2981</v>
      </c>
      <c r="I2748" t="s">
        <v>3239</v>
      </c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 t="str">
        <f t="shared" si="1"/>
        <v>Land area </v>
      </c>
      <c r="AE2748" s="7" t="str">
        <f t="shared" si="2"/>
        <v> sq. ft.</v>
      </c>
      <c r="AF2748">
        <f>IFERROR(__xludf.DUMMYFUNCTION("VALUE(REGEXREPLACE(G2748,""[^[:digit:]]"", """"))"),12000.0)</f>
        <v>12000</v>
      </c>
      <c r="AG2748" s="7"/>
      <c r="AH2748" s="7"/>
      <c r="AI2748" s="7"/>
      <c r="AJ2748" s="7"/>
      <c r="AK2748" s="7"/>
      <c r="AL2748" s="7"/>
      <c r="AM2748" s="7"/>
      <c r="AN2748" s="7"/>
      <c r="AO2748" s="7"/>
      <c r="AP2748" s="7"/>
      <c r="AQ2748" s="7"/>
      <c r="AR2748" s="7"/>
      <c r="AS2748" s="7" t="s">
        <v>27</v>
      </c>
    </row>
    <row r="2749">
      <c r="A2749" s="7" t="s">
        <v>33</v>
      </c>
      <c r="B2749" s="7" t="s">
        <v>2016</v>
      </c>
      <c r="C2749" s="7">
        <f>3+1</f>
        <v>4</v>
      </c>
      <c r="D2749" s="7">
        <v>2.0</v>
      </c>
      <c r="E2749" s="7">
        <v>1.0</v>
      </c>
      <c r="F2749" s="7" t="s">
        <v>93</v>
      </c>
      <c r="G2749" s="7" t="s">
        <v>157</v>
      </c>
      <c r="H2749" s="9" t="s">
        <v>2979</v>
      </c>
      <c r="I2749" t="s">
        <v>3031</v>
      </c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 t="str">
        <f t="shared" si="1"/>
        <v>Built-up :</v>
      </c>
      <c r="AE2749" s="7" t="str">
        <f t="shared" si="2"/>
        <v> sq. ft.</v>
      </c>
      <c r="AF2749">
        <f>IFERROR(__xludf.DUMMYFUNCTION("VALUE(REGEXREPLACE(G2749,""[^[:digit:]]"", """"))"),1050.0)</f>
        <v>1050</v>
      </c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7"/>
      <c r="AR2749" s="7"/>
    </row>
    <row r="2750">
      <c r="A2750" s="7" t="s">
        <v>148</v>
      </c>
      <c r="B2750" s="7" t="s">
        <v>281</v>
      </c>
      <c r="C2750" s="7">
        <f>6</f>
        <v>6</v>
      </c>
      <c r="D2750" s="7">
        <v>7.0</v>
      </c>
      <c r="E2750" s="9">
        <v>2.0</v>
      </c>
      <c r="F2750" s="7" t="s">
        <v>25</v>
      </c>
      <c r="G2750" s="7" t="s">
        <v>219</v>
      </c>
      <c r="H2750" s="9" t="s">
        <v>2981</v>
      </c>
      <c r="I2750" t="s">
        <v>3059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 t="str">
        <f t="shared" si="1"/>
        <v>Land area </v>
      </c>
      <c r="AE2750" s="7" t="str">
        <f t="shared" si="2"/>
        <v> sq. ft.</v>
      </c>
      <c r="AF2750">
        <f>IFERROR(__xludf.DUMMYFUNCTION("VALUE(REGEXREPLACE(G2750,""[^[:digit:]]"", """"))"),7000.0)</f>
        <v>7000</v>
      </c>
      <c r="AG2750" s="7"/>
      <c r="AH2750" s="7"/>
      <c r="AI2750" s="7"/>
      <c r="AJ2750" s="7"/>
      <c r="AK2750" s="7"/>
      <c r="AL2750" s="7"/>
      <c r="AM2750" s="7"/>
      <c r="AN2750" s="7"/>
      <c r="AO2750" s="7"/>
      <c r="AP2750" s="7"/>
      <c r="AQ2750" s="7"/>
      <c r="AR2750" s="7"/>
    </row>
    <row r="2751">
      <c r="A2751" s="7" t="s">
        <v>100</v>
      </c>
      <c r="B2751" s="7" t="s">
        <v>854</v>
      </c>
      <c r="C2751" s="7">
        <f>3</f>
        <v>3</v>
      </c>
      <c r="D2751" s="7">
        <v>2.0</v>
      </c>
      <c r="E2751" s="7">
        <v>1.0</v>
      </c>
      <c r="F2751" s="7" t="s">
        <v>121</v>
      </c>
      <c r="G2751" s="7" t="s">
        <v>2013</v>
      </c>
      <c r="H2751" s="9" t="s">
        <v>2979</v>
      </c>
      <c r="I2751" t="s">
        <v>4056</v>
      </c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 t="str">
        <f t="shared" si="1"/>
        <v>Built-up :</v>
      </c>
      <c r="AE2751" s="7" t="str">
        <f t="shared" si="2"/>
        <v> sq. ft.</v>
      </c>
      <c r="AF2751">
        <f>IFERROR(__xludf.DUMMYFUNCTION("VALUE(REGEXREPLACE(G2751,""[^[:digit:]]"", """"))"),953.0)</f>
        <v>953</v>
      </c>
      <c r="AG2751" s="7"/>
      <c r="AH2751" s="7"/>
      <c r="AI2751" s="7"/>
      <c r="AJ2751" s="7"/>
      <c r="AK2751" s="7"/>
      <c r="AL2751" s="7"/>
      <c r="AM2751" s="7"/>
      <c r="AN2751" s="7"/>
      <c r="AO2751" s="7"/>
      <c r="AP2751" s="7"/>
      <c r="AQ2751" s="7"/>
      <c r="AR2751" s="7"/>
      <c r="AS2751" s="7" t="s">
        <v>27</v>
      </c>
    </row>
    <row r="2752">
      <c r="A2752" s="7" t="s">
        <v>89</v>
      </c>
      <c r="B2752" s="7" t="s">
        <v>967</v>
      </c>
      <c r="C2752" s="7">
        <f>2+1</f>
        <v>3</v>
      </c>
      <c r="D2752" s="7">
        <v>2.0</v>
      </c>
      <c r="E2752" s="7">
        <v>2.0</v>
      </c>
      <c r="F2752" s="7" t="s">
        <v>20</v>
      </c>
      <c r="G2752" s="7" t="s">
        <v>764</v>
      </c>
      <c r="H2752" s="9" t="s">
        <v>2979</v>
      </c>
      <c r="I2752" t="s">
        <v>3325</v>
      </c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 t="str">
        <f t="shared" si="1"/>
        <v>Built-up :</v>
      </c>
      <c r="AE2752" s="7" t="str">
        <f t="shared" si="2"/>
        <v> sq. ft.</v>
      </c>
      <c r="AF2752">
        <f>IFERROR(__xludf.DUMMYFUNCTION("VALUE(REGEXREPLACE(G2752,""[^[:digit:]]"", """"))"),1025.0)</f>
        <v>1025</v>
      </c>
      <c r="AG2752" s="7"/>
      <c r="AH2752" s="7"/>
      <c r="AI2752" s="7"/>
      <c r="AJ2752" s="7"/>
      <c r="AK2752" s="7"/>
      <c r="AL2752" s="7"/>
      <c r="AM2752" s="7"/>
      <c r="AN2752" s="7"/>
      <c r="AO2752" s="7"/>
      <c r="AP2752" s="7"/>
      <c r="AQ2752" s="7"/>
      <c r="AR2752" s="7"/>
      <c r="AS2752" s="7" t="s">
        <v>22</v>
      </c>
    </row>
    <row r="2753">
      <c r="A2753" s="7" t="s">
        <v>177</v>
      </c>
      <c r="B2753" s="7" t="s">
        <v>447</v>
      </c>
      <c r="C2753" s="7">
        <f>4+1</f>
        <v>5</v>
      </c>
      <c r="D2753" s="7">
        <v>4.0</v>
      </c>
      <c r="E2753" s="9">
        <v>2.0</v>
      </c>
      <c r="F2753" s="7" t="s">
        <v>67</v>
      </c>
      <c r="G2753" s="7" t="s">
        <v>1217</v>
      </c>
      <c r="H2753" s="9" t="s">
        <v>2981</v>
      </c>
      <c r="I2753" t="s">
        <v>3130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 t="str">
        <f t="shared" si="1"/>
        <v>Land area </v>
      </c>
      <c r="AE2753" s="7" t="str">
        <f t="shared" si="2"/>
        <v> sq. ft.</v>
      </c>
      <c r="AF2753">
        <f>IFERROR(__xludf.DUMMYFUNCTION("VALUE(REGEXREPLACE(G2753,""[^[:digit:]]"", """"))"),5700.0)</f>
        <v>5700</v>
      </c>
      <c r="AG2753" s="7"/>
      <c r="AH2753" s="7"/>
      <c r="AI2753" s="7"/>
      <c r="AJ2753" s="7"/>
      <c r="AK2753" s="7"/>
      <c r="AL2753" s="7"/>
      <c r="AM2753" s="7"/>
      <c r="AN2753" s="7"/>
      <c r="AO2753" s="7"/>
      <c r="AP2753" s="7"/>
      <c r="AQ2753" s="7"/>
      <c r="AR2753" s="7"/>
      <c r="AS2753" s="7" t="s">
        <v>27</v>
      </c>
    </row>
    <row r="2754">
      <c r="A2754" s="7" t="s">
        <v>177</v>
      </c>
      <c r="B2754" s="7" t="s">
        <v>893</v>
      </c>
      <c r="C2754" s="7">
        <f>5+2</f>
        <v>7</v>
      </c>
      <c r="D2754" s="7">
        <v>7.0</v>
      </c>
      <c r="E2754" s="9">
        <v>2.0</v>
      </c>
      <c r="F2754" s="7" t="s">
        <v>25</v>
      </c>
      <c r="G2754" s="7" t="s">
        <v>2017</v>
      </c>
      <c r="H2754" s="9" t="s">
        <v>2981</v>
      </c>
      <c r="I2754" t="s">
        <v>4058</v>
      </c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 t="str">
        <f t="shared" si="1"/>
        <v>Land area </v>
      </c>
      <c r="AE2754" s="7" t="str">
        <f t="shared" si="2"/>
        <v> sq. ft.</v>
      </c>
      <c r="AF2754">
        <f>IFERROR(__xludf.DUMMYFUNCTION("VALUE(REGEXREPLACE(G2754,""[^[:digit:]]"", """"))"),6867.0)</f>
        <v>6867</v>
      </c>
      <c r="AG2754" s="7"/>
      <c r="AH2754" s="7"/>
      <c r="AI2754" s="7"/>
      <c r="AJ2754" s="7"/>
      <c r="AK2754" s="7"/>
      <c r="AL2754" s="7"/>
      <c r="AM2754" s="7"/>
      <c r="AN2754" s="7"/>
      <c r="AO2754" s="7"/>
      <c r="AP2754" s="7"/>
      <c r="AQ2754" s="7"/>
      <c r="AR2754" s="7"/>
      <c r="AS2754" s="7" t="s">
        <v>27</v>
      </c>
    </row>
    <row r="2755">
      <c r="A2755" s="7" t="s">
        <v>37</v>
      </c>
      <c r="B2755" s="7" t="s">
        <v>107</v>
      </c>
      <c r="C2755" s="7">
        <f>3</f>
        <v>3</v>
      </c>
      <c r="D2755" s="7">
        <v>2.0</v>
      </c>
      <c r="E2755" s="7">
        <v>1.0</v>
      </c>
      <c r="F2755" s="7" t="s">
        <v>83</v>
      </c>
      <c r="G2755" s="7" t="s">
        <v>135</v>
      </c>
      <c r="H2755" s="9" t="s">
        <v>2979</v>
      </c>
      <c r="I2755" t="s">
        <v>3023</v>
      </c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 t="str">
        <f t="shared" si="1"/>
        <v>Built-up :</v>
      </c>
      <c r="AE2755" s="7" t="str">
        <f t="shared" si="2"/>
        <v> sq. ft.</v>
      </c>
      <c r="AF2755">
        <f>IFERROR(__xludf.DUMMYFUNCTION("VALUE(REGEXREPLACE(G2755,""[^[:digit:]]"", """"))"),1200.0)</f>
        <v>1200</v>
      </c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7"/>
      <c r="AR2755" s="7"/>
      <c r="AS2755" s="7" t="s">
        <v>27</v>
      </c>
    </row>
    <row r="2756">
      <c r="A2756" s="7" t="s">
        <v>37</v>
      </c>
      <c r="B2756" s="7" t="s">
        <v>311</v>
      </c>
      <c r="C2756" s="7">
        <f>3+1</f>
        <v>4</v>
      </c>
      <c r="D2756" s="7">
        <v>3.0</v>
      </c>
      <c r="E2756" s="7">
        <v>2.0</v>
      </c>
      <c r="F2756" s="7" t="s">
        <v>83</v>
      </c>
      <c r="G2756" s="7" t="s">
        <v>2018</v>
      </c>
      <c r="H2756" s="9" t="s">
        <v>2979</v>
      </c>
      <c r="I2756" t="s">
        <v>4059</v>
      </c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 t="str">
        <f t="shared" si="1"/>
        <v>Built-up :</v>
      </c>
      <c r="AE2756" s="7" t="str">
        <f t="shared" si="2"/>
        <v> sq. ft.</v>
      </c>
      <c r="AF2756">
        <f>IFERROR(__xludf.DUMMYFUNCTION("VALUE(REGEXREPLACE(G2756,""[^[:digit:]]"", """"))"),1894.0)</f>
        <v>1894</v>
      </c>
      <c r="AG2756" s="7"/>
      <c r="AH2756" s="7"/>
      <c r="AI2756" s="7"/>
      <c r="AJ2756" s="7"/>
      <c r="AK2756" s="7"/>
      <c r="AL2756" s="7"/>
      <c r="AM2756" s="7"/>
      <c r="AN2756" s="7"/>
      <c r="AO2756" s="7"/>
      <c r="AP2756" s="7"/>
      <c r="AQ2756" s="7"/>
      <c r="AR2756" s="7"/>
      <c r="AS2756" s="7" t="s">
        <v>27</v>
      </c>
    </row>
    <row r="2757">
      <c r="A2757" s="7" t="s">
        <v>188</v>
      </c>
      <c r="B2757" s="7" t="s">
        <v>2019</v>
      </c>
      <c r="C2757" s="7">
        <f t="shared" ref="C2757:C2758" si="365">2</f>
        <v>2</v>
      </c>
      <c r="D2757" s="7">
        <v>2.0</v>
      </c>
      <c r="E2757" s="7">
        <v>1.0</v>
      </c>
      <c r="F2757" s="7" t="s">
        <v>20</v>
      </c>
      <c r="G2757" s="7" t="s">
        <v>1395</v>
      </c>
      <c r="H2757" s="9" t="s">
        <v>2979</v>
      </c>
      <c r="I2757" t="s">
        <v>3687</v>
      </c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 t="str">
        <f t="shared" si="1"/>
        <v>Built-up :</v>
      </c>
      <c r="AE2757" s="7" t="str">
        <f t="shared" si="2"/>
        <v> sq. ft.</v>
      </c>
      <c r="AF2757">
        <f>IFERROR(__xludf.DUMMYFUNCTION("VALUE(REGEXREPLACE(G2757,""[^[:digit:]]"", """"))"),1033.0)</f>
        <v>1033</v>
      </c>
      <c r="AG2757" s="7"/>
      <c r="AH2757" s="7"/>
      <c r="AI2757" s="7"/>
      <c r="AJ2757" s="7"/>
      <c r="AK2757" s="7"/>
      <c r="AL2757" s="7"/>
      <c r="AM2757" s="7"/>
      <c r="AN2757" s="7"/>
      <c r="AO2757" s="7"/>
      <c r="AP2757" s="7"/>
      <c r="AQ2757" s="7"/>
      <c r="AR2757" s="7"/>
      <c r="AS2757" s="7" t="s">
        <v>22</v>
      </c>
    </row>
    <row r="2758">
      <c r="A2758" s="7" t="s">
        <v>188</v>
      </c>
      <c r="B2758" s="7" t="s">
        <v>191</v>
      </c>
      <c r="C2758" s="7">
        <f t="shared" si="365"/>
        <v>2</v>
      </c>
      <c r="D2758" s="7">
        <v>2.0</v>
      </c>
      <c r="E2758" s="7">
        <v>1.0</v>
      </c>
      <c r="F2758" s="7" t="s">
        <v>20</v>
      </c>
      <c r="G2758" s="7" t="s">
        <v>776</v>
      </c>
      <c r="H2758" s="9" t="s">
        <v>2979</v>
      </c>
      <c r="I2758" t="s">
        <v>3332</v>
      </c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 t="str">
        <f t="shared" si="1"/>
        <v>Built-up :</v>
      </c>
      <c r="AE2758" s="7" t="str">
        <f t="shared" si="2"/>
        <v> sq. ft.</v>
      </c>
      <c r="AF2758">
        <f>IFERROR(__xludf.DUMMYFUNCTION("VALUE(REGEXREPLACE(G2758,""[^[:digit:]]"", """"))"),1012.0)</f>
        <v>1012</v>
      </c>
      <c r="AG2758" s="7"/>
      <c r="AH2758" s="7"/>
      <c r="AI2758" s="7"/>
      <c r="AJ2758" s="7"/>
      <c r="AK2758" s="7"/>
      <c r="AL2758" s="7"/>
      <c r="AM2758" s="7"/>
      <c r="AN2758" s="7"/>
      <c r="AO2758" s="7"/>
      <c r="AP2758" s="7"/>
      <c r="AQ2758" s="7"/>
      <c r="AR2758" s="7"/>
      <c r="AS2758" s="7" t="s">
        <v>22</v>
      </c>
    </row>
    <row r="2759">
      <c r="A2759" s="7" t="s">
        <v>148</v>
      </c>
      <c r="B2759" s="7" t="s">
        <v>110</v>
      </c>
      <c r="C2759" s="7">
        <f>4+1</f>
        <v>5</v>
      </c>
      <c r="D2759" s="7">
        <v>4.0</v>
      </c>
      <c r="E2759" s="7">
        <v>4.0</v>
      </c>
      <c r="F2759" s="7" t="s">
        <v>61</v>
      </c>
      <c r="G2759" s="7" t="s">
        <v>1202</v>
      </c>
      <c r="H2759" s="9" t="s">
        <v>2981</v>
      </c>
      <c r="I2759" t="s">
        <v>3574</v>
      </c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 t="str">
        <f t="shared" si="1"/>
        <v>Land area </v>
      </c>
      <c r="AE2759" s="7" t="str">
        <f t="shared" si="2"/>
        <v> sq. ft.</v>
      </c>
      <c r="AF2759">
        <f>IFERROR(__xludf.DUMMYFUNCTION("VALUE(REGEXREPLACE(G2759,""[^[:digit:]]"", """"))"),4500.0)</f>
        <v>4500</v>
      </c>
      <c r="AG2759" s="7"/>
      <c r="AH2759" s="7"/>
      <c r="AI2759" s="7"/>
      <c r="AJ2759" s="7"/>
      <c r="AK2759" s="7"/>
      <c r="AL2759" s="7"/>
      <c r="AM2759" s="7"/>
      <c r="AN2759" s="7"/>
      <c r="AO2759" s="7"/>
      <c r="AP2759" s="7"/>
      <c r="AQ2759" s="7"/>
      <c r="AR2759" s="7"/>
    </row>
    <row r="2760">
      <c r="A2760" s="7" t="s">
        <v>709</v>
      </c>
      <c r="B2760" s="7" t="s">
        <v>316</v>
      </c>
      <c r="C2760" s="7">
        <f>1</f>
        <v>1</v>
      </c>
      <c r="D2760" s="7">
        <v>2.0</v>
      </c>
      <c r="E2760" s="7">
        <v>1.0</v>
      </c>
      <c r="F2760" s="7" t="s">
        <v>82</v>
      </c>
      <c r="G2760" s="7" t="s">
        <v>1004</v>
      </c>
      <c r="H2760" s="9" t="s">
        <v>2979</v>
      </c>
      <c r="I2760" t="s">
        <v>3449</v>
      </c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 t="str">
        <f t="shared" si="1"/>
        <v>Built-up :</v>
      </c>
      <c r="AE2760" s="7" t="str">
        <f t="shared" si="2"/>
        <v> sq. ft.</v>
      </c>
      <c r="AF2760">
        <f>IFERROR(__xludf.DUMMYFUNCTION("VALUE(REGEXREPLACE(G2760,""[^[:digit:]]"", """"))"),1300.0)</f>
        <v>1300</v>
      </c>
      <c r="AG2760" s="7"/>
      <c r="AH2760" s="7"/>
      <c r="AI2760" s="7"/>
      <c r="AJ2760" s="7"/>
      <c r="AK2760" s="7"/>
      <c r="AL2760" s="7"/>
      <c r="AM2760" s="7"/>
      <c r="AN2760" s="7"/>
      <c r="AO2760" s="7"/>
      <c r="AP2760" s="7"/>
      <c r="AQ2760" s="7"/>
      <c r="AR2760" s="7"/>
      <c r="AS2760" s="7" t="s">
        <v>22</v>
      </c>
    </row>
    <row r="2761">
      <c r="A2761" s="7" t="s">
        <v>89</v>
      </c>
      <c r="B2761" s="7" t="s">
        <v>191</v>
      </c>
      <c r="C2761" s="7">
        <f>5</f>
        <v>5</v>
      </c>
      <c r="D2761" s="7">
        <v>4.0</v>
      </c>
      <c r="E2761" s="7">
        <v>2.0</v>
      </c>
      <c r="F2761" s="7" t="s">
        <v>90</v>
      </c>
      <c r="G2761" s="7" t="s">
        <v>674</v>
      </c>
      <c r="H2761" s="9" t="s">
        <v>2981</v>
      </c>
      <c r="I2761" t="s">
        <v>3020</v>
      </c>
      <c r="J2761" s="7"/>
      <c r="K2761" s="7"/>
      <c r="L2761" s="7"/>
      <c r="M2761" s="7"/>
      <c r="N2761" s="7"/>
      <c r="O2761" s="7"/>
      <c r="P2761" s="7"/>
      <c r="Q2761" s="7"/>
      <c r="R2761" s="7"/>
      <c r="S2761" s="7" t="s">
        <v>2993</v>
      </c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 t="str">
        <f t="shared" si="1"/>
        <v>Land area </v>
      </c>
      <c r="AE2761" s="7" t="str">
        <f t="shared" si="2"/>
        <v> sq. ft.</v>
      </c>
      <c r="AF2761">
        <f>IFERROR(__xludf.DUMMYFUNCTION("VALUE(REGEXREPLACE(G2761,""[^[:digit:]]"", """"))"),2080.0)</f>
        <v>2080</v>
      </c>
      <c r="AG2761" s="7"/>
      <c r="AH2761" s="7"/>
      <c r="AI2761" s="7"/>
      <c r="AJ2761" s="7"/>
      <c r="AK2761" s="7"/>
      <c r="AL2761" s="7"/>
      <c r="AM2761" s="7"/>
      <c r="AN2761" s="7"/>
      <c r="AO2761" s="7"/>
      <c r="AP2761" s="7"/>
      <c r="AQ2761" s="7"/>
      <c r="AR2761" s="7"/>
      <c r="AS2761" s="7" t="s">
        <v>27</v>
      </c>
    </row>
    <row r="2762">
      <c r="A2762" s="7" t="s">
        <v>580</v>
      </c>
      <c r="B2762" s="7" t="s">
        <v>403</v>
      </c>
      <c r="C2762" s="7">
        <f>4+1</f>
        <v>5</v>
      </c>
      <c r="D2762" s="7">
        <v>5.0</v>
      </c>
      <c r="E2762" s="9">
        <v>2.0</v>
      </c>
      <c r="F2762" s="7" t="s">
        <v>203</v>
      </c>
      <c r="G2762" s="7" t="s">
        <v>283</v>
      </c>
      <c r="H2762" s="9" t="s">
        <v>2981</v>
      </c>
      <c r="I2762" t="s">
        <v>3091</v>
      </c>
      <c r="J2762" s="7"/>
      <c r="K2762" s="7"/>
      <c r="L2762" s="7"/>
      <c r="M2762" s="7"/>
      <c r="N2762" s="7"/>
      <c r="O2762" s="7"/>
      <c r="P2762" s="7"/>
      <c r="Q2762" s="7"/>
      <c r="R2762" s="7"/>
      <c r="S2762" s="7" t="s">
        <v>2990</v>
      </c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 t="str">
        <f t="shared" si="1"/>
        <v>Land area </v>
      </c>
      <c r="AE2762" s="7" t="str">
        <f t="shared" si="2"/>
        <v> sq. ft.</v>
      </c>
      <c r="AF2762">
        <f>IFERROR(__xludf.DUMMYFUNCTION("VALUE(REGEXREPLACE(G2762,""[^[:digit:]]"", """"))"),2275.0)</f>
        <v>2275</v>
      </c>
      <c r="AG2762" s="7"/>
      <c r="AH2762" s="7"/>
      <c r="AI2762" s="7"/>
      <c r="AJ2762" s="7"/>
      <c r="AK2762" s="7"/>
      <c r="AL2762" s="7"/>
      <c r="AM2762" s="7"/>
      <c r="AN2762" s="7"/>
      <c r="AO2762" s="7"/>
      <c r="AP2762" s="7"/>
      <c r="AQ2762" s="7"/>
      <c r="AR2762" s="7"/>
      <c r="AS2762" s="7" t="s">
        <v>27</v>
      </c>
    </row>
    <row r="2763">
      <c r="A2763" s="7" t="s">
        <v>32</v>
      </c>
      <c r="B2763" s="7" t="s">
        <v>1390</v>
      </c>
      <c r="C2763" s="7">
        <f>4</f>
        <v>4</v>
      </c>
      <c r="D2763" s="7">
        <v>3.0</v>
      </c>
      <c r="E2763" s="9">
        <v>2.0</v>
      </c>
      <c r="F2763" s="7" t="s">
        <v>169</v>
      </c>
      <c r="G2763" s="7" t="s">
        <v>2020</v>
      </c>
      <c r="H2763" s="9" t="s">
        <v>2981</v>
      </c>
      <c r="I2763" t="s">
        <v>3294</v>
      </c>
      <c r="J2763" s="7"/>
      <c r="K2763" s="7"/>
      <c r="L2763" s="7"/>
      <c r="M2763" s="7"/>
      <c r="N2763" s="7"/>
      <c r="O2763" s="7"/>
      <c r="P2763" s="7"/>
      <c r="Q2763" s="7"/>
      <c r="R2763" s="7"/>
      <c r="S2763" s="7" t="s">
        <v>3372</v>
      </c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 t="str">
        <f t="shared" si="1"/>
        <v>Land area </v>
      </c>
      <c r="AE2763" s="7" t="str">
        <f t="shared" si="2"/>
        <v> sq. ft.</v>
      </c>
      <c r="AF2763">
        <f>IFERROR(__xludf.DUMMYFUNCTION("VALUE(REGEXREPLACE(G2763,""[^[:digit:]]"", """"))"),2060.0)</f>
        <v>2060</v>
      </c>
      <c r="AG2763" s="7"/>
      <c r="AH2763" s="7"/>
      <c r="AI2763" s="7"/>
      <c r="AJ2763" s="7"/>
      <c r="AK2763" s="7"/>
      <c r="AL2763" s="7"/>
      <c r="AM2763" s="7"/>
      <c r="AN2763" s="7"/>
      <c r="AO2763" s="7"/>
      <c r="AP2763" s="7"/>
      <c r="AQ2763" s="7"/>
      <c r="AR2763" s="7"/>
      <c r="AS2763" s="7" t="s">
        <v>27</v>
      </c>
    </row>
    <row r="2764">
      <c r="A2764" s="7" t="s">
        <v>432</v>
      </c>
      <c r="B2764" s="7" t="s">
        <v>1736</v>
      </c>
      <c r="C2764" s="7">
        <f>4+1</f>
        <v>5</v>
      </c>
      <c r="D2764" s="7">
        <v>6.0</v>
      </c>
      <c r="E2764" s="7">
        <v>15.0</v>
      </c>
      <c r="F2764" s="7" t="s">
        <v>67</v>
      </c>
      <c r="G2764" s="7" t="s">
        <v>1737</v>
      </c>
      <c r="H2764" s="9" t="s">
        <v>2981</v>
      </c>
      <c r="I2764" t="s">
        <v>3892</v>
      </c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 t="str">
        <f t="shared" si="1"/>
        <v>Land area </v>
      </c>
      <c r="AE2764" s="7" t="str">
        <f t="shared" si="2"/>
        <v> sq. ft.</v>
      </c>
      <c r="AF2764">
        <f>IFERROR(__xludf.DUMMYFUNCTION("VALUE(REGEXREPLACE(G2764,""[^[:digit:]]"", """"))"),17800.0)</f>
        <v>17800</v>
      </c>
      <c r="AG2764" s="7"/>
      <c r="AH2764" s="7"/>
      <c r="AI2764" s="7"/>
      <c r="AJ2764" s="7"/>
      <c r="AK2764" s="7"/>
      <c r="AL2764" s="7"/>
      <c r="AM2764" s="7"/>
      <c r="AN2764" s="7"/>
      <c r="AO2764" s="7"/>
      <c r="AP2764" s="7"/>
      <c r="AQ2764" s="7"/>
      <c r="AR2764" s="7"/>
      <c r="AS2764" s="7" t="s">
        <v>27</v>
      </c>
    </row>
    <row r="2765">
      <c r="A2765" s="7" t="s">
        <v>177</v>
      </c>
      <c r="B2765" s="7" t="s">
        <v>744</v>
      </c>
      <c r="C2765" s="7">
        <f t="shared" ref="C2765:C2766" si="366">6</f>
        <v>6</v>
      </c>
      <c r="D2765" s="7">
        <v>7.0</v>
      </c>
      <c r="E2765" s="7">
        <v>1.0</v>
      </c>
      <c r="F2765" s="7" t="s">
        <v>25</v>
      </c>
      <c r="G2765" s="7" t="s">
        <v>2021</v>
      </c>
      <c r="H2765" s="9" t="s">
        <v>2981</v>
      </c>
      <c r="I2765" t="s">
        <v>4060</v>
      </c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 t="str">
        <f t="shared" si="1"/>
        <v>Land area </v>
      </c>
      <c r="AE2765" s="7" t="str">
        <f t="shared" si="2"/>
        <v> sq. ft.</v>
      </c>
      <c r="AF2765">
        <f>IFERROR(__xludf.DUMMYFUNCTION("VALUE(REGEXREPLACE(G2765,""[^[:digit:]]"", """"))"),13217.0)</f>
        <v>13217</v>
      </c>
      <c r="AG2765" s="7"/>
      <c r="AH2765" s="7"/>
      <c r="AI2765" s="7"/>
      <c r="AJ2765" s="7"/>
      <c r="AK2765" s="7"/>
      <c r="AL2765" s="7"/>
      <c r="AM2765" s="7"/>
      <c r="AN2765" s="7"/>
      <c r="AO2765" s="7"/>
      <c r="AP2765" s="7"/>
      <c r="AQ2765" s="7"/>
      <c r="AR2765" s="7"/>
      <c r="AS2765" s="7" t="s">
        <v>27</v>
      </c>
    </row>
    <row r="2766">
      <c r="A2766" s="7" t="s">
        <v>2022</v>
      </c>
      <c r="B2766" s="7" t="s">
        <v>34</v>
      </c>
      <c r="C2766" s="7">
        <f t="shared" si="366"/>
        <v>6</v>
      </c>
      <c r="D2766" s="7">
        <v>6.0</v>
      </c>
      <c r="E2766" s="9">
        <v>2.0</v>
      </c>
      <c r="F2766" s="7" t="s">
        <v>562</v>
      </c>
      <c r="G2766" s="7" t="s">
        <v>1084</v>
      </c>
      <c r="H2766" s="9" t="s">
        <v>2979</v>
      </c>
      <c r="I2766" t="s">
        <v>3494</v>
      </c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 t="str">
        <f t="shared" si="1"/>
        <v>Built-up :</v>
      </c>
      <c r="AE2766" s="7" t="str">
        <f t="shared" si="2"/>
        <v> sq. ft.</v>
      </c>
      <c r="AF2766">
        <f>IFERROR(__xludf.DUMMYFUNCTION("VALUE(REGEXREPLACE(G2766,""[^[:digit:]]"", """"))"),3600.0)</f>
        <v>3600</v>
      </c>
      <c r="AG2766" s="7"/>
      <c r="AH2766" s="7"/>
      <c r="AI2766" s="7"/>
      <c r="AJ2766" s="7"/>
      <c r="AK2766" s="7"/>
      <c r="AL2766" s="7"/>
      <c r="AM2766" s="7"/>
      <c r="AN2766" s="7"/>
      <c r="AO2766" s="7"/>
      <c r="AP2766" s="7"/>
      <c r="AQ2766" s="7"/>
      <c r="AR2766" s="7"/>
      <c r="AS2766" s="7" t="s">
        <v>22</v>
      </c>
    </row>
    <row r="2767">
      <c r="A2767" s="7" t="s">
        <v>177</v>
      </c>
      <c r="B2767" s="7" t="s">
        <v>2023</v>
      </c>
      <c r="C2767" s="7">
        <v>20.0</v>
      </c>
      <c r="D2767" s="7">
        <v>20.0</v>
      </c>
      <c r="E2767" s="7">
        <v>6.0</v>
      </c>
      <c r="F2767" s="7" t="s">
        <v>61</v>
      </c>
      <c r="G2767" s="7" t="s">
        <v>2025</v>
      </c>
      <c r="H2767" s="9" t="s">
        <v>2981</v>
      </c>
      <c r="I2767" t="s">
        <v>4061</v>
      </c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 t="str">
        <f t="shared" si="1"/>
        <v>Land area </v>
      </c>
      <c r="AE2767" s="7" t="str">
        <f t="shared" si="2"/>
        <v> sq. ft.</v>
      </c>
      <c r="AF2767">
        <f>IFERROR(__xludf.DUMMYFUNCTION("VALUE(REGEXREPLACE(G2767,""[^[:digit:]]"", """"))"),14102.0)</f>
        <v>14102</v>
      </c>
      <c r="AG2767" s="7"/>
      <c r="AH2767" s="7"/>
      <c r="AI2767" s="7"/>
      <c r="AJ2767" s="7"/>
      <c r="AK2767" s="7"/>
      <c r="AL2767" s="7"/>
      <c r="AM2767" s="7"/>
      <c r="AN2767" s="7"/>
      <c r="AO2767" s="7"/>
      <c r="AP2767" s="7"/>
      <c r="AQ2767" s="7"/>
      <c r="AR2767" s="7"/>
      <c r="AS2767" s="7" t="s">
        <v>22</v>
      </c>
    </row>
    <row r="2768">
      <c r="A2768" s="7" t="s">
        <v>100</v>
      </c>
      <c r="B2768" s="7" t="s">
        <v>639</v>
      </c>
      <c r="C2768" s="7">
        <f t="shared" ref="C2768:C2769" si="367">3</f>
        <v>3</v>
      </c>
      <c r="D2768" s="7">
        <v>2.0</v>
      </c>
      <c r="E2768" s="7">
        <v>1.0</v>
      </c>
      <c r="F2768" s="7" t="s">
        <v>82</v>
      </c>
      <c r="G2768" s="7" t="s">
        <v>491</v>
      </c>
      <c r="H2768" s="9" t="s">
        <v>2979</v>
      </c>
      <c r="I2768" t="s">
        <v>3190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 t="str">
        <f t="shared" si="1"/>
        <v>Built-up :</v>
      </c>
      <c r="AE2768" s="7" t="str">
        <f t="shared" si="2"/>
        <v> sq. ft.</v>
      </c>
      <c r="AF2768">
        <f>IFERROR(__xludf.DUMMYFUNCTION("VALUE(REGEXREPLACE(G2768,""[^[:digit:]]"", """"))"),950.0)</f>
        <v>950</v>
      </c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7"/>
      <c r="AR2768" s="7"/>
      <c r="AS2768" s="7" t="s">
        <v>27</v>
      </c>
    </row>
    <row r="2769">
      <c r="A2769" s="7" t="s">
        <v>188</v>
      </c>
      <c r="B2769" s="7" t="s">
        <v>403</v>
      </c>
      <c r="C2769" s="7">
        <f t="shared" si="367"/>
        <v>3</v>
      </c>
      <c r="D2769" s="7">
        <v>3.0</v>
      </c>
      <c r="E2769" s="7">
        <v>2.0</v>
      </c>
      <c r="F2769" s="7" t="s">
        <v>30</v>
      </c>
      <c r="G2769" s="7" t="s">
        <v>2026</v>
      </c>
      <c r="H2769" s="9" t="s">
        <v>2979</v>
      </c>
      <c r="I2769" t="s">
        <v>4062</v>
      </c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 t="str">
        <f t="shared" si="1"/>
        <v>Built-up :</v>
      </c>
      <c r="AE2769" s="7" t="str">
        <f t="shared" si="2"/>
        <v> sq. ft.</v>
      </c>
      <c r="AF2769">
        <f>IFERROR(__xludf.DUMMYFUNCTION("VALUE(REGEXREPLACE(G2769,""[^[:digit:]]"", """"))"),1822.0)</f>
        <v>1822</v>
      </c>
      <c r="AG2769" s="7"/>
      <c r="AH2769" s="7"/>
      <c r="AI2769" s="7"/>
      <c r="AJ2769" s="7"/>
      <c r="AK2769" s="7"/>
      <c r="AL2769" s="7"/>
      <c r="AM2769" s="7"/>
      <c r="AN2769" s="7"/>
      <c r="AO2769" s="7"/>
      <c r="AP2769" s="7"/>
      <c r="AQ2769" s="7"/>
      <c r="AR2769" s="7"/>
      <c r="AS2769" s="7" t="s">
        <v>27</v>
      </c>
    </row>
    <row r="2770">
      <c r="A2770" s="7" t="s">
        <v>188</v>
      </c>
      <c r="B2770" s="7" t="s">
        <v>144</v>
      </c>
      <c r="C2770" s="7">
        <f>3+1</f>
        <v>4</v>
      </c>
      <c r="D2770" s="7">
        <v>3.0</v>
      </c>
      <c r="E2770" s="7">
        <v>2.0</v>
      </c>
      <c r="F2770" s="7" t="s">
        <v>30</v>
      </c>
      <c r="G2770" s="7" t="s">
        <v>743</v>
      </c>
      <c r="H2770" s="9" t="s">
        <v>2979</v>
      </c>
      <c r="I2770" t="s">
        <v>3315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 t="str">
        <f t="shared" si="1"/>
        <v>Built-up :</v>
      </c>
      <c r="AE2770" s="7" t="str">
        <f t="shared" si="2"/>
        <v> sq. ft.</v>
      </c>
      <c r="AF2770">
        <f>IFERROR(__xludf.DUMMYFUNCTION("VALUE(REGEXREPLACE(G2770,""[^[:digit:]]"", """"))"),2111.0)</f>
        <v>2111</v>
      </c>
      <c r="AG2770" s="7"/>
      <c r="AH2770" s="7"/>
      <c r="AI2770" s="7"/>
      <c r="AJ2770" s="7"/>
      <c r="AK2770" s="7"/>
      <c r="AL2770" s="7"/>
      <c r="AM2770" s="7"/>
      <c r="AN2770" s="7"/>
      <c r="AO2770" s="7"/>
      <c r="AP2770" s="7"/>
      <c r="AQ2770" s="7"/>
      <c r="AR2770" s="7"/>
      <c r="AS2770" s="7" t="s">
        <v>22</v>
      </c>
    </row>
    <row r="2771">
      <c r="A2771" s="7" t="s">
        <v>17</v>
      </c>
      <c r="B2771" s="7" t="s">
        <v>42</v>
      </c>
      <c r="C2771" s="7">
        <f>2</f>
        <v>2</v>
      </c>
      <c r="D2771" s="7">
        <v>2.0</v>
      </c>
      <c r="E2771" s="7">
        <v>2.0</v>
      </c>
      <c r="F2771" s="7" t="s">
        <v>20</v>
      </c>
      <c r="G2771" s="7" t="s">
        <v>389</v>
      </c>
      <c r="H2771" s="9" t="s">
        <v>2979</v>
      </c>
      <c r="I2771" t="s">
        <v>3140</v>
      </c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 t="str">
        <f t="shared" si="1"/>
        <v>Built-up :</v>
      </c>
      <c r="AE2771" s="7" t="str">
        <f t="shared" si="2"/>
        <v> sq. ft.</v>
      </c>
      <c r="AF2771">
        <f>IFERROR(__xludf.DUMMYFUNCTION("VALUE(REGEXREPLACE(G2771,""[^[:digit:]]"", """"))"),1195.0)</f>
        <v>1195</v>
      </c>
      <c r="AG2771" s="7"/>
      <c r="AH2771" s="7"/>
      <c r="AI2771" s="7"/>
      <c r="AJ2771" s="7"/>
      <c r="AK2771" s="7"/>
      <c r="AL2771" s="7"/>
      <c r="AM2771" s="7"/>
      <c r="AN2771" s="7"/>
      <c r="AO2771" s="7"/>
      <c r="AP2771" s="7"/>
      <c r="AQ2771" s="7"/>
      <c r="AR2771" s="7"/>
      <c r="AS2771" s="7" t="s">
        <v>27</v>
      </c>
    </row>
    <row r="2772">
      <c r="A2772" s="7" t="s">
        <v>143</v>
      </c>
      <c r="B2772" s="7" t="s">
        <v>243</v>
      </c>
      <c r="C2772" s="7">
        <f t="shared" ref="C2772:C2773" si="368">3</f>
        <v>3</v>
      </c>
      <c r="D2772" s="7">
        <v>3.0</v>
      </c>
      <c r="E2772" s="7">
        <v>2.0</v>
      </c>
      <c r="F2772" s="7" t="s">
        <v>121</v>
      </c>
      <c r="G2772" s="7" t="s">
        <v>762</v>
      </c>
      <c r="H2772" s="9" t="s">
        <v>2979</v>
      </c>
      <c r="I2772" t="s">
        <v>3324</v>
      </c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 t="str">
        <f t="shared" si="1"/>
        <v>Built-up :</v>
      </c>
      <c r="AE2772" s="7" t="str">
        <f t="shared" si="2"/>
        <v> sq. ft.</v>
      </c>
      <c r="AF2772">
        <f>IFERROR(__xludf.DUMMYFUNCTION("VALUE(REGEXREPLACE(G2772,""[^[:digit:]]"", """"))"),1582.0)</f>
        <v>1582</v>
      </c>
      <c r="AG2772" s="7"/>
      <c r="AH2772" s="7"/>
      <c r="AI2772" s="7"/>
      <c r="AJ2772" s="7"/>
      <c r="AK2772" s="7"/>
      <c r="AL2772" s="7"/>
      <c r="AM2772" s="7"/>
      <c r="AN2772" s="7"/>
      <c r="AO2772" s="7"/>
      <c r="AP2772" s="7"/>
      <c r="AQ2772" s="7"/>
      <c r="AR2772" s="7"/>
      <c r="AS2772" s="7" t="s">
        <v>22</v>
      </c>
    </row>
    <row r="2773">
      <c r="A2773" s="7" t="s">
        <v>143</v>
      </c>
      <c r="B2773" s="7" t="s">
        <v>229</v>
      </c>
      <c r="C2773" s="7">
        <f t="shared" si="368"/>
        <v>3</v>
      </c>
      <c r="D2773" s="7">
        <v>3.0</v>
      </c>
      <c r="E2773" s="7">
        <v>1.0</v>
      </c>
      <c r="F2773" s="7" t="s">
        <v>82</v>
      </c>
      <c r="G2773" s="7" t="s">
        <v>2027</v>
      </c>
      <c r="H2773" s="9" t="s">
        <v>2981</v>
      </c>
      <c r="I2773" t="s">
        <v>4063</v>
      </c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 t="str">
        <f t="shared" si="1"/>
        <v>Land area </v>
      </c>
      <c r="AE2773" s="7" t="str">
        <f t="shared" si="2"/>
        <v> sq. ft.</v>
      </c>
      <c r="AF2773">
        <f>IFERROR(__xludf.DUMMYFUNCTION("VALUE(REGEXREPLACE(G2773,""[^[:digit:]]"", """"))"),1281.0)</f>
        <v>1281</v>
      </c>
      <c r="AG2773" s="7"/>
      <c r="AH2773" s="7"/>
      <c r="AI2773" s="7"/>
      <c r="AJ2773" s="7"/>
      <c r="AK2773" s="7"/>
      <c r="AL2773" s="7"/>
      <c r="AM2773" s="7"/>
      <c r="AN2773" s="7"/>
      <c r="AO2773" s="7"/>
      <c r="AP2773" s="7"/>
      <c r="AQ2773" s="7"/>
      <c r="AR2773" s="7"/>
      <c r="AS2773" s="7" t="s">
        <v>22</v>
      </c>
    </row>
    <row r="2774">
      <c r="A2774" s="7" t="s">
        <v>506</v>
      </c>
      <c r="B2774" s="7" t="s">
        <v>193</v>
      </c>
      <c r="C2774" s="7">
        <f>4</f>
        <v>4</v>
      </c>
      <c r="D2774" s="7">
        <v>3.0</v>
      </c>
      <c r="E2774" s="7">
        <v>2.0</v>
      </c>
      <c r="F2774" s="7" t="s">
        <v>169</v>
      </c>
      <c r="G2774" s="7" t="s">
        <v>1024</v>
      </c>
      <c r="H2774" s="9" t="s">
        <v>2981</v>
      </c>
      <c r="I2774" t="s">
        <v>3460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 t="str">
        <f t="shared" si="1"/>
        <v>Land area </v>
      </c>
      <c r="AE2774" s="7" t="str">
        <f t="shared" si="2"/>
        <v> sq. ft.</v>
      </c>
      <c r="AF2774">
        <f>IFERROR(__xludf.DUMMYFUNCTION("VALUE(REGEXREPLACE(G2774,""[^[:digit:]]"", """"))"),2000.0)</f>
        <v>2000</v>
      </c>
      <c r="AG2774" s="7"/>
      <c r="AH2774" s="7"/>
      <c r="AI2774" s="7"/>
      <c r="AJ2774" s="7"/>
      <c r="AK2774" s="7"/>
      <c r="AL2774" s="7"/>
      <c r="AM2774" s="7"/>
      <c r="AN2774" s="7"/>
      <c r="AO2774" s="7"/>
      <c r="AP2774" s="7"/>
      <c r="AQ2774" s="7"/>
      <c r="AR2774" s="7"/>
      <c r="AS2774" s="7" t="s">
        <v>27</v>
      </c>
    </row>
    <row r="2775">
      <c r="A2775" s="7" t="s">
        <v>109</v>
      </c>
      <c r="B2775" s="7" t="s">
        <v>975</v>
      </c>
      <c r="C2775" s="7">
        <f>3</f>
        <v>3</v>
      </c>
      <c r="D2775" s="7">
        <v>2.0</v>
      </c>
      <c r="E2775" s="7">
        <v>1.0</v>
      </c>
      <c r="F2775" s="7" t="s">
        <v>30</v>
      </c>
      <c r="G2775" s="7" t="s">
        <v>2028</v>
      </c>
      <c r="H2775" s="9" t="s">
        <v>2981</v>
      </c>
      <c r="I2775" t="s">
        <v>4064</v>
      </c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 t="str">
        <f t="shared" si="1"/>
        <v>Land area </v>
      </c>
      <c r="AE2775" s="7" t="str">
        <f t="shared" si="2"/>
        <v> sq. ft.</v>
      </c>
      <c r="AF2775">
        <f>IFERROR(__xludf.DUMMYFUNCTION("VALUE(REGEXREPLACE(G2775,""[^[:digit:]]"", """"))"),1100.0)</f>
        <v>1100</v>
      </c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7"/>
      <c r="AR2775" s="7"/>
      <c r="AS2775" s="7" t="s">
        <v>27</v>
      </c>
    </row>
    <row r="2776">
      <c r="A2776" s="7" t="s">
        <v>37</v>
      </c>
      <c r="B2776" s="7" t="s">
        <v>316</v>
      </c>
      <c r="C2776" s="7">
        <f t="shared" ref="C2776:C2777" si="369">2</f>
        <v>2</v>
      </c>
      <c r="D2776" s="7">
        <v>2.0</v>
      </c>
      <c r="E2776" s="7">
        <v>1.0</v>
      </c>
      <c r="F2776" s="7" t="s">
        <v>82</v>
      </c>
      <c r="G2776" s="7" t="s">
        <v>2029</v>
      </c>
      <c r="H2776" s="9" t="s">
        <v>2979</v>
      </c>
      <c r="I2776" t="s">
        <v>4065</v>
      </c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 t="str">
        <f t="shared" si="1"/>
        <v>Built-up :</v>
      </c>
      <c r="AE2776" s="7" t="str">
        <f t="shared" si="2"/>
        <v> sq. ft.</v>
      </c>
      <c r="AF2776">
        <f>IFERROR(__xludf.DUMMYFUNCTION("VALUE(REGEXREPLACE(G2776,""[^[:digit:]]"", """"))"),795.0)</f>
        <v>795</v>
      </c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7"/>
      <c r="AR2776" s="7"/>
      <c r="AS2776" s="7" t="s">
        <v>22</v>
      </c>
    </row>
    <row r="2777">
      <c r="A2777" s="7" t="s">
        <v>32</v>
      </c>
      <c r="B2777" s="7" t="s">
        <v>967</v>
      </c>
      <c r="C2777" s="7">
        <f t="shared" si="369"/>
        <v>2</v>
      </c>
      <c r="D2777" s="7">
        <v>2.0</v>
      </c>
      <c r="E2777" s="7">
        <v>1.0</v>
      </c>
      <c r="F2777" s="7" t="s">
        <v>82</v>
      </c>
      <c r="G2777" s="7" t="s">
        <v>2030</v>
      </c>
      <c r="H2777" s="9" t="s">
        <v>2979</v>
      </c>
      <c r="I2777" t="s">
        <v>4066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 t="str">
        <f t="shared" si="1"/>
        <v>Built-up :</v>
      </c>
      <c r="AE2777" s="7" t="str">
        <f t="shared" si="2"/>
        <v> sq. ft.</v>
      </c>
      <c r="AF2777">
        <f>IFERROR(__xludf.DUMMYFUNCTION("VALUE(REGEXREPLACE(G2777,""[^[:digit:]]"", """"))"),803.0)</f>
        <v>803</v>
      </c>
      <c r="AG2777" s="7"/>
      <c r="AH2777" s="7"/>
      <c r="AI2777" s="7"/>
      <c r="AJ2777" s="7"/>
      <c r="AK2777" s="7"/>
      <c r="AL2777" s="7"/>
      <c r="AM2777" s="7"/>
      <c r="AN2777" s="7"/>
      <c r="AO2777" s="7"/>
      <c r="AP2777" s="7"/>
      <c r="AQ2777" s="7"/>
      <c r="AR2777" s="7"/>
      <c r="AS2777" s="7" t="s">
        <v>27</v>
      </c>
    </row>
    <row r="2778">
      <c r="A2778" s="7" t="s">
        <v>104</v>
      </c>
      <c r="B2778" s="7" t="s">
        <v>1213</v>
      </c>
      <c r="C2778" s="7">
        <f>3</f>
        <v>3</v>
      </c>
      <c r="D2778" s="7">
        <v>2.0</v>
      </c>
      <c r="E2778" s="7">
        <v>2.0</v>
      </c>
      <c r="F2778" s="7" t="s">
        <v>30</v>
      </c>
      <c r="G2778" s="7" t="s">
        <v>2031</v>
      </c>
      <c r="H2778" s="9" t="s">
        <v>2979</v>
      </c>
      <c r="I2778" t="s">
        <v>4067</v>
      </c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 t="str">
        <f t="shared" si="1"/>
        <v>Built-up :</v>
      </c>
      <c r="AE2778" s="7" t="str">
        <f t="shared" si="2"/>
        <v> sq. ft.</v>
      </c>
      <c r="AF2778">
        <f>IFERROR(__xludf.DUMMYFUNCTION("VALUE(REGEXREPLACE(G2778,""[^[:digit:]]"", """"))"),901.0)</f>
        <v>901</v>
      </c>
      <c r="AG2778" s="7"/>
      <c r="AH2778" s="7"/>
      <c r="AI2778" s="7"/>
      <c r="AJ2778" s="7"/>
      <c r="AK2778" s="7"/>
      <c r="AL2778" s="7"/>
      <c r="AM2778" s="7"/>
      <c r="AN2778" s="7"/>
      <c r="AO2778" s="7"/>
      <c r="AP2778" s="7"/>
      <c r="AQ2778" s="7"/>
      <c r="AR2778" s="7"/>
      <c r="AS2778" s="7" t="s">
        <v>103</v>
      </c>
    </row>
    <row r="2779">
      <c r="A2779" s="7" t="s">
        <v>28</v>
      </c>
      <c r="B2779" s="7" t="s">
        <v>81</v>
      </c>
      <c r="C2779" s="7">
        <f>4+1</f>
        <v>5</v>
      </c>
      <c r="D2779" s="7">
        <v>5.0</v>
      </c>
      <c r="E2779" s="7">
        <v>3.0</v>
      </c>
      <c r="F2779" s="7" t="s">
        <v>83</v>
      </c>
      <c r="G2779" s="7" t="s">
        <v>1293</v>
      </c>
      <c r="H2779" s="9" t="s">
        <v>2979</v>
      </c>
      <c r="I2779" t="s">
        <v>3627</v>
      </c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 t="str">
        <f t="shared" si="1"/>
        <v>Built-up :</v>
      </c>
      <c r="AE2779" s="7" t="str">
        <f t="shared" si="2"/>
        <v> sq. ft.</v>
      </c>
      <c r="AF2779">
        <f>IFERROR(__xludf.DUMMYFUNCTION("VALUE(REGEXREPLACE(G2779,""[^[:digit:]]"", """"))"),3020.0)</f>
        <v>3020</v>
      </c>
      <c r="AG2779" s="7"/>
      <c r="AH2779" s="7"/>
      <c r="AI2779" s="7"/>
      <c r="AJ2779" s="7"/>
      <c r="AK2779" s="7"/>
      <c r="AL2779" s="7"/>
      <c r="AM2779" s="7"/>
      <c r="AN2779" s="7"/>
      <c r="AO2779" s="7"/>
      <c r="AP2779" s="7"/>
      <c r="AQ2779" s="7"/>
      <c r="AR2779" s="7"/>
      <c r="AS2779" s="7" t="s">
        <v>27</v>
      </c>
    </row>
    <row r="2780">
      <c r="A2780" s="7" t="s">
        <v>28</v>
      </c>
      <c r="B2780" s="7" t="s">
        <v>399</v>
      </c>
      <c r="C2780" s="7">
        <f>3+2</f>
        <v>5</v>
      </c>
      <c r="D2780" s="7">
        <v>5.0</v>
      </c>
      <c r="E2780" s="7">
        <v>3.0</v>
      </c>
      <c r="F2780" s="7" t="s">
        <v>30</v>
      </c>
      <c r="G2780" s="7" t="s">
        <v>1291</v>
      </c>
      <c r="H2780" s="9" t="s">
        <v>2979</v>
      </c>
      <c r="I2780" t="s">
        <v>3626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 t="str">
        <f t="shared" si="1"/>
        <v>Built-up :</v>
      </c>
      <c r="AE2780" s="7" t="str">
        <f t="shared" si="2"/>
        <v> sq. ft.</v>
      </c>
      <c r="AF2780">
        <f>IFERROR(__xludf.DUMMYFUNCTION("VALUE(REGEXREPLACE(G2780,""[^[:digit:]]"", """"))"),2412.0)</f>
        <v>2412</v>
      </c>
      <c r="AG2780" s="7"/>
      <c r="AH2780" s="7"/>
      <c r="AI2780" s="7"/>
      <c r="AJ2780" s="7"/>
      <c r="AK2780" s="7"/>
      <c r="AL2780" s="7"/>
      <c r="AM2780" s="7"/>
      <c r="AN2780" s="7"/>
      <c r="AO2780" s="7"/>
      <c r="AP2780" s="7"/>
      <c r="AQ2780" s="7"/>
      <c r="AR2780" s="7"/>
      <c r="AS2780" s="7" t="s">
        <v>22</v>
      </c>
    </row>
    <row r="2781">
      <c r="A2781" s="7" t="s">
        <v>28</v>
      </c>
      <c r="B2781" s="7" t="s">
        <v>489</v>
      </c>
      <c r="C2781" s="7">
        <f t="shared" ref="C2781:C2783" si="370">4+1</f>
        <v>5</v>
      </c>
      <c r="D2781" s="7">
        <v>4.0</v>
      </c>
      <c r="E2781" s="7">
        <v>3.0</v>
      </c>
      <c r="F2781" s="7" t="s">
        <v>83</v>
      </c>
      <c r="G2781" s="7" t="s">
        <v>1295</v>
      </c>
      <c r="H2781" s="9" t="s">
        <v>2979</v>
      </c>
      <c r="I2781" t="s">
        <v>3629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 t="str">
        <f t="shared" si="1"/>
        <v>Built-up :</v>
      </c>
      <c r="AE2781" s="7" t="str">
        <f t="shared" si="2"/>
        <v> sq. ft.</v>
      </c>
      <c r="AF2781">
        <f>IFERROR(__xludf.DUMMYFUNCTION("VALUE(REGEXREPLACE(G2781,""[^[:digit:]]"", """"))"),1991.0)</f>
        <v>1991</v>
      </c>
      <c r="AG2781" s="7"/>
      <c r="AH2781" s="7"/>
      <c r="AI2781" s="7"/>
      <c r="AJ2781" s="7"/>
      <c r="AK2781" s="7"/>
      <c r="AL2781" s="7"/>
      <c r="AM2781" s="7"/>
      <c r="AN2781" s="7"/>
      <c r="AO2781" s="7"/>
      <c r="AP2781" s="7"/>
      <c r="AQ2781" s="7"/>
      <c r="AR2781" s="7"/>
      <c r="AS2781" s="7" t="s">
        <v>27</v>
      </c>
    </row>
    <row r="2782">
      <c r="A2782" s="7" t="s">
        <v>72</v>
      </c>
      <c r="B2782" s="7" t="s">
        <v>712</v>
      </c>
      <c r="C2782" s="7">
        <f t="shared" si="370"/>
        <v>5</v>
      </c>
      <c r="D2782" s="7">
        <v>5.0</v>
      </c>
      <c r="E2782" s="7">
        <v>4.0</v>
      </c>
      <c r="F2782" s="7" t="s">
        <v>30</v>
      </c>
      <c r="G2782" s="7" t="s">
        <v>1142</v>
      </c>
      <c r="H2782" s="9" t="s">
        <v>2979</v>
      </c>
      <c r="I2782" t="s">
        <v>3533</v>
      </c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 t="str">
        <f t="shared" si="1"/>
        <v>Built-up :</v>
      </c>
      <c r="AE2782" s="7" t="str">
        <f t="shared" si="2"/>
        <v> sq. ft.</v>
      </c>
      <c r="AF2782">
        <f>IFERROR(__xludf.DUMMYFUNCTION("VALUE(REGEXREPLACE(G2782,""[^[:digit:]]"", """"))"),3152.0)</f>
        <v>3152</v>
      </c>
      <c r="AG2782" s="7"/>
      <c r="AH2782" s="7"/>
      <c r="AI2782" s="7"/>
      <c r="AJ2782" s="7"/>
      <c r="AK2782" s="7"/>
      <c r="AL2782" s="7"/>
      <c r="AM2782" s="7"/>
      <c r="AN2782" s="7"/>
      <c r="AO2782" s="7"/>
      <c r="AP2782" s="7"/>
      <c r="AQ2782" s="7"/>
      <c r="AR2782" s="7"/>
      <c r="AS2782" s="7" t="s">
        <v>27</v>
      </c>
    </row>
    <row r="2783">
      <c r="A2783" s="7" t="s">
        <v>72</v>
      </c>
      <c r="B2783" s="7" t="s">
        <v>56</v>
      </c>
      <c r="C2783" s="7">
        <f t="shared" si="370"/>
        <v>5</v>
      </c>
      <c r="D2783" s="7">
        <v>5.0</v>
      </c>
      <c r="E2783" s="7">
        <v>3.0</v>
      </c>
      <c r="F2783" s="7" t="s">
        <v>30</v>
      </c>
      <c r="G2783" s="7" t="s">
        <v>1143</v>
      </c>
      <c r="H2783" s="9" t="s">
        <v>2979</v>
      </c>
      <c r="I2783" t="s">
        <v>3534</v>
      </c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 t="str">
        <f t="shared" si="1"/>
        <v>Built-up :</v>
      </c>
      <c r="AE2783" s="7" t="str">
        <f t="shared" si="2"/>
        <v> sq. ft.</v>
      </c>
      <c r="AF2783">
        <f>IFERROR(__xludf.DUMMYFUNCTION("VALUE(REGEXREPLACE(G2783,""[^[:digit:]]"", """"))"),2552.0)</f>
        <v>2552</v>
      </c>
      <c r="AG2783" s="7"/>
      <c r="AH2783" s="7"/>
      <c r="AI2783" s="7"/>
      <c r="AJ2783" s="7"/>
      <c r="AK2783" s="7"/>
      <c r="AL2783" s="7"/>
      <c r="AM2783" s="7"/>
      <c r="AN2783" s="7"/>
      <c r="AO2783" s="7"/>
      <c r="AP2783" s="7"/>
      <c r="AQ2783" s="7"/>
      <c r="AR2783" s="7"/>
      <c r="AS2783" s="7" t="s">
        <v>22</v>
      </c>
    </row>
    <row r="2784">
      <c r="A2784" s="7" t="s">
        <v>72</v>
      </c>
      <c r="B2784" s="7" t="s">
        <v>1349</v>
      </c>
      <c r="C2784" s="7">
        <f>3+1</f>
        <v>4</v>
      </c>
      <c r="D2784" s="7">
        <v>4.0</v>
      </c>
      <c r="E2784" s="7">
        <v>2.0</v>
      </c>
      <c r="F2784" s="7" t="s">
        <v>30</v>
      </c>
      <c r="G2784" s="7" t="s">
        <v>1034</v>
      </c>
      <c r="H2784" s="9" t="s">
        <v>2979</v>
      </c>
      <c r="I2784" t="s">
        <v>3468</v>
      </c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 t="str">
        <f t="shared" si="1"/>
        <v>Built-up :</v>
      </c>
      <c r="AE2784" s="7" t="str">
        <f t="shared" si="2"/>
        <v> sq. ft.</v>
      </c>
      <c r="AF2784">
        <f>IFERROR(__xludf.DUMMYFUNCTION("VALUE(REGEXREPLACE(G2784,""[^[:digit:]]"", """"))"),1448.0)</f>
        <v>1448</v>
      </c>
      <c r="AG2784" s="7"/>
      <c r="AH2784" s="7"/>
      <c r="AI2784" s="7"/>
      <c r="AJ2784" s="7"/>
      <c r="AK2784" s="7"/>
      <c r="AL2784" s="7"/>
      <c r="AM2784" s="7"/>
      <c r="AN2784" s="7"/>
      <c r="AO2784" s="7"/>
      <c r="AP2784" s="7"/>
      <c r="AQ2784" s="7"/>
      <c r="AR2784" s="7"/>
      <c r="AS2784" s="7" t="s">
        <v>22</v>
      </c>
    </row>
    <row r="2785">
      <c r="A2785" s="7" t="s">
        <v>432</v>
      </c>
      <c r="B2785" s="7" t="s">
        <v>1259</v>
      </c>
      <c r="C2785" s="7">
        <f>4+1</f>
        <v>5</v>
      </c>
      <c r="D2785" s="7">
        <v>5.0</v>
      </c>
      <c r="E2785" s="7">
        <v>3.0</v>
      </c>
      <c r="F2785" s="7" t="s">
        <v>83</v>
      </c>
      <c r="G2785" s="7" t="s">
        <v>1626</v>
      </c>
      <c r="H2785" s="9" t="s">
        <v>2979</v>
      </c>
      <c r="I2785" t="s">
        <v>3819</v>
      </c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 t="str">
        <f t="shared" si="1"/>
        <v>Built-up :</v>
      </c>
      <c r="AE2785" s="7" t="str">
        <f t="shared" si="2"/>
        <v> sq. ft.</v>
      </c>
      <c r="AF2785">
        <f>IFERROR(__xludf.DUMMYFUNCTION("VALUE(REGEXREPLACE(G2785,""[^[:digit:]]"", """"))"),3983.0)</f>
        <v>3983</v>
      </c>
      <c r="AG2785" s="7"/>
      <c r="AH2785" s="7"/>
      <c r="AI2785" s="7"/>
      <c r="AJ2785" s="7"/>
      <c r="AK2785" s="7"/>
      <c r="AL2785" s="7"/>
      <c r="AM2785" s="7"/>
      <c r="AN2785" s="7"/>
      <c r="AO2785" s="7"/>
      <c r="AP2785" s="7"/>
      <c r="AQ2785" s="7"/>
      <c r="AR2785" s="7"/>
      <c r="AS2785" s="7" t="s">
        <v>27</v>
      </c>
    </row>
    <row r="2786">
      <c r="A2786" s="7" t="s">
        <v>432</v>
      </c>
      <c r="B2786" s="7" t="s">
        <v>174</v>
      </c>
      <c r="C2786" s="7">
        <f>5</f>
        <v>5</v>
      </c>
      <c r="D2786" s="7">
        <v>6.0</v>
      </c>
      <c r="E2786" s="7">
        <v>3.0</v>
      </c>
      <c r="F2786" s="7" t="s">
        <v>83</v>
      </c>
      <c r="G2786" s="7" t="s">
        <v>1628</v>
      </c>
      <c r="H2786" s="9" t="s">
        <v>2979</v>
      </c>
      <c r="I2786" t="s">
        <v>3821</v>
      </c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 t="str">
        <f t="shared" si="1"/>
        <v>Built-up :</v>
      </c>
      <c r="AE2786" s="7" t="str">
        <f t="shared" si="2"/>
        <v> sq. ft.</v>
      </c>
      <c r="AF2786">
        <f>IFERROR(__xludf.DUMMYFUNCTION("VALUE(REGEXREPLACE(G2786,""[^[:digit:]]"", """"))"),3660.0)</f>
        <v>3660</v>
      </c>
      <c r="AG2786" s="7"/>
      <c r="AH2786" s="7"/>
      <c r="AI2786" s="7"/>
      <c r="AJ2786" s="7"/>
      <c r="AK2786" s="7"/>
      <c r="AL2786" s="7"/>
      <c r="AM2786" s="7"/>
      <c r="AN2786" s="7"/>
      <c r="AO2786" s="7"/>
      <c r="AP2786" s="7"/>
      <c r="AQ2786" s="7"/>
      <c r="AR2786" s="7"/>
      <c r="AS2786" s="7" t="s">
        <v>22</v>
      </c>
    </row>
    <row r="2787">
      <c r="A2787" s="7" t="s">
        <v>72</v>
      </c>
      <c r="B2787" s="7" t="s">
        <v>175</v>
      </c>
      <c r="C2787" s="7">
        <f>4+1</f>
        <v>5</v>
      </c>
      <c r="D2787" s="7">
        <v>6.0</v>
      </c>
      <c r="E2787" s="7">
        <v>2.0</v>
      </c>
      <c r="F2787" s="7" t="s">
        <v>30</v>
      </c>
      <c r="G2787" s="7" t="s">
        <v>989</v>
      </c>
      <c r="H2787" s="9" t="s">
        <v>2979</v>
      </c>
      <c r="I2787" t="s">
        <v>3438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 t="str">
        <f t="shared" si="1"/>
        <v>Built-up :</v>
      </c>
      <c r="AE2787" s="7" t="str">
        <f t="shared" si="2"/>
        <v> sq. ft.</v>
      </c>
      <c r="AF2787">
        <f>IFERROR(__xludf.DUMMYFUNCTION("VALUE(REGEXREPLACE(G2787,""[^[:digit:]]"", """"))"),3729.0)</f>
        <v>3729</v>
      </c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7"/>
      <c r="AR2787" s="7"/>
      <c r="AS2787" s="7" t="s">
        <v>27</v>
      </c>
    </row>
    <row r="2788">
      <c r="A2788" s="7" t="s">
        <v>89</v>
      </c>
      <c r="B2788" s="7" t="s">
        <v>279</v>
      </c>
      <c r="C2788" s="7">
        <f>5</f>
        <v>5</v>
      </c>
      <c r="D2788" s="7">
        <v>6.0</v>
      </c>
      <c r="E2788" s="9">
        <v>2.0</v>
      </c>
      <c r="F2788" s="7" t="s">
        <v>90</v>
      </c>
      <c r="G2788" s="7" t="s">
        <v>344</v>
      </c>
      <c r="H2788" s="9" t="s">
        <v>2981</v>
      </c>
      <c r="I2788" t="s">
        <v>3118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 t="s">
        <v>2993</v>
      </c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 t="str">
        <f t="shared" si="1"/>
        <v>Land area </v>
      </c>
      <c r="AE2788" s="7" t="str">
        <f t="shared" si="2"/>
        <v> sq. ft.</v>
      </c>
      <c r="AF2788">
        <f>IFERROR(__xludf.DUMMYFUNCTION("VALUE(REGEXREPLACE(G2788,""[^[:digit:]]"", """"))"),2480.0)</f>
        <v>2480</v>
      </c>
      <c r="AG2788" s="7"/>
      <c r="AH2788" s="7"/>
      <c r="AI2788" s="7"/>
      <c r="AJ2788" s="7"/>
      <c r="AK2788" s="7"/>
      <c r="AL2788" s="7"/>
      <c r="AM2788" s="7"/>
      <c r="AN2788" s="7"/>
      <c r="AO2788" s="7"/>
      <c r="AP2788" s="7"/>
      <c r="AQ2788" s="7"/>
      <c r="AR2788" s="7"/>
      <c r="AS2788" s="7" t="s">
        <v>27</v>
      </c>
    </row>
    <row r="2789">
      <c r="A2789" s="7" t="s">
        <v>432</v>
      </c>
      <c r="B2789" s="7" t="s">
        <v>1032</v>
      </c>
      <c r="C2789" s="7">
        <f>4+1</f>
        <v>5</v>
      </c>
      <c r="D2789" s="7">
        <v>6.0</v>
      </c>
      <c r="E2789" s="7">
        <v>3.0</v>
      </c>
      <c r="F2789" s="7" t="s">
        <v>83</v>
      </c>
      <c r="G2789" s="7" t="s">
        <v>1626</v>
      </c>
      <c r="H2789" s="9" t="s">
        <v>2979</v>
      </c>
      <c r="I2789" t="s">
        <v>3819</v>
      </c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 t="str">
        <f t="shared" si="1"/>
        <v>Built-up :</v>
      </c>
      <c r="AE2789" s="7" t="str">
        <f t="shared" si="2"/>
        <v> sq. ft.</v>
      </c>
      <c r="AF2789">
        <f>IFERROR(__xludf.DUMMYFUNCTION("VALUE(REGEXREPLACE(G2789,""[^[:digit:]]"", """"))"),3983.0)</f>
        <v>3983</v>
      </c>
      <c r="AG2789" s="7"/>
      <c r="AH2789" s="7"/>
      <c r="AI2789" s="7"/>
      <c r="AJ2789" s="7"/>
      <c r="AK2789" s="7"/>
      <c r="AL2789" s="7"/>
      <c r="AM2789" s="7"/>
      <c r="AN2789" s="7"/>
      <c r="AO2789" s="7"/>
      <c r="AP2789" s="7"/>
      <c r="AQ2789" s="7"/>
      <c r="AR2789" s="7"/>
      <c r="AS2789" s="7" t="s">
        <v>22</v>
      </c>
    </row>
    <row r="2790">
      <c r="A2790" s="7" t="s">
        <v>89</v>
      </c>
      <c r="B2790" s="7" t="s">
        <v>134</v>
      </c>
      <c r="C2790" s="7">
        <f>5</f>
        <v>5</v>
      </c>
      <c r="D2790" s="7">
        <v>4.0</v>
      </c>
      <c r="E2790" s="9">
        <v>2.0</v>
      </c>
      <c r="F2790" s="7" t="s">
        <v>90</v>
      </c>
      <c r="G2790" s="7" t="s">
        <v>2032</v>
      </c>
      <c r="H2790" s="9" t="s">
        <v>2979</v>
      </c>
      <c r="I2790" t="s">
        <v>4068</v>
      </c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 t="str">
        <f t="shared" si="1"/>
        <v>Built-up :</v>
      </c>
      <c r="AE2790" s="7" t="str">
        <f t="shared" si="2"/>
        <v> sq. ft.</v>
      </c>
      <c r="AF2790">
        <f>IFERROR(__xludf.DUMMYFUNCTION("VALUE(REGEXREPLACE(G2790,""[^[:digit:]]"", """"))"),6300.0)</f>
        <v>6300</v>
      </c>
      <c r="AG2790" s="7"/>
      <c r="AH2790" s="7"/>
      <c r="AI2790" s="7"/>
      <c r="AJ2790" s="7"/>
      <c r="AK2790" s="7"/>
      <c r="AL2790" s="7"/>
      <c r="AM2790" s="7"/>
      <c r="AN2790" s="7"/>
      <c r="AO2790" s="7"/>
      <c r="AP2790" s="7"/>
      <c r="AQ2790" s="7"/>
      <c r="AR2790" s="7"/>
      <c r="AS2790" s="7" t="s">
        <v>103</v>
      </c>
    </row>
    <row r="2791">
      <c r="A2791" s="7" t="s">
        <v>89</v>
      </c>
      <c r="B2791" s="7" t="s">
        <v>132</v>
      </c>
      <c r="C2791" s="7">
        <f>4+1</f>
        <v>5</v>
      </c>
      <c r="D2791" s="7">
        <v>4.0</v>
      </c>
      <c r="E2791" s="9">
        <v>2.0</v>
      </c>
      <c r="F2791" s="7" t="s">
        <v>90</v>
      </c>
      <c r="G2791" s="7" t="s">
        <v>91</v>
      </c>
      <c r="H2791" s="9" t="s">
        <v>2981</v>
      </c>
      <c r="I2791" t="s">
        <v>3003</v>
      </c>
      <c r="J2791" s="7"/>
      <c r="K2791" s="7"/>
      <c r="L2791" s="7"/>
      <c r="M2791" s="7"/>
      <c r="N2791" s="7"/>
      <c r="O2791" s="7"/>
      <c r="P2791" s="7"/>
      <c r="Q2791" s="7"/>
      <c r="R2791" s="7"/>
      <c r="S2791" s="7" t="s">
        <v>2990</v>
      </c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 t="str">
        <f t="shared" si="1"/>
        <v>Land area </v>
      </c>
      <c r="AE2791" s="7" t="str">
        <f t="shared" si="2"/>
        <v> sq. ft.</v>
      </c>
      <c r="AF2791">
        <f>IFERROR(__xludf.DUMMYFUNCTION("VALUE(REGEXREPLACE(G2791,""[^[:digit:]]"", """"))"),2075.0)</f>
        <v>2075</v>
      </c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7"/>
      <c r="AR2791" s="7"/>
      <c r="AS2791" s="7" t="s">
        <v>22</v>
      </c>
    </row>
    <row r="2792">
      <c r="A2792" s="7" t="s">
        <v>28</v>
      </c>
      <c r="B2792" s="7" t="s">
        <v>759</v>
      </c>
      <c r="C2792" s="7">
        <f t="shared" ref="C2792:C2793" si="371">3</f>
        <v>3</v>
      </c>
      <c r="D2792" s="7">
        <v>2.0</v>
      </c>
      <c r="E2792" s="9">
        <v>2.0</v>
      </c>
      <c r="F2792" s="7" t="s">
        <v>83</v>
      </c>
      <c r="G2792" s="7" t="s">
        <v>734</v>
      </c>
      <c r="H2792" s="9" t="s">
        <v>2979</v>
      </c>
      <c r="I2792" t="s">
        <v>3308</v>
      </c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 t="str">
        <f t="shared" si="1"/>
        <v>Built-up :</v>
      </c>
      <c r="AE2792" s="7" t="str">
        <f t="shared" si="2"/>
        <v> sq. ft.</v>
      </c>
      <c r="AF2792">
        <f>IFERROR(__xludf.DUMMYFUNCTION("VALUE(REGEXREPLACE(G2792,""[^[:digit:]]"", """"))"),1100.0)</f>
        <v>1100</v>
      </c>
      <c r="AG2792" s="7"/>
      <c r="AH2792" s="7"/>
      <c r="AI2792" s="7"/>
      <c r="AJ2792" s="7"/>
      <c r="AK2792" s="7"/>
      <c r="AL2792" s="7"/>
      <c r="AM2792" s="7"/>
      <c r="AN2792" s="7"/>
      <c r="AO2792" s="7"/>
      <c r="AP2792" s="7"/>
      <c r="AQ2792" s="7"/>
      <c r="AR2792" s="7"/>
      <c r="AS2792" s="7" t="s">
        <v>27</v>
      </c>
    </row>
    <row r="2793">
      <c r="A2793" s="7" t="s">
        <v>28</v>
      </c>
      <c r="B2793" s="7" t="s">
        <v>1968</v>
      </c>
      <c r="C2793" s="7">
        <f t="shared" si="371"/>
        <v>3</v>
      </c>
      <c r="D2793" s="7">
        <v>2.0</v>
      </c>
      <c r="E2793" s="9">
        <v>2.0</v>
      </c>
      <c r="F2793" s="7" t="s">
        <v>93</v>
      </c>
      <c r="G2793" s="7" t="s">
        <v>734</v>
      </c>
      <c r="H2793" s="9" t="s">
        <v>2979</v>
      </c>
      <c r="I2793" t="s">
        <v>3308</v>
      </c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 t="str">
        <f t="shared" si="1"/>
        <v>Built-up :</v>
      </c>
      <c r="AE2793" s="7" t="str">
        <f t="shared" si="2"/>
        <v> sq. ft.</v>
      </c>
      <c r="AF2793">
        <f>IFERROR(__xludf.DUMMYFUNCTION("VALUE(REGEXREPLACE(G2793,""[^[:digit:]]"", """"))"),1100.0)</f>
        <v>1100</v>
      </c>
      <c r="AG2793" s="7"/>
      <c r="AH2793" s="7"/>
      <c r="AI2793" s="7"/>
      <c r="AJ2793" s="7"/>
      <c r="AK2793" s="7"/>
      <c r="AL2793" s="7"/>
      <c r="AM2793" s="7"/>
      <c r="AN2793" s="7"/>
      <c r="AO2793" s="7"/>
      <c r="AP2793" s="7"/>
      <c r="AQ2793" s="7"/>
      <c r="AR2793" s="7"/>
      <c r="AS2793" s="7" t="s">
        <v>27</v>
      </c>
    </row>
    <row r="2794">
      <c r="A2794" s="7" t="s">
        <v>692</v>
      </c>
      <c r="B2794" s="7" t="s">
        <v>144</v>
      </c>
      <c r="C2794" s="7">
        <f t="shared" ref="C2794:C2796" si="372">4+1</f>
        <v>5</v>
      </c>
      <c r="D2794" s="7">
        <v>5.0</v>
      </c>
      <c r="E2794" s="7">
        <v>2.0</v>
      </c>
      <c r="F2794" s="7" t="s">
        <v>681</v>
      </c>
      <c r="G2794" s="7" t="s">
        <v>283</v>
      </c>
      <c r="H2794" s="9" t="s">
        <v>2981</v>
      </c>
      <c r="I2794" t="s">
        <v>3091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 t="s">
        <v>2990</v>
      </c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 t="str">
        <f t="shared" si="1"/>
        <v>Land area </v>
      </c>
      <c r="AE2794" s="7" t="str">
        <f t="shared" si="2"/>
        <v> sq. ft.</v>
      </c>
      <c r="AF2794">
        <f>IFERROR(__xludf.DUMMYFUNCTION("VALUE(REGEXREPLACE(G2794,""[^[:digit:]]"", """"))"),2275.0)</f>
        <v>2275</v>
      </c>
      <c r="AG2794" s="7"/>
      <c r="AH2794" s="7"/>
      <c r="AI2794" s="7"/>
      <c r="AJ2794" s="7"/>
      <c r="AK2794" s="7"/>
      <c r="AL2794" s="7"/>
      <c r="AM2794" s="7"/>
      <c r="AN2794" s="7"/>
      <c r="AO2794" s="7"/>
      <c r="AP2794" s="7"/>
      <c r="AQ2794" s="7"/>
      <c r="AR2794" s="7"/>
      <c r="AS2794" s="7" t="s">
        <v>22</v>
      </c>
    </row>
    <row r="2795">
      <c r="A2795" s="7" t="s">
        <v>692</v>
      </c>
      <c r="B2795" s="7" t="s">
        <v>144</v>
      </c>
      <c r="C2795" s="7">
        <f t="shared" si="372"/>
        <v>5</v>
      </c>
      <c r="D2795" s="7">
        <v>5.0</v>
      </c>
      <c r="E2795" s="9">
        <v>2.0</v>
      </c>
      <c r="F2795" s="7" t="s">
        <v>169</v>
      </c>
      <c r="G2795" s="7" t="s">
        <v>283</v>
      </c>
      <c r="H2795" s="9" t="s">
        <v>2981</v>
      </c>
      <c r="I2795" t="s">
        <v>3091</v>
      </c>
      <c r="J2795" s="7"/>
      <c r="K2795" s="7"/>
      <c r="L2795" s="7"/>
      <c r="M2795" s="7"/>
      <c r="N2795" s="7"/>
      <c r="O2795" s="7"/>
      <c r="P2795" s="7"/>
      <c r="Q2795" s="7"/>
      <c r="R2795" s="7"/>
      <c r="S2795" s="7" t="s">
        <v>2990</v>
      </c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 t="str">
        <f t="shared" si="1"/>
        <v>Land area </v>
      </c>
      <c r="AE2795" s="7" t="str">
        <f t="shared" si="2"/>
        <v> sq. ft.</v>
      </c>
      <c r="AF2795">
        <f>IFERROR(__xludf.DUMMYFUNCTION("VALUE(REGEXREPLACE(G2795,""[^[:digit:]]"", """"))"),2275.0)</f>
        <v>2275</v>
      </c>
      <c r="AG2795" s="7"/>
      <c r="AH2795" s="7"/>
      <c r="AI2795" s="7"/>
      <c r="AJ2795" s="7"/>
      <c r="AK2795" s="7"/>
      <c r="AL2795" s="7"/>
      <c r="AM2795" s="7"/>
      <c r="AN2795" s="7"/>
      <c r="AO2795" s="7"/>
      <c r="AP2795" s="7"/>
      <c r="AQ2795" s="7"/>
      <c r="AR2795" s="7"/>
      <c r="AS2795" s="7" t="s">
        <v>22</v>
      </c>
    </row>
    <row r="2796">
      <c r="A2796" s="7" t="s">
        <v>692</v>
      </c>
      <c r="B2796" s="7" t="s">
        <v>144</v>
      </c>
      <c r="C2796" s="7">
        <f t="shared" si="372"/>
        <v>5</v>
      </c>
      <c r="D2796" s="7">
        <v>4.0</v>
      </c>
      <c r="E2796" s="9">
        <v>2.0</v>
      </c>
      <c r="F2796" s="7" t="s">
        <v>681</v>
      </c>
      <c r="G2796" s="7" t="s">
        <v>283</v>
      </c>
      <c r="H2796" s="9" t="s">
        <v>2981</v>
      </c>
      <c r="I2796" t="s">
        <v>3091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 t="s">
        <v>2990</v>
      </c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 t="str">
        <f t="shared" si="1"/>
        <v>Land area </v>
      </c>
      <c r="AE2796" s="7" t="str">
        <f t="shared" si="2"/>
        <v> sq. ft.</v>
      </c>
      <c r="AF2796">
        <f>IFERROR(__xludf.DUMMYFUNCTION("VALUE(REGEXREPLACE(G2796,""[^[:digit:]]"", """"))"),2275.0)</f>
        <v>2275</v>
      </c>
      <c r="AG2796" s="7"/>
      <c r="AH2796" s="7"/>
      <c r="AI2796" s="7"/>
      <c r="AJ2796" s="7"/>
      <c r="AK2796" s="7"/>
      <c r="AL2796" s="7"/>
      <c r="AM2796" s="7"/>
      <c r="AN2796" s="7"/>
      <c r="AO2796" s="7"/>
      <c r="AP2796" s="7"/>
      <c r="AQ2796" s="7"/>
      <c r="AR2796" s="7"/>
      <c r="AS2796" s="7" t="s">
        <v>22</v>
      </c>
    </row>
    <row r="2797">
      <c r="A2797" s="7" t="s">
        <v>89</v>
      </c>
      <c r="B2797" s="7" t="s">
        <v>2033</v>
      </c>
      <c r="C2797" s="7">
        <f>3+1</f>
        <v>4</v>
      </c>
      <c r="D2797" s="7">
        <v>2.0</v>
      </c>
      <c r="E2797" s="7">
        <v>1.0</v>
      </c>
      <c r="F2797" s="7" t="s">
        <v>30</v>
      </c>
      <c r="G2797" s="7" t="s">
        <v>2034</v>
      </c>
      <c r="H2797" s="9" t="s">
        <v>2979</v>
      </c>
      <c r="I2797" t="s">
        <v>4069</v>
      </c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 t="str">
        <f t="shared" si="1"/>
        <v>Built-up :</v>
      </c>
      <c r="AE2797" s="7" t="str">
        <f t="shared" si="2"/>
        <v> sq. ft.</v>
      </c>
      <c r="AF2797">
        <f>IFERROR(__xludf.DUMMYFUNCTION("VALUE(REGEXREPLACE(G2797,""[^[:digit:]]"", """"))"),1109.0)</f>
        <v>1109</v>
      </c>
      <c r="AG2797" s="7"/>
      <c r="AH2797" s="7"/>
      <c r="AI2797" s="7"/>
      <c r="AJ2797" s="7"/>
      <c r="AK2797" s="7"/>
      <c r="AL2797" s="7"/>
      <c r="AM2797" s="7"/>
      <c r="AN2797" s="7"/>
      <c r="AO2797" s="7"/>
      <c r="AP2797" s="7"/>
      <c r="AQ2797" s="7"/>
      <c r="AR2797" s="7"/>
    </row>
    <row r="2798">
      <c r="A2798" s="7" t="s">
        <v>1014</v>
      </c>
      <c r="B2798" s="7" t="s">
        <v>761</v>
      </c>
      <c r="C2798" s="7">
        <f>3</f>
        <v>3</v>
      </c>
      <c r="D2798" s="7">
        <v>2.0</v>
      </c>
      <c r="E2798" s="7">
        <v>1.0</v>
      </c>
      <c r="F2798" s="7" t="s">
        <v>93</v>
      </c>
      <c r="G2798" s="7" t="s">
        <v>2035</v>
      </c>
      <c r="H2798" s="9" t="s">
        <v>2979</v>
      </c>
      <c r="I2798" t="s">
        <v>4070</v>
      </c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 t="str">
        <f t="shared" si="1"/>
        <v>Built-up :</v>
      </c>
      <c r="AE2798" s="7" t="str">
        <f t="shared" si="2"/>
        <v> sq. ft.</v>
      </c>
      <c r="AF2798">
        <f>IFERROR(__xludf.DUMMYFUNCTION("VALUE(REGEXREPLACE(G2798,""[^[:digit:]]"", """"))"),1215.0)</f>
        <v>1215</v>
      </c>
      <c r="AG2798" s="7"/>
      <c r="AH2798" s="7"/>
      <c r="AI2798" s="7"/>
      <c r="AJ2798" s="7"/>
      <c r="AK2798" s="7"/>
      <c r="AL2798" s="7"/>
      <c r="AM2798" s="7"/>
      <c r="AN2798" s="7"/>
      <c r="AO2798" s="7"/>
      <c r="AP2798" s="7"/>
      <c r="AQ2798" s="7"/>
      <c r="AR2798" s="7"/>
      <c r="AS2798" s="7" t="s">
        <v>27</v>
      </c>
    </row>
    <row r="2799">
      <c r="A2799" s="7" t="s">
        <v>72</v>
      </c>
      <c r="B2799" s="7" t="s">
        <v>1349</v>
      </c>
      <c r="C2799" s="7">
        <f t="shared" ref="C2799:C2800" si="373">3+1</f>
        <v>4</v>
      </c>
      <c r="D2799" s="7">
        <v>5.0</v>
      </c>
      <c r="E2799" s="9">
        <v>2.0</v>
      </c>
      <c r="F2799" s="7" t="s">
        <v>83</v>
      </c>
      <c r="G2799" s="7" t="s">
        <v>1175</v>
      </c>
      <c r="H2799" s="9" t="s">
        <v>2979</v>
      </c>
      <c r="I2799" t="s">
        <v>3560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 t="str">
        <f t="shared" si="1"/>
        <v>Built-up :</v>
      </c>
      <c r="AE2799" s="7" t="str">
        <f t="shared" si="2"/>
        <v> sq. ft.</v>
      </c>
      <c r="AF2799">
        <f>IFERROR(__xludf.DUMMYFUNCTION("VALUE(REGEXREPLACE(G2799,""[^[:digit:]]"", """"))"),1756.0)</f>
        <v>1756</v>
      </c>
      <c r="AG2799" s="7"/>
      <c r="AH2799" s="7"/>
      <c r="AI2799" s="7"/>
      <c r="AJ2799" s="7"/>
      <c r="AK2799" s="7"/>
      <c r="AL2799" s="7"/>
      <c r="AM2799" s="7"/>
      <c r="AN2799" s="7"/>
      <c r="AO2799" s="7"/>
      <c r="AP2799" s="7"/>
      <c r="AQ2799" s="7"/>
      <c r="AR2799" s="7"/>
      <c r="AS2799" s="7" t="s">
        <v>22</v>
      </c>
    </row>
    <row r="2800">
      <c r="A2800" s="7" t="s">
        <v>358</v>
      </c>
      <c r="B2800" s="7" t="s">
        <v>18</v>
      </c>
      <c r="C2800" s="7">
        <f t="shared" si="373"/>
        <v>4</v>
      </c>
      <c r="D2800" s="7">
        <v>3.0</v>
      </c>
      <c r="E2800" s="7">
        <v>2.0</v>
      </c>
      <c r="F2800" s="7" t="s">
        <v>30</v>
      </c>
      <c r="G2800" s="7" t="s">
        <v>2036</v>
      </c>
      <c r="H2800" s="9" t="s">
        <v>2979</v>
      </c>
      <c r="I2800" t="s">
        <v>4071</v>
      </c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 t="str">
        <f t="shared" si="1"/>
        <v>Built-up :</v>
      </c>
      <c r="AE2800" s="7" t="str">
        <f t="shared" si="2"/>
        <v> sq. ft.</v>
      </c>
      <c r="AF2800">
        <f>IFERROR(__xludf.DUMMYFUNCTION("VALUE(REGEXREPLACE(G2800,""[^[:digit:]]"", """"))"),1856.0)</f>
        <v>1856</v>
      </c>
      <c r="AG2800" s="7"/>
      <c r="AH2800" s="7"/>
      <c r="AI2800" s="7"/>
      <c r="AJ2800" s="7"/>
      <c r="AK2800" s="7"/>
      <c r="AL2800" s="7"/>
      <c r="AM2800" s="7"/>
      <c r="AN2800" s="7"/>
      <c r="AO2800" s="7"/>
      <c r="AP2800" s="7"/>
      <c r="AQ2800" s="7"/>
      <c r="AR2800" s="7"/>
      <c r="AS2800" s="7" t="s">
        <v>27</v>
      </c>
    </row>
    <row r="2801">
      <c r="A2801" s="7" t="s">
        <v>109</v>
      </c>
      <c r="B2801" s="7" t="s">
        <v>890</v>
      </c>
      <c r="C2801" s="7">
        <f>3</f>
        <v>3</v>
      </c>
      <c r="D2801" s="7">
        <v>2.0</v>
      </c>
      <c r="E2801" s="7">
        <v>1.0</v>
      </c>
      <c r="F2801" s="7" t="s">
        <v>93</v>
      </c>
      <c r="G2801" s="7" t="s">
        <v>157</v>
      </c>
      <c r="H2801" s="9" t="s">
        <v>2979</v>
      </c>
      <c r="I2801" t="s">
        <v>3031</v>
      </c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 t="str">
        <f t="shared" si="1"/>
        <v>Built-up :</v>
      </c>
      <c r="AE2801" s="7" t="str">
        <f t="shared" si="2"/>
        <v> sq. ft.</v>
      </c>
      <c r="AF2801">
        <f>IFERROR(__xludf.DUMMYFUNCTION("VALUE(REGEXREPLACE(G2801,""[^[:digit:]]"", """"))"),1050.0)</f>
        <v>1050</v>
      </c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7"/>
      <c r="AR2801" s="7"/>
      <c r="AS2801" s="7" t="s">
        <v>22</v>
      </c>
    </row>
    <row r="2802">
      <c r="A2802" s="7" t="s">
        <v>104</v>
      </c>
      <c r="B2802" s="7" t="s">
        <v>353</v>
      </c>
      <c r="C2802" s="7">
        <f>2</f>
        <v>2</v>
      </c>
      <c r="D2802" s="7">
        <v>2.0</v>
      </c>
      <c r="E2802" s="7">
        <v>2.0</v>
      </c>
      <c r="F2802" s="7" t="s">
        <v>54</v>
      </c>
      <c r="G2802" s="7" t="s">
        <v>2037</v>
      </c>
      <c r="H2802" s="9" t="s">
        <v>2981</v>
      </c>
      <c r="I2802" t="s">
        <v>3049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 t="s">
        <v>4072</v>
      </c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 t="str">
        <f t="shared" si="1"/>
        <v>Land area </v>
      </c>
      <c r="AE2802" s="7" t="str">
        <f t="shared" si="2"/>
        <v> sq. ft.</v>
      </c>
      <c r="AF2802">
        <f>IFERROR(__xludf.DUMMYFUNCTION("VALUE(REGEXREPLACE(G2802,""[^[:digit:]]"", """"))"),1450.0)</f>
        <v>1450</v>
      </c>
      <c r="AG2802" s="7"/>
      <c r="AH2802" s="7"/>
      <c r="AI2802" s="7"/>
      <c r="AJ2802" s="7"/>
      <c r="AK2802" s="7"/>
      <c r="AL2802" s="7"/>
      <c r="AM2802" s="7"/>
      <c r="AN2802" s="7"/>
      <c r="AO2802" s="7"/>
      <c r="AP2802" s="7"/>
      <c r="AQ2802" s="7"/>
      <c r="AR2802" s="7"/>
      <c r="AS2802" s="7" t="s">
        <v>27</v>
      </c>
    </row>
    <row r="2803">
      <c r="A2803" s="7" t="s">
        <v>17</v>
      </c>
      <c r="B2803" s="7" t="s">
        <v>18</v>
      </c>
      <c r="C2803" s="7">
        <f>1</f>
        <v>1</v>
      </c>
      <c r="D2803" s="7">
        <v>1.0</v>
      </c>
      <c r="E2803" s="7">
        <v>1.0</v>
      </c>
      <c r="F2803" s="7" t="s">
        <v>82</v>
      </c>
      <c r="G2803" s="7" t="s">
        <v>328</v>
      </c>
      <c r="H2803" s="9" t="s">
        <v>2979</v>
      </c>
      <c r="I2803" t="s">
        <v>3110</v>
      </c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 t="str">
        <f t="shared" si="1"/>
        <v>Built-up :</v>
      </c>
      <c r="AE2803" s="7" t="str">
        <f t="shared" si="2"/>
        <v> sq. ft.</v>
      </c>
      <c r="AF2803">
        <f>IFERROR(__xludf.DUMMYFUNCTION("VALUE(REGEXREPLACE(G2803,""[^[:digit:]]"", """"))"),925.0)</f>
        <v>925</v>
      </c>
      <c r="AG2803" s="7"/>
      <c r="AH2803" s="7"/>
      <c r="AI2803" s="7"/>
      <c r="AJ2803" s="7"/>
      <c r="AK2803" s="7"/>
      <c r="AL2803" s="7"/>
      <c r="AM2803" s="7"/>
      <c r="AN2803" s="7"/>
      <c r="AO2803" s="7"/>
      <c r="AP2803" s="7"/>
      <c r="AQ2803" s="7"/>
      <c r="AR2803" s="7"/>
      <c r="AS2803" s="7" t="s">
        <v>22</v>
      </c>
    </row>
    <row r="2804">
      <c r="A2804" s="7" t="s">
        <v>48</v>
      </c>
      <c r="B2804" s="7" t="s">
        <v>134</v>
      </c>
      <c r="C2804" s="7">
        <f>4</f>
        <v>4</v>
      </c>
      <c r="D2804" s="7">
        <v>3.0</v>
      </c>
      <c r="E2804" s="9">
        <v>2.0</v>
      </c>
      <c r="F2804" s="7" t="s">
        <v>54</v>
      </c>
      <c r="G2804" s="7" t="s">
        <v>911</v>
      </c>
      <c r="H2804" s="9" t="s">
        <v>2981</v>
      </c>
      <c r="I2804" t="s">
        <v>3300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 t="s">
        <v>3382</v>
      </c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 t="str">
        <f t="shared" si="1"/>
        <v>Land area </v>
      </c>
      <c r="AE2804" s="7" t="str">
        <f t="shared" si="2"/>
        <v> sq. ft.</v>
      </c>
      <c r="AF2804">
        <f>IFERROR(__xludf.DUMMYFUNCTION("VALUE(REGEXREPLACE(G2804,""[^[:digit:]]"", """"))"),22100.0)</f>
        <v>22100</v>
      </c>
      <c r="AG2804" s="7"/>
      <c r="AH2804" s="7"/>
      <c r="AI2804" s="7"/>
      <c r="AJ2804" s="7"/>
      <c r="AK2804" s="7"/>
      <c r="AL2804" s="7"/>
      <c r="AM2804" s="7"/>
      <c r="AN2804" s="7"/>
      <c r="AO2804" s="7"/>
      <c r="AP2804" s="7"/>
      <c r="AQ2804" s="7"/>
      <c r="AR2804" s="7"/>
      <c r="AS2804" s="7" t="s">
        <v>22</v>
      </c>
    </row>
    <row r="2805">
      <c r="A2805" s="7" t="s">
        <v>72</v>
      </c>
      <c r="B2805" s="7" t="s">
        <v>2038</v>
      </c>
      <c r="C2805" s="7">
        <f t="shared" ref="C2805:C2807" si="374">3+1</f>
        <v>4</v>
      </c>
      <c r="D2805" s="7">
        <v>4.0</v>
      </c>
      <c r="E2805" s="9">
        <v>2.0</v>
      </c>
      <c r="F2805" s="7" t="s">
        <v>93</v>
      </c>
      <c r="G2805" s="7" t="s">
        <v>555</v>
      </c>
      <c r="H2805" s="9" t="s">
        <v>2979</v>
      </c>
      <c r="I2805" t="s">
        <v>3222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 t="str">
        <f t="shared" si="1"/>
        <v>Built-up :</v>
      </c>
      <c r="AE2805" s="7" t="str">
        <f t="shared" si="2"/>
        <v> sq. ft.</v>
      </c>
      <c r="AF2805">
        <f>IFERROR(__xludf.DUMMYFUNCTION("VALUE(REGEXREPLACE(G2805,""[^[:digit:]]"", """"))"),2648.0)</f>
        <v>2648</v>
      </c>
      <c r="AG2805" s="7"/>
      <c r="AH2805" s="7"/>
      <c r="AI2805" s="7"/>
      <c r="AJ2805" s="7"/>
      <c r="AK2805" s="7"/>
      <c r="AL2805" s="7"/>
      <c r="AM2805" s="7"/>
      <c r="AN2805" s="7"/>
      <c r="AO2805" s="7"/>
      <c r="AP2805" s="7"/>
      <c r="AQ2805" s="7"/>
      <c r="AR2805" s="7"/>
      <c r="AS2805" s="7" t="s">
        <v>22</v>
      </c>
    </row>
    <row r="2806">
      <c r="A2806" s="7" t="s">
        <v>72</v>
      </c>
      <c r="B2806" s="7" t="s">
        <v>620</v>
      </c>
      <c r="C2806" s="7">
        <f t="shared" si="374"/>
        <v>4</v>
      </c>
      <c r="D2806" s="7">
        <v>3.0</v>
      </c>
      <c r="E2806" s="7">
        <v>1.0</v>
      </c>
      <c r="F2806" s="7" t="s">
        <v>20</v>
      </c>
      <c r="G2806" s="7" t="s">
        <v>2039</v>
      </c>
      <c r="H2806" s="9" t="s">
        <v>2979</v>
      </c>
      <c r="I2806" t="s">
        <v>4073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 t="str">
        <f t="shared" si="1"/>
        <v>Built-up :</v>
      </c>
      <c r="AE2806" s="7" t="str">
        <f t="shared" si="2"/>
        <v> sq. ft.</v>
      </c>
      <c r="AF2806">
        <f>IFERROR(__xludf.DUMMYFUNCTION("VALUE(REGEXREPLACE(G2806,""[^[:digit:]]"", """"))"),1428.0)</f>
        <v>1428</v>
      </c>
      <c r="AG2806" s="7"/>
      <c r="AH2806" s="7"/>
      <c r="AI2806" s="7"/>
      <c r="AJ2806" s="7"/>
      <c r="AK2806" s="7"/>
      <c r="AL2806" s="7"/>
      <c r="AM2806" s="7"/>
      <c r="AN2806" s="7"/>
      <c r="AO2806" s="7"/>
      <c r="AP2806" s="7"/>
      <c r="AQ2806" s="7"/>
      <c r="AR2806" s="7"/>
    </row>
    <row r="2807">
      <c r="A2807" s="7" t="s">
        <v>72</v>
      </c>
      <c r="B2807" s="7" t="s">
        <v>489</v>
      </c>
      <c r="C2807" s="7">
        <f t="shared" si="374"/>
        <v>4</v>
      </c>
      <c r="D2807" s="7">
        <v>3.0</v>
      </c>
      <c r="E2807" s="7">
        <v>2.0</v>
      </c>
      <c r="F2807" s="7" t="s">
        <v>83</v>
      </c>
      <c r="G2807" s="7" t="s">
        <v>99</v>
      </c>
      <c r="H2807" s="9" t="s">
        <v>2979</v>
      </c>
      <c r="I2807" t="s">
        <v>3006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 t="str">
        <f t="shared" si="1"/>
        <v>Built-up :</v>
      </c>
      <c r="AE2807" s="7" t="str">
        <f t="shared" si="2"/>
        <v> sq. ft.</v>
      </c>
      <c r="AF2807">
        <f>IFERROR(__xludf.DUMMYFUNCTION("VALUE(REGEXREPLACE(G2807,""[^[:digit:]]"", """"))"),1668.0)</f>
        <v>1668</v>
      </c>
      <c r="AG2807" s="7"/>
      <c r="AH2807" s="7"/>
      <c r="AI2807" s="7"/>
      <c r="AJ2807" s="7"/>
      <c r="AK2807" s="7"/>
      <c r="AL2807" s="7"/>
      <c r="AM2807" s="7"/>
      <c r="AN2807" s="7"/>
      <c r="AO2807" s="7"/>
      <c r="AP2807" s="7"/>
      <c r="AQ2807" s="7"/>
      <c r="AR2807" s="7"/>
    </row>
    <row r="2808">
      <c r="A2808" s="7" t="s">
        <v>72</v>
      </c>
      <c r="B2808" s="7" t="s">
        <v>110</v>
      </c>
      <c r="C2808" s="7">
        <f>4+1</f>
        <v>5</v>
      </c>
      <c r="D2808" s="7">
        <v>6.0</v>
      </c>
      <c r="E2808" s="7">
        <v>3.0</v>
      </c>
      <c r="F2808" s="7" t="s">
        <v>30</v>
      </c>
      <c r="G2808" s="7" t="s">
        <v>431</v>
      </c>
      <c r="H2808" s="9" t="s">
        <v>2979</v>
      </c>
      <c r="I2808" t="s">
        <v>3159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 t="str">
        <f t="shared" si="1"/>
        <v>Built-up :</v>
      </c>
      <c r="AE2808" s="7" t="str">
        <f t="shared" si="2"/>
        <v> sq. ft.</v>
      </c>
      <c r="AF2808">
        <f>IFERROR(__xludf.DUMMYFUNCTION("VALUE(REGEXREPLACE(G2808,""[^[:digit:]]"", """"))"),2906.0)</f>
        <v>2906</v>
      </c>
      <c r="AG2808" s="7"/>
      <c r="AH2808" s="7"/>
      <c r="AI2808" s="7"/>
      <c r="AJ2808" s="7"/>
      <c r="AK2808" s="7"/>
      <c r="AL2808" s="7"/>
      <c r="AM2808" s="7"/>
      <c r="AN2808" s="7"/>
      <c r="AO2808" s="7"/>
      <c r="AP2808" s="7"/>
      <c r="AQ2808" s="7"/>
      <c r="AR2808" s="7"/>
      <c r="AS2808" s="7" t="s">
        <v>27</v>
      </c>
    </row>
    <row r="2809">
      <c r="A2809" s="7" t="s">
        <v>72</v>
      </c>
      <c r="B2809" s="7" t="s">
        <v>712</v>
      </c>
      <c r="C2809" s="7">
        <f>3+1</f>
        <v>4</v>
      </c>
      <c r="D2809" s="7">
        <v>5.0</v>
      </c>
      <c r="E2809" s="7">
        <v>3.0</v>
      </c>
      <c r="F2809" s="7" t="s">
        <v>83</v>
      </c>
      <c r="G2809" s="7" t="s">
        <v>561</v>
      </c>
      <c r="H2809" s="9" t="s">
        <v>2979</v>
      </c>
      <c r="I2809" t="s">
        <v>3226</v>
      </c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 t="str">
        <f t="shared" si="1"/>
        <v>Built-up :</v>
      </c>
      <c r="AE2809" s="7" t="str">
        <f t="shared" si="2"/>
        <v> sq. ft.</v>
      </c>
      <c r="AF2809">
        <f>IFERROR(__xludf.DUMMYFUNCTION("VALUE(REGEXREPLACE(G2809,""[^[:digit:]]"", """"))"),2535.0)</f>
        <v>2535</v>
      </c>
      <c r="AG2809" s="7"/>
      <c r="AH2809" s="7"/>
      <c r="AI2809" s="7"/>
      <c r="AJ2809" s="7"/>
      <c r="AK2809" s="7"/>
      <c r="AL2809" s="7"/>
      <c r="AM2809" s="7"/>
      <c r="AN2809" s="7"/>
      <c r="AO2809" s="7"/>
      <c r="AP2809" s="7"/>
      <c r="AQ2809" s="7"/>
      <c r="AR2809" s="7"/>
    </row>
    <row r="2810">
      <c r="A2810" s="7" t="s">
        <v>72</v>
      </c>
      <c r="B2810" s="7" t="s">
        <v>455</v>
      </c>
      <c r="C2810" s="7">
        <f>4+1</f>
        <v>5</v>
      </c>
      <c r="D2810" s="7">
        <v>5.0</v>
      </c>
      <c r="E2810" s="7">
        <v>3.0</v>
      </c>
      <c r="F2810" s="7" t="s">
        <v>83</v>
      </c>
      <c r="G2810" s="7" t="s">
        <v>2040</v>
      </c>
      <c r="H2810" s="9" t="s">
        <v>2979</v>
      </c>
      <c r="I2810" t="s">
        <v>4074</v>
      </c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 t="str">
        <f t="shared" si="1"/>
        <v>Built-up :</v>
      </c>
      <c r="AE2810" s="7" t="str">
        <f t="shared" si="2"/>
        <v> sq. ft.</v>
      </c>
      <c r="AF2810">
        <f>IFERROR(__xludf.DUMMYFUNCTION("VALUE(REGEXREPLACE(G2810,""[^[:digit:]]"", """"))"),2974.0)</f>
        <v>2974</v>
      </c>
      <c r="AG2810" s="7"/>
      <c r="AH2810" s="7"/>
      <c r="AI2810" s="7"/>
      <c r="AJ2810" s="7"/>
      <c r="AK2810" s="7"/>
      <c r="AL2810" s="7"/>
      <c r="AM2810" s="7"/>
      <c r="AN2810" s="7"/>
      <c r="AO2810" s="7"/>
      <c r="AP2810" s="7"/>
      <c r="AQ2810" s="7"/>
      <c r="AR2810" s="7"/>
    </row>
    <row r="2811">
      <c r="A2811" s="7" t="s">
        <v>428</v>
      </c>
      <c r="B2811" s="7" t="s">
        <v>201</v>
      </c>
      <c r="C2811" s="7">
        <f>2</f>
        <v>2</v>
      </c>
      <c r="D2811" s="7">
        <v>2.0</v>
      </c>
      <c r="E2811" s="7">
        <v>1.0</v>
      </c>
      <c r="F2811" s="7" t="s">
        <v>82</v>
      </c>
      <c r="G2811" s="7" t="s">
        <v>1244</v>
      </c>
      <c r="H2811" s="9" t="s">
        <v>2979</v>
      </c>
      <c r="I2811" t="s">
        <v>3602</v>
      </c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 t="str">
        <f t="shared" si="1"/>
        <v>Built-up :</v>
      </c>
      <c r="AE2811" s="7" t="str">
        <f t="shared" si="2"/>
        <v> sq. ft.</v>
      </c>
      <c r="AF2811">
        <f>IFERROR(__xludf.DUMMYFUNCTION("VALUE(REGEXREPLACE(G2811,""[^[:digit:]]"", """"))"),856.0)</f>
        <v>856</v>
      </c>
      <c r="AG2811" s="7"/>
      <c r="AH2811" s="7"/>
      <c r="AI2811" s="7"/>
      <c r="AJ2811" s="7"/>
      <c r="AK2811" s="7"/>
      <c r="AL2811" s="7"/>
      <c r="AM2811" s="7"/>
      <c r="AN2811" s="7"/>
      <c r="AO2811" s="7"/>
      <c r="AP2811" s="7"/>
      <c r="AQ2811" s="7"/>
      <c r="AR2811" s="7"/>
      <c r="AS2811" s="7" t="s">
        <v>27</v>
      </c>
    </row>
    <row r="2812">
      <c r="A2812" s="7" t="s">
        <v>72</v>
      </c>
      <c r="B2812" s="7" t="s">
        <v>2041</v>
      </c>
      <c r="C2812" s="7">
        <f>3+1</f>
        <v>4</v>
      </c>
      <c r="D2812" s="7">
        <v>5.0</v>
      </c>
      <c r="E2812" s="7">
        <v>3.0</v>
      </c>
      <c r="F2812" s="7" t="s">
        <v>83</v>
      </c>
      <c r="G2812" s="7" t="s">
        <v>561</v>
      </c>
      <c r="H2812" s="9" t="s">
        <v>2979</v>
      </c>
      <c r="I2812" t="s">
        <v>3226</v>
      </c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 t="str">
        <f t="shared" si="1"/>
        <v>Built-up :</v>
      </c>
      <c r="AE2812" s="7" t="str">
        <f t="shared" si="2"/>
        <v> sq. ft.</v>
      </c>
      <c r="AF2812">
        <f>IFERROR(__xludf.DUMMYFUNCTION("VALUE(REGEXREPLACE(G2812,""[^[:digit:]]"", """"))"),2535.0)</f>
        <v>2535</v>
      </c>
      <c r="AG2812" s="7"/>
      <c r="AH2812" s="7"/>
      <c r="AI2812" s="7"/>
      <c r="AJ2812" s="7"/>
      <c r="AK2812" s="7"/>
      <c r="AL2812" s="7"/>
      <c r="AM2812" s="7"/>
      <c r="AN2812" s="7"/>
      <c r="AO2812" s="7"/>
      <c r="AP2812" s="7"/>
      <c r="AQ2812" s="7"/>
      <c r="AR2812" s="7"/>
    </row>
    <row r="2813">
      <c r="A2813" s="7" t="s">
        <v>1241</v>
      </c>
      <c r="B2813" s="7" t="s">
        <v>139</v>
      </c>
      <c r="C2813" s="7">
        <f t="shared" ref="C2813:C2814" si="375">2</f>
        <v>2</v>
      </c>
      <c r="D2813" s="7">
        <v>2.0</v>
      </c>
      <c r="E2813" s="7">
        <v>2.0</v>
      </c>
      <c r="F2813" s="7" t="s">
        <v>20</v>
      </c>
      <c r="G2813" s="7" t="s">
        <v>237</v>
      </c>
      <c r="H2813" s="9" t="s">
        <v>2979</v>
      </c>
      <c r="I2813" t="s">
        <v>3069</v>
      </c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 t="str">
        <f t="shared" si="1"/>
        <v>Built-up :</v>
      </c>
      <c r="AE2813" s="7" t="str">
        <f t="shared" si="2"/>
        <v> sq. ft.</v>
      </c>
      <c r="AF2813">
        <f>IFERROR(__xludf.DUMMYFUNCTION("VALUE(REGEXREPLACE(G2813,""[^[:digit:]]"", """"))"),1087.0)</f>
        <v>1087</v>
      </c>
      <c r="AG2813" s="7"/>
      <c r="AH2813" s="7"/>
      <c r="AI2813" s="7"/>
      <c r="AJ2813" s="7"/>
      <c r="AK2813" s="7"/>
      <c r="AL2813" s="7"/>
      <c r="AM2813" s="7"/>
      <c r="AN2813" s="7"/>
      <c r="AO2813" s="7"/>
      <c r="AP2813" s="7"/>
      <c r="AQ2813" s="7"/>
      <c r="AR2813" s="7"/>
      <c r="AS2813" s="7" t="s">
        <v>22</v>
      </c>
    </row>
    <row r="2814">
      <c r="A2814" s="7" t="s">
        <v>1241</v>
      </c>
      <c r="B2814" s="7" t="s">
        <v>132</v>
      </c>
      <c r="C2814" s="7">
        <f t="shared" si="375"/>
        <v>2</v>
      </c>
      <c r="D2814" s="7">
        <v>2.0</v>
      </c>
      <c r="E2814" s="7">
        <v>2.0</v>
      </c>
      <c r="F2814" s="7" t="s">
        <v>20</v>
      </c>
      <c r="G2814" s="7" t="s">
        <v>471</v>
      </c>
      <c r="H2814" s="9" t="s">
        <v>2979</v>
      </c>
      <c r="I2814" t="s">
        <v>3179</v>
      </c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 t="str">
        <f t="shared" si="1"/>
        <v>Built-up :</v>
      </c>
      <c r="AE2814" s="7" t="str">
        <f t="shared" si="2"/>
        <v> sq. ft.</v>
      </c>
      <c r="AF2814">
        <f>IFERROR(__xludf.DUMMYFUNCTION("VALUE(REGEXREPLACE(G2814,""[^[:digit:]]"", """"))"),1400.0)</f>
        <v>1400</v>
      </c>
      <c r="AG2814" s="7"/>
      <c r="AH2814" s="7"/>
      <c r="AI2814" s="7"/>
      <c r="AJ2814" s="7"/>
      <c r="AK2814" s="7"/>
      <c r="AL2814" s="7"/>
      <c r="AM2814" s="7"/>
      <c r="AN2814" s="7"/>
      <c r="AO2814" s="7"/>
      <c r="AP2814" s="7"/>
      <c r="AQ2814" s="7"/>
      <c r="AR2814" s="7"/>
    </row>
    <row r="2815">
      <c r="A2815" s="7" t="s">
        <v>428</v>
      </c>
      <c r="B2815" s="7" t="s">
        <v>206</v>
      </c>
      <c r="C2815" s="7">
        <f t="shared" ref="C2815:C2816" si="376">3</f>
        <v>3</v>
      </c>
      <c r="D2815" s="7">
        <v>3.0</v>
      </c>
      <c r="E2815" s="7">
        <v>2.0</v>
      </c>
      <c r="F2815" s="7" t="s">
        <v>20</v>
      </c>
      <c r="H2815" s="9" t="s">
        <v>2984</v>
      </c>
      <c r="I2815" t="s">
        <v>2985</v>
      </c>
      <c r="AD2815" s="7" t="str">
        <f t="shared" si="1"/>
        <v/>
      </c>
      <c r="AE2815" s="7" t="str">
        <f t="shared" si="2"/>
        <v/>
      </c>
      <c r="AF2815">
        <f>IFERROR(__xludf.DUMMYFUNCTION("VALUE(REGEXREPLACE(G2815,""[^[:digit:]]"", """"))"),0.0)</f>
        <v>0</v>
      </c>
    </row>
    <row r="2816">
      <c r="A2816" s="7" t="s">
        <v>428</v>
      </c>
      <c r="B2816" s="7" t="s">
        <v>635</v>
      </c>
      <c r="C2816" s="7">
        <f t="shared" si="376"/>
        <v>3</v>
      </c>
      <c r="D2816" s="7">
        <v>2.0</v>
      </c>
      <c r="E2816" s="7">
        <v>2.0</v>
      </c>
      <c r="F2816" s="7" t="s">
        <v>82</v>
      </c>
      <c r="G2816" s="7" t="s">
        <v>491</v>
      </c>
      <c r="H2816" s="9" t="s">
        <v>2979</v>
      </c>
      <c r="I2816" t="s">
        <v>3190</v>
      </c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 t="str">
        <f t="shared" si="1"/>
        <v>Built-up :</v>
      </c>
      <c r="AE2816" s="7" t="str">
        <f t="shared" si="2"/>
        <v> sq. ft.</v>
      </c>
      <c r="AF2816">
        <f>IFERROR(__xludf.DUMMYFUNCTION("VALUE(REGEXREPLACE(G2816,""[^[:digit:]]"", """"))"),950.0)</f>
        <v>950</v>
      </c>
      <c r="AG2816" s="7"/>
      <c r="AH2816" s="7"/>
      <c r="AI2816" s="7"/>
      <c r="AJ2816" s="7"/>
      <c r="AK2816" s="7"/>
      <c r="AL2816" s="7"/>
      <c r="AM2816" s="7"/>
      <c r="AN2816" s="7"/>
      <c r="AO2816" s="7"/>
      <c r="AP2816" s="7"/>
      <c r="AQ2816" s="7"/>
      <c r="AR2816" s="7"/>
      <c r="AS2816" s="7" t="s">
        <v>27</v>
      </c>
    </row>
    <row r="2817">
      <c r="A2817" s="7" t="s">
        <v>72</v>
      </c>
      <c r="B2817" s="7" t="s">
        <v>458</v>
      </c>
      <c r="C2817" s="7">
        <f>4+2</f>
        <v>6</v>
      </c>
      <c r="D2817" s="7">
        <v>6.0</v>
      </c>
      <c r="E2817" s="7">
        <v>3.0</v>
      </c>
      <c r="F2817" s="7" t="s">
        <v>83</v>
      </c>
      <c r="G2817" s="7" t="s">
        <v>622</v>
      </c>
      <c r="H2817" s="9" t="s">
        <v>2979</v>
      </c>
      <c r="I2817" t="s">
        <v>3252</v>
      </c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 t="str">
        <f t="shared" si="1"/>
        <v>Built-up :</v>
      </c>
      <c r="AE2817" s="7" t="str">
        <f t="shared" si="2"/>
        <v> sq. ft.</v>
      </c>
      <c r="AF2817">
        <f>IFERROR(__xludf.DUMMYFUNCTION("VALUE(REGEXREPLACE(G2817,""[^[:digit:]]"", """"))"),3478.0)</f>
        <v>3478</v>
      </c>
      <c r="AG2817" s="7"/>
      <c r="AH2817" s="7"/>
      <c r="AI2817" s="7"/>
      <c r="AJ2817" s="7"/>
      <c r="AK2817" s="7"/>
      <c r="AL2817" s="7"/>
      <c r="AM2817" s="7"/>
      <c r="AN2817" s="7"/>
      <c r="AO2817" s="7"/>
      <c r="AP2817" s="7"/>
      <c r="AQ2817" s="7"/>
      <c r="AR2817" s="7"/>
    </row>
    <row r="2818">
      <c r="A2818" s="7" t="s">
        <v>72</v>
      </c>
      <c r="B2818" s="7" t="s">
        <v>45</v>
      </c>
      <c r="C2818" s="7">
        <f>3+2</f>
        <v>5</v>
      </c>
      <c r="D2818" s="7">
        <v>5.0</v>
      </c>
      <c r="E2818" s="7">
        <v>3.0</v>
      </c>
      <c r="F2818" s="7" t="s">
        <v>83</v>
      </c>
      <c r="G2818" s="7" t="s">
        <v>376</v>
      </c>
      <c r="H2818" s="9" t="s">
        <v>2979</v>
      </c>
      <c r="I2818" t="s">
        <v>3133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 t="str">
        <f t="shared" si="1"/>
        <v>Built-up :</v>
      </c>
      <c r="AE2818" s="7" t="str">
        <f t="shared" si="2"/>
        <v> sq. ft.</v>
      </c>
      <c r="AF2818">
        <f>IFERROR(__xludf.DUMMYFUNCTION("VALUE(REGEXREPLACE(G2818,""[^[:digit:]]"", """"))"),2411.0)</f>
        <v>2411</v>
      </c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7"/>
      <c r="AR2818" s="7"/>
    </row>
    <row r="2819">
      <c r="A2819" s="7" t="s">
        <v>33</v>
      </c>
      <c r="B2819" s="7" t="s">
        <v>69</v>
      </c>
      <c r="C2819" s="7">
        <f>6</f>
        <v>6</v>
      </c>
      <c r="D2819" s="7">
        <v>5.0</v>
      </c>
      <c r="E2819" s="7">
        <v>4.0</v>
      </c>
      <c r="F2819" s="7" t="s">
        <v>61</v>
      </c>
      <c r="G2819" s="7" t="s">
        <v>219</v>
      </c>
      <c r="H2819" s="9" t="s">
        <v>2981</v>
      </c>
      <c r="I2819" t="s">
        <v>3059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 t="str">
        <f t="shared" si="1"/>
        <v>Land area </v>
      </c>
      <c r="AE2819" s="7" t="str">
        <f t="shared" si="2"/>
        <v> sq. ft.</v>
      </c>
      <c r="AF2819">
        <f>IFERROR(__xludf.DUMMYFUNCTION("VALUE(REGEXREPLACE(G2819,""[^[:digit:]]"", """"))"),7000.0)</f>
        <v>7000</v>
      </c>
      <c r="AG2819" s="7"/>
      <c r="AH2819" s="7"/>
      <c r="AI2819" s="7"/>
      <c r="AJ2819" s="7"/>
      <c r="AK2819" s="7"/>
      <c r="AL2819" s="7"/>
      <c r="AM2819" s="7"/>
      <c r="AN2819" s="7"/>
      <c r="AO2819" s="7"/>
      <c r="AP2819" s="7"/>
      <c r="AQ2819" s="7"/>
      <c r="AR2819" s="7"/>
      <c r="AS2819" s="7" t="s">
        <v>22</v>
      </c>
    </row>
    <row r="2820">
      <c r="A2820" s="7" t="s">
        <v>72</v>
      </c>
      <c r="B2820" s="7" t="s">
        <v>2042</v>
      </c>
      <c r="C2820" s="7">
        <f t="shared" ref="C2820:C2822" si="377">4+1</f>
        <v>5</v>
      </c>
      <c r="D2820" s="7">
        <v>5.0</v>
      </c>
      <c r="E2820" s="7">
        <v>3.0</v>
      </c>
      <c r="F2820" s="7" t="s">
        <v>83</v>
      </c>
      <c r="G2820" s="7" t="s">
        <v>994</v>
      </c>
      <c r="H2820" s="9" t="s">
        <v>2979</v>
      </c>
      <c r="I2820" t="s">
        <v>3441</v>
      </c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 t="str">
        <f t="shared" si="1"/>
        <v>Built-up :</v>
      </c>
      <c r="AE2820" s="7" t="str">
        <f t="shared" si="2"/>
        <v> sq. ft.</v>
      </c>
      <c r="AF2820">
        <f>IFERROR(__xludf.DUMMYFUNCTION("VALUE(REGEXREPLACE(G2820,""[^[:digit:]]"", """"))"),3668.0)</f>
        <v>3668</v>
      </c>
      <c r="AG2820" s="7"/>
      <c r="AH2820" s="7"/>
      <c r="AI2820" s="7"/>
      <c r="AJ2820" s="7"/>
      <c r="AK2820" s="7"/>
      <c r="AL2820" s="7"/>
      <c r="AM2820" s="7"/>
      <c r="AN2820" s="7"/>
      <c r="AO2820" s="7"/>
      <c r="AP2820" s="7"/>
      <c r="AQ2820" s="7"/>
      <c r="AR2820" s="7"/>
    </row>
    <row r="2821">
      <c r="A2821" s="7" t="s">
        <v>72</v>
      </c>
      <c r="B2821" s="7" t="s">
        <v>2043</v>
      </c>
      <c r="C2821" s="7">
        <f t="shared" si="377"/>
        <v>5</v>
      </c>
      <c r="D2821" s="7">
        <v>5.0</v>
      </c>
      <c r="E2821" s="7">
        <v>3.0</v>
      </c>
      <c r="F2821" s="7" t="s">
        <v>83</v>
      </c>
      <c r="G2821" s="7" t="s">
        <v>1230</v>
      </c>
      <c r="H2821" s="9" t="s">
        <v>2979</v>
      </c>
      <c r="I2821" t="s">
        <v>3593</v>
      </c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 t="str">
        <f t="shared" si="1"/>
        <v>Built-up :</v>
      </c>
      <c r="AE2821" s="7" t="str">
        <f t="shared" si="2"/>
        <v> sq. ft.</v>
      </c>
      <c r="AF2821">
        <f>IFERROR(__xludf.DUMMYFUNCTION("VALUE(REGEXREPLACE(G2821,""[^[:digit:]]"", """"))"),3317.0)</f>
        <v>3317</v>
      </c>
      <c r="AG2821" s="7"/>
      <c r="AH2821" s="7"/>
      <c r="AI2821" s="7"/>
      <c r="AJ2821" s="7"/>
      <c r="AK2821" s="7"/>
      <c r="AL2821" s="7"/>
      <c r="AM2821" s="7"/>
      <c r="AN2821" s="7"/>
      <c r="AO2821" s="7"/>
      <c r="AP2821" s="7"/>
      <c r="AQ2821" s="7"/>
      <c r="AR2821" s="7"/>
      <c r="AS2821" s="7" t="s">
        <v>27</v>
      </c>
    </row>
    <row r="2822">
      <c r="A2822" s="7" t="s">
        <v>72</v>
      </c>
      <c r="B2822" s="7" t="s">
        <v>2044</v>
      </c>
      <c r="C2822" s="7">
        <f t="shared" si="377"/>
        <v>5</v>
      </c>
      <c r="D2822" s="7">
        <v>5.0</v>
      </c>
      <c r="E2822" s="7">
        <v>3.0</v>
      </c>
      <c r="F2822" s="7" t="s">
        <v>83</v>
      </c>
      <c r="G2822" s="7" t="s">
        <v>994</v>
      </c>
      <c r="H2822" s="9" t="s">
        <v>2979</v>
      </c>
      <c r="I2822" t="s">
        <v>3441</v>
      </c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 t="str">
        <f t="shared" si="1"/>
        <v>Built-up :</v>
      </c>
      <c r="AE2822" s="7" t="str">
        <f t="shared" si="2"/>
        <v> sq. ft.</v>
      </c>
      <c r="AF2822">
        <f>IFERROR(__xludf.DUMMYFUNCTION("VALUE(REGEXREPLACE(G2822,""[^[:digit:]]"", """"))"),3668.0)</f>
        <v>3668</v>
      </c>
      <c r="AG2822" s="7"/>
      <c r="AH2822" s="7"/>
      <c r="AI2822" s="7"/>
      <c r="AJ2822" s="7"/>
      <c r="AK2822" s="7"/>
      <c r="AL2822" s="7"/>
      <c r="AM2822" s="7"/>
      <c r="AN2822" s="7"/>
      <c r="AO2822" s="7"/>
      <c r="AP2822" s="7"/>
      <c r="AQ2822" s="7"/>
      <c r="AR2822" s="7"/>
    </row>
    <row r="2823">
      <c r="A2823" s="7" t="s">
        <v>72</v>
      </c>
      <c r="B2823" s="7" t="s">
        <v>56</v>
      </c>
      <c r="C2823" s="7">
        <f>3+1</f>
        <v>4</v>
      </c>
      <c r="D2823" s="7">
        <v>4.0</v>
      </c>
      <c r="E2823" s="7">
        <v>2.0</v>
      </c>
      <c r="F2823" s="7" t="s">
        <v>83</v>
      </c>
      <c r="G2823" s="7" t="s">
        <v>2045</v>
      </c>
      <c r="H2823" s="9" t="s">
        <v>2979</v>
      </c>
      <c r="I2823" t="s">
        <v>4075</v>
      </c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 t="str">
        <f t="shared" si="1"/>
        <v>Built-up :</v>
      </c>
      <c r="AE2823" s="7" t="str">
        <f t="shared" si="2"/>
        <v> sq. ft.</v>
      </c>
      <c r="AF2823">
        <f>IFERROR(__xludf.DUMMYFUNCTION("VALUE(REGEXREPLACE(G2823,""[^[:digit:]]"", """"))"),2025.0)</f>
        <v>2025</v>
      </c>
      <c r="AG2823" s="7"/>
      <c r="AH2823" s="7"/>
      <c r="AI2823" s="7"/>
      <c r="AJ2823" s="7"/>
      <c r="AK2823" s="7"/>
      <c r="AL2823" s="7"/>
      <c r="AM2823" s="7"/>
      <c r="AN2823" s="7"/>
      <c r="AO2823" s="7"/>
      <c r="AP2823" s="7"/>
      <c r="AQ2823" s="7"/>
      <c r="AR2823" s="7"/>
    </row>
    <row r="2824">
      <c r="A2824" s="7" t="s">
        <v>72</v>
      </c>
      <c r="B2824" s="7" t="s">
        <v>2046</v>
      </c>
      <c r="C2824" s="7">
        <f>4+2</f>
        <v>6</v>
      </c>
      <c r="D2824" s="7">
        <v>5.0</v>
      </c>
      <c r="E2824" s="7">
        <v>3.0</v>
      </c>
      <c r="F2824" s="7" t="s">
        <v>83</v>
      </c>
      <c r="G2824" s="7" t="s">
        <v>989</v>
      </c>
      <c r="H2824" s="9" t="s">
        <v>2979</v>
      </c>
      <c r="I2824" t="s">
        <v>3438</v>
      </c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 t="str">
        <f t="shared" si="1"/>
        <v>Built-up :</v>
      </c>
      <c r="AE2824" s="7" t="str">
        <f t="shared" si="2"/>
        <v> sq. ft.</v>
      </c>
      <c r="AF2824">
        <f>IFERROR(__xludf.DUMMYFUNCTION("VALUE(REGEXREPLACE(G2824,""[^[:digit:]]"", """"))"),3729.0)</f>
        <v>3729</v>
      </c>
      <c r="AG2824" s="7"/>
      <c r="AH2824" s="7"/>
      <c r="AI2824" s="7"/>
      <c r="AJ2824" s="7"/>
      <c r="AK2824" s="7"/>
      <c r="AL2824" s="7"/>
      <c r="AM2824" s="7"/>
      <c r="AN2824" s="7"/>
      <c r="AO2824" s="7"/>
      <c r="AP2824" s="7"/>
      <c r="AQ2824" s="7"/>
      <c r="AR2824" s="7"/>
      <c r="AS2824" s="7" t="s">
        <v>27</v>
      </c>
    </row>
    <row r="2825">
      <c r="A2825" s="7" t="s">
        <v>188</v>
      </c>
      <c r="B2825" s="7" t="s">
        <v>172</v>
      </c>
      <c r="C2825" s="7">
        <f>2</f>
        <v>2</v>
      </c>
      <c r="D2825" s="7">
        <v>2.0</v>
      </c>
      <c r="E2825" s="7">
        <v>2.0</v>
      </c>
      <c r="F2825" s="7" t="s">
        <v>20</v>
      </c>
      <c r="G2825" s="7" t="s">
        <v>2047</v>
      </c>
      <c r="H2825" s="9" t="s">
        <v>2979</v>
      </c>
      <c r="I2825" t="s">
        <v>4076</v>
      </c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 t="str">
        <f t="shared" si="1"/>
        <v>Built-up :</v>
      </c>
      <c r="AE2825" s="7" t="str">
        <f t="shared" si="2"/>
        <v> sq. ft.</v>
      </c>
      <c r="AF2825">
        <f>IFERROR(__xludf.DUMMYFUNCTION("VALUE(REGEXREPLACE(G2825,""[^[:digit:]]"", """"))"),535.0)</f>
        <v>535</v>
      </c>
      <c r="AG2825" s="7"/>
      <c r="AH2825" s="7"/>
      <c r="AI2825" s="7"/>
      <c r="AJ2825" s="7"/>
      <c r="AK2825" s="7"/>
      <c r="AL2825" s="7"/>
      <c r="AM2825" s="7"/>
      <c r="AN2825" s="7"/>
      <c r="AO2825" s="7"/>
      <c r="AP2825" s="7"/>
      <c r="AQ2825" s="7"/>
      <c r="AR2825" s="7"/>
      <c r="AS2825" s="7" t="s">
        <v>22</v>
      </c>
    </row>
    <row r="2826">
      <c r="A2826" s="7" t="s">
        <v>100</v>
      </c>
      <c r="B2826" s="7" t="s">
        <v>619</v>
      </c>
      <c r="C2826" s="7">
        <f>3+1</f>
        <v>4</v>
      </c>
      <c r="D2826" s="7">
        <v>2.0</v>
      </c>
      <c r="E2826" s="7">
        <v>2.0</v>
      </c>
      <c r="F2826" s="7" t="s">
        <v>93</v>
      </c>
      <c r="G2826" s="7" t="s">
        <v>954</v>
      </c>
      <c r="H2826" s="9" t="s">
        <v>2979</v>
      </c>
      <c r="I2826" t="s">
        <v>3424</v>
      </c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 t="str">
        <f t="shared" si="1"/>
        <v>Built-up :</v>
      </c>
      <c r="AE2826" s="7" t="str">
        <f t="shared" si="2"/>
        <v> sq. ft.</v>
      </c>
      <c r="AF2826">
        <f>IFERROR(__xludf.DUMMYFUNCTION("VALUE(REGEXREPLACE(G2826,""[^[:digit:]]"", """"))"),935.0)</f>
        <v>935</v>
      </c>
      <c r="AG2826" s="7"/>
      <c r="AH2826" s="7"/>
      <c r="AI2826" s="7"/>
      <c r="AJ2826" s="7"/>
      <c r="AK2826" s="7"/>
      <c r="AL2826" s="7"/>
      <c r="AM2826" s="7"/>
      <c r="AN2826" s="7"/>
      <c r="AO2826" s="7"/>
      <c r="AP2826" s="7"/>
      <c r="AQ2826" s="7"/>
      <c r="AR2826" s="7"/>
      <c r="AS2826" s="7" t="s">
        <v>27</v>
      </c>
    </row>
    <row r="2827">
      <c r="A2827" s="7" t="s">
        <v>100</v>
      </c>
      <c r="B2827" s="7" t="s">
        <v>635</v>
      </c>
      <c r="C2827" s="7">
        <f t="shared" ref="C2827:C2829" si="378">4</f>
        <v>4</v>
      </c>
      <c r="D2827" s="7">
        <v>2.0</v>
      </c>
      <c r="E2827" s="7">
        <v>2.0</v>
      </c>
      <c r="F2827" s="7" t="s">
        <v>83</v>
      </c>
      <c r="G2827" s="7" t="s">
        <v>919</v>
      </c>
      <c r="H2827" s="9" t="s">
        <v>2979</v>
      </c>
      <c r="I2827" t="s">
        <v>3404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 t="str">
        <f t="shared" si="1"/>
        <v>Built-up :</v>
      </c>
      <c r="AE2827" s="7" t="str">
        <f t="shared" si="2"/>
        <v> sq. ft.</v>
      </c>
      <c r="AF2827">
        <f>IFERROR(__xludf.DUMMYFUNCTION("VALUE(REGEXREPLACE(G2827,""[^[:digit:]]"", """"))"),1092.0)</f>
        <v>1092</v>
      </c>
      <c r="AG2827" s="7"/>
      <c r="AH2827" s="7"/>
      <c r="AI2827" s="7"/>
      <c r="AJ2827" s="7"/>
      <c r="AK2827" s="7"/>
      <c r="AL2827" s="7"/>
      <c r="AM2827" s="7"/>
      <c r="AN2827" s="7"/>
      <c r="AO2827" s="7"/>
      <c r="AP2827" s="7"/>
      <c r="AQ2827" s="7"/>
      <c r="AR2827" s="7"/>
      <c r="AS2827" s="7" t="s">
        <v>22</v>
      </c>
    </row>
    <row r="2828">
      <c r="A2828" s="7" t="s">
        <v>428</v>
      </c>
      <c r="B2828" s="7" t="s">
        <v>316</v>
      </c>
      <c r="C2828" s="7">
        <f t="shared" si="378"/>
        <v>4</v>
      </c>
      <c r="D2828" s="7">
        <v>3.0</v>
      </c>
      <c r="E2828" s="7">
        <v>4.0</v>
      </c>
      <c r="F2828" s="7" t="s">
        <v>184</v>
      </c>
      <c r="G2828" s="7" t="s">
        <v>1491</v>
      </c>
      <c r="H2828" s="9" t="s">
        <v>2981</v>
      </c>
      <c r="I2828" t="s">
        <v>3062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 t="str">
        <f t="shared" si="1"/>
        <v>Land area </v>
      </c>
      <c r="AE2828" s="7" t="str">
        <f t="shared" si="2"/>
        <v> sq. ft.</v>
      </c>
      <c r="AF2828">
        <f>IFERROR(__xludf.DUMMYFUNCTION("VALUE(REGEXREPLACE(G2828,""[^[:digit:]]"", """"))"),2400.0)</f>
        <v>2400</v>
      </c>
      <c r="AG2828" s="7"/>
      <c r="AH2828" s="7"/>
      <c r="AI2828" s="7"/>
      <c r="AJ2828" s="7"/>
      <c r="AK2828" s="7"/>
      <c r="AL2828" s="7"/>
      <c r="AM2828" s="7"/>
      <c r="AN2828" s="7"/>
      <c r="AO2828" s="7"/>
      <c r="AP2828" s="7"/>
      <c r="AQ2828" s="7"/>
      <c r="AR2828" s="7"/>
      <c r="AS2828" s="7" t="s">
        <v>27</v>
      </c>
    </row>
    <row r="2829">
      <c r="A2829" s="7" t="s">
        <v>171</v>
      </c>
      <c r="B2829" s="7" t="s">
        <v>268</v>
      </c>
      <c r="C2829" s="7">
        <f t="shared" si="378"/>
        <v>4</v>
      </c>
      <c r="D2829" s="7">
        <v>2.0</v>
      </c>
      <c r="E2829" s="7">
        <v>1.0</v>
      </c>
      <c r="F2829" s="7" t="s">
        <v>93</v>
      </c>
      <c r="G2829" s="7" t="s">
        <v>192</v>
      </c>
      <c r="H2829" s="9" t="s">
        <v>2979</v>
      </c>
      <c r="I2829" t="s">
        <v>3045</v>
      </c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 t="str">
        <f t="shared" si="1"/>
        <v>Built-up :</v>
      </c>
      <c r="AE2829" s="7" t="str">
        <f t="shared" si="2"/>
        <v> sq. ft.</v>
      </c>
      <c r="AF2829">
        <f>IFERROR(__xludf.DUMMYFUNCTION("VALUE(REGEXREPLACE(G2829,""[^[:digit:]]"", """"))"),1313.0)</f>
        <v>1313</v>
      </c>
      <c r="AG2829" s="7"/>
      <c r="AH2829" s="7"/>
      <c r="AI2829" s="7"/>
      <c r="AJ2829" s="7"/>
      <c r="AK2829" s="7"/>
      <c r="AL2829" s="7"/>
      <c r="AM2829" s="7"/>
      <c r="AN2829" s="7"/>
      <c r="AO2829" s="7"/>
      <c r="AP2829" s="7"/>
      <c r="AQ2829" s="7"/>
      <c r="AR2829" s="7"/>
      <c r="AS2829" s="7" t="s">
        <v>27</v>
      </c>
    </row>
    <row r="2830">
      <c r="A2830" s="7" t="s">
        <v>89</v>
      </c>
      <c r="B2830" s="7" t="s">
        <v>2048</v>
      </c>
      <c r="C2830" s="7">
        <f>2</f>
        <v>2</v>
      </c>
      <c r="D2830" s="7">
        <v>2.0</v>
      </c>
      <c r="E2830" s="7">
        <v>1.0</v>
      </c>
      <c r="F2830" s="7" t="s">
        <v>20</v>
      </c>
      <c r="G2830" s="7" t="s">
        <v>1273</v>
      </c>
      <c r="H2830" s="9" t="s">
        <v>2979</v>
      </c>
      <c r="I2830" t="s">
        <v>3615</v>
      </c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 t="str">
        <f t="shared" si="1"/>
        <v>Built-up :</v>
      </c>
      <c r="AE2830" s="7" t="str">
        <f t="shared" si="2"/>
        <v> sq. ft.</v>
      </c>
      <c r="AF2830">
        <f>IFERROR(__xludf.DUMMYFUNCTION("VALUE(REGEXREPLACE(G2830,""[^[:digit:]]"", """"))"),800.0)</f>
        <v>800</v>
      </c>
      <c r="AG2830" s="7"/>
      <c r="AH2830" s="7"/>
      <c r="AI2830" s="7"/>
      <c r="AJ2830" s="7"/>
      <c r="AK2830" s="7"/>
      <c r="AL2830" s="7"/>
      <c r="AM2830" s="7"/>
      <c r="AN2830" s="7"/>
      <c r="AO2830" s="7"/>
      <c r="AP2830" s="7"/>
      <c r="AQ2830" s="7"/>
      <c r="AR2830" s="7"/>
      <c r="AS2830" s="7" t="s">
        <v>22</v>
      </c>
    </row>
    <row r="2831">
      <c r="A2831" s="7" t="s">
        <v>709</v>
      </c>
      <c r="B2831" s="7" t="s">
        <v>409</v>
      </c>
      <c r="C2831" s="7">
        <f t="shared" ref="C2831:C2833" si="379">3</f>
        <v>3</v>
      </c>
      <c r="D2831" s="7">
        <v>2.0</v>
      </c>
      <c r="E2831" s="7">
        <v>1.0</v>
      </c>
      <c r="F2831" s="7" t="s">
        <v>30</v>
      </c>
      <c r="G2831" s="7" t="s">
        <v>471</v>
      </c>
      <c r="H2831" s="9" t="s">
        <v>2979</v>
      </c>
      <c r="I2831" t="s">
        <v>3179</v>
      </c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 t="str">
        <f t="shared" si="1"/>
        <v>Built-up :</v>
      </c>
      <c r="AE2831" s="7" t="str">
        <f t="shared" si="2"/>
        <v> sq. ft.</v>
      </c>
      <c r="AF2831">
        <f>IFERROR(__xludf.DUMMYFUNCTION("VALUE(REGEXREPLACE(G2831,""[^[:digit:]]"", """"))"),1400.0)</f>
        <v>1400</v>
      </c>
      <c r="AG2831" s="7"/>
      <c r="AH2831" s="7"/>
      <c r="AI2831" s="7"/>
      <c r="AJ2831" s="7"/>
      <c r="AK2831" s="7"/>
      <c r="AL2831" s="7"/>
      <c r="AM2831" s="7"/>
      <c r="AN2831" s="7"/>
      <c r="AO2831" s="7"/>
      <c r="AP2831" s="7"/>
      <c r="AQ2831" s="7"/>
      <c r="AR2831" s="7"/>
      <c r="AS2831" s="7" t="s">
        <v>22</v>
      </c>
    </row>
    <row r="2832">
      <c r="A2832" s="7" t="s">
        <v>709</v>
      </c>
      <c r="B2832" s="7" t="s">
        <v>975</v>
      </c>
      <c r="C2832" s="7">
        <f t="shared" si="379"/>
        <v>3</v>
      </c>
      <c r="D2832" s="7">
        <v>2.0</v>
      </c>
      <c r="E2832" s="7">
        <v>1.0</v>
      </c>
      <c r="F2832" s="7" t="s">
        <v>30</v>
      </c>
      <c r="G2832" s="7" t="s">
        <v>392</v>
      </c>
      <c r="H2832" s="9" t="s">
        <v>2979</v>
      </c>
      <c r="I2832" t="s">
        <v>3141</v>
      </c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 t="str">
        <f t="shared" si="1"/>
        <v>Built-up :</v>
      </c>
      <c r="AE2832" s="7" t="str">
        <f t="shared" si="2"/>
        <v> sq. ft.</v>
      </c>
      <c r="AF2832">
        <f>IFERROR(__xludf.DUMMYFUNCTION("VALUE(REGEXREPLACE(G2832,""[^[:digit:]]"", """"))"),850.0)</f>
        <v>850</v>
      </c>
      <c r="AG2832" s="7"/>
      <c r="AH2832" s="7"/>
      <c r="AI2832" s="7"/>
      <c r="AJ2832" s="7"/>
      <c r="AK2832" s="7"/>
      <c r="AL2832" s="7"/>
      <c r="AM2832" s="7"/>
      <c r="AN2832" s="7"/>
      <c r="AO2832" s="7"/>
      <c r="AP2832" s="7"/>
      <c r="AQ2832" s="7"/>
      <c r="AR2832" s="7"/>
      <c r="AS2832" s="7" t="s">
        <v>27</v>
      </c>
    </row>
    <row r="2833">
      <c r="A2833" s="7" t="s">
        <v>709</v>
      </c>
      <c r="B2833" s="7" t="s">
        <v>890</v>
      </c>
      <c r="C2833" s="7">
        <f t="shared" si="379"/>
        <v>3</v>
      </c>
      <c r="D2833" s="7">
        <v>2.0</v>
      </c>
      <c r="E2833" s="7">
        <v>1.0</v>
      </c>
      <c r="F2833" s="7" t="s">
        <v>30</v>
      </c>
      <c r="G2833" s="7" t="s">
        <v>734</v>
      </c>
      <c r="H2833" s="9" t="s">
        <v>2979</v>
      </c>
      <c r="I2833" t="s">
        <v>3308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 t="str">
        <f t="shared" si="1"/>
        <v>Built-up :</v>
      </c>
      <c r="AE2833" s="7" t="str">
        <f t="shared" si="2"/>
        <v> sq. ft.</v>
      </c>
      <c r="AF2833">
        <f>IFERROR(__xludf.DUMMYFUNCTION("VALUE(REGEXREPLACE(G2833,""[^[:digit:]]"", """"))"),1100.0)</f>
        <v>1100</v>
      </c>
      <c r="AG2833" s="7"/>
      <c r="AH2833" s="7"/>
      <c r="AI2833" s="7"/>
      <c r="AJ2833" s="7"/>
      <c r="AK2833" s="7"/>
      <c r="AL2833" s="7"/>
      <c r="AM2833" s="7"/>
      <c r="AN2833" s="7"/>
      <c r="AO2833" s="7"/>
      <c r="AP2833" s="7"/>
      <c r="AQ2833" s="7"/>
      <c r="AR2833" s="7"/>
      <c r="AS2833" s="7" t="s">
        <v>22</v>
      </c>
    </row>
    <row r="2834">
      <c r="A2834" s="7" t="s">
        <v>32</v>
      </c>
      <c r="B2834" s="7" t="s">
        <v>975</v>
      </c>
      <c r="C2834" s="7">
        <f>2</f>
        <v>2</v>
      </c>
      <c r="D2834" s="7">
        <v>2.0</v>
      </c>
      <c r="E2834" s="7">
        <v>2.0</v>
      </c>
      <c r="F2834" s="7" t="s">
        <v>83</v>
      </c>
      <c r="G2834" s="7" t="s">
        <v>246</v>
      </c>
      <c r="H2834" s="9" t="s">
        <v>2979</v>
      </c>
      <c r="I2834" t="s">
        <v>3074</v>
      </c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 t="str">
        <f t="shared" si="1"/>
        <v>Built-up :</v>
      </c>
      <c r="AE2834" s="7" t="str">
        <f t="shared" si="2"/>
        <v> sq. ft.</v>
      </c>
      <c r="AF2834">
        <f>IFERROR(__xludf.DUMMYFUNCTION("VALUE(REGEXREPLACE(G2834,""[^[:digit:]]"", """"))"),825.0)</f>
        <v>825</v>
      </c>
      <c r="AG2834" s="7"/>
      <c r="AH2834" s="7"/>
      <c r="AI2834" s="7"/>
      <c r="AJ2834" s="7"/>
      <c r="AK2834" s="7"/>
      <c r="AL2834" s="7"/>
      <c r="AM2834" s="7"/>
      <c r="AN2834" s="7"/>
      <c r="AO2834" s="7"/>
      <c r="AP2834" s="7"/>
      <c r="AQ2834" s="7"/>
      <c r="AR2834" s="7"/>
      <c r="AS2834" s="7" t="s">
        <v>103</v>
      </c>
    </row>
    <row r="2835">
      <c r="A2835" s="7" t="s">
        <v>155</v>
      </c>
      <c r="B2835" s="7" t="s">
        <v>599</v>
      </c>
      <c r="C2835" s="7">
        <f t="shared" ref="C2835:C2836" si="380">3+1</f>
        <v>4</v>
      </c>
      <c r="D2835" s="7">
        <v>3.0</v>
      </c>
      <c r="E2835" s="7">
        <v>2.0</v>
      </c>
      <c r="F2835" s="7" t="s">
        <v>83</v>
      </c>
      <c r="G2835" s="7" t="s">
        <v>2049</v>
      </c>
      <c r="H2835" s="9" t="s">
        <v>2981</v>
      </c>
      <c r="I2835" t="s">
        <v>4077</v>
      </c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 t="str">
        <f t="shared" si="1"/>
        <v>Land area </v>
      </c>
      <c r="AE2835" s="7" t="str">
        <f t="shared" si="2"/>
        <v> sq. ft.</v>
      </c>
      <c r="AF2835">
        <f>IFERROR(__xludf.DUMMYFUNCTION("VALUE(REGEXREPLACE(G2835,""[^[:digit:]]"", """"))"),1569.0)</f>
        <v>1569</v>
      </c>
      <c r="AG2835" s="7"/>
      <c r="AH2835" s="7"/>
      <c r="AI2835" s="7"/>
      <c r="AJ2835" s="7"/>
      <c r="AK2835" s="7"/>
      <c r="AL2835" s="7"/>
      <c r="AM2835" s="7"/>
      <c r="AN2835" s="7"/>
      <c r="AO2835" s="7"/>
      <c r="AP2835" s="7"/>
      <c r="AQ2835" s="7"/>
      <c r="AR2835" s="7"/>
      <c r="AS2835" s="7" t="s">
        <v>22</v>
      </c>
    </row>
    <row r="2836">
      <c r="A2836" s="7" t="s">
        <v>155</v>
      </c>
      <c r="B2836" s="7" t="s">
        <v>279</v>
      </c>
      <c r="C2836" s="7">
        <f t="shared" si="380"/>
        <v>4</v>
      </c>
      <c r="D2836" s="7">
        <v>3.0</v>
      </c>
      <c r="E2836" s="7">
        <v>2.0</v>
      </c>
      <c r="F2836" s="7" t="s">
        <v>93</v>
      </c>
      <c r="G2836" s="7" t="s">
        <v>1252</v>
      </c>
      <c r="H2836" s="9" t="s">
        <v>2979</v>
      </c>
      <c r="I2836" t="s">
        <v>3608</v>
      </c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 t="str">
        <f t="shared" si="1"/>
        <v>Built-up :</v>
      </c>
      <c r="AE2836" s="7" t="str">
        <f t="shared" si="2"/>
        <v> sq. ft.</v>
      </c>
      <c r="AF2836">
        <f>IFERROR(__xludf.DUMMYFUNCTION("VALUE(REGEXREPLACE(G2836,""[^[:digit:]]"", """"))"),1707.0)</f>
        <v>1707</v>
      </c>
      <c r="AG2836" s="7"/>
      <c r="AH2836" s="7"/>
      <c r="AI2836" s="7"/>
      <c r="AJ2836" s="7"/>
      <c r="AK2836" s="7"/>
      <c r="AL2836" s="7"/>
      <c r="AM2836" s="7"/>
      <c r="AN2836" s="7"/>
      <c r="AO2836" s="7"/>
      <c r="AP2836" s="7"/>
      <c r="AQ2836" s="7"/>
      <c r="AR2836" s="7"/>
      <c r="AS2836" s="7" t="s">
        <v>27</v>
      </c>
    </row>
    <row r="2837">
      <c r="A2837" s="7" t="s">
        <v>177</v>
      </c>
      <c r="B2837" s="7" t="s">
        <v>2050</v>
      </c>
      <c r="C2837" s="7">
        <f>6+1</f>
        <v>7</v>
      </c>
      <c r="D2837" s="7">
        <v>6.0</v>
      </c>
      <c r="E2837" s="7">
        <v>4.0</v>
      </c>
      <c r="F2837" s="7" t="s">
        <v>61</v>
      </c>
      <c r="G2837" s="7" t="s">
        <v>26</v>
      </c>
      <c r="H2837" s="9" t="s">
        <v>2981</v>
      </c>
      <c r="I2837" t="s">
        <v>2982</v>
      </c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 t="str">
        <f t="shared" si="1"/>
        <v>Land area </v>
      </c>
      <c r="AE2837" s="7" t="str">
        <f t="shared" si="2"/>
        <v> sq. ft.</v>
      </c>
      <c r="AF2837">
        <f>IFERROR(__xludf.DUMMYFUNCTION("VALUE(REGEXREPLACE(G2837,""[^[:digit:]]"", """"))"),6900.0)</f>
        <v>6900</v>
      </c>
      <c r="AG2837" s="7"/>
      <c r="AH2837" s="7"/>
      <c r="AI2837" s="7"/>
      <c r="AJ2837" s="7"/>
      <c r="AK2837" s="7"/>
      <c r="AL2837" s="7"/>
      <c r="AM2837" s="7"/>
      <c r="AN2837" s="7"/>
      <c r="AO2837" s="7"/>
      <c r="AP2837" s="7"/>
      <c r="AQ2837" s="7"/>
      <c r="AR2837" s="7"/>
    </row>
    <row r="2838">
      <c r="A2838" s="7" t="s">
        <v>33</v>
      </c>
      <c r="B2838" s="7" t="s">
        <v>677</v>
      </c>
      <c r="C2838" s="7">
        <f>3</f>
        <v>3</v>
      </c>
      <c r="D2838" s="7">
        <v>3.0</v>
      </c>
      <c r="E2838" s="7">
        <v>2.0</v>
      </c>
      <c r="F2838" s="7" t="s">
        <v>30</v>
      </c>
      <c r="G2838" s="7" t="s">
        <v>1156</v>
      </c>
      <c r="H2838" s="9" t="s">
        <v>2979</v>
      </c>
      <c r="I2838" t="s">
        <v>3545</v>
      </c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 t="str">
        <f t="shared" si="1"/>
        <v>Built-up :</v>
      </c>
      <c r="AE2838" s="7" t="str">
        <f t="shared" si="2"/>
        <v> sq. ft.</v>
      </c>
      <c r="AF2838">
        <f>IFERROR(__xludf.DUMMYFUNCTION("VALUE(REGEXREPLACE(G2838,""[^[:digit:]]"", """"))"),1003.0)</f>
        <v>1003</v>
      </c>
      <c r="AG2838" s="7"/>
      <c r="AH2838" s="7"/>
      <c r="AI2838" s="7"/>
      <c r="AJ2838" s="7"/>
      <c r="AK2838" s="7"/>
      <c r="AL2838" s="7"/>
      <c r="AM2838" s="7"/>
      <c r="AN2838" s="7"/>
      <c r="AO2838" s="7"/>
      <c r="AP2838" s="7"/>
      <c r="AQ2838" s="7"/>
      <c r="AR2838" s="7"/>
      <c r="AS2838" s="7" t="s">
        <v>103</v>
      </c>
    </row>
    <row r="2839">
      <c r="A2839" s="7" t="s">
        <v>515</v>
      </c>
      <c r="B2839" s="7" t="s">
        <v>507</v>
      </c>
      <c r="C2839" s="7">
        <f>4</f>
        <v>4</v>
      </c>
      <c r="D2839" s="7">
        <v>3.0</v>
      </c>
      <c r="E2839" s="7">
        <v>2.0</v>
      </c>
      <c r="F2839" s="7" t="s">
        <v>494</v>
      </c>
      <c r="G2839" s="7" t="s">
        <v>2051</v>
      </c>
      <c r="H2839" s="9" t="s">
        <v>2979</v>
      </c>
      <c r="I2839" t="s">
        <v>4078</v>
      </c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 t="str">
        <f t="shared" si="1"/>
        <v>Built-up :</v>
      </c>
      <c r="AE2839" s="7" t="str">
        <f t="shared" si="2"/>
        <v> sq. ft.</v>
      </c>
      <c r="AF2839">
        <f>IFERROR(__xludf.DUMMYFUNCTION("VALUE(REGEXREPLACE(G2839,""[^[:digit:]]"", """"))"),1711.0)</f>
        <v>1711</v>
      </c>
      <c r="AG2839" s="7"/>
      <c r="AH2839" s="7"/>
      <c r="AI2839" s="7"/>
      <c r="AJ2839" s="7"/>
      <c r="AK2839" s="7"/>
      <c r="AL2839" s="7"/>
      <c r="AM2839" s="7"/>
      <c r="AN2839" s="7"/>
      <c r="AO2839" s="7"/>
      <c r="AP2839" s="7"/>
      <c r="AQ2839" s="7"/>
      <c r="AR2839" s="7"/>
      <c r="AS2839" s="7" t="s">
        <v>27</v>
      </c>
    </row>
    <row r="2840">
      <c r="A2840" s="7" t="s">
        <v>77</v>
      </c>
      <c r="B2840" s="7" t="s">
        <v>2052</v>
      </c>
      <c r="C2840" s="7">
        <f>4+1</f>
        <v>5</v>
      </c>
      <c r="D2840" s="7">
        <v>6.0</v>
      </c>
      <c r="E2840" s="7">
        <v>4.0</v>
      </c>
      <c r="F2840" s="7" t="s">
        <v>90</v>
      </c>
      <c r="G2840" s="7" t="s">
        <v>498</v>
      </c>
      <c r="H2840" s="9" t="s">
        <v>2979</v>
      </c>
      <c r="I2840" t="s">
        <v>3196</v>
      </c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 t="str">
        <f t="shared" si="1"/>
        <v>Built-up :</v>
      </c>
      <c r="AE2840" s="7" t="str">
        <f t="shared" si="2"/>
        <v> sq. ft.</v>
      </c>
      <c r="AF2840">
        <f>IFERROR(__xludf.DUMMYFUNCTION("VALUE(REGEXREPLACE(G2840,""[^[:digit:]]"", """"))"),4000.0)</f>
        <v>4000</v>
      </c>
      <c r="AG2840" s="7"/>
      <c r="AH2840" s="7"/>
      <c r="AI2840" s="7"/>
      <c r="AJ2840" s="7"/>
      <c r="AK2840" s="7"/>
      <c r="AL2840" s="7"/>
      <c r="AM2840" s="7"/>
      <c r="AN2840" s="7"/>
      <c r="AO2840" s="7"/>
      <c r="AP2840" s="7"/>
      <c r="AQ2840" s="7"/>
      <c r="AR2840" s="7"/>
      <c r="AS2840" s="7" t="s">
        <v>27</v>
      </c>
    </row>
    <row r="2841">
      <c r="A2841" s="7" t="s">
        <v>86</v>
      </c>
      <c r="B2841" s="7" t="s">
        <v>426</v>
      </c>
      <c r="C2841" s="7">
        <f t="shared" ref="C2841:C2842" si="381">3+1</f>
        <v>4</v>
      </c>
      <c r="D2841" s="7">
        <v>3.0</v>
      </c>
      <c r="E2841" s="7">
        <v>2.0</v>
      </c>
      <c r="F2841" s="7" t="s">
        <v>30</v>
      </c>
      <c r="G2841" s="7" t="s">
        <v>2053</v>
      </c>
      <c r="H2841" s="9" t="s">
        <v>2979</v>
      </c>
      <c r="I2841" t="s">
        <v>4079</v>
      </c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 t="str">
        <f t="shared" si="1"/>
        <v>Built-up :</v>
      </c>
      <c r="AE2841" s="7" t="str">
        <f t="shared" si="2"/>
        <v> sq. ft.</v>
      </c>
      <c r="AF2841">
        <f>IFERROR(__xludf.DUMMYFUNCTION("VALUE(REGEXREPLACE(G2841,""[^[:digit:]]"", """"))"),2068.0)</f>
        <v>2068</v>
      </c>
      <c r="AG2841" s="7"/>
      <c r="AH2841" s="7"/>
      <c r="AI2841" s="7"/>
      <c r="AJ2841" s="7"/>
      <c r="AK2841" s="7"/>
      <c r="AL2841" s="7"/>
      <c r="AM2841" s="7"/>
      <c r="AN2841" s="7"/>
      <c r="AO2841" s="7"/>
      <c r="AP2841" s="7"/>
      <c r="AQ2841" s="7"/>
      <c r="AR2841" s="7"/>
      <c r="AS2841" s="7" t="s">
        <v>22</v>
      </c>
    </row>
    <row r="2842">
      <c r="A2842" s="7" t="s">
        <v>28</v>
      </c>
      <c r="B2842" s="7" t="s">
        <v>599</v>
      </c>
      <c r="C2842" s="7">
        <f t="shared" si="381"/>
        <v>4</v>
      </c>
      <c r="D2842" s="7">
        <v>4.0</v>
      </c>
      <c r="E2842" s="7">
        <v>2.0</v>
      </c>
      <c r="F2842" s="7" t="s">
        <v>30</v>
      </c>
      <c r="G2842" s="7" t="s">
        <v>2054</v>
      </c>
      <c r="H2842" s="9" t="s">
        <v>2981</v>
      </c>
      <c r="I2842" t="s">
        <v>4080</v>
      </c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 t="str">
        <f t="shared" si="1"/>
        <v>Land area </v>
      </c>
      <c r="AE2842" s="7" t="str">
        <f t="shared" si="2"/>
        <v> sq. ft.</v>
      </c>
      <c r="AF2842">
        <f>IFERROR(__xludf.DUMMYFUNCTION("VALUE(REGEXREPLACE(G2842,""[^[:digit:]]"", """"))"),1719.0)</f>
        <v>1719</v>
      </c>
      <c r="AG2842" s="7"/>
      <c r="AH2842" s="7"/>
      <c r="AI2842" s="7"/>
      <c r="AJ2842" s="7"/>
      <c r="AK2842" s="7"/>
      <c r="AL2842" s="7"/>
      <c r="AM2842" s="7"/>
      <c r="AN2842" s="7"/>
      <c r="AO2842" s="7"/>
      <c r="AP2842" s="7"/>
      <c r="AQ2842" s="7"/>
      <c r="AR2842" s="7"/>
      <c r="AS2842" s="7" t="s">
        <v>27</v>
      </c>
    </row>
    <row r="2843">
      <c r="A2843" s="7" t="s">
        <v>17</v>
      </c>
      <c r="B2843" s="7" t="s">
        <v>2055</v>
      </c>
      <c r="C2843" s="7">
        <f>2</f>
        <v>2</v>
      </c>
      <c r="D2843" s="7">
        <v>2.0</v>
      </c>
      <c r="E2843" s="7">
        <v>1.0</v>
      </c>
      <c r="F2843" s="7" t="s">
        <v>30</v>
      </c>
      <c r="G2843" s="7" t="s">
        <v>1666</v>
      </c>
      <c r="H2843" s="9" t="s">
        <v>2981</v>
      </c>
      <c r="I2843" t="s">
        <v>3844</v>
      </c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 t="str">
        <f t="shared" si="1"/>
        <v>Land area </v>
      </c>
      <c r="AE2843" s="7" t="str">
        <f t="shared" si="2"/>
        <v> sq. ft.</v>
      </c>
      <c r="AF2843">
        <f>IFERROR(__xludf.DUMMYFUNCTION("VALUE(REGEXREPLACE(G2843,""[^[:digit:]]"", """"))"),1551.0)</f>
        <v>1551</v>
      </c>
      <c r="AG2843" s="7"/>
      <c r="AH2843" s="7"/>
      <c r="AI2843" s="7"/>
      <c r="AJ2843" s="7"/>
      <c r="AK2843" s="7"/>
      <c r="AL2843" s="7"/>
      <c r="AM2843" s="7"/>
      <c r="AN2843" s="7"/>
      <c r="AO2843" s="7"/>
      <c r="AP2843" s="7"/>
      <c r="AQ2843" s="7"/>
      <c r="AR2843" s="7"/>
      <c r="AS2843" s="7" t="s">
        <v>22</v>
      </c>
    </row>
    <row r="2844">
      <c r="A2844" s="7" t="s">
        <v>17</v>
      </c>
      <c r="B2844" s="7" t="s">
        <v>403</v>
      </c>
      <c r="C2844" s="7">
        <f>3+2</f>
        <v>5</v>
      </c>
      <c r="D2844" s="7">
        <v>5.0</v>
      </c>
      <c r="E2844" s="7">
        <v>2.0</v>
      </c>
      <c r="F2844" s="7" t="s">
        <v>30</v>
      </c>
      <c r="G2844" s="7" t="s">
        <v>2056</v>
      </c>
      <c r="H2844" s="9" t="s">
        <v>2981</v>
      </c>
      <c r="I2844" t="s">
        <v>4081</v>
      </c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 t="str">
        <f t="shared" si="1"/>
        <v>Land area </v>
      </c>
      <c r="AE2844" s="7" t="str">
        <f t="shared" si="2"/>
        <v> sq. ft.</v>
      </c>
      <c r="AF2844">
        <f>IFERROR(__xludf.DUMMYFUNCTION("VALUE(REGEXREPLACE(G2844,""[^[:digit:]]"", """"))"),2497.0)</f>
        <v>2497</v>
      </c>
      <c r="AG2844" s="7"/>
      <c r="AH2844" s="7"/>
      <c r="AI2844" s="7"/>
      <c r="AJ2844" s="7"/>
      <c r="AK2844" s="7"/>
      <c r="AL2844" s="7"/>
      <c r="AM2844" s="7"/>
      <c r="AN2844" s="7"/>
      <c r="AO2844" s="7"/>
      <c r="AP2844" s="7"/>
      <c r="AQ2844" s="7"/>
      <c r="AR2844" s="7"/>
      <c r="AS2844" s="7" t="s">
        <v>22</v>
      </c>
    </row>
    <row r="2845">
      <c r="A2845" s="7" t="s">
        <v>17</v>
      </c>
      <c r="B2845" s="7" t="s">
        <v>78</v>
      </c>
      <c r="C2845" s="7" t="s">
        <v>57</v>
      </c>
      <c r="D2845" s="7">
        <v>5.0</v>
      </c>
      <c r="E2845" s="7">
        <v>2.0</v>
      </c>
      <c r="F2845" s="7" t="s">
        <v>30</v>
      </c>
      <c r="G2845" s="7" t="s">
        <v>2057</v>
      </c>
      <c r="H2845" s="9" t="s">
        <v>2981</v>
      </c>
      <c r="I2845" t="s">
        <v>4082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 t="str">
        <f t="shared" si="1"/>
        <v>Land area </v>
      </c>
      <c r="AE2845" s="7" t="str">
        <f t="shared" si="2"/>
        <v> sq. ft.</v>
      </c>
      <c r="AF2845">
        <f>IFERROR(__xludf.DUMMYFUNCTION("VALUE(REGEXREPLACE(G2845,""[^[:digit:]]"", """"))"),2098.0)</f>
        <v>2098</v>
      </c>
      <c r="AG2845" s="7"/>
      <c r="AH2845" s="7"/>
      <c r="AI2845" s="7"/>
      <c r="AJ2845" s="7"/>
      <c r="AK2845" s="7"/>
      <c r="AL2845" s="7"/>
      <c r="AM2845" s="7"/>
      <c r="AN2845" s="7"/>
      <c r="AO2845" s="7"/>
      <c r="AP2845" s="7"/>
      <c r="AQ2845" s="7"/>
      <c r="AR2845" s="7"/>
      <c r="AS2845" s="7" t="s">
        <v>22</v>
      </c>
    </row>
    <row r="2846">
      <c r="A2846" s="7" t="s">
        <v>17</v>
      </c>
      <c r="B2846" s="7" t="s">
        <v>56</v>
      </c>
      <c r="C2846" s="7">
        <f>4+1</f>
        <v>5</v>
      </c>
      <c r="D2846" s="7">
        <v>5.0</v>
      </c>
      <c r="E2846" s="7">
        <v>2.0</v>
      </c>
      <c r="F2846" s="7" t="s">
        <v>30</v>
      </c>
      <c r="G2846" s="7" t="s">
        <v>2058</v>
      </c>
      <c r="H2846" s="9" t="s">
        <v>2981</v>
      </c>
      <c r="I2846" t="s">
        <v>4083</v>
      </c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 t="str">
        <f t="shared" si="1"/>
        <v>Land area </v>
      </c>
      <c r="AE2846" s="7" t="str">
        <f t="shared" si="2"/>
        <v> sq. ft.</v>
      </c>
      <c r="AF2846">
        <f>IFERROR(__xludf.DUMMYFUNCTION("VALUE(REGEXREPLACE(G2846,""[^[:digit:]]"", """"))"),2315.0)</f>
        <v>2315</v>
      </c>
      <c r="AG2846" s="7"/>
      <c r="AH2846" s="7"/>
      <c r="AI2846" s="7"/>
      <c r="AJ2846" s="7"/>
      <c r="AK2846" s="7"/>
      <c r="AL2846" s="7"/>
      <c r="AM2846" s="7"/>
      <c r="AN2846" s="7"/>
      <c r="AO2846" s="7"/>
      <c r="AP2846" s="7"/>
      <c r="AQ2846" s="7"/>
      <c r="AR2846" s="7"/>
      <c r="AS2846" s="7" t="s">
        <v>22</v>
      </c>
    </row>
    <row r="2847">
      <c r="A2847" s="7" t="s">
        <v>188</v>
      </c>
      <c r="B2847" s="7" t="s">
        <v>191</v>
      </c>
      <c r="C2847" s="7">
        <f>2</f>
        <v>2</v>
      </c>
      <c r="D2847" s="7">
        <v>2.0</v>
      </c>
      <c r="E2847" s="9">
        <v>2.0</v>
      </c>
      <c r="F2847" s="7" t="s">
        <v>121</v>
      </c>
      <c r="G2847" s="7" t="s">
        <v>1439</v>
      </c>
      <c r="H2847" s="9" t="s">
        <v>2981</v>
      </c>
      <c r="I2847" t="s">
        <v>3713</v>
      </c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 t="str">
        <f t="shared" si="1"/>
        <v>Land area </v>
      </c>
      <c r="AE2847" s="7" t="str">
        <f t="shared" si="2"/>
        <v> sq. ft.</v>
      </c>
      <c r="AF2847">
        <f>IFERROR(__xludf.DUMMYFUNCTION("VALUE(REGEXREPLACE(G2847,""[^[:digit:]]"", """"))"),1070.0)</f>
        <v>1070</v>
      </c>
      <c r="AG2847" s="7"/>
      <c r="AH2847" s="7"/>
      <c r="AI2847" s="7"/>
      <c r="AJ2847" s="7"/>
      <c r="AK2847" s="7"/>
      <c r="AL2847" s="7"/>
      <c r="AM2847" s="7"/>
      <c r="AN2847" s="7"/>
      <c r="AO2847" s="7"/>
      <c r="AP2847" s="7"/>
      <c r="AQ2847" s="7"/>
      <c r="AR2847" s="7"/>
      <c r="AS2847" s="7" t="s">
        <v>22</v>
      </c>
    </row>
    <row r="2848">
      <c r="A2848" s="7" t="s">
        <v>17</v>
      </c>
      <c r="B2848" s="7" t="s">
        <v>281</v>
      </c>
      <c r="C2848" s="7">
        <f>5</f>
        <v>5</v>
      </c>
      <c r="D2848" s="7">
        <v>6.0</v>
      </c>
      <c r="E2848" s="7">
        <v>3.0</v>
      </c>
      <c r="F2848" s="7" t="s">
        <v>121</v>
      </c>
      <c r="G2848" s="7" t="s">
        <v>2059</v>
      </c>
      <c r="H2848" s="9" t="s">
        <v>2981</v>
      </c>
      <c r="I2848" t="s">
        <v>4084</v>
      </c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 t="str">
        <f t="shared" si="1"/>
        <v>Land area </v>
      </c>
      <c r="AE2848" s="7" t="str">
        <f t="shared" si="2"/>
        <v> sq. ft.</v>
      </c>
      <c r="AF2848">
        <f>IFERROR(__xludf.DUMMYFUNCTION("VALUE(REGEXREPLACE(G2848,""[^[:digit:]]"", """"))"),3283.0)</f>
        <v>3283</v>
      </c>
      <c r="AG2848" s="7"/>
      <c r="AH2848" s="7"/>
      <c r="AI2848" s="7"/>
      <c r="AJ2848" s="7"/>
      <c r="AK2848" s="7"/>
      <c r="AL2848" s="7"/>
      <c r="AM2848" s="7"/>
      <c r="AN2848" s="7"/>
      <c r="AO2848" s="7"/>
      <c r="AP2848" s="7"/>
      <c r="AQ2848" s="7"/>
      <c r="AR2848" s="7"/>
      <c r="AS2848" s="7" t="s">
        <v>27</v>
      </c>
    </row>
    <row r="2849">
      <c r="A2849" s="7" t="s">
        <v>65</v>
      </c>
      <c r="B2849" s="7" t="s">
        <v>277</v>
      </c>
      <c r="C2849" s="7">
        <f>3+1</f>
        <v>4</v>
      </c>
      <c r="D2849" s="7">
        <v>5.0</v>
      </c>
      <c r="E2849" s="7">
        <v>3.0</v>
      </c>
      <c r="F2849" s="7" t="s">
        <v>30</v>
      </c>
      <c r="G2849" s="7" t="s">
        <v>2060</v>
      </c>
      <c r="H2849" s="9" t="s">
        <v>2981</v>
      </c>
      <c r="I2849" t="s">
        <v>4085</v>
      </c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 t="str">
        <f t="shared" si="1"/>
        <v>Land area </v>
      </c>
      <c r="AE2849" s="7" t="str">
        <f t="shared" si="2"/>
        <v> sq. ft.</v>
      </c>
      <c r="AF2849">
        <f>IFERROR(__xludf.DUMMYFUNCTION("VALUE(REGEXREPLACE(G2849,""[^[:digit:]]"", """"))"),2939.0)</f>
        <v>2939</v>
      </c>
      <c r="AG2849" s="7"/>
      <c r="AH2849" s="7"/>
      <c r="AI2849" s="7"/>
      <c r="AJ2849" s="7"/>
      <c r="AK2849" s="7"/>
      <c r="AL2849" s="7"/>
      <c r="AM2849" s="7"/>
      <c r="AN2849" s="7"/>
      <c r="AO2849" s="7"/>
      <c r="AP2849" s="7"/>
      <c r="AQ2849" s="7"/>
      <c r="AR2849" s="7"/>
      <c r="AS2849" s="7" t="s">
        <v>27</v>
      </c>
    </row>
    <row r="2850">
      <c r="A2850" s="7" t="s">
        <v>86</v>
      </c>
      <c r="B2850" s="7" t="s">
        <v>657</v>
      </c>
      <c r="C2850" s="7">
        <f>2+1</f>
        <v>3</v>
      </c>
      <c r="D2850" s="7">
        <v>2.0</v>
      </c>
      <c r="E2850" s="7">
        <v>2.0</v>
      </c>
      <c r="F2850" s="7" t="s">
        <v>93</v>
      </c>
      <c r="G2850" s="7" t="s">
        <v>884</v>
      </c>
      <c r="H2850" s="9" t="s">
        <v>2979</v>
      </c>
      <c r="I2850" t="s">
        <v>3387</v>
      </c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 t="str">
        <f t="shared" si="1"/>
        <v>Built-up :</v>
      </c>
      <c r="AE2850" s="7" t="str">
        <f t="shared" si="2"/>
        <v> sq. ft.</v>
      </c>
      <c r="AF2850">
        <f>IFERROR(__xludf.DUMMYFUNCTION("VALUE(REGEXREPLACE(G2850,""[^[:digit:]]"", """"))"),1260.0)</f>
        <v>1260</v>
      </c>
      <c r="AG2850" s="7"/>
      <c r="AH2850" s="7"/>
      <c r="AI2850" s="7"/>
      <c r="AJ2850" s="7"/>
      <c r="AK2850" s="7"/>
      <c r="AL2850" s="7"/>
      <c r="AM2850" s="7"/>
      <c r="AN2850" s="7"/>
      <c r="AO2850" s="7"/>
      <c r="AP2850" s="7"/>
      <c r="AQ2850" s="7"/>
      <c r="AR2850" s="7"/>
      <c r="AS2850" s="7" t="s">
        <v>27</v>
      </c>
    </row>
    <row r="2851">
      <c r="A2851" s="7" t="s">
        <v>23</v>
      </c>
      <c r="B2851" s="7" t="s">
        <v>1551</v>
      </c>
      <c r="C2851" s="7" t="s">
        <v>325</v>
      </c>
      <c r="D2851" s="7">
        <v>1.0</v>
      </c>
      <c r="E2851" s="7">
        <v>1.0</v>
      </c>
      <c r="F2851" s="7" t="s">
        <v>1821</v>
      </c>
      <c r="G2851" s="7" t="s">
        <v>88</v>
      </c>
      <c r="H2851" s="9" t="s">
        <v>2979</v>
      </c>
      <c r="I2851" t="s">
        <v>3002</v>
      </c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 t="str">
        <f t="shared" si="1"/>
        <v>Built-up :</v>
      </c>
      <c r="AE2851" s="7" t="str">
        <f t="shared" si="2"/>
        <v> sq. ft.</v>
      </c>
      <c r="AF2851">
        <f>IFERROR(__xludf.DUMMYFUNCTION("VALUE(REGEXREPLACE(G2851,""[^[:digit:]]"", """"))"),520.0)</f>
        <v>520</v>
      </c>
      <c r="AG2851" s="7"/>
      <c r="AH2851" s="7"/>
      <c r="AI2851" s="7"/>
      <c r="AJ2851" s="7"/>
      <c r="AK2851" s="7"/>
      <c r="AL2851" s="7"/>
      <c r="AM2851" s="7"/>
      <c r="AN2851" s="7"/>
      <c r="AO2851" s="7"/>
      <c r="AP2851" s="7"/>
      <c r="AQ2851" s="7"/>
      <c r="AR2851" s="7"/>
      <c r="AS2851" s="7" t="s">
        <v>22</v>
      </c>
    </row>
    <row r="2852">
      <c r="A2852" s="7" t="s">
        <v>33</v>
      </c>
      <c r="B2852" s="7" t="s">
        <v>158</v>
      </c>
      <c r="C2852" s="7">
        <f>7</f>
        <v>7</v>
      </c>
      <c r="D2852" s="7">
        <v>4.0</v>
      </c>
      <c r="E2852" s="9">
        <v>2.0</v>
      </c>
      <c r="F2852" s="7" t="s">
        <v>562</v>
      </c>
      <c r="G2852" s="7" t="s">
        <v>2061</v>
      </c>
      <c r="H2852" s="9" t="s">
        <v>2981</v>
      </c>
      <c r="I2852" t="s">
        <v>3164</v>
      </c>
      <c r="J2852" s="7"/>
      <c r="K2852" s="7"/>
      <c r="L2852" s="7"/>
      <c r="M2852" s="7"/>
      <c r="N2852" s="7"/>
      <c r="O2852" s="7"/>
      <c r="P2852" s="7"/>
      <c r="Q2852" s="7"/>
      <c r="R2852" s="7"/>
      <c r="S2852" s="7" t="s">
        <v>3101</v>
      </c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 t="str">
        <f t="shared" si="1"/>
        <v>Land area </v>
      </c>
      <c r="AE2852" s="7" t="str">
        <f t="shared" si="2"/>
        <v> sq. ft.</v>
      </c>
      <c r="AF2852" s="7">
        <v>2040.0</v>
      </c>
      <c r="AG2852" s="7"/>
      <c r="AH2852" s="7"/>
      <c r="AI2852" s="7"/>
      <c r="AJ2852" s="7"/>
      <c r="AK2852" s="7"/>
      <c r="AL2852" s="7"/>
      <c r="AM2852" s="7"/>
      <c r="AN2852" s="7"/>
      <c r="AO2852" s="7"/>
      <c r="AP2852" s="7"/>
      <c r="AQ2852" s="7"/>
      <c r="AR2852" s="7"/>
      <c r="AS2852" s="7" t="s">
        <v>22</v>
      </c>
    </row>
    <row r="2853">
      <c r="A2853" s="7" t="s">
        <v>32</v>
      </c>
      <c r="B2853" s="7" t="s">
        <v>49</v>
      </c>
      <c r="C2853" s="7">
        <f t="shared" ref="C2853:C2855" si="382">3</f>
        <v>3</v>
      </c>
      <c r="D2853" s="7">
        <v>2.0</v>
      </c>
      <c r="E2853" s="7">
        <v>1.0</v>
      </c>
      <c r="F2853" s="7" t="s">
        <v>93</v>
      </c>
      <c r="G2853" s="7" t="s">
        <v>948</v>
      </c>
      <c r="H2853" s="9" t="s">
        <v>2979</v>
      </c>
      <c r="I2853" t="s">
        <v>3421</v>
      </c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 t="str">
        <f t="shared" si="1"/>
        <v>Built-up :</v>
      </c>
      <c r="AE2853" s="7" t="str">
        <f t="shared" si="2"/>
        <v> sq. ft.</v>
      </c>
      <c r="AF2853">
        <f>IFERROR(__xludf.DUMMYFUNCTION("VALUE(REGEXREPLACE(G2853,""[^[:digit:]]"", """"))"),960.0)</f>
        <v>960</v>
      </c>
      <c r="AG2853" s="7"/>
      <c r="AH2853" s="7"/>
      <c r="AI2853" s="7"/>
      <c r="AJ2853" s="7"/>
      <c r="AK2853" s="7"/>
      <c r="AL2853" s="7"/>
      <c r="AM2853" s="7"/>
      <c r="AN2853" s="7"/>
      <c r="AO2853" s="7"/>
      <c r="AP2853" s="7"/>
      <c r="AQ2853" s="7"/>
      <c r="AR2853" s="7"/>
      <c r="AS2853" s="7" t="s">
        <v>22</v>
      </c>
    </row>
    <row r="2854">
      <c r="A2854" s="7" t="s">
        <v>171</v>
      </c>
      <c r="B2854" s="7" t="s">
        <v>1426</v>
      </c>
      <c r="C2854" s="7">
        <f t="shared" si="382"/>
        <v>3</v>
      </c>
      <c r="D2854" s="7">
        <v>2.0</v>
      </c>
      <c r="E2854" s="7">
        <v>1.0</v>
      </c>
      <c r="F2854" s="7" t="s">
        <v>30</v>
      </c>
      <c r="G2854" s="7" t="s">
        <v>1449</v>
      </c>
      <c r="H2854" s="9" t="s">
        <v>2979</v>
      </c>
      <c r="I2854" t="s">
        <v>3721</v>
      </c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 t="str">
        <f t="shared" si="1"/>
        <v>Built-up :</v>
      </c>
      <c r="AE2854" s="7" t="str">
        <f t="shared" si="2"/>
        <v> sq. ft.</v>
      </c>
      <c r="AF2854">
        <f>IFERROR(__xludf.DUMMYFUNCTION("VALUE(REGEXREPLACE(G2854,""[^[:digit:]]"", """"))"),931.0)</f>
        <v>931</v>
      </c>
      <c r="AG2854" s="7"/>
      <c r="AH2854" s="7"/>
      <c r="AI2854" s="7"/>
      <c r="AJ2854" s="7"/>
      <c r="AK2854" s="7"/>
      <c r="AL2854" s="7"/>
      <c r="AM2854" s="7"/>
      <c r="AN2854" s="7"/>
      <c r="AO2854" s="7"/>
      <c r="AP2854" s="7"/>
      <c r="AQ2854" s="7"/>
      <c r="AR2854" s="7"/>
      <c r="AS2854" s="7" t="s">
        <v>27</v>
      </c>
    </row>
    <row r="2855">
      <c r="A2855" s="7" t="s">
        <v>155</v>
      </c>
      <c r="B2855" s="7" t="s">
        <v>520</v>
      </c>
      <c r="C2855" s="7">
        <f t="shared" si="382"/>
        <v>3</v>
      </c>
      <c r="D2855" s="7">
        <v>2.0</v>
      </c>
      <c r="E2855" s="7">
        <v>1.0</v>
      </c>
      <c r="F2855" s="7" t="s">
        <v>83</v>
      </c>
      <c r="G2855" s="7" t="s">
        <v>2062</v>
      </c>
      <c r="H2855" s="9" t="s">
        <v>2979</v>
      </c>
      <c r="I2855" t="s">
        <v>4086</v>
      </c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 t="str">
        <f t="shared" si="1"/>
        <v>Built-up :</v>
      </c>
      <c r="AE2855" s="7" t="str">
        <f t="shared" si="2"/>
        <v> sq. ft.</v>
      </c>
      <c r="AF2855">
        <f>IFERROR(__xludf.DUMMYFUNCTION("VALUE(REGEXREPLACE(G2855,""[^[:digit:]]"", """"))"),877.0)</f>
        <v>877</v>
      </c>
      <c r="AG2855" s="7"/>
      <c r="AH2855" s="7"/>
      <c r="AI2855" s="7"/>
      <c r="AJ2855" s="7"/>
      <c r="AK2855" s="7"/>
      <c r="AL2855" s="7"/>
      <c r="AM2855" s="7"/>
      <c r="AN2855" s="7"/>
      <c r="AO2855" s="7"/>
      <c r="AP2855" s="7"/>
      <c r="AQ2855" s="7"/>
      <c r="AR2855" s="7"/>
      <c r="AS2855" s="7" t="s">
        <v>27</v>
      </c>
    </row>
    <row r="2856">
      <c r="A2856" s="7" t="s">
        <v>33</v>
      </c>
      <c r="B2856" s="7" t="s">
        <v>918</v>
      </c>
      <c r="C2856" s="7">
        <f>3+1</f>
        <v>4</v>
      </c>
      <c r="D2856" s="7">
        <v>3.0</v>
      </c>
      <c r="E2856" s="7">
        <v>2.0</v>
      </c>
      <c r="F2856" s="7" t="s">
        <v>83</v>
      </c>
      <c r="G2856" s="7" t="s">
        <v>1274</v>
      </c>
      <c r="H2856" s="9" t="s">
        <v>2979</v>
      </c>
      <c r="I2856" t="s">
        <v>3616</v>
      </c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 t="str">
        <f t="shared" si="1"/>
        <v>Built-up :</v>
      </c>
      <c r="AE2856" s="7" t="str">
        <f t="shared" si="2"/>
        <v> sq. ft.</v>
      </c>
      <c r="AF2856">
        <f>IFERROR(__xludf.DUMMYFUNCTION("VALUE(REGEXREPLACE(G2856,""[^[:digit:]]"", """"))"),1457.0)</f>
        <v>1457</v>
      </c>
      <c r="AG2856" s="7"/>
      <c r="AH2856" s="7"/>
      <c r="AI2856" s="7"/>
      <c r="AJ2856" s="7"/>
      <c r="AK2856" s="7"/>
      <c r="AL2856" s="7"/>
      <c r="AM2856" s="7"/>
      <c r="AN2856" s="7"/>
      <c r="AO2856" s="7"/>
      <c r="AP2856" s="7"/>
      <c r="AQ2856" s="7"/>
      <c r="AR2856" s="7"/>
      <c r="AS2856" s="7" t="s">
        <v>22</v>
      </c>
    </row>
    <row r="2857">
      <c r="A2857" s="7" t="s">
        <v>148</v>
      </c>
      <c r="B2857" s="7" t="s">
        <v>1328</v>
      </c>
      <c r="C2857" s="7">
        <f>4</f>
        <v>4</v>
      </c>
      <c r="D2857" s="7">
        <v>3.0</v>
      </c>
      <c r="E2857" s="9">
        <v>2.0</v>
      </c>
      <c r="F2857" s="7" t="s">
        <v>169</v>
      </c>
      <c r="G2857" s="7" t="s">
        <v>2063</v>
      </c>
      <c r="H2857" s="9" t="s">
        <v>2981</v>
      </c>
      <c r="I2857" t="s">
        <v>4087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 t="s">
        <v>3121</v>
      </c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 t="str">
        <f t="shared" si="1"/>
        <v>Land area </v>
      </c>
      <c r="AE2857" s="7" t="str">
        <f t="shared" si="2"/>
        <v> sq. ft.</v>
      </c>
      <c r="AF2857">
        <f>IFERROR(__xludf.DUMMYFUNCTION("VALUE(REGEXREPLACE(G2857,""[^[:digit:]]"", """"))"),1870.0)</f>
        <v>1870</v>
      </c>
      <c r="AG2857" s="7"/>
      <c r="AH2857" s="7"/>
      <c r="AI2857" s="7"/>
      <c r="AJ2857" s="7"/>
      <c r="AK2857" s="7"/>
      <c r="AL2857" s="7"/>
      <c r="AM2857" s="7"/>
      <c r="AN2857" s="7"/>
      <c r="AO2857" s="7"/>
      <c r="AP2857" s="7"/>
      <c r="AQ2857" s="7"/>
      <c r="AR2857" s="7"/>
      <c r="AS2857" s="7" t="s">
        <v>27</v>
      </c>
    </row>
    <row r="2858">
      <c r="A2858" s="7" t="s">
        <v>180</v>
      </c>
      <c r="B2858" s="7" t="s">
        <v>1678</v>
      </c>
      <c r="C2858" s="7">
        <f t="shared" ref="C2858:C2859" si="383">3+1</f>
        <v>4</v>
      </c>
      <c r="D2858" s="7">
        <v>3.0</v>
      </c>
      <c r="E2858" s="7">
        <v>2.0</v>
      </c>
      <c r="F2858" s="7" t="s">
        <v>83</v>
      </c>
      <c r="G2858" s="7" t="s">
        <v>2064</v>
      </c>
      <c r="H2858" s="9" t="s">
        <v>2979</v>
      </c>
      <c r="I2858" t="s">
        <v>4088</v>
      </c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 t="str">
        <f t="shared" si="1"/>
        <v>Built-up :</v>
      </c>
      <c r="AE2858" s="7" t="str">
        <f t="shared" si="2"/>
        <v> sq. ft.</v>
      </c>
      <c r="AF2858">
        <f>IFERROR(__xludf.DUMMYFUNCTION("VALUE(REGEXREPLACE(G2858,""[^[:digit:]]"", """"))"),1626.0)</f>
        <v>1626</v>
      </c>
      <c r="AG2858" s="7"/>
      <c r="AH2858" s="7"/>
      <c r="AI2858" s="7"/>
      <c r="AJ2858" s="7"/>
      <c r="AK2858" s="7"/>
      <c r="AL2858" s="7"/>
      <c r="AM2858" s="7"/>
      <c r="AN2858" s="7"/>
      <c r="AO2858" s="7"/>
      <c r="AP2858" s="7"/>
      <c r="AQ2858" s="7"/>
      <c r="AR2858" s="7"/>
      <c r="AS2858" s="7" t="s">
        <v>22</v>
      </c>
    </row>
    <row r="2859">
      <c r="A2859" s="7" t="s">
        <v>100</v>
      </c>
      <c r="B2859" s="7" t="s">
        <v>172</v>
      </c>
      <c r="C2859" s="7">
        <f t="shared" si="383"/>
        <v>4</v>
      </c>
      <c r="D2859" s="7">
        <v>4.0</v>
      </c>
      <c r="E2859" s="7">
        <v>1.0</v>
      </c>
      <c r="F2859" s="7" t="s">
        <v>93</v>
      </c>
      <c r="G2859" s="7" t="s">
        <v>2065</v>
      </c>
      <c r="H2859" s="9" t="s">
        <v>2979</v>
      </c>
      <c r="I2859" t="s">
        <v>4089</v>
      </c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 t="str">
        <f t="shared" si="1"/>
        <v>Built-up :</v>
      </c>
      <c r="AE2859" s="7" t="str">
        <f t="shared" si="2"/>
        <v> sq. ft.</v>
      </c>
      <c r="AF2859">
        <f>IFERROR(__xludf.DUMMYFUNCTION("VALUE(REGEXREPLACE(G2859,""[^[:digit:]]"", """"))"),1268.0)</f>
        <v>1268</v>
      </c>
      <c r="AG2859" s="7"/>
      <c r="AH2859" s="7"/>
      <c r="AI2859" s="7"/>
      <c r="AJ2859" s="7"/>
      <c r="AK2859" s="7"/>
      <c r="AL2859" s="7"/>
      <c r="AM2859" s="7"/>
      <c r="AN2859" s="7"/>
      <c r="AO2859" s="7"/>
      <c r="AP2859" s="7"/>
      <c r="AQ2859" s="7"/>
      <c r="AR2859" s="7"/>
      <c r="AS2859" s="7" t="s">
        <v>27</v>
      </c>
    </row>
    <row r="2860">
      <c r="A2860" s="7" t="s">
        <v>65</v>
      </c>
      <c r="B2860" s="7" t="s">
        <v>144</v>
      </c>
      <c r="C2860" s="7">
        <f>3+2</f>
        <v>5</v>
      </c>
      <c r="D2860" s="7">
        <v>5.0</v>
      </c>
      <c r="E2860" s="7">
        <v>4.0</v>
      </c>
      <c r="F2860" s="7" t="s">
        <v>83</v>
      </c>
      <c r="G2860" s="7" t="s">
        <v>400</v>
      </c>
      <c r="H2860" s="9" t="s">
        <v>2979</v>
      </c>
      <c r="I2860" t="s">
        <v>3145</v>
      </c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 t="str">
        <f t="shared" si="1"/>
        <v>Built-up :</v>
      </c>
      <c r="AE2860" s="7" t="str">
        <f t="shared" si="2"/>
        <v> sq. ft.</v>
      </c>
      <c r="AF2860">
        <f>IFERROR(__xludf.DUMMYFUNCTION("VALUE(REGEXREPLACE(G2860,""[^[:digit:]]"", """"))"),2400.0)</f>
        <v>2400</v>
      </c>
      <c r="AG2860" s="7"/>
      <c r="AH2860" s="7"/>
      <c r="AI2860" s="7"/>
      <c r="AJ2860" s="7"/>
      <c r="AK2860" s="7"/>
      <c r="AL2860" s="7"/>
      <c r="AM2860" s="7"/>
      <c r="AN2860" s="7"/>
      <c r="AO2860" s="7"/>
      <c r="AP2860" s="7"/>
      <c r="AQ2860" s="7"/>
      <c r="AR2860" s="7"/>
      <c r="AS2860" s="7" t="s">
        <v>27</v>
      </c>
    </row>
    <row r="2861">
      <c r="A2861" s="7" t="s">
        <v>17</v>
      </c>
      <c r="B2861" s="7" t="s">
        <v>349</v>
      </c>
      <c r="C2861" s="7">
        <f>2</f>
        <v>2</v>
      </c>
      <c r="D2861" s="7">
        <v>2.0</v>
      </c>
      <c r="E2861" s="7">
        <v>1.0</v>
      </c>
      <c r="F2861" s="7" t="s">
        <v>20</v>
      </c>
      <c r="G2861" s="7" t="s">
        <v>1243</v>
      </c>
      <c r="H2861" s="9" t="s">
        <v>2979</v>
      </c>
      <c r="I2861" t="s">
        <v>3601</v>
      </c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 t="str">
        <f t="shared" si="1"/>
        <v>Built-up :</v>
      </c>
      <c r="AE2861" s="7" t="str">
        <f t="shared" si="2"/>
        <v> sq. ft.</v>
      </c>
      <c r="AF2861">
        <f>IFERROR(__xludf.DUMMYFUNCTION("VALUE(REGEXREPLACE(G2861,""[^[:digit:]]"", """"))"),1410.0)</f>
        <v>1410</v>
      </c>
      <c r="AG2861" s="7"/>
      <c r="AH2861" s="7"/>
      <c r="AI2861" s="7"/>
      <c r="AJ2861" s="7"/>
      <c r="AK2861" s="7"/>
      <c r="AL2861" s="7"/>
      <c r="AM2861" s="7"/>
      <c r="AN2861" s="7"/>
      <c r="AO2861" s="7"/>
      <c r="AP2861" s="7"/>
      <c r="AQ2861" s="7"/>
      <c r="AR2861" s="7"/>
      <c r="AS2861" s="7" t="s">
        <v>22</v>
      </c>
    </row>
    <row r="2862">
      <c r="A2862" s="7" t="s">
        <v>17</v>
      </c>
      <c r="B2862" s="7" t="s">
        <v>132</v>
      </c>
      <c r="C2862" s="7">
        <f t="shared" ref="C2862:C2863" si="384">1</f>
        <v>1</v>
      </c>
      <c r="D2862" s="7">
        <v>1.0</v>
      </c>
      <c r="E2862" s="7">
        <v>1.0</v>
      </c>
      <c r="F2862" s="7" t="s">
        <v>20</v>
      </c>
      <c r="G2862" s="7" t="s">
        <v>756</v>
      </c>
      <c r="H2862" s="9" t="s">
        <v>2979</v>
      </c>
      <c r="I2862" t="s">
        <v>3321</v>
      </c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 t="str">
        <f t="shared" si="1"/>
        <v>Built-up :</v>
      </c>
      <c r="AE2862" s="7" t="str">
        <f t="shared" si="2"/>
        <v> sq. ft.</v>
      </c>
      <c r="AF2862">
        <f>IFERROR(__xludf.DUMMYFUNCTION("VALUE(REGEXREPLACE(G2862,""[^[:digit:]]"", """"))"),603.0)</f>
        <v>603</v>
      </c>
      <c r="AG2862" s="7"/>
      <c r="AH2862" s="7"/>
      <c r="AI2862" s="7"/>
      <c r="AJ2862" s="7"/>
      <c r="AK2862" s="7"/>
      <c r="AL2862" s="7"/>
      <c r="AM2862" s="7"/>
      <c r="AN2862" s="7"/>
      <c r="AO2862" s="7"/>
      <c r="AP2862" s="7"/>
      <c r="AQ2862" s="7"/>
      <c r="AR2862" s="7"/>
    </row>
    <row r="2863">
      <c r="A2863" s="7" t="s">
        <v>17</v>
      </c>
      <c r="B2863" s="7" t="s">
        <v>349</v>
      </c>
      <c r="C2863" s="7">
        <f t="shared" si="384"/>
        <v>1</v>
      </c>
      <c r="D2863" s="7">
        <v>1.0</v>
      </c>
      <c r="E2863" s="9">
        <v>2.0</v>
      </c>
      <c r="F2863" s="7" t="s">
        <v>121</v>
      </c>
      <c r="G2863" s="7" t="s">
        <v>328</v>
      </c>
      <c r="H2863" s="9" t="s">
        <v>2979</v>
      </c>
      <c r="I2863" t="s">
        <v>3110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 t="str">
        <f t="shared" si="1"/>
        <v>Built-up :</v>
      </c>
      <c r="AE2863" s="7" t="str">
        <f t="shared" si="2"/>
        <v> sq. ft.</v>
      </c>
      <c r="AF2863">
        <f>IFERROR(__xludf.DUMMYFUNCTION("VALUE(REGEXREPLACE(G2863,""[^[:digit:]]"", """"))"),925.0)</f>
        <v>925</v>
      </c>
      <c r="AG2863" s="7"/>
      <c r="AH2863" s="7"/>
      <c r="AI2863" s="7"/>
      <c r="AJ2863" s="7"/>
      <c r="AK2863" s="7"/>
      <c r="AL2863" s="7"/>
      <c r="AM2863" s="7"/>
      <c r="AN2863" s="7"/>
      <c r="AO2863" s="7"/>
      <c r="AP2863" s="7"/>
      <c r="AQ2863" s="7"/>
      <c r="AR2863" s="7"/>
      <c r="AS2863" s="7" t="s">
        <v>22</v>
      </c>
    </row>
    <row r="2864">
      <c r="A2864" s="7" t="s">
        <v>32</v>
      </c>
      <c r="B2864" s="7" t="s">
        <v>599</v>
      </c>
      <c r="C2864" s="7">
        <f>5</f>
        <v>5</v>
      </c>
      <c r="D2864" s="7">
        <v>3.0</v>
      </c>
      <c r="E2864" s="7">
        <v>2.0</v>
      </c>
      <c r="F2864" s="7" t="s">
        <v>169</v>
      </c>
      <c r="G2864" s="7" t="s">
        <v>2066</v>
      </c>
      <c r="H2864" s="9" t="s">
        <v>2981</v>
      </c>
      <c r="I2864" t="s">
        <v>4090</v>
      </c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 t="str">
        <f t="shared" si="1"/>
        <v>Land area </v>
      </c>
      <c r="AE2864" s="7" t="str">
        <f t="shared" si="2"/>
        <v> sq. ft.</v>
      </c>
      <c r="AF2864">
        <f>IFERROR(__xludf.DUMMYFUNCTION("VALUE(REGEXREPLACE(G2864,""[^[:digit:]]"", """"))"),2500.0)</f>
        <v>2500</v>
      </c>
      <c r="AG2864" s="7"/>
      <c r="AH2864" s="7"/>
      <c r="AI2864" s="7"/>
      <c r="AJ2864" s="7"/>
      <c r="AK2864" s="7"/>
      <c r="AL2864" s="7"/>
      <c r="AM2864" s="7"/>
      <c r="AN2864" s="7"/>
      <c r="AO2864" s="7"/>
      <c r="AP2864" s="7"/>
      <c r="AQ2864" s="7"/>
      <c r="AR2864" s="7"/>
      <c r="AS2864" s="7" t="s">
        <v>27</v>
      </c>
    </row>
    <row r="2865">
      <c r="A2865" s="7" t="s">
        <v>17</v>
      </c>
      <c r="B2865" s="7" t="s">
        <v>53</v>
      </c>
      <c r="C2865" s="7">
        <f t="shared" ref="C2865:C2866" si="385">2</f>
        <v>2</v>
      </c>
      <c r="D2865" s="7">
        <v>2.0</v>
      </c>
      <c r="E2865" s="9">
        <v>2.0</v>
      </c>
      <c r="F2865" s="7" t="s">
        <v>20</v>
      </c>
      <c r="G2865" s="7" t="s">
        <v>1687</v>
      </c>
      <c r="H2865" s="9" t="s">
        <v>2979</v>
      </c>
      <c r="I2865" t="s">
        <v>3857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 t="str">
        <f t="shared" si="1"/>
        <v>Built-up :</v>
      </c>
      <c r="AE2865" s="7" t="str">
        <f t="shared" si="2"/>
        <v> sq. ft.</v>
      </c>
      <c r="AF2865">
        <f>IFERROR(__xludf.DUMMYFUNCTION("VALUE(REGEXREPLACE(G2865,""[^[:digit:]]"", """"))"),1207.0)</f>
        <v>1207</v>
      </c>
      <c r="AG2865" s="7"/>
      <c r="AH2865" s="7"/>
      <c r="AI2865" s="7"/>
      <c r="AJ2865" s="7"/>
      <c r="AK2865" s="7"/>
      <c r="AL2865" s="7"/>
      <c r="AM2865" s="7"/>
      <c r="AN2865" s="7"/>
      <c r="AO2865" s="7"/>
      <c r="AP2865" s="7"/>
      <c r="AQ2865" s="7"/>
      <c r="AR2865" s="7"/>
      <c r="AS2865" s="7" t="s">
        <v>22</v>
      </c>
    </row>
    <row r="2866">
      <c r="A2866" s="7" t="s">
        <v>17</v>
      </c>
      <c r="B2866" s="7" t="s">
        <v>53</v>
      </c>
      <c r="C2866" s="7">
        <f t="shared" si="385"/>
        <v>2</v>
      </c>
      <c r="D2866" s="7">
        <v>2.0</v>
      </c>
      <c r="E2866" s="9">
        <v>2.0</v>
      </c>
      <c r="F2866" s="7" t="s">
        <v>20</v>
      </c>
      <c r="G2866" s="7" t="s">
        <v>1687</v>
      </c>
      <c r="H2866" s="9" t="s">
        <v>2979</v>
      </c>
      <c r="I2866" t="s">
        <v>3857</v>
      </c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 t="str">
        <f t="shared" si="1"/>
        <v>Built-up :</v>
      </c>
      <c r="AE2866" s="7" t="str">
        <f t="shared" si="2"/>
        <v> sq. ft.</v>
      </c>
      <c r="AF2866">
        <f>IFERROR(__xludf.DUMMYFUNCTION("VALUE(REGEXREPLACE(G2866,""[^[:digit:]]"", """"))"),1207.0)</f>
        <v>1207</v>
      </c>
      <c r="AG2866" s="7"/>
      <c r="AH2866" s="7"/>
      <c r="AI2866" s="7"/>
      <c r="AJ2866" s="7"/>
      <c r="AK2866" s="7"/>
      <c r="AL2866" s="7"/>
      <c r="AM2866" s="7"/>
      <c r="AN2866" s="7"/>
      <c r="AO2866" s="7"/>
      <c r="AP2866" s="7"/>
      <c r="AQ2866" s="7"/>
      <c r="AR2866" s="7"/>
      <c r="AS2866" s="7" t="s">
        <v>22</v>
      </c>
    </row>
    <row r="2867">
      <c r="A2867" s="7" t="s">
        <v>72</v>
      </c>
      <c r="B2867" s="7" t="s">
        <v>647</v>
      </c>
      <c r="C2867" s="7">
        <f t="shared" ref="C2867:C2868" si="386">3+1</f>
        <v>4</v>
      </c>
      <c r="D2867" s="7">
        <v>4.0</v>
      </c>
      <c r="E2867" s="9">
        <v>2.0</v>
      </c>
      <c r="F2867" s="7" t="s">
        <v>83</v>
      </c>
      <c r="G2867" s="7" t="s">
        <v>334</v>
      </c>
      <c r="H2867" s="9" t="s">
        <v>2979</v>
      </c>
      <c r="I2867" t="s">
        <v>3112</v>
      </c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 t="str">
        <f t="shared" si="1"/>
        <v>Built-up :</v>
      </c>
      <c r="AE2867" s="7" t="str">
        <f t="shared" si="2"/>
        <v> sq. ft.</v>
      </c>
      <c r="AF2867">
        <f>IFERROR(__xludf.DUMMYFUNCTION("VALUE(REGEXREPLACE(G2867,""[^[:digit:]]"", """"))"),1496.0)</f>
        <v>1496</v>
      </c>
      <c r="AG2867" s="7"/>
      <c r="AH2867" s="7"/>
      <c r="AI2867" s="7"/>
      <c r="AJ2867" s="7"/>
      <c r="AK2867" s="7"/>
      <c r="AL2867" s="7"/>
      <c r="AM2867" s="7"/>
      <c r="AN2867" s="7"/>
      <c r="AO2867" s="7"/>
      <c r="AP2867" s="7"/>
      <c r="AQ2867" s="7"/>
      <c r="AR2867" s="7"/>
      <c r="AS2867" s="7" t="s">
        <v>27</v>
      </c>
    </row>
    <row r="2868">
      <c r="A2868" s="7" t="s">
        <v>72</v>
      </c>
      <c r="B2868" s="7" t="s">
        <v>2067</v>
      </c>
      <c r="C2868" s="7">
        <f t="shared" si="386"/>
        <v>4</v>
      </c>
      <c r="D2868" s="7">
        <v>3.0</v>
      </c>
      <c r="E2868" s="9">
        <v>2.0</v>
      </c>
      <c r="F2868" s="7" t="s">
        <v>83</v>
      </c>
      <c r="G2868" s="7" t="s">
        <v>74</v>
      </c>
      <c r="H2868" s="9" t="s">
        <v>2979</v>
      </c>
      <c r="I2868" t="s">
        <v>2998</v>
      </c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 t="str">
        <f t="shared" si="1"/>
        <v>Built-up :</v>
      </c>
      <c r="AE2868" s="7" t="str">
        <f t="shared" si="2"/>
        <v> sq. ft.</v>
      </c>
      <c r="AF2868">
        <f>IFERROR(__xludf.DUMMYFUNCTION("VALUE(REGEXREPLACE(G2868,""[^[:digit:]]"", """"))"),1830.0)</f>
        <v>1830</v>
      </c>
      <c r="AG2868" s="7"/>
      <c r="AH2868" s="7"/>
      <c r="AI2868" s="7"/>
      <c r="AJ2868" s="7"/>
      <c r="AK2868" s="7"/>
      <c r="AL2868" s="7"/>
      <c r="AM2868" s="7"/>
      <c r="AN2868" s="7"/>
      <c r="AO2868" s="7"/>
      <c r="AP2868" s="7"/>
      <c r="AQ2868" s="7"/>
      <c r="AR2868" s="7"/>
      <c r="AS2868" s="7" t="s">
        <v>27</v>
      </c>
    </row>
    <row r="2869">
      <c r="A2869" s="7" t="s">
        <v>72</v>
      </c>
      <c r="B2869" s="7" t="s">
        <v>125</v>
      </c>
      <c r="C2869" s="7">
        <f>4+1</f>
        <v>5</v>
      </c>
      <c r="D2869" s="7">
        <v>4.0</v>
      </c>
      <c r="E2869" s="7">
        <v>4.0</v>
      </c>
      <c r="F2869" s="7" t="s">
        <v>83</v>
      </c>
      <c r="G2869" s="7" t="s">
        <v>176</v>
      </c>
      <c r="H2869" s="9" t="s">
        <v>2979</v>
      </c>
      <c r="I2869" t="s">
        <v>3039</v>
      </c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 t="str">
        <f t="shared" si="1"/>
        <v>Built-up :</v>
      </c>
      <c r="AE2869" s="7" t="str">
        <f t="shared" si="2"/>
        <v> sq. ft.</v>
      </c>
      <c r="AF2869">
        <f>IFERROR(__xludf.DUMMYFUNCTION("VALUE(REGEXREPLACE(G2869,""[^[:digit:]]"", """"))"),3000.0)</f>
        <v>3000</v>
      </c>
      <c r="AG2869" s="7"/>
      <c r="AH2869" s="7"/>
      <c r="AI2869" s="7"/>
      <c r="AJ2869" s="7"/>
      <c r="AK2869" s="7"/>
      <c r="AL2869" s="7"/>
      <c r="AM2869" s="7"/>
      <c r="AN2869" s="7"/>
      <c r="AO2869" s="7"/>
      <c r="AP2869" s="7"/>
      <c r="AQ2869" s="7"/>
      <c r="AR2869" s="7"/>
      <c r="AS2869" s="7" t="s">
        <v>22</v>
      </c>
    </row>
    <row r="2870">
      <c r="A2870" s="7" t="s">
        <v>72</v>
      </c>
      <c r="B2870" s="7" t="s">
        <v>411</v>
      </c>
      <c r="C2870" s="7">
        <f>3+1</f>
        <v>4</v>
      </c>
      <c r="D2870" s="7">
        <v>4.0</v>
      </c>
      <c r="E2870" s="7">
        <v>4.0</v>
      </c>
      <c r="F2870" s="7" t="s">
        <v>83</v>
      </c>
      <c r="G2870" s="7" t="s">
        <v>561</v>
      </c>
      <c r="H2870" s="9" t="s">
        <v>2979</v>
      </c>
      <c r="I2870" t="s">
        <v>3226</v>
      </c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 t="str">
        <f t="shared" si="1"/>
        <v>Built-up :</v>
      </c>
      <c r="AE2870" s="7" t="str">
        <f t="shared" si="2"/>
        <v> sq. ft.</v>
      </c>
      <c r="AF2870">
        <f>IFERROR(__xludf.DUMMYFUNCTION("VALUE(REGEXREPLACE(G2870,""[^[:digit:]]"", """"))"),2535.0)</f>
        <v>2535</v>
      </c>
      <c r="AG2870" s="7"/>
      <c r="AH2870" s="7"/>
      <c r="AI2870" s="7"/>
      <c r="AJ2870" s="7"/>
      <c r="AK2870" s="7"/>
      <c r="AL2870" s="7"/>
      <c r="AM2870" s="7"/>
      <c r="AN2870" s="7"/>
      <c r="AO2870" s="7"/>
      <c r="AP2870" s="7"/>
      <c r="AQ2870" s="7"/>
      <c r="AR2870" s="7"/>
      <c r="AS2870" s="7" t="s">
        <v>22</v>
      </c>
    </row>
    <row r="2871">
      <c r="A2871" s="7" t="s">
        <v>608</v>
      </c>
      <c r="B2871" s="7" t="s">
        <v>649</v>
      </c>
      <c r="C2871" s="7">
        <f>1+1</f>
        <v>2</v>
      </c>
      <c r="D2871" s="7">
        <v>1.0</v>
      </c>
      <c r="E2871" s="7">
        <v>1.0</v>
      </c>
      <c r="F2871" s="7" t="s">
        <v>93</v>
      </c>
      <c r="G2871" s="7" t="s">
        <v>198</v>
      </c>
      <c r="H2871" s="9" t="s">
        <v>2979</v>
      </c>
      <c r="I2871" t="s">
        <v>3048</v>
      </c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 t="str">
        <f t="shared" si="1"/>
        <v>Built-up :</v>
      </c>
      <c r="AE2871" s="7" t="str">
        <f t="shared" si="2"/>
        <v> sq. ft.</v>
      </c>
      <c r="AF2871">
        <f>IFERROR(__xludf.DUMMYFUNCTION("VALUE(REGEXREPLACE(G2871,""[^[:digit:]]"", """"))"),797.0)</f>
        <v>797</v>
      </c>
      <c r="AG2871" s="7"/>
      <c r="AH2871" s="7"/>
      <c r="AI2871" s="7"/>
      <c r="AJ2871" s="7"/>
      <c r="AK2871" s="7"/>
      <c r="AL2871" s="7"/>
      <c r="AM2871" s="7"/>
      <c r="AN2871" s="7"/>
      <c r="AO2871" s="7"/>
      <c r="AP2871" s="7"/>
      <c r="AQ2871" s="7"/>
      <c r="AR2871" s="7"/>
      <c r="AS2871" s="7" t="s">
        <v>27</v>
      </c>
    </row>
    <row r="2872">
      <c r="A2872" s="7" t="s">
        <v>608</v>
      </c>
      <c r="B2872" s="7" t="s">
        <v>329</v>
      </c>
      <c r="C2872" s="7">
        <f>2</f>
        <v>2</v>
      </c>
      <c r="D2872" s="7">
        <v>2.0</v>
      </c>
      <c r="E2872" s="9">
        <v>2.0</v>
      </c>
      <c r="F2872" s="7" t="s">
        <v>93</v>
      </c>
      <c r="G2872" s="7" t="s">
        <v>1188</v>
      </c>
      <c r="H2872" s="9" t="s">
        <v>2979</v>
      </c>
      <c r="I2872" t="s">
        <v>3566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 t="str">
        <f t="shared" si="1"/>
        <v>Built-up :</v>
      </c>
      <c r="AE2872" s="7" t="str">
        <f t="shared" si="2"/>
        <v> sq. ft.</v>
      </c>
      <c r="AF2872">
        <f>IFERROR(__xludf.DUMMYFUNCTION("VALUE(REGEXREPLACE(G2872,""[^[:digit:]]"", """"))"),1067.0)</f>
        <v>1067</v>
      </c>
      <c r="AG2872" s="7"/>
      <c r="AH2872" s="7"/>
      <c r="AI2872" s="7"/>
      <c r="AJ2872" s="7"/>
      <c r="AK2872" s="7"/>
      <c r="AL2872" s="7"/>
      <c r="AM2872" s="7"/>
      <c r="AN2872" s="7"/>
      <c r="AO2872" s="7"/>
      <c r="AP2872" s="7"/>
      <c r="AQ2872" s="7"/>
      <c r="AR2872" s="7"/>
      <c r="AS2872" s="7" t="s">
        <v>27</v>
      </c>
    </row>
    <row r="2873">
      <c r="A2873" s="7" t="s">
        <v>32</v>
      </c>
      <c r="B2873" s="7" t="s">
        <v>1258</v>
      </c>
      <c r="C2873" s="7">
        <f>3+1</f>
        <v>4</v>
      </c>
      <c r="D2873" s="7">
        <v>2.0</v>
      </c>
      <c r="E2873" s="7">
        <v>2.0</v>
      </c>
      <c r="F2873" s="7" t="s">
        <v>83</v>
      </c>
      <c r="G2873" s="7" t="s">
        <v>1677</v>
      </c>
      <c r="H2873" s="9" t="s">
        <v>2979</v>
      </c>
      <c r="I2873" t="s">
        <v>3850</v>
      </c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 t="str">
        <f t="shared" si="1"/>
        <v>Built-up :</v>
      </c>
      <c r="AE2873" s="7" t="str">
        <f t="shared" si="2"/>
        <v> sq. ft.</v>
      </c>
      <c r="AF2873">
        <f>IFERROR(__xludf.DUMMYFUNCTION("VALUE(REGEXREPLACE(G2873,""[^[:digit:]]"", """"))"),1142.0)</f>
        <v>1142</v>
      </c>
      <c r="AG2873" s="7"/>
      <c r="AH2873" s="7"/>
      <c r="AI2873" s="7"/>
      <c r="AJ2873" s="7"/>
      <c r="AK2873" s="7"/>
      <c r="AL2873" s="7"/>
      <c r="AM2873" s="7"/>
      <c r="AN2873" s="7"/>
      <c r="AO2873" s="7"/>
      <c r="AP2873" s="7"/>
      <c r="AQ2873" s="7"/>
      <c r="AR2873" s="7"/>
    </row>
    <row r="2874">
      <c r="A2874" s="7" t="s">
        <v>241</v>
      </c>
      <c r="B2874" s="7" t="s">
        <v>245</v>
      </c>
      <c r="C2874" s="7">
        <f>3</f>
        <v>3</v>
      </c>
      <c r="D2874" s="7">
        <v>4.0</v>
      </c>
      <c r="E2874" s="7">
        <v>2.0</v>
      </c>
      <c r="F2874" s="7" t="s">
        <v>30</v>
      </c>
      <c r="G2874" s="7" t="s">
        <v>473</v>
      </c>
      <c r="H2874" s="9" t="s">
        <v>2979</v>
      </c>
      <c r="I2874" t="s">
        <v>3180</v>
      </c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 t="str">
        <f t="shared" si="1"/>
        <v>Built-up :</v>
      </c>
      <c r="AE2874" s="7" t="str">
        <f t="shared" si="2"/>
        <v> sq. ft.</v>
      </c>
      <c r="AF2874">
        <f>IFERROR(__xludf.DUMMYFUNCTION("VALUE(REGEXREPLACE(G2874,""[^[:digit:]]"", """"))"),1690.0)</f>
        <v>1690</v>
      </c>
      <c r="AG2874" s="7"/>
      <c r="AH2874" s="7"/>
      <c r="AI2874" s="7"/>
      <c r="AJ2874" s="7"/>
      <c r="AK2874" s="7"/>
      <c r="AL2874" s="7"/>
      <c r="AM2874" s="7"/>
      <c r="AN2874" s="7"/>
      <c r="AO2874" s="7"/>
      <c r="AP2874" s="7"/>
      <c r="AQ2874" s="7"/>
      <c r="AR2874" s="7"/>
      <c r="AS2874" s="7" t="s">
        <v>27</v>
      </c>
    </row>
    <row r="2875">
      <c r="A2875" s="7" t="s">
        <v>241</v>
      </c>
      <c r="B2875" s="7" t="s">
        <v>381</v>
      </c>
      <c r="C2875" s="7">
        <f>3+1</f>
        <v>4</v>
      </c>
      <c r="D2875" s="7">
        <v>4.0</v>
      </c>
      <c r="E2875" s="7">
        <v>2.0</v>
      </c>
      <c r="F2875" s="7" t="s">
        <v>30</v>
      </c>
      <c r="G2875" s="7" t="s">
        <v>2068</v>
      </c>
      <c r="H2875" s="9" t="s">
        <v>2979</v>
      </c>
      <c r="I2875" t="s">
        <v>4091</v>
      </c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 t="str">
        <f t="shared" si="1"/>
        <v>Built-up :</v>
      </c>
      <c r="AE2875" s="7" t="str">
        <f t="shared" si="2"/>
        <v> sq. ft.</v>
      </c>
      <c r="AF2875">
        <f>IFERROR(__xludf.DUMMYFUNCTION("VALUE(REGEXREPLACE(G2875,""[^[:digit:]]"", """"))"),2045.0)</f>
        <v>2045</v>
      </c>
      <c r="AG2875" s="7"/>
      <c r="AH2875" s="7"/>
      <c r="AI2875" s="7"/>
      <c r="AJ2875" s="7"/>
      <c r="AK2875" s="7"/>
      <c r="AL2875" s="7"/>
      <c r="AM2875" s="7"/>
      <c r="AN2875" s="7"/>
      <c r="AO2875" s="7"/>
      <c r="AP2875" s="7"/>
      <c r="AQ2875" s="7"/>
      <c r="AR2875" s="7"/>
      <c r="AS2875" s="7" t="s">
        <v>22</v>
      </c>
    </row>
    <row r="2876">
      <c r="A2876" s="7" t="s">
        <v>171</v>
      </c>
      <c r="B2876" s="7" t="s">
        <v>107</v>
      </c>
      <c r="C2876" s="7">
        <f>3</f>
        <v>3</v>
      </c>
      <c r="D2876" s="7">
        <v>2.0</v>
      </c>
      <c r="E2876" s="7">
        <v>1.0</v>
      </c>
      <c r="F2876" s="7" t="s">
        <v>96</v>
      </c>
      <c r="G2876" s="7" t="s">
        <v>952</v>
      </c>
      <c r="H2876" s="9" t="s">
        <v>2979</v>
      </c>
      <c r="I2876" t="s">
        <v>3423</v>
      </c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 t="str">
        <f t="shared" si="1"/>
        <v>Built-up :</v>
      </c>
      <c r="AE2876" s="7" t="str">
        <f t="shared" si="2"/>
        <v> sq. ft.</v>
      </c>
      <c r="AF2876">
        <f>IFERROR(__xludf.DUMMYFUNCTION("VALUE(REGEXREPLACE(G2876,""[^[:digit:]]"", """"))"),999.0)</f>
        <v>999</v>
      </c>
      <c r="AG2876" s="7"/>
      <c r="AH2876" s="7"/>
      <c r="AI2876" s="7"/>
      <c r="AJ2876" s="7"/>
      <c r="AK2876" s="7"/>
      <c r="AL2876" s="7"/>
      <c r="AM2876" s="7"/>
      <c r="AN2876" s="7"/>
      <c r="AO2876" s="7"/>
      <c r="AP2876" s="7"/>
      <c r="AQ2876" s="7"/>
      <c r="AR2876" s="7"/>
      <c r="AS2876" s="7" t="s">
        <v>27</v>
      </c>
    </row>
    <row r="2877">
      <c r="A2877" s="7" t="s">
        <v>65</v>
      </c>
      <c r="B2877" s="7" t="s">
        <v>881</v>
      </c>
      <c r="C2877" s="7">
        <f>4+2</f>
        <v>6</v>
      </c>
      <c r="D2877" s="7">
        <v>5.0</v>
      </c>
      <c r="E2877" s="7">
        <v>6.0</v>
      </c>
      <c r="F2877" s="7" t="s">
        <v>25</v>
      </c>
      <c r="G2877" s="7" t="s">
        <v>2069</v>
      </c>
      <c r="H2877" s="9" t="s">
        <v>2981</v>
      </c>
      <c r="I2877" t="s">
        <v>4092</v>
      </c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 t="str">
        <f t="shared" si="1"/>
        <v>Land area </v>
      </c>
      <c r="AE2877" s="7" t="str">
        <f t="shared" si="2"/>
        <v> sq. ft.</v>
      </c>
      <c r="AF2877">
        <f>IFERROR(__xludf.DUMMYFUNCTION("VALUE(REGEXREPLACE(G2877,""[^[:digit:]]"", """"))"),11800.0)</f>
        <v>11800</v>
      </c>
      <c r="AG2877" s="7"/>
      <c r="AH2877" s="7"/>
      <c r="AI2877" s="7"/>
      <c r="AJ2877" s="7"/>
      <c r="AK2877" s="7"/>
      <c r="AL2877" s="7"/>
      <c r="AM2877" s="7"/>
      <c r="AN2877" s="7"/>
      <c r="AO2877" s="7"/>
      <c r="AP2877" s="7"/>
      <c r="AQ2877" s="7"/>
      <c r="AR2877" s="7"/>
    </row>
    <row r="2878">
      <c r="A2878" s="7" t="s">
        <v>17</v>
      </c>
      <c r="B2878" s="7" t="s">
        <v>277</v>
      </c>
      <c r="C2878" s="7">
        <f>4+1</f>
        <v>5</v>
      </c>
      <c r="D2878" s="7">
        <v>5.0</v>
      </c>
      <c r="E2878" s="9">
        <v>2.0</v>
      </c>
      <c r="F2878" s="7" t="s">
        <v>83</v>
      </c>
      <c r="G2878" s="7" t="s">
        <v>295</v>
      </c>
      <c r="H2878" s="9" t="s">
        <v>2979</v>
      </c>
      <c r="I2878" t="s">
        <v>3096</v>
      </c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 t="str">
        <f t="shared" si="1"/>
        <v>Built-up :</v>
      </c>
      <c r="AE2878" s="7" t="str">
        <f t="shared" si="2"/>
        <v> sq. ft.</v>
      </c>
      <c r="AF2878">
        <f>IFERROR(__xludf.DUMMYFUNCTION("VALUE(REGEXREPLACE(G2878,""[^[:digit:]]"", """"))"),3218.0)</f>
        <v>3218</v>
      </c>
      <c r="AG2878" s="7"/>
      <c r="AH2878" s="7"/>
      <c r="AI2878" s="7"/>
      <c r="AJ2878" s="7"/>
      <c r="AK2878" s="7"/>
      <c r="AL2878" s="7"/>
      <c r="AM2878" s="7"/>
      <c r="AN2878" s="7"/>
      <c r="AO2878" s="7"/>
      <c r="AP2878" s="7"/>
      <c r="AQ2878" s="7"/>
      <c r="AR2878" s="7"/>
    </row>
    <row r="2879">
      <c r="A2879" s="7" t="s">
        <v>41</v>
      </c>
      <c r="B2879" s="7" t="s">
        <v>2070</v>
      </c>
      <c r="C2879" s="7">
        <f>6+1</f>
        <v>7</v>
      </c>
      <c r="D2879" s="7">
        <v>5.0</v>
      </c>
      <c r="E2879" s="9">
        <v>2.0</v>
      </c>
      <c r="F2879" s="7" t="s">
        <v>25</v>
      </c>
      <c r="G2879" s="7" t="s">
        <v>2071</v>
      </c>
      <c r="H2879" s="9" t="s">
        <v>2979</v>
      </c>
      <c r="I2879" t="s">
        <v>4093</v>
      </c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 t="str">
        <f t="shared" si="1"/>
        <v>Built-up :</v>
      </c>
      <c r="AE2879" s="7" t="str">
        <f t="shared" si="2"/>
        <v> sq. ft.</v>
      </c>
      <c r="AF2879">
        <f>IFERROR(__xludf.DUMMYFUNCTION("VALUE(REGEXREPLACE(G2879,""[^[:digit:]]"", """"))"),6000.0)</f>
        <v>6000</v>
      </c>
      <c r="AG2879" s="7"/>
      <c r="AH2879" s="7"/>
      <c r="AI2879" s="7"/>
      <c r="AJ2879" s="7"/>
      <c r="AK2879" s="7"/>
      <c r="AL2879" s="7"/>
      <c r="AM2879" s="7"/>
      <c r="AN2879" s="7"/>
      <c r="AO2879" s="7"/>
      <c r="AP2879" s="7"/>
      <c r="AQ2879" s="7"/>
      <c r="AR2879" s="7"/>
      <c r="AS2879" s="7" t="s">
        <v>27</v>
      </c>
    </row>
    <row r="2880">
      <c r="A2880" s="7" t="s">
        <v>104</v>
      </c>
      <c r="B2880" s="7" t="s">
        <v>1543</v>
      </c>
      <c r="C2880" s="7">
        <f>4</f>
        <v>4</v>
      </c>
      <c r="D2880" s="7">
        <v>3.0</v>
      </c>
      <c r="E2880" s="7">
        <v>2.0</v>
      </c>
      <c r="F2880" s="7" t="s">
        <v>54</v>
      </c>
      <c r="G2880" s="7" t="s">
        <v>1119</v>
      </c>
      <c r="H2880" s="9" t="s">
        <v>2981</v>
      </c>
      <c r="I2880" t="s">
        <v>3516</v>
      </c>
      <c r="J2880" s="7"/>
      <c r="K2880" s="7"/>
      <c r="L2880" s="7"/>
      <c r="M2880" s="7"/>
      <c r="N2880" s="7"/>
      <c r="O2880" s="7"/>
      <c r="P2880" s="7"/>
      <c r="Q2880" s="7"/>
      <c r="R2880" s="7"/>
      <c r="S2880" s="7" t="s">
        <v>3121</v>
      </c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 t="str">
        <f t="shared" si="1"/>
        <v>Land area </v>
      </c>
      <c r="AE2880" s="7" t="str">
        <f t="shared" si="2"/>
        <v> sq. ft.</v>
      </c>
      <c r="AF2880">
        <f>IFERROR(__xludf.DUMMYFUNCTION("VALUE(REGEXREPLACE(G2880,""[^[:digit:]]"", """"))"),2070.0)</f>
        <v>2070</v>
      </c>
      <c r="AG2880" s="7"/>
      <c r="AH2880" s="7"/>
      <c r="AI2880" s="7"/>
      <c r="AJ2880" s="7"/>
      <c r="AK2880" s="7"/>
      <c r="AL2880" s="7"/>
      <c r="AM2880" s="7"/>
      <c r="AN2880" s="7"/>
      <c r="AO2880" s="7"/>
      <c r="AP2880" s="7"/>
      <c r="AQ2880" s="7"/>
      <c r="AR2880" s="7"/>
      <c r="AS2880" s="7" t="s">
        <v>27</v>
      </c>
    </row>
    <row r="2881">
      <c r="A2881" s="7" t="s">
        <v>72</v>
      </c>
      <c r="B2881" s="7" t="s">
        <v>311</v>
      </c>
      <c r="C2881" s="7">
        <f>3+1</f>
        <v>4</v>
      </c>
      <c r="D2881" s="7">
        <v>4.0</v>
      </c>
      <c r="E2881" s="7">
        <v>2.0</v>
      </c>
      <c r="F2881" s="7" t="s">
        <v>83</v>
      </c>
      <c r="G2881" s="7" t="s">
        <v>2072</v>
      </c>
      <c r="H2881" s="9" t="s">
        <v>2979</v>
      </c>
      <c r="I2881" t="s">
        <v>4094</v>
      </c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 t="str">
        <f t="shared" si="1"/>
        <v>Built-up :</v>
      </c>
      <c r="AE2881" s="7" t="str">
        <f t="shared" si="2"/>
        <v> sq. ft.</v>
      </c>
      <c r="AF2881">
        <f>IFERROR(__xludf.DUMMYFUNCTION("VALUE(REGEXREPLACE(G2881,""[^[:digit:]]"", """"))"),1931.0)</f>
        <v>1931</v>
      </c>
      <c r="AG2881" s="7"/>
      <c r="AH2881" s="7"/>
      <c r="AI2881" s="7"/>
      <c r="AJ2881" s="7"/>
      <c r="AK2881" s="7"/>
      <c r="AL2881" s="7"/>
      <c r="AM2881" s="7"/>
      <c r="AN2881" s="7"/>
      <c r="AO2881" s="7"/>
      <c r="AP2881" s="7"/>
      <c r="AQ2881" s="7"/>
      <c r="AR2881" s="7"/>
    </row>
    <row r="2882">
      <c r="A2882" s="7" t="s">
        <v>171</v>
      </c>
      <c r="B2882" s="7" t="s">
        <v>1111</v>
      </c>
      <c r="C2882" s="7">
        <f>3</f>
        <v>3</v>
      </c>
      <c r="D2882" s="7">
        <v>2.0</v>
      </c>
      <c r="E2882" s="9">
        <v>2.0</v>
      </c>
      <c r="F2882" s="7" t="s">
        <v>203</v>
      </c>
      <c r="G2882" s="7" t="s">
        <v>2073</v>
      </c>
      <c r="H2882" s="9" t="s">
        <v>2981</v>
      </c>
      <c r="I2882" t="s">
        <v>4095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 t="s">
        <v>4096</v>
      </c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 t="str">
        <f t="shared" si="1"/>
        <v>Land area </v>
      </c>
      <c r="AE2882" s="7" t="str">
        <f t="shared" si="2"/>
        <v> sq. ft.</v>
      </c>
      <c r="AF2882">
        <f>IFERROR(__xludf.DUMMYFUNCTION("VALUE(REGEXREPLACE(G2882,""[^[:digit:]]"", """"))"),1442.0)</f>
        <v>1442</v>
      </c>
      <c r="AG2882" s="7"/>
      <c r="AH2882" s="7"/>
      <c r="AI2882" s="7"/>
      <c r="AJ2882" s="7"/>
      <c r="AK2882" s="7"/>
      <c r="AL2882" s="7"/>
      <c r="AM2882" s="7"/>
      <c r="AN2882" s="7"/>
      <c r="AO2882" s="7"/>
      <c r="AP2882" s="7"/>
      <c r="AQ2882" s="7"/>
      <c r="AR2882" s="7"/>
    </row>
    <row r="2883">
      <c r="A2883" s="7" t="s">
        <v>72</v>
      </c>
      <c r="B2883" s="7" t="s">
        <v>658</v>
      </c>
      <c r="C2883" s="7">
        <f>4+1</f>
        <v>5</v>
      </c>
      <c r="D2883" s="7">
        <v>5.0</v>
      </c>
      <c r="E2883" s="7">
        <v>3.0</v>
      </c>
      <c r="F2883" s="7" t="s">
        <v>30</v>
      </c>
      <c r="G2883" s="7" t="s">
        <v>1284</v>
      </c>
      <c r="H2883" s="9" t="s">
        <v>2979</v>
      </c>
      <c r="I2883" t="s">
        <v>3623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 t="str">
        <f t="shared" si="1"/>
        <v>Built-up :</v>
      </c>
      <c r="AE2883" s="7" t="str">
        <f t="shared" si="2"/>
        <v> sq. ft.</v>
      </c>
      <c r="AF2883">
        <f>IFERROR(__xludf.DUMMYFUNCTION("VALUE(REGEXREPLACE(G2883,""[^[:digit:]]"", """"))"),3169.0)</f>
        <v>3169</v>
      </c>
      <c r="AG2883" s="7"/>
      <c r="AH2883" s="7"/>
      <c r="AI2883" s="7"/>
      <c r="AJ2883" s="7"/>
      <c r="AK2883" s="7"/>
      <c r="AL2883" s="7"/>
      <c r="AM2883" s="7"/>
      <c r="AN2883" s="7"/>
      <c r="AO2883" s="7"/>
      <c r="AP2883" s="7"/>
      <c r="AQ2883" s="7"/>
      <c r="AR2883" s="7"/>
      <c r="AS2883" s="7" t="s">
        <v>27</v>
      </c>
    </row>
    <row r="2884">
      <c r="A2884" s="7" t="s">
        <v>72</v>
      </c>
      <c r="B2884" s="7" t="s">
        <v>243</v>
      </c>
      <c r="C2884" s="7">
        <f t="shared" ref="C2884:C2885" si="387">3</f>
        <v>3</v>
      </c>
      <c r="D2884" s="7">
        <v>2.0</v>
      </c>
      <c r="E2884" s="7">
        <v>2.0</v>
      </c>
      <c r="F2884" s="7" t="s">
        <v>83</v>
      </c>
      <c r="G2884" s="7" t="s">
        <v>135</v>
      </c>
      <c r="H2884" s="9" t="s">
        <v>2979</v>
      </c>
      <c r="I2884" t="s">
        <v>3023</v>
      </c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 t="str">
        <f t="shared" si="1"/>
        <v>Built-up :</v>
      </c>
      <c r="AE2884" s="7" t="str">
        <f t="shared" si="2"/>
        <v> sq. ft.</v>
      </c>
      <c r="AF2884">
        <f>IFERROR(__xludf.DUMMYFUNCTION("VALUE(REGEXREPLACE(G2884,""[^[:digit:]]"", """"))"),1200.0)</f>
        <v>1200</v>
      </c>
      <c r="AG2884" s="7"/>
      <c r="AH2884" s="7"/>
      <c r="AI2884" s="7"/>
      <c r="AJ2884" s="7"/>
      <c r="AK2884" s="7"/>
      <c r="AL2884" s="7"/>
      <c r="AM2884" s="7"/>
      <c r="AN2884" s="7"/>
      <c r="AO2884" s="7"/>
      <c r="AP2884" s="7"/>
      <c r="AQ2884" s="7"/>
      <c r="AR2884" s="7"/>
      <c r="AS2884" s="7" t="s">
        <v>27</v>
      </c>
    </row>
    <row r="2885">
      <c r="A2885" s="7" t="s">
        <v>89</v>
      </c>
      <c r="B2885" s="7" t="s">
        <v>759</v>
      </c>
      <c r="C2885" s="7">
        <f t="shared" si="387"/>
        <v>3</v>
      </c>
      <c r="D2885" s="7">
        <v>2.0</v>
      </c>
      <c r="E2885" s="7">
        <v>1.0</v>
      </c>
      <c r="F2885" s="7" t="s">
        <v>30</v>
      </c>
      <c r="G2885" s="7" t="s">
        <v>1532</v>
      </c>
      <c r="H2885" s="9" t="s">
        <v>2979</v>
      </c>
      <c r="I2885" t="s">
        <v>3764</v>
      </c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 t="str">
        <f t="shared" si="1"/>
        <v>Built-up :</v>
      </c>
      <c r="AE2885" s="7" t="str">
        <f t="shared" si="2"/>
        <v> sq. ft.</v>
      </c>
      <c r="AF2885">
        <f>IFERROR(__xludf.DUMMYFUNCTION("VALUE(REGEXREPLACE(G2885,""[^[:digit:]]"", """"))"),1044.0)</f>
        <v>1044</v>
      </c>
      <c r="AG2885" s="7"/>
      <c r="AH2885" s="7"/>
      <c r="AI2885" s="7"/>
      <c r="AJ2885" s="7"/>
      <c r="AK2885" s="7"/>
      <c r="AL2885" s="7"/>
      <c r="AM2885" s="7"/>
      <c r="AN2885" s="7"/>
      <c r="AO2885" s="7"/>
      <c r="AP2885" s="7"/>
      <c r="AQ2885" s="7"/>
      <c r="AR2885" s="7"/>
      <c r="AS2885" s="7" t="s">
        <v>27</v>
      </c>
    </row>
    <row r="2886">
      <c r="A2886" s="7" t="s">
        <v>17</v>
      </c>
      <c r="B2886" s="7" t="s">
        <v>268</v>
      </c>
      <c r="C2886" s="7" t="s">
        <v>325</v>
      </c>
      <c r="D2886" s="7">
        <v>1.0</v>
      </c>
      <c r="E2886" s="9">
        <v>2.0</v>
      </c>
      <c r="F2886" s="7" t="s">
        <v>1821</v>
      </c>
      <c r="G2886" s="7" t="s">
        <v>980</v>
      </c>
      <c r="H2886" s="9" t="s">
        <v>2979</v>
      </c>
      <c r="I2886" t="s">
        <v>3434</v>
      </c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 t="str">
        <f t="shared" si="1"/>
        <v>Built-up :</v>
      </c>
      <c r="AE2886" s="7" t="str">
        <f t="shared" si="2"/>
        <v> sq. ft.</v>
      </c>
      <c r="AF2886">
        <f>IFERROR(__xludf.DUMMYFUNCTION("VALUE(REGEXREPLACE(G2886,""[^[:digit:]]"", """"))"),493.0)</f>
        <v>493</v>
      </c>
      <c r="AG2886" s="7"/>
      <c r="AH2886" s="7"/>
      <c r="AI2886" s="7"/>
      <c r="AJ2886" s="7"/>
      <c r="AK2886" s="7"/>
      <c r="AL2886" s="7"/>
      <c r="AM2886" s="7"/>
      <c r="AN2886" s="7"/>
      <c r="AO2886" s="7"/>
      <c r="AP2886" s="7"/>
      <c r="AQ2886" s="7"/>
      <c r="AR2886" s="7"/>
      <c r="AS2886" s="7" t="s">
        <v>22</v>
      </c>
    </row>
    <row r="2887">
      <c r="A2887" s="7" t="s">
        <v>33</v>
      </c>
      <c r="B2887" s="7" t="s">
        <v>132</v>
      </c>
      <c r="C2887" s="7">
        <f t="shared" ref="C2887:C2888" si="388">3</f>
        <v>3</v>
      </c>
      <c r="D2887" s="7">
        <v>3.0</v>
      </c>
      <c r="E2887" s="7">
        <v>2.0</v>
      </c>
      <c r="F2887" s="7" t="s">
        <v>145</v>
      </c>
      <c r="G2887" s="7" t="s">
        <v>2074</v>
      </c>
      <c r="H2887" s="9" t="s">
        <v>2979</v>
      </c>
      <c r="I2887" t="s">
        <v>4097</v>
      </c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 t="str">
        <f t="shared" si="1"/>
        <v>Built-up :</v>
      </c>
      <c r="AE2887" s="7" t="str">
        <f t="shared" si="2"/>
        <v> sq. ft.</v>
      </c>
      <c r="AF2887">
        <f>IFERROR(__xludf.DUMMYFUNCTION("VALUE(REGEXREPLACE(G2887,""[^[:digit:]]"", """"))"),1521.0)</f>
        <v>1521</v>
      </c>
      <c r="AG2887" s="7"/>
      <c r="AH2887" s="7"/>
      <c r="AI2887" s="7"/>
      <c r="AJ2887" s="7"/>
      <c r="AK2887" s="7"/>
      <c r="AL2887" s="7"/>
      <c r="AM2887" s="7"/>
      <c r="AN2887" s="7"/>
      <c r="AO2887" s="7"/>
      <c r="AP2887" s="7"/>
      <c r="AQ2887" s="7"/>
      <c r="AR2887" s="7"/>
      <c r="AS2887" s="7" t="s">
        <v>27</v>
      </c>
    </row>
    <row r="2888">
      <c r="A2888" s="7" t="s">
        <v>188</v>
      </c>
      <c r="B2888" s="7" t="s">
        <v>29</v>
      </c>
      <c r="C2888" s="7">
        <f t="shared" si="388"/>
        <v>3</v>
      </c>
      <c r="D2888" s="7">
        <v>3.0</v>
      </c>
      <c r="E2888" s="7">
        <v>1.0</v>
      </c>
      <c r="F2888" s="7" t="s">
        <v>82</v>
      </c>
      <c r="G2888" s="7" t="s">
        <v>2075</v>
      </c>
      <c r="H2888" s="9" t="s">
        <v>2979</v>
      </c>
      <c r="I2888" t="s">
        <v>4098</v>
      </c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 t="str">
        <f t="shared" si="1"/>
        <v>Built-up :</v>
      </c>
      <c r="AE2888" s="7" t="str">
        <f t="shared" si="2"/>
        <v> sq. ft.</v>
      </c>
      <c r="AF2888">
        <f>IFERROR(__xludf.DUMMYFUNCTION("VALUE(REGEXREPLACE(G2888,""[^[:digit:]]"", """"))"),1013.0)</f>
        <v>1013</v>
      </c>
      <c r="AG2888" s="7"/>
      <c r="AH2888" s="7"/>
      <c r="AI2888" s="7"/>
      <c r="AJ2888" s="7"/>
      <c r="AK2888" s="7"/>
      <c r="AL2888" s="7"/>
      <c r="AM2888" s="7"/>
      <c r="AN2888" s="7"/>
      <c r="AO2888" s="7"/>
      <c r="AP2888" s="7"/>
      <c r="AQ2888" s="7"/>
      <c r="AR2888" s="7"/>
      <c r="AS2888" s="7" t="s">
        <v>22</v>
      </c>
    </row>
    <row r="2889">
      <c r="A2889" s="7" t="s">
        <v>23</v>
      </c>
      <c r="B2889" s="7" t="s">
        <v>270</v>
      </c>
      <c r="C2889" s="7">
        <f>5+1</f>
        <v>6</v>
      </c>
      <c r="D2889" s="7">
        <v>7.0</v>
      </c>
      <c r="E2889" s="9">
        <v>2.0</v>
      </c>
      <c r="F2889" s="7" t="s">
        <v>25</v>
      </c>
      <c r="G2889" s="7" t="s">
        <v>1621</v>
      </c>
      <c r="H2889" s="9" t="s">
        <v>2981</v>
      </c>
      <c r="I2889" t="s">
        <v>3817</v>
      </c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 t="str">
        <f t="shared" si="1"/>
        <v>Land area </v>
      </c>
      <c r="AE2889" s="7" t="str">
        <f t="shared" si="2"/>
        <v> sq. ft.</v>
      </c>
      <c r="AF2889">
        <f>IFERROR(__xludf.DUMMYFUNCTION("VALUE(REGEXREPLACE(G2889,""[^[:digit:]]"", """"))"),7468.0)</f>
        <v>7468</v>
      </c>
      <c r="AG2889" s="7"/>
      <c r="AH2889" s="7"/>
      <c r="AI2889" s="7"/>
      <c r="AJ2889" s="7"/>
      <c r="AK2889" s="7"/>
      <c r="AL2889" s="7"/>
      <c r="AM2889" s="7"/>
      <c r="AN2889" s="7"/>
      <c r="AO2889" s="7"/>
      <c r="AP2889" s="7"/>
      <c r="AQ2889" s="7"/>
      <c r="AR2889" s="7"/>
      <c r="AS2889" s="7" t="s">
        <v>27</v>
      </c>
    </row>
    <row r="2890">
      <c r="A2890" s="7" t="s">
        <v>48</v>
      </c>
      <c r="B2890" s="7" t="s">
        <v>691</v>
      </c>
      <c r="C2890" s="7">
        <f>2</f>
        <v>2</v>
      </c>
      <c r="D2890" s="7">
        <v>2.0</v>
      </c>
      <c r="E2890" s="7">
        <v>1.0</v>
      </c>
      <c r="F2890" s="7" t="s">
        <v>169</v>
      </c>
      <c r="G2890" s="7" t="s">
        <v>2076</v>
      </c>
      <c r="H2890" s="9" t="s">
        <v>2981</v>
      </c>
      <c r="I2890" t="s">
        <v>3505</v>
      </c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 t="str">
        <f t="shared" si="1"/>
        <v>Land area </v>
      </c>
      <c r="AE2890" s="7" t="str">
        <f t="shared" si="2"/>
        <v> sq. ft.</v>
      </c>
      <c r="AF2890">
        <f>IFERROR(__xludf.DUMMYFUNCTION("VALUE(REGEXREPLACE(G2890,""[^[:digit:]]"", """"))"),1455.0)</f>
        <v>1455</v>
      </c>
      <c r="AG2890" s="7"/>
      <c r="AH2890" s="7"/>
      <c r="AI2890" s="7"/>
      <c r="AJ2890" s="7"/>
      <c r="AK2890" s="7"/>
      <c r="AL2890" s="7"/>
      <c r="AM2890" s="7"/>
      <c r="AN2890" s="7"/>
      <c r="AO2890" s="7"/>
      <c r="AP2890" s="7"/>
      <c r="AQ2890" s="7"/>
      <c r="AR2890" s="7"/>
      <c r="AS2890" s="7" t="s">
        <v>27</v>
      </c>
    </row>
    <row r="2891">
      <c r="A2891" s="7" t="s">
        <v>709</v>
      </c>
      <c r="B2891" s="7" t="s">
        <v>1721</v>
      </c>
      <c r="C2891" s="7">
        <f>5</f>
        <v>5</v>
      </c>
      <c r="D2891" s="7">
        <v>5.0</v>
      </c>
      <c r="E2891" s="9">
        <v>2.0</v>
      </c>
      <c r="F2891" s="7" t="s">
        <v>25</v>
      </c>
      <c r="G2891" s="7" t="s">
        <v>2077</v>
      </c>
      <c r="H2891" s="9" t="s">
        <v>2979</v>
      </c>
      <c r="I2891" t="s">
        <v>4099</v>
      </c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 t="str">
        <f t="shared" si="1"/>
        <v>Built-up :</v>
      </c>
      <c r="AE2891" s="7" t="str">
        <f t="shared" si="2"/>
        <v> sq. ft.</v>
      </c>
      <c r="AF2891">
        <f>IFERROR(__xludf.DUMMYFUNCTION("VALUE(REGEXREPLACE(G2891,""[^[:digit:]]"", """"))"),5660.0)</f>
        <v>5660</v>
      </c>
      <c r="AG2891" s="7"/>
      <c r="AH2891" s="7"/>
      <c r="AI2891" s="7"/>
      <c r="AJ2891" s="7"/>
      <c r="AK2891" s="7"/>
      <c r="AL2891" s="7"/>
      <c r="AM2891" s="7"/>
      <c r="AN2891" s="7"/>
      <c r="AO2891" s="7"/>
      <c r="AP2891" s="7"/>
      <c r="AQ2891" s="7"/>
      <c r="AR2891" s="7"/>
    </row>
    <row r="2892">
      <c r="A2892" s="7" t="s">
        <v>72</v>
      </c>
      <c r="B2892" s="7" t="s">
        <v>1452</v>
      </c>
      <c r="E2892" s="9">
        <v>2.0</v>
      </c>
      <c r="F2892" s="7" t="s">
        <v>1204</v>
      </c>
      <c r="G2892" s="7" t="s">
        <v>2078</v>
      </c>
      <c r="H2892" s="9" t="s">
        <v>2979</v>
      </c>
      <c r="I2892" t="s">
        <v>4100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 t="str">
        <f t="shared" si="1"/>
        <v>Built-up :</v>
      </c>
      <c r="AE2892" s="7" t="str">
        <f t="shared" si="2"/>
        <v> sq. ft.</v>
      </c>
      <c r="AF2892">
        <f>IFERROR(__xludf.DUMMYFUNCTION("VALUE(REGEXREPLACE(G2892,""[^[:digit:]]"", """"))"),6200.0)</f>
        <v>6200</v>
      </c>
      <c r="AG2892" s="7"/>
      <c r="AH2892" s="7"/>
      <c r="AI2892" s="7"/>
      <c r="AJ2892" s="7"/>
      <c r="AK2892" s="7"/>
      <c r="AL2892" s="7"/>
      <c r="AM2892" s="7"/>
      <c r="AN2892" s="7"/>
      <c r="AO2892" s="7"/>
      <c r="AP2892" s="7"/>
      <c r="AQ2892" s="7"/>
      <c r="AR2892" s="7"/>
    </row>
    <row r="2893">
      <c r="A2893" s="7" t="s">
        <v>72</v>
      </c>
      <c r="B2893" s="7" t="s">
        <v>174</v>
      </c>
      <c r="C2893" s="7">
        <f>4+1</f>
        <v>5</v>
      </c>
      <c r="D2893" s="7">
        <v>5.0</v>
      </c>
      <c r="E2893" s="7">
        <v>3.0</v>
      </c>
      <c r="F2893" s="7" t="s">
        <v>30</v>
      </c>
      <c r="G2893" s="7" t="s">
        <v>1927</v>
      </c>
      <c r="H2893" s="9" t="s">
        <v>2979</v>
      </c>
      <c r="I2893" t="s">
        <v>4003</v>
      </c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 t="str">
        <f t="shared" si="1"/>
        <v>Built-up :</v>
      </c>
      <c r="AE2893" s="7" t="str">
        <f t="shared" si="2"/>
        <v> sq. ft.</v>
      </c>
      <c r="AF2893">
        <f>IFERROR(__xludf.DUMMYFUNCTION("VALUE(REGEXREPLACE(G2893,""[^[:digit:]]"", """"))"),3704.0)</f>
        <v>3704</v>
      </c>
      <c r="AG2893" s="7"/>
      <c r="AH2893" s="7"/>
      <c r="AI2893" s="7"/>
      <c r="AJ2893" s="7"/>
      <c r="AK2893" s="7"/>
      <c r="AL2893" s="7"/>
      <c r="AM2893" s="7"/>
      <c r="AN2893" s="7"/>
      <c r="AO2893" s="7"/>
      <c r="AP2893" s="7"/>
      <c r="AQ2893" s="7"/>
      <c r="AR2893" s="7"/>
      <c r="AS2893" s="7" t="s">
        <v>27</v>
      </c>
    </row>
    <row r="2894">
      <c r="A2894" s="7" t="s">
        <v>143</v>
      </c>
      <c r="B2894" s="7" t="s">
        <v>346</v>
      </c>
      <c r="C2894" s="7">
        <f>3+1</f>
        <v>4</v>
      </c>
      <c r="D2894" s="7">
        <v>3.0</v>
      </c>
      <c r="E2894" s="7">
        <v>1.0</v>
      </c>
      <c r="F2894" s="7" t="s">
        <v>1410</v>
      </c>
      <c r="G2894" s="7" t="s">
        <v>2079</v>
      </c>
      <c r="H2894" s="9" t="s">
        <v>2981</v>
      </c>
      <c r="I2894" t="s">
        <v>3003</v>
      </c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 t="str">
        <f t="shared" si="1"/>
        <v>Land area </v>
      </c>
      <c r="AE2894" s="7" t="str">
        <f t="shared" si="2"/>
        <v> sq. ft.</v>
      </c>
      <c r="AF2894">
        <f>IFERROR(__xludf.DUMMYFUNCTION("VALUE(REGEXREPLACE(G2894,""[^[:digit:]]"", """"))"),1500.0)</f>
        <v>1500</v>
      </c>
      <c r="AG2894" s="7"/>
      <c r="AH2894" s="7"/>
      <c r="AI2894" s="7"/>
      <c r="AJ2894" s="7"/>
      <c r="AK2894" s="7"/>
      <c r="AL2894" s="7"/>
      <c r="AM2894" s="7"/>
      <c r="AN2894" s="7"/>
      <c r="AO2894" s="7"/>
      <c r="AP2894" s="7"/>
      <c r="AQ2894" s="7"/>
      <c r="AR2894" s="7"/>
      <c r="AS2894" s="7" t="s">
        <v>27</v>
      </c>
    </row>
    <row r="2895">
      <c r="A2895" s="7" t="s">
        <v>48</v>
      </c>
      <c r="B2895" s="7" t="s">
        <v>603</v>
      </c>
      <c r="C2895" s="7">
        <f>4</f>
        <v>4</v>
      </c>
      <c r="D2895" s="7">
        <v>3.0</v>
      </c>
      <c r="E2895" s="7">
        <v>2.0</v>
      </c>
      <c r="F2895" s="7" t="s">
        <v>54</v>
      </c>
      <c r="G2895" s="7" t="s">
        <v>1839</v>
      </c>
      <c r="H2895" s="9" t="s">
        <v>2981</v>
      </c>
      <c r="I2895" t="s">
        <v>3949</v>
      </c>
      <c r="J2895" s="7"/>
      <c r="K2895" s="7"/>
      <c r="L2895" s="7"/>
      <c r="M2895" s="7"/>
      <c r="N2895" s="7"/>
      <c r="O2895" s="7"/>
      <c r="P2895" s="7"/>
      <c r="Q2895" s="7"/>
      <c r="R2895" s="7"/>
      <c r="S2895" s="7" t="s">
        <v>3298</v>
      </c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 t="str">
        <f t="shared" si="1"/>
        <v>Land area </v>
      </c>
      <c r="AE2895" s="7" t="str">
        <f t="shared" si="2"/>
        <v> sq. ft.</v>
      </c>
      <c r="AF2895">
        <f>IFERROR(__xludf.DUMMYFUNCTION("VALUE(REGEXREPLACE(G2895,""[^[:digit:]]"", """"))"),1865.0)</f>
        <v>1865</v>
      </c>
      <c r="AG2895" s="7"/>
      <c r="AH2895" s="7"/>
      <c r="AI2895" s="7"/>
      <c r="AJ2895" s="7"/>
      <c r="AK2895" s="7"/>
      <c r="AL2895" s="7"/>
      <c r="AM2895" s="7"/>
      <c r="AN2895" s="7"/>
      <c r="AO2895" s="7"/>
      <c r="AP2895" s="7"/>
      <c r="AQ2895" s="7"/>
      <c r="AR2895" s="7"/>
    </row>
    <row r="2896">
      <c r="A2896" s="7" t="s">
        <v>48</v>
      </c>
      <c r="B2896" s="7" t="s">
        <v>1423</v>
      </c>
      <c r="C2896" s="7">
        <f t="shared" ref="C2896:C2898" si="389">3</f>
        <v>3</v>
      </c>
      <c r="D2896" s="7">
        <v>2.0</v>
      </c>
      <c r="E2896" s="7">
        <v>2.0</v>
      </c>
      <c r="F2896" s="7" t="s">
        <v>169</v>
      </c>
      <c r="G2896" s="7" t="s">
        <v>2080</v>
      </c>
      <c r="H2896" s="9" t="s">
        <v>2981</v>
      </c>
      <c r="I2896" t="s">
        <v>3908</v>
      </c>
      <c r="J2896" s="7"/>
      <c r="K2896" s="7"/>
      <c r="L2896" s="7"/>
      <c r="M2896" s="7"/>
      <c r="N2896" s="7"/>
      <c r="O2896" s="7"/>
      <c r="P2896" s="7"/>
      <c r="Q2896" s="7"/>
      <c r="R2896" s="7"/>
      <c r="S2896" s="7" t="s">
        <v>3372</v>
      </c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 t="str">
        <f t="shared" si="1"/>
        <v>Land area </v>
      </c>
      <c r="AE2896" s="7" t="str">
        <f t="shared" si="2"/>
        <v> sq. ft.</v>
      </c>
      <c r="AF2896">
        <f>IFERROR(__xludf.DUMMYFUNCTION("VALUE(REGEXREPLACE(G2896,""[^[:digit:]]"", """"))"),1460.0)</f>
        <v>1460</v>
      </c>
      <c r="AG2896" s="7"/>
      <c r="AH2896" s="7"/>
      <c r="AI2896" s="7"/>
      <c r="AJ2896" s="7"/>
      <c r="AK2896" s="7"/>
      <c r="AL2896" s="7"/>
      <c r="AM2896" s="7"/>
      <c r="AN2896" s="7"/>
      <c r="AO2896" s="7"/>
      <c r="AP2896" s="7"/>
      <c r="AQ2896" s="7"/>
      <c r="AR2896" s="7"/>
      <c r="AS2896" s="7" t="s">
        <v>27</v>
      </c>
    </row>
    <row r="2897">
      <c r="A2897" s="7" t="s">
        <v>48</v>
      </c>
      <c r="B2897" s="7" t="s">
        <v>92</v>
      </c>
      <c r="C2897" s="7">
        <f t="shared" si="389"/>
        <v>3</v>
      </c>
      <c r="D2897" s="7">
        <v>2.0</v>
      </c>
      <c r="E2897" s="7">
        <v>3.0</v>
      </c>
      <c r="F2897" s="7" t="s">
        <v>343</v>
      </c>
      <c r="G2897" s="7" t="s">
        <v>211</v>
      </c>
      <c r="H2897" s="9" t="s">
        <v>2981</v>
      </c>
      <c r="I2897" t="s">
        <v>2992</v>
      </c>
      <c r="J2897" s="7"/>
      <c r="K2897" s="7"/>
      <c r="L2897" s="7"/>
      <c r="M2897" s="7"/>
      <c r="N2897" s="7"/>
      <c r="O2897" s="7"/>
      <c r="P2897" s="7"/>
      <c r="Q2897" s="7"/>
      <c r="R2897" s="7"/>
      <c r="S2897" s="7" t="s">
        <v>2993</v>
      </c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 t="str">
        <f t="shared" si="1"/>
        <v>Land area </v>
      </c>
      <c r="AE2897" s="7" t="str">
        <f t="shared" si="2"/>
        <v> sq. ft.</v>
      </c>
      <c r="AF2897">
        <f>IFERROR(__xludf.DUMMYFUNCTION("VALUE(REGEXREPLACE(G2897,""[^[:digit:]]"", """"))"),2280.0)</f>
        <v>2280</v>
      </c>
      <c r="AG2897" s="7"/>
      <c r="AH2897" s="7"/>
      <c r="AI2897" s="7"/>
      <c r="AJ2897" s="7"/>
      <c r="AK2897" s="7"/>
      <c r="AL2897" s="7"/>
      <c r="AM2897" s="7"/>
      <c r="AN2897" s="7"/>
      <c r="AO2897" s="7"/>
      <c r="AP2897" s="7"/>
      <c r="AQ2897" s="7"/>
      <c r="AR2897" s="7"/>
    </row>
    <row r="2898">
      <c r="A2898" s="7" t="s">
        <v>48</v>
      </c>
      <c r="B2898" s="7" t="s">
        <v>702</v>
      </c>
      <c r="C2898" s="7">
        <f t="shared" si="389"/>
        <v>3</v>
      </c>
      <c r="D2898" s="7">
        <v>2.0</v>
      </c>
      <c r="E2898" s="7">
        <v>2.0</v>
      </c>
      <c r="F2898" s="7" t="s">
        <v>169</v>
      </c>
      <c r="G2898" s="7" t="s">
        <v>2081</v>
      </c>
      <c r="H2898" s="9" t="s">
        <v>2981</v>
      </c>
      <c r="I2898" t="s">
        <v>3505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 t="s">
        <v>3009</v>
      </c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 t="str">
        <f t="shared" si="1"/>
        <v>Land area </v>
      </c>
      <c r="AE2898" s="7" t="str">
        <f t="shared" si="2"/>
        <v> sq. ft.</v>
      </c>
      <c r="AF2898">
        <f>IFERROR(__xludf.DUMMYFUNCTION("VALUE(REGEXREPLACE(G2898,""[^[:digit:]]"", """"))"),1455.0)</f>
        <v>1455</v>
      </c>
      <c r="AG2898" s="7"/>
      <c r="AH2898" s="7"/>
      <c r="AI2898" s="7"/>
      <c r="AJ2898" s="7"/>
      <c r="AK2898" s="7"/>
      <c r="AL2898" s="7"/>
      <c r="AM2898" s="7"/>
      <c r="AN2898" s="7"/>
      <c r="AO2898" s="7"/>
      <c r="AP2898" s="7"/>
      <c r="AQ2898" s="7"/>
      <c r="AR2898" s="7"/>
      <c r="AS2898" s="7" t="s">
        <v>27</v>
      </c>
    </row>
    <row r="2899">
      <c r="A2899" s="7" t="s">
        <v>48</v>
      </c>
      <c r="B2899" s="7" t="s">
        <v>1678</v>
      </c>
      <c r="C2899" s="7">
        <f>4+1</f>
        <v>5</v>
      </c>
      <c r="D2899" s="7">
        <v>3.0</v>
      </c>
      <c r="E2899" s="7">
        <v>4.0</v>
      </c>
      <c r="F2899" s="7" t="s">
        <v>54</v>
      </c>
      <c r="G2899" s="7" t="s">
        <v>211</v>
      </c>
      <c r="H2899" s="9" t="s">
        <v>2981</v>
      </c>
      <c r="I2899" t="s">
        <v>2992</v>
      </c>
      <c r="J2899" s="7"/>
      <c r="K2899" s="7"/>
      <c r="L2899" s="7"/>
      <c r="M2899" s="7"/>
      <c r="N2899" s="7"/>
      <c r="O2899" s="7"/>
      <c r="P2899" s="7"/>
      <c r="Q2899" s="7"/>
      <c r="R2899" s="7"/>
      <c r="S2899" s="7" t="s">
        <v>2993</v>
      </c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 t="str">
        <f t="shared" si="1"/>
        <v>Land area </v>
      </c>
      <c r="AE2899" s="7" t="str">
        <f t="shared" si="2"/>
        <v> sq. ft.</v>
      </c>
      <c r="AF2899">
        <f>IFERROR(__xludf.DUMMYFUNCTION("VALUE(REGEXREPLACE(G2899,""[^[:digit:]]"", """"))"),2280.0)</f>
        <v>2280</v>
      </c>
      <c r="AG2899" s="7"/>
      <c r="AH2899" s="7"/>
      <c r="AI2899" s="7"/>
      <c r="AJ2899" s="7"/>
      <c r="AK2899" s="7"/>
      <c r="AL2899" s="7"/>
      <c r="AM2899" s="7"/>
      <c r="AN2899" s="7"/>
      <c r="AO2899" s="7"/>
      <c r="AP2899" s="7"/>
      <c r="AQ2899" s="7"/>
      <c r="AR2899" s="7"/>
      <c r="AS2899" s="7" t="s">
        <v>27</v>
      </c>
    </row>
    <row r="2900">
      <c r="A2900" s="7" t="s">
        <v>104</v>
      </c>
      <c r="B2900" s="7" t="s">
        <v>2082</v>
      </c>
      <c r="C2900" s="7">
        <f>3</f>
        <v>3</v>
      </c>
      <c r="D2900" s="7">
        <v>2.0</v>
      </c>
      <c r="E2900" s="7">
        <v>2.0</v>
      </c>
      <c r="F2900" s="7" t="s">
        <v>121</v>
      </c>
      <c r="G2900" s="7" t="s">
        <v>1012</v>
      </c>
      <c r="H2900" s="9" t="s">
        <v>2979</v>
      </c>
      <c r="I2900" t="s">
        <v>3455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 t="str">
        <f t="shared" si="1"/>
        <v>Built-up :</v>
      </c>
      <c r="AE2900" s="7" t="str">
        <f t="shared" si="2"/>
        <v> sq. ft.</v>
      </c>
      <c r="AF2900">
        <f>IFERROR(__xludf.DUMMYFUNCTION("VALUE(REGEXREPLACE(G2900,""[^[:digit:]]"", """"))"),1027.0)</f>
        <v>1027</v>
      </c>
      <c r="AG2900" s="7"/>
      <c r="AH2900" s="7"/>
      <c r="AI2900" s="7"/>
      <c r="AJ2900" s="7"/>
      <c r="AK2900" s="7"/>
      <c r="AL2900" s="7"/>
      <c r="AM2900" s="7"/>
      <c r="AN2900" s="7"/>
      <c r="AO2900" s="7"/>
      <c r="AP2900" s="7"/>
      <c r="AQ2900" s="7"/>
      <c r="AR2900" s="7"/>
      <c r="AS2900" s="7" t="s">
        <v>27</v>
      </c>
    </row>
    <row r="2901">
      <c r="A2901" s="7" t="s">
        <v>371</v>
      </c>
      <c r="B2901" s="7" t="s">
        <v>902</v>
      </c>
      <c r="C2901" s="7">
        <f t="shared" ref="C2901:C2903" si="390">3+1</f>
        <v>4</v>
      </c>
      <c r="D2901" s="7">
        <v>3.0</v>
      </c>
      <c r="E2901" s="7">
        <v>2.0</v>
      </c>
      <c r="F2901" s="7" t="s">
        <v>30</v>
      </c>
      <c r="G2901" s="7" t="s">
        <v>1587</v>
      </c>
      <c r="H2901" s="9" t="s">
        <v>2979</v>
      </c>
      <c r="I2901" t="s">
        <v>3795</v>
      </c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 t="str">
        <f t="shared" si="1"/>
        <v>Built-up :</v>
      </c>
      <c r="AE2901" s="7" t="str">
        <f t="shared" si="2"/>
        <v> sq. ft.</v>
      </c>
      <c r="AF2901">
        <f>IFERROR(__xludf.DUMMYFUNCTION("VALUE(REGEXREPLACE(G2901,""[^[:digit:]]"", """"))"),1647.0)</f>
        <v>1647</v>
      </c>
      <c r="AG2901" s="7"/>
      <c r="AH2901" s="7"/>
      <c r="AI2901" s="7"/>
      <c r="AJ2901" s="7"/>
      <c r="AK2901" s="7"/>
      <c r="AL2901" s="7"/>
      <c r="AM2901" s="7"/>
      <c r="AN2901" s="7"/>
      <c r="AO2901" s="7"/>
      <c r="AP2901" s="7"/>
      <c r="AQ2901" s="7"/>
      <c r="AR2901" s="7"/>
      <c r="AS2901" s="7" t="s">
        <v>22</v>
      </c>
    </row>
    <row r="2902">
      <c r="A2902" s="7" t="s">
        <v>100</v>
      </c>
      <c r="B2902" s="7" t="s">
        <v>361</v>
      </c>
      <c r="C2902" s="7">
        <f t="shared" si="390"/>
        <v>4</v>
      </c>
      <c r="D2902" s="7">
        <v>3.0</v>
      </c>
      <c r="E2902" s="7">
        <v>2.0</v>
      </c>
      <c r="F2902" s="7" t="s">
        <v>30</v>
      </c>
      <c r="G2902" s="7" t="s">
        <v>982</v>
      </c>
      <c r="H2902" s="9" t="s">
        <v>2979</v>
      </c>
      <c r="I2902" t="s">
        <v>3436</v>
      </c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 t="str">
        <f t="shared" si="1"/>
        <v>Built-up :</v>
      </c>
      <c r="AE2902" s="7" t="str">
        <f t="shared" si="2"/>
        <v> sq. ft.</v>
      </c>
      <c r="AF2902">
        <f>IFERROR(__xludf.DUMMYFUNCTION("VALUE(REGEXREPLACE(G2902,""[^[:digit:]]"", """"))"),1208.0)</f>
        <v>1208</v>
      </c>
      <c r="AG2902" s="7"/>
      <c r="AH2902" s="7"/>
      <c r="AI2902" s="7"/>
      <c r="AJ2902" s="7"/>
      <c r="AK2902" s="7"/>
      <c r="AL2902" s="7"/>
      <c r="AM2902" s="7"/>
      <c r="AN2902" s="7"/>
      <c r="AO2902" s="7"/>
      <c r="AP2902" s="7"/>
      <c r="AQ2902" s="7"/>
      <c r="AR2902" s="7"/>
      <c r="AS2902" s="7" t="s">
        <v>27</v>
      </c>
    </row>
    <row r="2903">
      <c r="A2903" s="7" t="s">
        <v>77</v>
      </c>
      <c r="B2903" s="7" t="s">
        <v>2083</v>
      </c>
      <c r="C2903" s="7">
        <f t="shared" si="390"/>
        <v>4</v>
      </c>
      <c r="D2903" s="7">
        <v>4.0</v>
      </c>
      <c r="E2903" s="7">
        <v>2.0</v>
      </c>
      <c r="F2903" s="7" t="s">
        <v>169</v>
      </c>
      <c r="G2903" s="7" t="s">
        <v>307</v>
      </c>
      <c r="H2903" s="9" t="s">
        <v>2979</v>
      </c>
      <c r="I2903" t="s">
        <v>3102</v>
      </c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 t="str">
        <f t="shared" si="1"/>
        <v>Built-up :</v>
      </c>
      <c r="AE2903" s="7" t="str">
        <f t="shared" si="2"/>
        <v> sq. ft.</v>
      </c>
      <c r="AF2903">
        <f>IFERROR(__xludf.DUMMYFUNCTION("VALUE(REGEXREPLACE(G2903,""[^[:digit:]]"", """"))"),2500.0)</f>
        <v>2500</v>
      </c>
      <c r="AG2903" s="7"/>
      <c r="AH2903" s="7"/>
      <c r="AI2903" s="7"/>
      <c r="AJ2903" s="7"/>
      <c r="AK2903" s="7"/>
      <c r="AL2903" s="7"/>
      <c r="AM2903" s="7"/>
      <c r="AN2903" s="7"/>
      <c r="AO2903" s="7"/>
      <c r="AP2903" s="7"/>
      <c r="AQ2903" s="7"/>
      <c r="AR2903" s="7"/>
      <c r="AS2903" s="7" t="s">
        <v>27</v>
      </c>
    </row>
    <row r="2904">
      <c r="A2904" s="7" t="s">
        <v>262</v>
      </c>
      <c r="B2904" s="7" t="s">
        <v>616</v>
      </c>
      <c r="C2904" s="7">
        <f>9</f>
        <v>9</v>
      </c>
      <c r="D2904" s="7">
        <v>8.0</v>
      </c>
      <c r="E2904" s="7">
        <v>6.0</v>
      </c>
      <c r="F2904" s="7" t="s">
        <v>67</v>
      </c>
      <c r="G2904" s="7" t="s">
        <v>2084</v>
      </c>
      <c r="H2904" s="9" t="s">
        <v>2981</v>
      </c>
      <c r="I2904" t="s">
        <v>4101</v>
      </c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 t="str">
        <f t="shared" si="1"/>
        <v>Land area </v>
      </c>
      <c r="AE2904" s="7" t="str">
        <f t="shared" si="2"/>
        <v> sq. ft.</v>
      </c>
      <c r="AF2904">
        <f>IFERROR(__xludf.DUMMYFUNCTION("VALUE(REGEXREPLACE(G2904,""[^[:digit:]]"", """"))"),9500.0)</f>
        <v>9500</v>
      </c>
      <c r="AG2904" s="7"/>
      <c r="AH2904" s="7"/>
      <c r="AI2904" s="7"/>
      <c r="AJ2904" s="7"/>
      <c r="AK2904" s="7"/>
      <c r="AL2904" s="7"/>
      <c r="AM2904" s="7"/>
      <c r="AN2904" s="7"/>
      <c r="AO2904" s="7"/>
      <c r="AP2904" s="7"/>
      <c r="AQ2904" s="7"/>
      <c r="AR2904" s="7"/>
    </row>
    <row r="2905">
      <c r="A2905" s="7" t="s">
        <v>100</v>
      </c>
      <c r="B2905" s="7" t="s">
        <v>552</v>
      </c>
      <c r="C2905" s="7">
        <f>2</f>
        <v>2</v>
      </c>
      <c r="D2905" s="7">
        <v>2.0</v>
      </c>
      <c r="E2905" s="7">
        <v>1.0</v>
      </c>
      <c r="F2905" s="7" t="s">
        <v>20</v>
      </c>
      <c r="G2905" s="7" t="s">
        <v>2085</v>
      </c>
      <c r="H2905" s="9" t="s">
        <v>2979</v>
      </c>
      <c r="I2905" t="s">
        <v>4102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 t="str">
        <f t="shared" si="1"/>
        <v>Built-up :</v>
      </c>
      <c r="AE2905" s="7" t="str">
        <f t="shared" si="2"/>
        <v> sq. ft.</v>
      </c>
      <c r="AF2905">
        <f>IFERROR(__xludf.DUMMYFUNCTION("VALUE(REGEXREPLACE(G2905,""[^[:digit:]]"", """"))"),852.0)</f>
        <v>852</v>
      </c>
      <c r="AG2905" s="7"/>
      <c r="AH2905" s="7"/>
      <c r="AI2905" s="7"/>
      <c r="AJ2905" s="7"/>
      <c r="AK2905" s="7"/>
      <c r="AL2905" s="7"/>
      <c r="AM2905" s="7"/>
      <c r="AN2905" s="7"/>
      <c r="AO2905" s="7"/>
      <c r="AP2905" s="7"/>
      <c r="AQ2905" s="7"/>
      <c r="AR2905" s="7"/>
      <c r="AS2905" s="7" t="s">
        <v>22</v>
      </c>
    </row>
    <row r="2906">
      <c r="A2906" s="7" t="s">
        <v>89</v>
      </c>
      <c r="B2906" s="7" t="s">
        <v>229</v>
      </c>
      <c r="C2906" s="7">
        <f>4+1</f>
        <v>5</v>
      </c>
      <c r="D2906" s="7">
        <v>4.0</v>
      </c>
      <c r="E2906" s="9">
        <v>2.0</v>
      </c>
      <c r="F2906" s="7" t="s">
        <v>90</v>
      </c>
      <c r="G2906" s="7" t="s">
        <v>91</v>
      </c>
      <c r="H2906" s="9" t="s">
        <v>2981</v>
      </c>
      <c r="I2906" t="s">
        <v>3003</v>
      </c>
      <c r="J2906" s="7"/>
      <c r="K2906" s="7"/>
      <c r="L2906" s="7"/>
      <c r="M2906" s="7"/>
      <c r="N2906" s="7"/>
      <c r="O2906" s="7"/>
      <c r="P2906" s="7"/>
      <c r="Q2906" s="7"/>
      <c r="R2906" s="7"/>
      <c r="S2906" s="7" t="s">
        <v>2990</v>
      </c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 t="str">
        <f t="shared" si="1"/>
        <v>Land area </v>
      </c>
      <c r="AE2906" s="7" t="str">
        <f t="shared" si="2"/>
        <v> sq. ft.</v>
      </c>
      <c r="AF2906">
        <f>IFERROR(__xludf.DUMMYFUNCTION("VALUE(REGEXREPLACE(G2906,""[^[:digit:]]"", """"))"),2075.0)</f>
        <v>2075</v>
      </c>
      <c r="AG2906" s="7"/>
      <c r="AH2906" s="7"/>
      <c r="AI2906" s="7"/>
      <c r="AJ2906" s="7"/>
      <c r="AK2906" s="7"/>
      <c r="AL2906" s="7"/>
      <c r="AM2906" s="7"/>
      <c r="AN2906" s="7"/>
      <c r="AO2906" s="7"/>
      <c r="AP2906" s="7"/>
      <c r="AQ2906" s="7"/>
      <c r="AR2906" s="7"/>
      <c r="AS2906" s="7" t="s">
        <v>27</v>
      </c>
    </row>
    <row r="2907">
      <c r="A2907" s="7" t="s">
        <v>155</v>
      </c>
      <c r="B2907" s="7" t="s">
        <v>2086</v>
      </c>
      <c r="C2907" s="7">
        <f>2</f>
        <v>2</v>
      </c>
      <c r="D2907" s="7">
        <v>2.0</v>
      </c>
      <c r="E2907" s="7">
        <v>1.0</v>
      </c>
      <c r="F2907" s="7" t="s">
        <v>83</v>
      </c>
      <c r="G2907" s="7" t="s">
        <v>140</v>
      </c>
      <c r="H2907" s="9" t="s">
        <v>2979</v>
      </c>
      <c r="I2907" t="s">
        <v>3008</v>
      </c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 t="str">
        <f t="shared" si="1"/>
        <v>Built-up :</v>
      </c>
      <c r="AE2907" s="7" t="str">
        <f t="shared" si="2"/>
        <v> sq. ft.</v>
      </c>
      <c r="AF2907">
        <f>IFERROR(__xludf.DUMMYFUNCTION("VALUE(REGEXREPLACE(G2907,""[^[:digit:]]"", """"))"),880.0)</f>
        <v>880</v>
      </c>
      <c r="AG2907" s="7"/>
      <c r="AH2907" s="7"/>
      <c r="AI2907" s="7"/>
      <c r="AJ2907" s="7"/>
      <c r="AK2907" s="7"/>
      <c r="AL2907" s="7"/>
      <c r="AM2907" s="7"/>
      <c r="AN2907" s="7"/>
      <c r="AO2907" s="7"/>
      <c r="AP2907" s="7"/>
      <c r="AQ2907" s="7"/>
      <c r="AR2907" s="7"/>
      <c r="AS2907" s="7" t="s">
        <v>103</v>
      </c>
    </row>
    <row r="2908">
      <c r="A2908" s="7" t="s">
        <v>155</v>
      </c>
      <c r="B2908" s="7" t="s">
        <v>156</v>
      </c>
      <c r="C2908" s="7">
        <f>3</f>
        <v>3</v>
      </c>
      <c r="D2908" s="7">
        <v>2.0</v>
      </c>
      <c r="E2908" s="7">
        <v>1.0</v>
      </c>
      <c r="F2908" s="7" t="s">
        <v>30</v>
      </c>
      <c r="G2908" s="7" t="s">
        <v>345</v>
      </c>
      <c r="H2908" s="9" t="s">
        <v>2979</v>
      </c>
      <c r="I2908" t="s">
        <v>3119</v>
      </c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 t="str">
        <f t="shared" si="1"/>
        <v>Built-up :</v>
      </c>
      <c r="AE2908" s="7" t="str">
        <f t="shared" si="2"/>
        <v> sq. ft.</v>
      </c>
      <c r="AF2908">
        <f>IFERROR(__xludf.DUMMYFUNCTION("VALUE(REGEXREPLACE(G2908,""[^[:digit:]]"", """"))"),1381.0)</f>
        <v>1381</v>
      </c>
      <c r="AG2908" s="7"/>
      <c r="AH2908" s="7"/>
      <c r="AI2908" s="7"/>
      <c r="AJ2908" s="7"/>
      <c r="AK2908" s="7"/>
      <c r="AL2908" s="7"/>
      <c r="AM2908" s="7"/>
      <c r="AN2908" s="7"/>
      <c r="AO2908" s="7"/>
      <c r="AP2908" s="7"/>
      <c r="AQ2908" s="7"/>
      <c r="AR2908" s="7"/>
      <c r="AS2908" s="7" t="s">
        <v>27</v>
      </c>
    </row>
    <row r="2909">
      <c r="A2909" s="7" t="s">
        <v>33</v>
      </c>
      <c r="B2909" s="7" t="s">
        <v>536</v>
      </c>
      <c r="C2909" s="7">
        <f>1+1</f>
        <v>2</v>
      </c>
      <c r="D2909" s="7">
        <v>1.0</v>
      </c>
      <c r="E2909" s="7">
        <v>1.0</v>
      </c>
      <c r="F2909" s="7" t="s">
        <v>20</v>
      </c>
      <c r="G2909" s="7" t="s">
        <v>978</v>
      </c>
      <c r="H2909" s="9" t="s">
        <v>2979</v>
      </c>
      <c r="I2909" t="s">
        <v>3433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 t="str">
        <f t="shared" si="1"/>
        <v>Built-up :</v>
      </c>
      <c r="AE2909" s="7" t="str">
        <f t="shared" si="2"/>
        <v> sq. ft.</v>
      </c>
      <c r="AF2909">
        <f>IFERROR(__xludf.DUMMYFUNCTION("VALUE(REGEXREPLACE(G2909,""[^[:digit:]]"", """"))"),667.0)</f>
        <v>667</v>
      </c>
      <c r="AG2909" s="7"/>
      <c r="AH2909" s="7"/>
      <c r="AI2909" s="7"/>
      <c r="AJ2909" s="7"/>
      <c r="AK2909" s="7"/>
      <c r="AL2909" s="7"/>
      <c r="AM2909" s="7"/>
      <c r="AN2909" s="7"/>
      <c r="AO2909" s="7"/>
      <c r="AP2909" s="7"/>
      <c r="AQ2909" s="7"/>
      <c r="AR2909" s="7"/>
      <c r="AS2909" s="7" t="s">
        <v>27</v>
      </c>
    </row>
    <row r="2910">
      <c r="A2910" s="7" t="s">
        <v>104</v>
      </c>
      <c r="B2910" s="7" t="s">
        <v>635</v>
      </c>
      <c r="C2910" s="7">
        <f>4</f>
        <v>4</v>
      </c>
      <c r="D2910" s="7">
        <v>2.0</v>
      </c>
      <c r="E2910" s="7">
        <v>2.0</v>
      </c>
      <c r="F2910" s="7" t="s">
        <v>83</v>
      </c>
      <c r="G2910" s="7" t="s">
        <v>1025</v>
      </c>
      <c r="H2910" s="9" t="s">
        <v>2979</v>
      </c>
      <c r="I2910" t="s">
        <v>3461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 t="str">
        <f t="shared" si="1"/>
        <v>Built-up :</v>
      </c>
      <c r="AE2910" s="7" t="str">
        <f t="shared" si="2"/>
        <v> sq. ft.</v>
      </c>
      <c r="AF2910">
        <f>IFERROR(__xludf.DUMMYFUNCTION("VALUE(REGEXREPLACE(G2910,""[^[:digit:]]"", """"))"),1432.0)</f>
        <v>1432</v>
      </c>
      <c r="AG2910" s="7"/>
      <c r="AH2910" s="7"/>
      <c r="AI2910" s="7"/>
      <c r="AJ2910" s="7"/>
      <c r="AK2910" s="7"/>
      <c r="AL2910" s="7"/>
      <c r="AM2910" s="7"/>
      <c r="AN2910" s="7"/>
      <c r="AO2910" s="7"/>
      <c r="AP2910" s="7"/>
      <c r="AQ2910" s="7"/>
      <c r="AR2910" s="7"/>
      <c r="AS2910" s="7" t="s">
        <v>27</v>
      </c>
    </row>
    <row r="2911">
      <c r="A2911" s="7" t="s">
        <v>72</v>
      </c>
      <c r="B2911" s="7" t="s">
        <v>132</v>
      </c>
      <c r="C2911" s="7">
        <f>3</f>
        <v>3</v>
      </c>
      <c r="D2911" s="7">
        <v>3.0</v>
      </c>
      <c r="E2911" s="7">
        <v>2.0</v>
      </c>
      <c r="F2911" s="7" t="s">
        <v>121</v>
      </c>
      <c r="G2911" s="7" t="s">
        <v>2087</v>
      </c>
      <c r="H2911" s="9" t="s">
        <v>2979</v>
      </c>
      <c r="I2911" t="s">
        <v>4103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 t="str">
        <f t="shared" si="1"/>
        <v>Built-up :</v>
      </c>
      <c r="AE2911" s="7" t="str">
        <f t="shared" si="2"/>
        <v> sq. ft.</v>
      </c>
      <c r="AF2911">
        <f>IFERROR(__xludf.DUMMYFUNCTION("VALUE(REGEXREPLACE(G2911,""[^[:digit:]]"", """"))"),1678.0)</f>
        <v>1678</v>
      </c>
      <c r="AG2911" s="7"/>
      <c r="AH2911" s="7"/>
      <c r="AI2911" s="7"/>
      <c r="AJ2911" s="7"/>
      <c r="AK2911" s="7"/>
      <c r="AL2911" s="7"/>
      <c r="AM2911" s="7"/>
      <c r="AN2911" s="7"/>
      <c r="AO2911" s="7"/>
      <c r="AP2911" s="7"/>
      <c r="AQ2911" s="7"/>
      <c r="AR2911" s="7"/>
      <c r="AS2911" s="7" t="s">
        <v>22</v>
      </c>
    </row>
    <row r="2912">
      <c r="A2912" s="7" t="s">
        <v>72</v>
      </c>
      <c r="B2912" s="7" t="s">
        <v>322</v>
      </c>
      <c r="C2912" s="7">
        <f t="shared" ref="C2912:C2914" si="391">3+1</f>
        <v>4</v>
      </c>
      <c r="D2912" s="7">
        <v>5.0</v>
      </c>
      <c r="E2912" s="7">
        <v>3.0</v>
      </c>
      <c r="F2912" s="7" t="s">
        <v>30</v>
      </c>
      <c r="G2912" s="7" t="s">
        <v>561</v>
      </c>
      <c r="H2912" s="9" t="s">
        <v>2979</v>
      </c>
      <c r="I2912" t="s">
        <v>3226</v>
      </c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 t="str">
        <f t="shared" si="1"/>
        <v>Built-up :</v>
      </c>
      <c r="AE2912" s="7" t="str">
        <f t="shared" si="2"/>
        <v> sq. ft.</v>
      </c>
      <c r="AF2912">
        <f>IFERROR(__xludf.DUMMYFUNCTION("VALUE(REGEXREPLACE(G2912,""[^[:digit:]]"", """"))"),2535.0)</f>
        <v>2535</v>
      </c>
      <c r="AG2912" s="7"/>
      <c r="AH2912" s="7"/>
      <c r="AI2912" s="7"/>
      <c r="AJ2912" s="7"/>
      <c r="AK2912" s="7"/>
      <c r="AL2912" s="7"/>
      <c r="AM2912" s="7"/>
      <c r="AN2912" s="7"/>
      <c r="AO2912" s="7"/>
      <c r="AP2912" s="7"/>
      <c r="AQ2912" s="7"/>
      <c r="AR2912" s="7"/>
      <c r="AS2912" s="7" t="s">
        <v>22</v>
      </c>
    </row>
    <row r="2913">
      <c r="A2913" s="7" t="s">
        <v>72</v>
      </c>
      <c r="B2913" s="7" t="s">
        <v>322</v>
      </c>
      <c r="C2913" s="7">
        <f t="shared" si="391"/>
        <v>4</v>
      </c>
      <c r="D2913" s="7">
        <v>5.0</v>
      </c>
      <c r="E2913" s="7">
        <v>3.0</v>
      </c>
      <c r="F2913" s="7" t="s">
        <v>30</v>
      </c>
      <c r="G2913" s="7" t="s">
        <v>561</v>
      </c>
      <c r="H2913" s="9" t="s">
        <v>2979</v>
      </c>
      <c r="I2913" t="s">
        <v>3226</v>
      </c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 t="str">
        <f t="shared" si="1"/>
        <v>Built-up :</v>
      </c>
      <c r="AE2913" s="7" t="str">
        <f t="shared" si="2"/>
        <v> sq. ft.</v>
      </c>
      <c r="AF2913">
        <f>IFERROR(__xludf.DUMMYFUNCTION("VALUE(REGEXREPLACE(G2913,""[^[:digit:]]"", """"))"),2535.0)</f>
        <v>2535</v>
      </c>
      <c r="AG2913" s="7"/>
      <c r="AH2913" s="7"/>
      <c r="AI2913" s="7"/>
      <c r="AJ2913" s="7"/>
      <c r="AK2913" s="7"/>
      <c r="AL2913" s="7"/>
      <c r="AM2913" s="7"/>
      <c r="AN2913" s="7"/>
      <c r="AO2913" s="7"/>
      <c r="AP2913" s="7"/>
      <c r="AQ2913" s="7"/>
      <c r="AR2913" s="7"/>
      <c r="AS2913" s="7" t="s">
        <v>22</v>
      </c>
    </row>
    <row r="2914">
      <c r="A2914" s="7" t="s">
        <v>72</v>
      </c>
      <c r="B2914" s="7" t="s">
        <v>45</v>
      </c>
      <c r="C2914" s="7">
        <f t="shared" si="391"/>
        <v>4</v>
      </c>
      <c r="D2914" s="7">
        <v>5.0</v>
      </c>
      <c r="E2914" s="7">
        <v>3.0</v>
      </c>
      <c r="F2914" s="7" t="s">
        <v>30</v>
      </c>
      <c r="G2914" s="7" t="s">
        <v>412</v>
      </c>
      <c r="H2914" s="9" t="s">
        <v>2979</v>
      </c>
      <c r="I2914" t="s">
        <v>3151</v>
      </c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 t="str">
        <f t="shared" si="1"/>
        <v>Built-up :</v>
      </c>
      <c r="AE2914" s="7" t="str">
        <f t="shared" si="2"/>
        <v> sq. ft.</v>
      </c>
      <c r="AF2914">
        <f>IFERROR(__xludf.DUMMYFUNCTION("VALUE(REGEXREPLACE(G2914,""[^[:digit:]]"", """"))"),2700.0)</f>
        <v>2700</v>
      </c>
      <c r="AG2914" s="7"/>
      <c r="AH2914" s="7"/>
      <c r="AI2914" s="7"/>
      <c r="AJ2914" s="7"/>
      <c r="AK2914" s="7"/>
      <c r="AL2914" s="7"/>
      <c r="AM2914" s="7"/>
      <c r="AN2914" s="7"/>
      <c r="AO2914" s="7"/>
      <c r="AP2914" s="7"/>
      <c r="AQ2914" s="7"/>
      <c r="AR2914" s="7"/>
      <c r="AS2914" s="7" t="s">
        <v>22</v>
      </c>
    </row>
    <row r="2915">
      <c r="A2915" s="7" t="s">
        <v>17</v>
      </c>
      <c r="B2915" s="7" t="s">
        <v>956</v>
      </c>
      <c r="C2915" s="7">
        <f>1</f>
        <v>1</v>
      </c>
      <c r="D2915" s="7">
        <v>1.0</v>
      </c>
      <c r="E2915" s="7">
        <v>1.0</v>
      </c>
      <c r="F2915" s="7" t="s">
        <v>20</v>
      </c>
      <c r="G2915" s="7" t="s">
        <v>642</v>
      </c>
      <c r="H2915" s="9" t="s">
        <v>2979</v>
      </c>
      <c r="I2915" t="s">
        <v>3263</v>
      </c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 t="str">
        <f t="shared" si="1"/>
        <v>Built-up :</v>
      </c>
      <c r="AE2915" s="7" t="str">
        <f t="shared" si="2"/>
        <v> sq. ft.</v>
      </c>
      <c r="AF2915">
        <f>IFERROR(__xludf.DUMMYFUNCTION("VALUE(REGEXREPLACE(G2915,""[^[:digit:]]"", """"))"),473.0)</f>
        <v>473</v>
      </c>
      <c r="AG2915" s="7"/>
      <c r="AH2915" s="7"/>
      <c r="AI2915" s="7"/>
      <c r="AJ2915" s="7"/>
      <c r="AK2915" s="7"/>
      <c r="AL2915" s="7"/>
      <c r="AM2915" s="7"/>
      <c r="AN2915" s="7"/>
      <c r="AO2915" s="7"/>
      <c r="AP2915" s="7"/>
      <c r="AQ2915" s="7"/>
      <c r="AR2915" s="7"/>
      <c r="AS2915" s="7" t="s">
        <v>22</v>
      </c>
    </row>
    <row r="2916">
      <c r="A2916" s="7" t="s">
        <v>17</v>
      </c>
      <c r="B2916" s="7" t="s">
        <v>327</v>
      </c>
      <c r="C2916" s="7">
        <f>2</f>
        <v>2</v>
      </c>
      <c r="D2916" s="7">
        <v>2.0</v>
      </c>
      <c r="E2916" s="7">
        <v>1.0</v>
      </c>
      <c r="F2916" s="7" t="s">
        <v>20</v>
      </c>
      <c r="G2916" s="7" t="s">
        <v>1273</v>
      </c>
      <c r="H2916" s="9" t="s">
        <v>2979</v>
      </c>
      <c r="I2916" t="s">
        <v>3615</v>
      </c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 t="str">
        <f t="shared" si="1"/>
        <v>Built-up :</v>
      </c>
      <c r="AE2916" s="7" t="str">
        <f t="shared" si="2"/>
        <v> sq. ft.</v>
      </c>
      <c r="AF2916">
        <f>IFERROR(__xludf.DUMMYFUNCTION("VALUE(REGEXREPLACE(G2916,""[^[:digit:]]"", """"))"),800.0)</f>
        <v>800</v>
      </c>
      <c r="AG2916" s="7"/>
      <c r="AH2916" s="7"/>
      <c r="AI2916" s="7"/>
      <c r="AJ2916" s="7"/>
      <c r="AK2916" s="7"/>
      <c r="AL2916" s="7"/>
      <c r="AM2916" s="7"/>
      <c r="AN2916" s="7"/>
      <c r="AO2916" s="7"/>
      <c r="AP2916" s="7"/>
      <c r="AQ2916" s="7"/>
      <c r="AR2916" s="7"/>
      <c r="AS2916" s="7" t="s">
        <v>22</v>
      </c>
    </row>
    <row r="2917">
      <c r="A2917" s="7" t="s">
        <v>17</v>
      </c>
      <c r="B2917" s="7" t="s">
        <v>2088</v>
      </c>
      <c r="C2917" s="7">
        <f>3+1</f>
        <v>4</v>
      </c>
      <c r="D2917" s="7">
        <v>4.0</v>
      </c>
      <c r="E2917" s="9">
        <v>2.0</v>
      </c>
      <c r="F2917" s="7" t="s">
        <v>82</v>
      </c>
      <c r="G2917" s="7" t="s">
        <v>1132</v>
      </c>
      <c r="H2917" s="9" t="s">
        <v>2979</v>
      </c>
      <c r="I2917" t="s">
        <v>3525</v>
      </c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 t="str">
        <f t="shared" si="1"/>
        <v>Built-up :</v>
      </c>
      <c r="AE2917" s="7" t="str">
        <f t="shared" si="2"/>
        <v> sq. ft.</v>
      </c>
      <c r="AF2917">
        <f>IFERROR(__xludf.DUMMYFUNCTION("VALUE(REGEXREPLACE(G2917,""[^[:digit:]]"", """"))"),1600.0)</f>
        <v>1600</v>
      </c>
      <c r="AG2917" s="7"/>
      <c r="AH2917" s="7"/>
      <c r="AI2917" s="7"/>
      <c r="AJ2917" s="7"/>
      <c r="AK2917" s="7"/>
      <c r="AL2917" s="7"/>
      <c r="AM2917" s="7"/>
      <c r="AN2917" s="7"/>
      <c r="AO2917" s="7"/>
      <c r="AP2917" s="7"/>
      <c r="AQ2917" s="7"/>
      <c r="AR2917" s="7"/>
      <c r="AS2917" s="7" t="s">
        <v>22</v>
      </c>
    </row>
    <row r="2918">
      <c r="A2918" s="7" t="s">
        <v>33</v>
      </c>
      <c r="B2918" s="7" t="s">
        <v>1376</v>
      </c>
      <c r="C2918" s="7">
        <f>6+1</f>
        <v>7</v>
      </c>
      <c r="D2918" s="7">
        <v>7.0</v>
      </c>
      <c r="E2918" s="7">
        <v>2.0</v>
      </c>
      <c r="F2918" s="7" t="s">
        <v>203</v>
      </c>
      <c r="G2918" s="7" t="s">
        <v>2089</v>
      </c>
      <c r="H2918" s="9" t="s">
        <v>2981</v>
      </c>
      <c r="I2918" t="s">
        <v>4104</v>
      </c>
      <c r="J2918" s="7"/>
      <c r="K2918" s="7"/>
      <c r="L2918" s="7"/>
      <c r="M2918" s="7"/>
      <c r="N2918" s="7"/>
      <c r="O2918" s="7"/>
      <c r="P2918" s="7"/>
      <c r="Q2918" s="7"/>
      <c r="R2918" s="7"/>
      <c r="S2918" s="7" t="s">
        <v>4105</v>
      </c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 t="str">
        <f t="shared" si="1"/>
        <v>Land area </v>
      </c>
      <c r="AE2918" s="7" t="str">
        <f t="shared" si="2"/>
        <v> sq. ft.</v>
      </c>
      <c r="AF2918" s="7">
        <v>1955.0</v>
      </c>
      <c r="AG2918" s="7"/>
      <c r="AH2918" s="7"/>
      <c r="AI2918" s="7"/>
      <c r="AJ2918" s="7"/>
      <c r="AK2918" s="7"/>
      <c r="AL2918" s="7"/>
      <c r="AM2918" s="7"/>
      <c r="AN2918" s="7"/>
      <c r="AO2918" s="7"/>
      <c r="AP2918" s="7"/>
      <c r="AQ2918" s="7"/>
      <c r="AR2918" s="7"/>
      <c r="AS2918" s="7" t="s">
        <v>22</v>
      </c>
    </row>
    <row r="2919">
      <c r="A2919" s="7" t="s">
        <v>33</v>
      </c>
      <c r="B2919" s="7" t="s">
        <v>356</v>
      </c>
      <c r="C2919" s="7">
        <f t="shared" ref="C2919:C2920" si="392">5</f>
        <v>5</v>
      </c>
      <c r="D2919" s="7">
        <v>4.0</v>
      </c>
      <c r="E2919" s="7">
        <v>2.0</v>
      </c>
      <c r="F2919" s="7" t="s">
        <v>203</v>
      </c>
      <c r="G2919" s="7" t="s">
        <v>2090</v>
      </c>
      <c r="H2919" s="9" t="s">
        <v>2981</v>
      </c>
      <c r="I2919" t="s">
        <v>3570</v>
      </c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 t="str">
        <f t="shared" si="1"/>
        <v>Land area </v>
      </c>
      <c r="AE2919" s="7" t="str">
        <f t="shared" si="2"/>
        <v> sq. ft.</v>
      </c>
      <c r="AF2919" s="7">
        <v>1840.0</v>
      </c>
      <c r="AG2919" s="7"/>
      <c r="AH2919" s="7"/>
      <c r="AI2919" s="7"/>
      <c r="AJ2919" s="7"/>
      <c r="AK2919" s="7"/>
      <c r="AL2919" s="7"/>
      <c r="AM2919" s="7"/>
      <c r="AN2919" s="7"/>
      <c r="AO2919" s="7"/>
      <c r="AP2919" s="7"/>
      <c r="AQ2919" s="7"/>
      <c r="AR2919" s="7"/>
      <c r="AS2919" s="7" t="s">
        <v>22</v>
      </c>
    </row>
    <row r="2920">
      <c r="A2920" s="7" t="s">
        <v>33</v>
      </c>
      <c r="B2920" s="7" t="s">
        <v>462</v>
      </c>
      <c r="C2920" s="7">
        <f t="shared" si="392"/>
        <v>5</v>
      </c>
      <c r="D2920" s="7">
        <v>4.0</v>
      </c>
      <c r="E2920" s="9">
        <v>2.0</v>
      </c>
      <c r="F2920" s="7" t="s">
        <v>203</v>
      </c>
      <c r="G2920" s="7" t="s">
        <v>2091</v>
      </c>
      <c r="H2920" s="9" t="s">
        <v>2981</v>
      </c>
      <c r="I2920" t="s">
        <v>3570</v>
      </c>
      <c r="J2920" s="7"/>
      <c r="K2920" s="7"/>
      <c r="L2920" s="7"/>
      <c r="M2920" s="7"/>
      <c r="N2920" s="7"/>
      <c r="O2920" s="7"/>
      <c r="P2920" s="7"/>
      <c r="Q2920" s="7"/>
      <c r="R2920" s="7"/>
      <c r="S2920" s="7" t="s">
        <v>4106</v>
      </c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 t="str">
        <f t="shared" si="1"/>
        <v>Land area </v>
      </c>
      <c r="AE2920" s="7" t="str">
        <f t="shared" si="2"/>
        <v> sq. ft.</v>
      </c>
      <c r="AF2920" s="7">
        <v>1840.0</v>
      </c>
      <c r="AG2920" s="7"/>
      <c r="AH2920" s="7"/>
      <c r="AI2920" s="7"/>
      <c r="AJ2920" s="7"/>
      <c r="AK2920" s="7"/>
      <c r="AL2920" s="7"/>
      <c r="AM2920" s="7"/>
      <c r="AN2920" s="7"/>
      <c r="AO2920" s="7"/>
      <c r="AP2920" s="7"/>
      <c r="AQ2920" s="7"/>
      <c r="AR2920" s="7"/>
      <c r="AS2920" s="7" t="s">
        <v>27</v>
      </c>
    </row>
    <row r="2921">
      <c r="A2921" s="7" t="s">
        <v>33</v>
      </c>
      <c r="B2921" s="7" t="s">
        <v>1926</v>
      </c>
      <c r="C2921" s="7">
        <f>6+1</f>
        <v>7</v>
      </c>
      <c r="D2921" s="7">
        <v>6.0</v>
      </c>
      <c r="E2921" s="7">
        <v>2.0</v>
      </c>
      <c r="F2921" s="7" t="s">
        <v>487</v>
      </c>
      <c r="G2921" s="7" t="s">
        <v>2092</v>
      </c>
      <c r="H2921" s="9" t="s">
        <v>2981</v>
      </c>
      <c r="I2921" t="s">
        <v>4107</v>
      </c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 t="str">
        <f t="shared" si="1"/>
        <v>Land area </v>
      </c>
      <c r="AE2921" s="7" t="str">
        <f t="shared" si="2"/>
        <v> sq. ft.</v>
      </c>
      <c r="AF2921" s="7">
        <v>4089.0</v>
      </c>
      <c r="AG2921" s="7"/>
      <c r="AH2921" s="7"/>
      <c r="AI2921" s="7"/>
      <c r="AJ2921" s="7"/>
      <c r="AK2921" s="7"/>
      <c r="AL2921" s="7"/>
      <c r="AM2921" s="7"/>
      <c r="AN2921" s="7"/>
      <c r="AO2921" s="7"/>
      <c r="AP2921" s="7"/>
      <c r="AQ2921" s="7"/>
      <c r="AR2921" s="7"/>
      <c r="AS2921" s="7" t="s">
        <v>103</v>
      </c>
    </row>
    <row r="2922">
      <c r="A2922" s="7" t="s">
        <v>72</v>
      </c>
      <c r="B2922" s="7" t="s">
        <v>2093</v>
      </c>
      <c r="C2922" s="7">
        <f>3+1</f>
        <v>4</v>
      </c>
      <c r="D2922" s="7">
        <v>4.0</v>
      </c>
      <c r="E2922" s="7">
        <v>2.0</v>
      </c>
      <c r="F2922" s="7" t="s">
        <v>83</v>
      </c>
      <c r="G2922" s="7" t="s">
        <v>404</v>
      </c>
      <c r="H2922" s="9" t="s">
        <v>2979</v>
      </c>
      <c r="I2922" t="s">
        <v>3147</v>
      </c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 t="str">
        <f t="shared" si="1"/>
        <v>Built-up :</v>
      </c>
      <c r="AE2922" s="7" t="str">
        <f t="shared" si="2"/>
        <v> sq. ft.</v>
      </c>
      <c r="AF2922">
        <f>IFERROR(__xludf.DUMMYFUNCTION("VALUE(REGEXREPLACE(G2922,""[^[:digit:]]"", """"))"),1878.0)</f>
        <v>1878</v>
      </c>
      <c r="AG2922" s="7"/>
      <c r="AH2922" s="7"/>
      <c r="AI2922" s="7"/>
      <c r="AJ2922" s="7"/>
      <c r="AK2922" s="7"/>
      <c r="AL2922" s="7"/>
      <c r="AM2922" s="7"/>
      <c r="AN2922" s="7"/>
      <c r="AO2922" s="7"/>
      <c r="AP2922" s="7"/>
      <c r="AQ2922" s="7"/>
      <c r="AR2922" s="7"/>
      <c r="AS2922" s="7" t="s">
        <v>27</v>
      </c>
    </row>
    <row r="2923">
      <c r="A2923" s="7" t="s">
        <v>33</v>
      </c>
      <c r="B2923" s="7" t="s">
        <v>526</v>
      </c>
      <c r="C2923" s="7">
        <f>6</f>
        <v>6</v>
      </c>
      <c r="D2923" s="7">
        <v>5.0</v>
      </c>
      <c r="E2923" s="7">
        <v>2.0</v>
      </c>
      <c r="F2923" s="7" t="s">
        <v>282</v>
      </c>
      <c r="G2923" s="7" t="s">
        <v>283</v>
      </c>
      <c r="H2923" s="9" t="s">
        <v>2981</v>
      </c>
      <c r="I2923" t="s">
        <v>3091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 t="s">
        <v>2990</v>
      </c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 t="str">
        <f t="shared" si="1"/>
        <v>Land area </v>
      </c>
      <c r="AE2923" s="7" t="str">
        <f t="shared" si="2"/>
        <v> sq. ft.</v>
      </c>
      <c r="AF2923">
        <f>IFERROR(__xludf.DUMMYFUNCTION("VALUE(REGEXREPLACE(G2923,""[^[:digit:]]"", """"))"),2275.0)</f>
        <v>2275</v>
      </c>
      <c r="AG2923" s="7"/>
      <c r="AH2923" s="7"/>
      <c r="AI2923" s="7"/>
      <c r="AJ2923" s="7"/>
      <c r="AK2923" s="7"/>
      <c r="AL2923" s="7"/>
      <c r="AM2923" s="7"/>
      <c r="AN2923" s="7"/>
      <c r="AO2923" s="7"/>
      <c r="AP2923" s="7"/>
      <c r="AQ2923" s="7"/>
      <c r="AR2923" s="7"/>
      <c r="AS2923" s="7" t="s">
        <v>27</v>
      </c>
    </row>
    <row r="2924">
      <c r="A2924" s="7" t="s">
        <v>164</v>
      </c>
      <c r="B2924" s="7" t="s">
        <v>144</v>
      </c>
      <c r="C2924" s="7">
        <f>2</f>
        <v>2</v>
      </c>
      <c r="D2924" s="7">
        <v>2.0</v>
      </c>
      <c r="E2924" s="7">
        <v>1.0</v>
      </c>
      <c r="F2924" s="7" t="s">
        <v>20</v>
      </c>
      <c r="G2924" s="7" t="s">
        <v>303</v>
      </c>
      <c r="H2924" s="9" t="s">
        <v>2979</v>
      </c>
      <c r="I2924" t="s">
        <v>3099</v>
      </c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 t="str">
        <f t="shared" si="1"/>
        <v>Built-up :</v>
      </c>
      <c r="AE2924" s="7" t="str">
        <f t="shared" si="2"/>
        <v> sq. ft.</v>
      </c>
      <c r="AF2924">
        <f>IFERROR(__xludf.DUMMYFUNCTION("VALUE(REGEXREPLACE(G2924,""[^[:digit:]]"", """"))"),1485.0)</f>
        <v>1485</v>
      </c>
      <c r="AG2924" s="7"/>
      <c r="AH2924" s="7"/>
      <c r="AI2924" s="7"/>
      <c r="AJ2924" s="7"/>
      <c r="AK2924" s="7"/>
      <c r="AL2924" s="7"/>
      <c r="AM2924" s="7"/>
      <c r="AN2924" s="7"/>
      <c r="AO2924" s="7"/>
      <c r="AP2924" s="7"/>
      <c r="AQ2924" s="7"/>
      <c r="AR2924" s="7"/>
      <c r="AS2924" s="7" t="s">
        <v>27</v>
      </c>
    </row>
    <row r="2925">
      <c r="A2925" s="7" t="s">
        <v>72</v>
      </c>
      <c r="B2925" s="7" t="s">
        <v>403</v>
      </c>
      <c r="C2925" s="7">
        <f>3+1</f>
        <v>4</v>
      </c>
      <c r="D2925" s="7">
        <v>4.0</v>
      </c>
      <c r="E2925" s="7">
        <v>2.0</v>
      </c>
      <c r="F2925" s="7" t="s">
        <v>83</v>
      </c>
      <c r="G2925" s="7" t="s">
        <v>1690</v>
      </c>
      <c r="H2925" s="9" t="s">
        <v>2979</v>
      </c>
      <c r="I2925" t="s">
        <v>3860</v>
      </c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 t="str">
        <f t="shared" si="1"/>
        <v>Built-up :</v>
      </c>
      <c r="AE2925" s="7" t="str">
        <f t="shared" si="2"/>
        <v> sq. ft.</v>
      </c>
      <c r="AF2925">
        <f>IFERROR(__xludf.DUMMYFUNCTION("VALUE(REGEXREPLACE(G2925,""[^[:digit:]]"", """"))"),1605.0)</f>
        <v>1605</v>
      </c>
      <c r="AG2925" s="7"/>
      <c r="AH2925" s="7"/>
      <c r="AI2925" s="7"/>
      <c r="AJ2925" s="7"/>
      <c r="AK2925" s="7"/>
      <c r="AL2925" s="7"/>
      <c r="AM2925" s="7"/>
      <c r="AN2925" s="7"/>
      <c r="AO2925" s="7"/>
      <c r="AP2925" s="7"/>
      <c r="AQ2925" s="7"/>
      <c r="AR2925" s="7"/>
      <c r="AS2925" s="7" t="s">
        <v>27</v>
      </c>
    </row>
    <row r="2926">
      <c r="A2926" s="7" t="s">
        <v>72</v>
      </c>
      <c r="B2926" s="7" t="s">
        <v>2094</v>
      </c>
      <c r="C2926" s="7">
        <f t="shared" ref="C2926:C2928" si="393">4</f>
        <v>4</v>
      </c>
      <c r="D2926" s="7">
        <v>5.0</v>
      </c>
      <c r="E2926" s="9">
        <v>2.0</v>
      </c>
      <c r="F2926" s="7" t="s">
        <v>83</v>
      </c>
      <c r="G2926" s="7" t="s">
        <v>2095</v>
      </c>
      <c r="H2926" s="9" t="s">
        <v>2979</v>
      </c>
      <c r="I2926" t="s">
        <v>4108</v>
      </c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 t="str">
        <f t="shared" si="1"/>
        <v>Built-up :</v>
      </c>
      <c r="AE2926" s="7" t="str">
        <f t="shared" si="2"/>
        <v> sq. ft.</v>
      </c>
      <c r="AF2926">
        <f>IFERROR(__xludf.DUMMYFUNCTION("VALUE(REGEXREPLACE(G2926,""[^[:digit:]]"", """"))"),5090.0)</f>
        <v>5090</v>
      </c>
      <c r="AG2926" s="7"/>
      <c r="AH2926" s="7"/>
      <c r="AI2926" s="7"/>
      <c r="AJ2926" s="7"/>
      <c r="AK2926" s="7"/>
      <c r="AL2926" s="7"/>
      <c r="AM2926" s="7"/>
      <c r="AN2926" s="7"/>
      <c r="AO2926" s="7"/>
      <c r="AP2926" s="7"/>
      <c r="AQ2926" s="7"/>
      <c r="AR2926" s="7"/>
      <c r="AS2926" s="7" t="s">
        <v>27</v>
      </c>
    </row>
    <row r="2927">
      <c r="A2927" s="7" t="s">
        <v>72</v>
      </c>
      <c r="B2927" s="7" t="s">
        <v>2096</v>
      </c>
      <c r="C2927" s="7">
        <f t="shared" si="393"/>
        <v>4</v>
      </c>
      <c r="D2927" s="7">
        <v>5.0</v>
      </c>
      <c r="E2927" s="7">
        <v>3.0</v>
      </c>
      <c r="F2927" s="7" t="s">
        <v>83</v>
      </c>
      <c r="G2927" s="7" t="s">
        <v>2097</v>
      </c>
      <c r="H2927" s="9" t="s">
        <v>2979</v>
      </c>
      <c r="I2927" t="s">
        <v>4109</v>
      </c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 t="str">
        <f t="shared" si="1"/>
        <v>Built-up :</v>
      </c>
      <c r="AE2927" s="7" t="str">
        <f t="shared" si="2"/>
        <v> sq. ft.</v>
      </c>
      <c r="AF2927">
        <f>IFERROR(__xludf.DUMMYFUNCTION("VALUE(REGEXREPLACE(G2927,""[^[:digit:]]"", """"))"),2766.0)</f>
        <v>2766</v>
      </c>
      <c r="AG2927" s="7"/>
      <c r="AH2927" s="7"/>
      <c r="AI2927" s="7"/>
      <c r="AJ2927" s="7"/>
      <c r="AK2927" s="7"/>
      <c r="AL2927" s="7"/>
      <c r="AM2927" s="7"/>
      <c r="AN2927" s="7"/>
      <c r="AO2927" s="7"/>
      <c r="AP2927" s="7"/>
      <c r="AQ2927" s="7"/>
      <c r="AR2927" s="7"/>
      <c r="AS2927" s="7" t="s">
        <v>27</v>
      </c>
    </row>
    <row r="2928">
      <c r="A2928" s="7" t="s">
        <v>72</v>
      </c>
      <c r="B2928" s="7" t="s">
        <v>2098</v>
      </c>
      <c r="C2928" s="7">
        <f t="shared" si="393"/>
        <v>4</v>
      </c>
      <c r="D2928" s="7">
        <v>5.0</v>
      </c>
      <c r="E2928" s="7">
        <v>3.0</v>
      </c>
      <c r="F2928" s="7" t="s">
        <v>83</v>
      </c>
      <c r="G2928" s="7" t="s">
        <v>84</v>
      </c>
      <c r="H2928" s="9" t="s">
        <v>2979</v>
      </c>
      <c r="I2928" t="s">
        <v>3001</v>
      </c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 t="str">
        <f t="shared" si="1"/>
        <v>Built-up :</v>
      </c>
      <c r="AE2928" s="7" t="str">
        <f t="shared" si="2"/>
        <v> sq. ft.</v>
      </c>
      <c r="AF2928">
        <f>IFERROR(__xludf.DUMMYFUNCTION("VALUE(REGEXREPLACE(G2928,""[^[:digit:]]"", """"))"),2163.0)</f>
        <v>2163</v>
      </c>
      <c r="AG2928" s="7"/>
      <c r="AH2928" s="7"/>
      <c r="AI2928" s="7"/>
      <c r="AJ2928" s="7"/>
      <c r="AK2928" s="7"/>
      <c r="AL2928" s="7"/>
      <c r="AM2928" s="7"/>
      <c r="AN2928" s="7"/>
      <c r="AO2928" s="7"/>
      <c r="AP2928" s="7"/>
      <c r="AQ2928" s="7"/>
      <c r="AR2928" s="7"/>
      <c r="AS2928" s="7" t="s">
        <v>27</v>
      </c>
    </row>
    <row r="2929">
      <c r="A2929" s="7" t="s">
        <v>72</v>
      </c>
      <c r="B2929" s="7" t="s">
        <v>2099</v>
      </c>
      <c r="C2929" s="7">
        <f>3</f>
        <v>3</v>
      </c>
      <c r="D2929" s="7">
        <v>3.0</v>
      </c>
      <c r="E2929" s="7">
        <v>2.0</v>
      </c>
      <c r="F2929" s="7" t="s">
        <v>83</v>
      </c>
      <c r="G2929" s="7" t="s">
        <v>1042</v>
      </c>
      <c r="H2929" s="9" t="s">
        <v>2979</v>
      </c>
      <c r="I2929" t="s">
        <v>3473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 t="str">
        <f t="shared" si="1"/>
        <v>Built-up :</v>
      </c>
      <c r="AE2929" s="7" t="str">
        <f t="shared" si="2"/>
        <v> sq. ft.</v>
      </c>
      <c r="AF2929">
        <f>IFERROR(__xludf.DUMMYFUNCTION("VALUE(REGEXREPLACE(G2929,""[^[:digit:]]"", """"))"),1377.0)</f>
        <v>1377</v>
      </c>
      <c r="AG2929" s="7"/>
      <c r="AH2929" s="7"/>
      <c r="AI2929" s="7"/>
      <c r="AJ2929" s="7"/>
      <c r="AK2929" s="7"/>
      <c r="AL2929" s="7"/>
      <c r="AM2929" s="7"/>
      <c r="AN2929" s="7"/>
      <c r="AO2929" s="7"/>
      <c r="AP2929" s="7"/>
      <c r="AQ2929" s="7"/>
      <c r="AR2929" s="7"/>
      <c r="AS2929" s="7" t="s">
        <v>27</v>
      </c>
    </row>
    <row r="2930">
      <c r="A2930" s="7" t="s">
        <v>28</v>
      </c>
      <c r="B2930" s="7" t="s">
        <v>18</v>
      </c>
      <c r="C2930" s="7">
        <f>3+1</f>
        <v>4</v>
      </c>
      <c r="D2930" s="7">
        <v>5.0</v>
      </c>
      <c r="E2930" s="7">
        <v>2.0</v>
      </c>
      <c r="F2930" s="7" t="s">
        <v>93</v>
      </c>
      <c r="G2930" s="7" t="s">
        <v>2100</v>
      </c>
      <c r="H2930" s="9" t="s">
        <v>2979</v>
      </c>
      <c r="I2930" t="s">
        <v>4110</v>
      </c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 t="str">
        <f t="shared" si="1"/>
        <v>Built-up :</v>
      </c>
      <c r="AE2930" s="7" t="str">
        <f t="shared" si="2"/>
        <v> sq. ft.</v>
      </c>
      <c r="AF2930">
        <f>IFERROR(__xludf.DUMMYFUNCTION("VALUE(REGEXREPLACE(G2930,""[^[:digit:]]"", """"))"),2084.0)</f>
        <v>2084</v>
      </c>
      <c r="AG2930" s="7"/>
      <c r="AH2930" s="7"/>
      <c r="AI2930" s="7"/>
      <c r="AJ2930" s="7"/>
      <c r="AK2930" s="7"/>
      <c r="AL2930" s="7"/>
      <c r="AM2930" s="7"/>
      <c r="AN2930" s="7"/>
      <c r="AO2930" s="7"/>
      <c r="AP2930" s="7"/>
      <c r="AQ2930" s="7"/>
      <c r="AR2930" s="7"/>
      <c r="AS2930" s="7" t="s">
        <v>27</v>
      </c>
    </row>
    <row r="2931">
      <c r="A2931" s="7" t="s">
        <v>104</v>
      </c>
      <c r="B2931" s="7" t="s">
        <v>1187</v>
      </c>
      <c r="C2931" s="7">
        <f>2+1</f>
        <v>3</v>
      </c>
      <c r="D2931" s="7">
        <v>2.0</v>
      </c>
      <c r="E2931" s="7">
        <v>4.0</v>
      </c>
      <c r="F2931" s="7" t="s">
        <v>343</v>
      </c>
      <c r="G2931" s="7" t="s">
        <v>211</v>
      </c>
      <c r="H2931" s="9" t="s">
        <v>2981</v>
      </c>
      <c r="I2931" t="s">
        <v>2992</v>
      </c>
      <c r="J2931" s="7"/>
      <c r="K2931" s="7"/>
      <c r="L2931" s="7"/>
      <c r="M2931" s="7"/>
      <c r="N2931" s="7"/>
      <c r="O2931" s="7"/>
      <c r="P2931" s="7"/>
      <c r="Q2931" s="7"/>
      <c r="R2931" s="7"/>
      <c r="S2931" s="7" t="s">
        <v>2993</v>
      </c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 t="str">
        <f t="shared" si="1"/>
        <v>Land area </v>
      </c>
      <c r="AE2931" s="7" t="str">
        <f t="shared" si="2"/>
        <v> sq. ft.</v>
      </c>
      <c r="AF2931">
        <f>IFERROR(__xludf.DUMMYFUNCTION("VALUE(REGEXREPLACE(G2931,""[^[:digit:]]"", """"))"),2280.0)</f>
        <v>2280</v>
      </c>
      <c r="AG2931" s="7"/>
      <c r="AH2931" s="7"/>
      <c r="AI2931" s="7"/>
      <c r="AJ2931" s="7"/>
      <c r="AK2931" s="7"/>
      <c r="AL2931" s="7"/>
      <c r="AM2931" s="7"/>
      <c r="AN2931" s="7"/>
      <c r="AO2931" s="7"/>
      <c r="AP2931" s="7"/>
      <c r="AQ2931" s="7"/>
      <c r="AR2931" s="7"/>
      <c r="AS2931" s="7" t="s">
        <v>103</v>
      </c>
    </row>
    <row r="2932">
      <c r="A2932" s="7" t="s">
        <v>148</v>
      </c>
      <c r="B2932" s="7" t="s">
        <v>1079</v>
      </c>
      <c r="C2932" s="7">
        <f>4+1</f>
        <v>5</v>
      </c>
      <c r="D2932" s="7">
        <v>5.0</v>
      </c>
      <c r="E2932" s="7">
        <v>4.0</v>
      </c>
      <c r="F2932" s="7" t="s">
        <v>90</v>
      </c>
      <c r="G2932" s="7" t="s">
        <v>2101</v>
      </c>
      <c r="H2932" s="9" t="s">
        <v>2981</v>
      </c>
      <c r="I2932" t="s">
        <v>4111</v>
      </c>
      <c r="J2932" s="7"/>
      <c r="K2932" s="7"/>
      <c r="L2932" s="7"/>
      <c r="M2932" s="7"/>
      <c r="N2932" s="7"/>
      <c r="O2932" s="7"/>
      <c r="P2932" s="7"/>
      <c r="Q2932" s="7"/>
      <c r="R2932" s="7"/>
      <c r="S2932" s="7" t="s">
        <v>3351</v>
      </c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 t="str">
        <f t="shared" si="1"/>
        <v>Land area </v>
      </c>
      <c r="AE2932" s="7" t="str">
        <f t="shared" si="2"/>
        <v> sq. ft.</v>
      </c>
      <c r="AF2932">
        <f>IFERROR(__xludf.DUMMYFUNCTION("VALUE(REGEXREPLACE(G2932,""[^[:digit:]]"", """"))"),2682.0)</f>
        <v>2682</v>
      </c>
      <c r="AG2932" s="7"/>
      <c r="AH2932" s="7"/>
      <c r="AI2932" s="7"/>
      <c r="AJ2932" s="7"/>
      <c r="AK2932" s="7"/>
      <c r="AL2932" s="7"/>
      <c r="AM2932" s="7"/>
      <c r="AN2932" s="7"/>
      <c r="AO2932" s="7"/>
      <c r="AP2932" s="7"/>
      <c r="AQ2932" s="7"/>
      <c r="AR2932" s="7"/>
      <c r="AS2932" s="7" t="s">
        <v>27</v>
      </c>
    </row>
    <row r="2933">
      <c r="A2933" s="7" t="s">
        <v>23</v>
      </c>
      <c r="B2933" s="7" t="s">
        <v>2102</v>
      </c>
      <c r="C2933" s="7">
        <f>6+1</f>
        <v>7</v>
      </c>
      <c r="D2933" s="7">
        <v>6.0</v>
      </c>
      <c r="E2933" s="7">
        <v>6.0</v>
      </c>
      <c r="F2933" s="7" t="s">
        <v>25</v>
      </c>
      <c r="G2933" s="7" t="s">
        <v>2103</v>
      </c>
      <c r="H2933" s="9" t="s">
        <v>2981</v>
      </c>
      <c r="I2933" t="s">
        <v>4112</v>
      </c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 t="str">
        <f t="shared" si="1"/>
        <v>Land area </v>
      </c>
      <c r="AE2933" s="7" t="str">
        <f t="shared" si="2"/>
        <v> sq. ft.</v>
      </c>
      <c r="AF2933">
        <f>IFERROR(__xludf.DUMMYFUNCTION("VALUE(REGEXREPLACE(G2933,""[^[:digit:]]"", """"))"),12300.0)</f>
        <v>12300</v>
      </c>
      <c r="AG2933" s="7"/>
      <c r="AH2933" s="7"/>
      <c r="AI2933" s="7"/>
      <c r="AJ2933" s="7"/>
      <c r="AK2933" s="7"/>
      <c r="AL2933" s="7"/>
      <c r="AM2933" s="7"/>
      <c r="AN2933" s="7"/>
      <c r="AO2933" s="7"/>
      <c r="AP2933" s="7"/>
      <c r="AQ2933" s="7"/>
      <c r="AR2933" s="7"/>
      <c r="AS2933" s="7" t="s">
        <v>27</v>
      </c>
    </row>
    <row r="2934">
      <c r="A2934" s="7" t="s">
        <v>28</v>
      </c>
      <c r="B2934" s="7" t="s">
        <v>2104</v>
      </c>
      <c r="C2934" s="7">
        <f t="shared" ref="C2934:C2935" si="394">5</f>
        <v>5</v>
      </c>
      <c r="D2934" s="7">
        <v>4.0</v>
      </c>
      <c r="E2934" s="7">
        <v>2.0</v>
      </c>
      <c r="F2934" s="7" t="s">
        <v>83</v>
      </c>
      <c r="G2934" s="7" t="s">
        <v>412</v>
      </c>
      <c r="H2934" s="9" t="s">
        <v>2979</v>
      </c>
      <c r="I2934" t="s">
        <v>3151</v>
      </c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 t="str">
        <f t="shared" si="1"/>
        <v>Built-up :</v>
      </c>
      <c r="AE2934" s="7" t="str">
        <f t="shared" si="2"/>
        <v> sq. ft.</v>
      </c>
      <c r="AF2934">
        <f>IFERROR(__xludf.DUMMYFUNCTION("VALUE(REGEXREPLACE(G2934,""[^[:digit:]]"", """"))"),2700.0)</f>
        <v>2700</v>
      </c>
      <c r="AG2934" s="7"/>
      <c r="AH2934" s="7"/>
      <c r="AI2934" s="7"/>
      <c r="AJ2934" s="7"/>
      <c r="AK2934" s="7"/>
      <c r="AL2934" s="7"/>
      <c r="AM2934" s="7"/>
      <c r="AN2934" s="7"/>
      <c r="AO2934" s="7"/>
      <c r="AP2934" s="7"/>
      <c r="AQ2934" s="7"/>
      <c r="AR2934" s="7"/>
      <c r="AS2934" s="7" t="s">
        <v>27</v>
      </c>
    </row>
    <row r="2935">
      <c r="A2935" s="7" t="s">
        <v>32</v>
      </c>
      <c r="B2935" s="7" t="s">
        <v>643</v>
      </c>
      <c r="C2935" s="7">
        <f t="shared" si="394"/>
        <v>5</v>
      </c>
      <c r="D2935" s="7">
        <v>4.0</v>
      </c>
      <c r="E2935" s="9">
        <v>2.0</v>
      </c>
      <c r="F2935" s="7" t="s">
        <v>54</v>
      </c>
      <c r="G2935" s="7" t="s">
        <v>558</v>
      </c>
      <c r="H2935" s="9" t="s">
        <v>2981</v>
      </c>
      <c r="I2935" t="s">
        <v>3223</v>
      </c>
      <c r="J2935" s="7"/>
      <c r="K2935" s="7"/>
      <c r="L2935" s="7"/>
      <c r="M2935" s="7"/>
      <c r="N2935" s="7"/>
      <c r="O2935" s="7"/>
      <c r="P2935" s="7"/>
      <c r="Q2935" s="7"/>
      <c r="R2935" s="7"/>
      <c r="S2935" s="7" t="s">
        <v>2990</v>
      </c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 t="str">
        <f t="shared" si="1"/>
        <v>Land area </v>
      </c>
      <c r="AE2935" s="7" t="str">
        <f t="shared" si="2"/>
        <v> sq. ft.</v>
      </c>
      <c r="AF2935">
        <f>IFERROR(__xludf.DUMMYFUNCTION("VALUE(REGEXREPLACE(G2935,""[^[:digit:]]"", """"))"),2375.0)</f>
        <v>2375</v>
      </c>
      <c r="AG2935" s="7"/>
      <c r="AH2935" s="7"/>
      <c r="AI2935" s="7"/>
      <c r="AJ2935" s="7"/>
      <c r="AK2935" s="7"/>
      <c r="AL2935" s="7"/>
      <c r="AM2935" s="7"/>
      <c r="AN2935" s="7"/>
      <c r="AO2935" s="7"/>
      <c r="AP2935" s="7"/>
      <c r="AQ2935" s="7"/>
      <c r="AR2935" s="7"/>
      <c r="AS2935" s="7" t="s">
        <v>27</v>
      </c>
    </row>
    <row r="2936">
      <c r="A2936" s="7" t="s">
        <v>89</v>
      </c>
      <c r="B2936" s="7" t="s">
        <v>759</v>
      </c>
      <c r="C2936" s="7">
        <f t="shared" ref="C2936:C2937" si="395">3</f>
        <v>3</v>
      </c>
      <c r="D2936" s="7">
        <v>2.0</v>
      </c>
      <c r="E2936" s="7">
        <v>2.0</v>
      </c>
      <c r="F2936" s="7" t="s">
        <v>83</v>
      </c>
      <c r="G2936" s="7" t="s">
        <v>954</v>
      </c>
      <c r="H2936" s="9" t="s">
        <v>2979</v>
      </c>
      <c r="I2936" t="s">
        <v>3424</v>
      </c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 t="str">
        <f t="shared" si="1"/>
        <v>Built-up :</v>
      </c>
      <c r="AE2936" s="7" t="str">
        <f t="shared" si="2"/>
        <v> sq. ft.</v>
      </c>
      <c r="AF2936">
        <f>IFERROR(__xludf.DUMMYFUNCTION("VALUE(REGEXREPLACE(G2936,""[^[:digit:]]"", """"))"),935.0)</f>
        <v>935</v>
      </c>
      <c r="AG2936" s="7"/>
      <c r="AH2936" s="7"/>
      <c r="AI2936" s="7"/>
      <c r="AJ2936" s="7"/>
      <c r="AK2936" s="7"/>
      <c r="AL2936" s="7"/>
      <c r="AM2936" s="7"/>
      <c r="AN2936" s="7"/>
      <c r="AO2936" s="7"/>
      <c r="AP2936" s="7"/>
      <c r="AQ2936" s="7"/>
      <c r="AR2936" s="7"/>
      <c r="AS2936" s="7" t="s">
        <v>27</v>
      </c>
    </row>
    <row r="2937">
      <c r="A2937" s="7" t="s">
        <v>2022</v>
      </c>
      <c r="B2937" s="7" t="s">
        <v>168</v>
      </c>
      <c r="C2937" s="7">
        <f t="shared" si="395"/>
        <v>3</v>
      </c>
      <c r="D2937" s="7">
        <v>3.0</v>
      </c>
      <c r="E2937" s="9">
        <v>2.0</v>
      </c>
      <c r="F2937" s="7" t="s">
        <v>169</v>
      </c>
      <c r="G2937" s="7" t="s">
        <v>1119</v>
      </c>
      <c r="H2937" s="9" t="s">
        <v>2981</v>
      </c>
      <c r="I2937" t="s">
        <v>3516</v>
      </c>
      <c r="J2937" s="7"/>
      <c r="K2937" s="7"/>
      <c r="L2937" s="7"/>
      <c r="M2937" s="7"/>
      <c r="N2937" s="7"/>
      <c r="O2937" s="7"/>
      <c r="P2937" s="7"/>
      <c r="Q2937" s="7"/>
      <c r="R2937" s="7"/>
      <c r="S2937" s="7" t="s">
        <v>3121</v>
      </c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 t="str">
        <f t="shared" si="1"/>
        <v>Land area </v>
      </c>
      <c r="AE2937" s="7" t="str">
        <f t="shared" si="2"/>
        <v> sq. ft.</v>
      </c>
      <c r="AF2937">
        <f>IFERROR(__xludf.DUMMYFUNCTION("VALUE(REGEXREPLACE(G2937,""[^[:digit:]]"", """"))"),2070.0)</f>
        <v>2070</v>
      </c>
      <c r="AG2937" s="7"/>
      <c r="AH2937" s="7"/>
      <c r="AI2937" s="7"/>
      <c r="AJ2937" s="7"/>
      <c r="AK2937" s="7"/>
      <c r="AL2937" s="7"/>
      <c r="AM2937" s="7"/>
      <c r="AN2937" s="7"/>
      <c r="AO2937" s="7"/>
      <c r="AP2937" s="7"/>
      <c r="AQ2937" s="7"/>
      <c r="AR2937" s="7"/>
    </row>
    <row r="2938">
      <c r="A2938" s="7" t="s">
        <v>104</v>
      </c>
      <c r="B2938" s="7" t="s">
        <v>1272</v>
      </c>
      <c r="C2938" s="7">
        <f t="shared" ref="C2938:C2939" si="396">5</f>
        <v>5</v>
      </c>
      <c r="D2938" s="7">
        <v>4.0</v>
      </c>
      <c r="E2938" s="7">
        <v>4.0</v>
      </c>
      <c r="F2938" s="7" t="s">
        <v>184</v>
      </c>
      <c r="G2938" s="7" t="s">
        <v>2105</v>
      </c>
      <c r="H2938" s="9" t="s">
        <v>2981</v>
      </c>
      <c r="I2938" t="s">
        <v>4113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 t="s">
        <v>3121</v>
      </c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 t="str">
        <f t="shared" si="1"/>
        <v>Land area </v>
      </c>
      <c r="AE2938" s="7" t="str">
        <f t="shared" si="2"/>
        <v> sq. ft.</v>
      </c>
      <c r="AF2938">
        <f>IFERROR(__xludf.DUMMYFUNCTION("VALUE(REGEXREPLACE(G2938,""[^[:digit:]]"", """"))"),4570.0)</f>
        <v>4570</v>
      </c>
      <c r="AG2938" s="7"/>
      <c r="AH2938" s="7"/>
      <c r="AI2938" s="7"/>
      <c r="AJ2938" s="7"/>
      <c r="AK2938" s="7"/>
      <c r="AL2938" s="7"/>
      <c r="AM2938" s="7"/>
      <c r="AN2938" s="7"/>
      <c r="AO2938" s="7"/>
      <c r="AP2938" s="7"/>
      <c r="AQ2938" s="7"/>
      <c r="AR2938" s="7"/>
      <c r="AS2938" s="7" t="s">
        <v>27</v>
      </c>
    </row>
    <row r="2939">
      <c r="A2939" s="7" t="s">
        <v>109</v>
      </c>
      <c r="B2939" s="7" t="s">
        <v>214</v>
      </c>
      <c r="C2939" s="7">
        <f t="shared" si="396"/>
        <v>5</v>
      </c>
      <c r="D2939" s="7">
        <v>5.0</v>
      </c>
      <c r="E2939" s="7">
        <v>4.0</v>
      </c>
      <c r="F2939" s="7" t="s">
        <v>90</v>
      </c>
      <c r="G2939" s="7" t="s">
        <v>344</v>
      </c>
      <c r="H2939" s="9" t="s">
        <v>2981</v>
      </c>
      <c r="I2939" t="s">
        <v>3118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 t="s">
        <v>2993</v>
      </c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 t="str">
        <f t="shared" si="1"/>
        <v>Land area </v>
      </c>
      <c r="AE2939" s="7" t="str">
        <f t="shared" si="2"/>
        <v> sq. ft.</v>
      </c>
      <c r="AF2939">
        <f>IFERROR(__xludf.DUMMYFUNCTION("VALUE(REGEXREPLACE(G2939,""[^[:digit:]]"", """"))"),2480.0)</f>
        <v>2480</v>
      </c>
      <c r="AG2939" s="7"/>
      <c r="AH2939" s="7"/>
      <c r="AI2939" s="7"/>
      <c r="AJ2939" s="7"/>
      <c r="AK2939" s="7"/>
      <c r="AL2939" s="7"/>
      <c r="AM2939" s="7"/>
      <c r="AN2939" s="7"/>
      <c r="AO2939" s="7"/>
      <c r="AP2939" s="7"/>
      <c r="AQ2939" s="7"/>
      <c r="AR2939" s="7"/>
      <c r="AS2939" s="7" t="s">
        <v>27</v>
      </c>
    </row>
    <row r="2940">
      <c r="A2940" s="7" t="s">
        <v>104</v>
      </c>
      <c r="B2940" s="7" t="s">
        <v>18</v>
      </c>
      <c r="C2940" s="7">
        <f>4+1</f>
        <v>5</v>
      </c>
      <c r="D2940" s="7">
        <v>4.0</v>
      </c>
      <c r="E2940" s="7">
        <v>4.0</v>
      </c>
      <c r="F2940" s="7" t="s">
        <v>90</v>
      </c>
      <c r="G2940" s="7" t="s">
        <v>719</v>
      </c>
      <c r="H2940" s="9" t="s">
        <v>2981</v>
      </c>
      <c r="I2940" t="s">
        <v>3299</v>
      </c>
      <c r="J2940" s="7"/>
      <c r="K2940" s="7"/>
      <c r="L2940" s="7"/>
      <c r="M2940" s="7"/>
      <c r="N2940" s="7"/>
      <c r="O2940" s="7"/>
      <c r="P2940" s="7"/>
      <c r="Q2940" s="7"/>
      <c r="R2940" s="7"/>
      <c r="S2940" s="7" t="s">
        <v>3101</v>
      </c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 t="str">
        <f t="shared" si="1"/>
        <v>Land area </v>
      </c>
      <c r="AE2940" s="7" t="str">
        <f t="shared" si="2"/>
        <v> sq. ft.</v>
      </c>
      <c r="AF2940">
        <f>IFERROR(__xludf.DUMMYFUNCTION("VALUE(REGEXREPLACE(G2940,""[^[:digit:]]"", """"))"),2285.0)</f>
        <v>2285</v>
      </c>
      <c r="AG2940" s="7"/>
      <c r="AH2940" s="7"/>
      <c r="AI2940" s="7"/>
      <c r="AJ2940" s="7"/>
      <c r="AK2940" s="7"/>
      <c r="AL2940" s="7"/>
      <c r="AM2940" s="7"/>
      <c r="AN2940" s="7"/>
      <c r="AO2940" s="7"/>
      <c r="AP2940" s="7"/>
      <c r="AQ2940" s="7"/>
      <c r="AR2940" s="7"/>
      <c r="AS2940" s="7" t="s">
        <v>27</v>
      </c>
    </row>
    <row r="2941">
      <c r="A2941" s="7" t="s">
        <v>100</v>
      </c>
      <c r="B2941" s="7" t="s">
        <v>2106</v>
      </c>
      <c r="C2941" s="7">
        <f>1</f>
        <v>1</v>
      </c>
      <c r="D2941" s="7">
        <v>2.0</v>
      </c>
      <c r="E2941" s="7">
        <v>2.0</v>
      </c>
      <c r="F2941" s="7" t="s">
        <v>121</v>
      </c>
      <c r="G2941" s="7" t="s">
        <v>930</v>
      </c>
      <c r="H2941" s="9" t="s">
        <v>2979</v>
      </c>
      <c r="I2941" t="s">
        <v>3412</v>
      </c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 t="str">
        <f t="shared" si="1"/>
        <v>Built-up :</v>
      </c>
      <c r="AE2941" s="7" t="str">
        <f t="shared" si="2"/>
        <v> sq. ft.</v>
      </c>
      <c r="AF2941">
        <f>IFERROR(__xludf.DUMMYFUNCTION("VALUE(REGEXREPLACE(G2941,""[^[:digit:]]"", """"))"),1270.0)</f>
        <v>1270</v>
      </c>
      <c r="AG2941" s="7"/>
      <c r="AH2941" s="7"/>
      <c r="AI2941" s="7"/>
      <c r="AJ2941" s="7"/>
      <c r="AK2941" s="7"/>
      <c r="AL2941" s="7"/>
      <c r="AM2941" s="7"/>
      <c r="AN2941" s="7"/>
      <c r="AO2941" s="7"/>
      <c r="AP2941" s="7"/>
      <c r="AQ2941" s="7"/>
      <c r="AR2941" s="7"/>
      <c r="AS2941" s="7" t="s">
        <v>22</v>
      </c>
    </row>
    <row r="2942">
      <c r="A2942" s="7" t="s">
        <v>428</v>
      </c>
      <c r="B2942" s="7" t="s">
        <v>277</v>
      </c>
      <c r="C2942" s="7">
        <f>4+1</f>
        <v>5</v>
      </c>
      <c r="D2942" s="7">
        <v>4.0</v>
      </c>
      <c r="E2942" s="9">
        <v>2.0</v>
      </c>
      <c r="F2942" s="7" t="s">
        <v>43</v>
      </c>
      <c r="G2942" s="7" t="s">
        <v>631</v>
      </c>
      <c r="H2942" s="9" t="s">
        <v>2981</v>
      </c>
      <c r="I2942" t="s">
        <v>3258</v>
      </c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 t="str">
        <f t="shared" si="1"/>
        <v>Land area </v>
      </c>
      <c r="AE2942" s="7" t="str">
        <f t="shared" si="2"/>
        <v> sq. ft.</v>
      </c>
      <c r="AF2942">
        <f>IFERROR(__xludf.DUMMYFUNCTION("VALUE(REGEXREPLACE(G2942,""[^[:digit:]]"", """"))"),5000.0)</f>
        <v>5000</v>
      </c>
      <c r="AG2942" s="7"/>
      <c r="AH2942" s="7"/>
      <c r="AI2942" s="7"/>
      <c r="AJ2942" s="7"/>
      <c r="AK2942" s="7"/>
      <c r="AL2942" s="7"/>
      <c r="AM2942" s="7"/>
      <c r="AN2942" s="7"/>
      <c r="AO2942" s="7"/>
      <c r="AP2942" s="7"/>
      <c r="AQ2942" s="7"/>
      <c r="AR2942" s="7"/>
    </row>
    <row r="2943">
      <c r="A2943" s="7" t="s">
        <v>86</v>
      </c>
      <c r="B2943" s="7" t="s">
        <v>134</v>
      </c>
      <c r="C2943" s="7">
        <f>3</f>
        <v>3</v>
      </c>
      <c r="D2943" s="7">
        <v>2.0</v>
      </c>
      <c r="E2943" s="7">
        <v>2.0</v>
      </c>
      <c r="F2943" s="7" t="s">
        <v>93</v>
      </c>
      <c r="G2943" s="7" t="s">
        <v>303</v>
      </c>
      <c r="H2943" s="9" t="s">
        <v>2979</v>
      </c>
      <c r="I2943" t="s">
        <v>3099</v>
      </c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 t="str">
        <f t="shared" si="1"/>
        <v>Built-up :</v>
      </c>
      <c r="AE2943" s="7" t="str">
        <f t="shared" si="2"/>
        <v> sq. ft.</v>
      </c>
      <c r="AF2943">
        <f>IFERROR(__xludf.DUMMYFUNCTION("VALUE(REGEXREPLACE(G2943,""[^[:digit:]]"", """"))"),1485.0)</f>
        <v>1485</v>
      </c>
      <c r="AG2943" s="7"/>
      <c r="AH2943" s="7"/>
      <c r="AI2943" s="7"/>
      <c r="AJ2943" s="7"/>
      <c r="AK2943" s="7"/>
      <c r="AL2943" s="7"/>
      <c r="AM2943" s="7"/>
      <c r="AN2943" s="7"/>
      <c r="AO2943" s="7"/>
      <c r="AP2943" s="7"/>
      <c r="AQ2943" s="7"/>
      <c r="AR2943" s="7"/>
      <c r="AS2943" s="7" t="s">
        <v>22</v>
      </c>
    </row>
    <row r="2944">
      <c r="A2944" s="7" t="s">
        <v>100</v>
      </c>
      <c r="B2944" s="7" t="s">
        <v>507</v>
      </c>
      <c r="C2944" s="7">
        <f>4</f>
        <v>4</v>
      </c>
      <c r="D2944" s="7">
        <v>3.0</v>
      </c>
      <c r="E2944" s="7">
        <v>1.0</v>
      </c>
      <c r="F2944" s="7" t="s">
        <v>83</v>
      </c>
      <c r="H2944" s="9" t="s">
        <v>2984</v>
      </c>
      <c r="I2944" t="s">
        <v>2985</v>
      </c>
      <c r="AD2944" s="7" t="str">
        <f t="shared" si="1"/>
        <v/>
      </c>
      <c r="AE2944" s="7" t="str">
        <f t="shared" si="2"/>
        <v/>
      </c>
      <c r="AF2944">
        <f>IFERROR(__xludf.DUMMYFUNCTION("VALUE(REGEXREPLACE(G2944,""[^[:digit:]]"", """"))"),0.0)</f>
        <v>0</v>
      </c>
      <c r="AS2944" s="7" t="s">
        <v>27</v>
      </c>
    </row>
    <row r="2945">
      <c r="A2945" s="7" t="s">
        <v>33</v>
      </c>
      <c r="B2945" s="7" t="s">
        <v>361</v>
      </c>
      <c r="C2945" s="7">
        <f>3</f>
        <v>3</v>
      </c>
      <c r="D2945" s="7">
        <v>3.0</v>
      </c>
      <c r="E2945" s="7">
        <v>2.0</v>
      </c>
      <c r="F2945" s="7" t="s">
        <v>30</v>
      </c>
      <c r="G2945" s="7" t="s">
        <v>1156</v>
      </c>
      <c r="H2945" s="9" t="s">
        <v>2979</v>
      </c>
      <c r="I2945" t="s">
        <v>3545</v>
      </c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 t="str">
        <f t="shared" si="1"/>
        <v>Built-up :</v>
      </c>
      <c r="AE2945" s="7" t="str">
        <f t="shared" si="2"/>
        <v> sq. ft.</v>
      </c>
      <c r="AF2945">
        <f>IFERROR(__xludf.DUMMYFUNCTION("VALUE(REGEXREPLACE(G2945,""[^[:digit:]]"", """"))"),1003.0)</f>
        <v>1003</v>
      </c>
      <c r="AG2945" s="7"/>
      <c r="AH2945" s="7"/>
      <c r="AI2945" s="7"/>
      <c r="AJ2945" s="7"/>
      <c r="AK2945" s="7"/>
      <c r="AL2945" s="7"/>
      <c r="AM2945" s="7"/>
      <c r="AN2945" s="7"/>
      <c r="AO2945" s="7"/>
      <c r="AP2945" s="7"/>
      <c r="AQ2945" s="7"/>
      <c r="AR2945" s="7"/>
      <c r="AS2945" s="7" t="s">
        <v>27</v>
      </c>
    </row>
    <row r="2946">
      <c r="A2946" s="7" t="s">
        <v>692</v>
      </c>
      <c r="B2946" s="7" t="s">
        <v>239</v>
      </c>
      <c r="C2946" s="7">
        <f>3+1</f>
        <v>4</v>
      </c>
      <c r="D2946" s="7">
        <v>4.0</v>
      </c>
      <c r="E2946" s="7">
        <v>2.0</v>
      </c>
      <c r="F2946" s="7" t="s">
        <v>494</v>
      </c>
      <c r="G2946" s="7" t="s">
        <v>1000</v>
      </c>
      <c r="H2946" s="9" t="s">
        <v>2981</v>
      </c>
      <c r="I2946" t="s">
        <v>3445</v>
      </c>
      <c r="J2946" s="7"/>
      <c r="K2946" s="7"/>
      <c r="L2946" s="7"/>
      <c r="M2946" s="7"/>
      <c r="N2946" s="7"/>
      <c r="O2946" s="7"/>
      <c r="P2946" s="7"/>
      <c r="Q2946" s="7"/>
      <c r="R2946" s="7"/>
      <c r="S2946" s="7" t="s">
        <v>3446</v>
      </c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 t="str">
        <f t="shared" si="1"/>
        <v>Land area </v>
      </c>
      <c r="AE2946" s="7" t="str">
        <f t="shared" si="2"/>
        <v> sq. ft.</v>
      </c>
      <c r="AF2946">
        <f>IFERROR(__xludf.DUMMYFUNCTION("VALUE(REGEXREPLACE(G2946,""[^[:digit:]]"", """"))"),2687.0)</f>
        <v>2687</v>
      </c>
      <c r="AG2946" s="7"/>
      <c r="AH2946" s="7"/>
      <c r="AI2946" s="7"/>
      <c r="AJ2946" s="7"/>
      <c r="AK2946" s="7"/>
      <c r="AL2946" s="7"/>
      <c r="AM2946" s="7"/>
      <c r="AN2946" s="7"/>
      <c r="AO2946" s="7"/>
      <c r="AP2946" s="7"/>
      <c r="AQ2946" s="7"/>
      <c r="AR2946" s="7"/>
      <c r="AS2946" s="7" t="s">
        <v>103</v>
      </c>
    </row>
    <row r="2947">
      <c r="A2947" s="7" t="s">
        <v>692</v>
      </c>
      <c r="B2947" s="7" t="s">
        <v>247</v>
      </c>
      <c r="C2947" s="7">
        <f>4</f>
        <v>4</v>
      </c>
      <c r="D2947" s="7">
        <v>4.0</v>
      </c>
      <c r="E2947" s="7">
        <v>2.0</v>
      </c>
      <c r="F2947" s="7" t="s">
        <v>804</v>
      </c>
      <c r="G2947" s="7" t="s">
        <v>1129</v>
      </c>
      <c r="H2947" s="9" t="s">
        <v>2981</v>
      </c>
      <c r="I2947" t="s">
        <v>3062</v>
      </c>
      <c r="J2947" s="7"/>
      <c r="K2947" s="7"/>
      <c r="L2947" s="7"/>
      <c r="M2947" s="7"/>
      <c r="N2947" s="7"/>
      <c r="O2947" s="7"/>
      <c r="P2947" s="7"/>
      <c r="Q2947" s="7"/>
      <c r="R2947" s="7"/>
      <c r="S2947" s="7" t="s">
        <v>2990</v>
      </c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 t="str">
        <f t="shared" si="1"/>
        <v>Land area </v>
      </c>
      <c r="AE2947" s="7" t="str">
        <f t="shared" si="2"/>
        <v> sq. ft.</v>
      </c>
      <c r="AF2947">
        <f>IFERROR(__xludf.DUMMYFUNCTION("VALUE(REGEXREPLACE(G2947,""[^[:digit:]]"", """"))"),3275.0)</f>
        <v>3275</v>
      </c>
      <c r="AG2947" s="7"/>
      <c r="AH2947" s="7"/>
      <c r="AI2947" s="7"/>
      <c r="AJ2947" s="7"/>
      <c r="AK2947" s="7"/>
      <c r="AL2947" s="7"/>
      <c r="AM2947" s="7"/>
      <c r="AN2947" s="7"/>
      <c r="AO2947" s="7"/>
      <c r="AP2947" s="7"/>
      <c r="AQ2947" s="7"/>
      <c r="AR2947" s="7"/>
      <c r="AS2947" s="7" t="s">
        <v>27</v>
      </c>
    </row>
    <row r="2948">
      <c r="A2948" s="7" t="s">
        <v>171</v>
      </c>
      <c r="B2948" s="7" t="s">
        <v>105</v>
      </c>
      <c r="C2948" s="7">
        <f>3</f>
        <v>3</v>
      </c>
      <c r="D2948" s="7">
        <v>2.0</v>
      </c>
      <c r="E2948" s="7">
        <v>2.0</v>
      </c>
      <c r="F2948" s="7" t="s">
        <v>82</v>
      </c>
      <c r="H2948" s="9" t="s">
        <v>2984</v>
      </c>
      <c r="I2948" t="s">
        <v>2985</v>
      </c>
      <c r="AD2948" s="7" t="str">
        <f t="shared" si="1"/>
        <v/>
      </c>
      <c r="AE2948" s="7" t="str">
        <f t="shared" si="2"/>
        <v/>
      </c>
      <c r="AF2948">
        <f>IFERROR(__xludf.DUMMYFUNCTION("VALUE(REGEXREPLACE(G2948,""[^[:digit:]]"", """"))"),0.0)</f>
        <v>0</v>
      </c>
      <c r="AS2948" s="7" t="s">
        <v>22</v>
      </c>
    </row>
    <row r="2949">
      <c r="A2949" s="7" t="s">
        <v>104</v>
      </c>
      <c r="B2949" s="7" t="s">
        <v>316</v>
      </c>
      <c r="C2949" s="7">
        <f>4</f>
        <v>4</v>
      </c>
      <c r="D2949" s="7">
        <v>3.0</v>
      </c>
      <c r="E2949" s="9">
        <v>2.0</v>
      </c>
      <c r="F2949" s="7" t="s">
        <v>717</v>
      </c>
      <c r="G2949" s="7" t="s">
        <v>211</v>
      </c>
      <c r="H2949" s="9" t="s">
        <v>2981</v>
      </c>
      <c r="I2949" t="s">
        <v>2992</v>
      </c>
      <c r="J2949" s="7"/>
      <c r="K2949" s="7"/>
      <c r="L2949" s="7"/>
      <c r="M2949" s="7"/>
      <c r="N2949" s="7"/>
      <c r="O2949" s="7"/>
      <c r="P2949" s="7"/>
      <c r="Q2949" s="7"/>
      <c r="R2949" s="7"/>
      <c r="S2949" s="7" t="s">
        <v>2993</v>
      </c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 t="str">
        <f t="shared" si="1"/>
        <v>Land area </v>
      </c>
      <c r="AE2949" s="7" t="str">
        <f t="shared" si="2"/>
        <v> sq. ft.</v>
      </c>
      <c r="AF2949">
        <f>IFERROR(__xludf.DUMMYFUNCTION("VALUE(REGEXREPLACE(G2949,""[^[:digit:]]"", """"))"),2280.0)</f>
        <v>2280</v>
      </c>
      <c r="AG2949" s="7"/>
      <c r="AH2949" s="7"/>
      <c r="AI2949" s="7"/>
      <c r="AJ2949" s="7"/>
      <c r="AK2949" s="7"/>
      <c r="AL2949" s="7"/>
      <c r="AM2949" s="7"/>
      <c r="AN2949" s="7"/>
      <c r="AO2949" s="7"/>
      <c r="AP2949" s="7"/>
      <c r="AQ2949" s="7"/>
      <c r="AR2949" s="7"/>
      <c r="AS2949" s="7" t="s">
        <v>27</v>
      </c>
    </row>
    <row r="2950">
      <c r="A2950" s="7" t="s">
        <v>33</v>
      </c>
      <c r="B2950" s="7" t="s">
        <v>1517</v>
      </c>
      <c r="C2950" s="7">
        <f>3</f>
        <v>3</v>
      </c>
      <c r="D2950" s="7">
        <v>2.0</v>
      </c>
      <c r="E2950" s="7">
        <v>2.0</v>
      </c>
      <c r="F2950" s="7" t="s">
        <v>20</v>
      </c>
      <c r="G2950" s="7" t="s">
        <v>1112</v>
      </c>
      <c r="H2950" s="9" t="s">
        <v>2979</v>
      </c>
      <c r="I2950" t="s">
        <v>3510</v>
      </c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 t="str">
        <f t="shared" si="1"/>
        <v>Built-up :</v>
      </c>
      <c r="AE2950" s="7" t="str">
        <f t="shared" si="2"/>
        <v> sq. ft.</v>
      </c>
      <c r="AF2950">
        <f>IFERROR(__xludf.DUMMYFUNCTION("VALUE(REGEXREPLACE(G2950,""[^[:digit:]]"", """"))"),1218.0)</f>
        <v>1218</v>
      </c>
      <c r="AG2950" s="7"/>
      <c r="AH2950" s="7"/>
      <c r="AI2950" s="7"/>
      <c r="AJ2950" s="7"/>
      <c r="AK2950" s="7"/>
      <c r="AL2950" s="7"/>
      <c r="AM2950" s="7"/>
      <c r="AN2950" s="7"/>
      <c r="AO2950" s="7"/>
      <c r="AP2950" s="7"/>
      <c r="AQ2950" s="7"/>
      <c r="AR2950" s="7"/>
    </row>
    <row r="2951">
      <c r="A2951" s="7" t="s">
        <v>32</v>
      </c>
      <c r="B2951" s="7" t="s">
        <v>286</v>
      </c>
      <c r="C2951" s="7">
        <f>5</f>
        <v>5</v>
      </c>
      <c r="D2951" s="7">
        <v>3.0</v>
      </c>
      <c r="E2951" s="7">
        <v>6.0</v>
      </c>
      <c r="F2951" s="7" t="s">
        <v>282</v>
      </c>
      <c r="G2951" s="7" t="s">
        <v>2107</v>
      </c>
      <c r="H2951" s="9" t="s">
        <v>2981</v>
      </c>
      <c r="I2951" t="s">
        <v>3003</v>
      </c>
      <c r="J2951" s="7"/>
      <c r="K2951" s="7"/>
      <c r="L2951" s="7"/>
      <c r="M2951" s="7"/>
      <c r="N2951" s="7"/>
      <c r="O2951" s="7"/>
      <c r="P2951" s="7"/>
      <c r="Q2951" s="7"/>
      <c r="R2951" s="7"/>
      <c r="S2951" s="7" t="s">
        <v>4114</v>
      </c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 t="str">
        <f t="shared" si="1"/>
        <v>Land area </v>
      </c>
      <c r="AE2951" s="7" t="str">
        <f t="shared" si="2"/>
        <v> sq. ft.</v>
      </c>
      <c r="AF2951">
        <f>IFERROR(__xludf.DUMMYFUNCTION("VALUE(REGEXREPLACE(G2951,""[^[:digit:]]"", """"))"),2.07515E7)</f>
        <v>20751500</v>
      </c>
      <c r="AG2951" s="7"/>
      <c r="AH2951" s="7"/>
      <c r="AI2951" s="7"/>
      <c r="AJ2951" s="7"/>
      <c r="AK2951" s="7"/>
      <c r="AL2951" s="7"/>
      <c r="AM2951" s="7"/>
      <c r="AN2951" s="7"/>
      <c r="AO2951" s="7"/>
      <c r="AP2951" s="7"/>
      <c r="AQ2951" s="7"/>
      <c r="AR2951" s="7"/>
      <c r="AS2951" s="7" t="s">
        <v>103</v>
      </c>
    </row>
    <row r="2952">
      <c r="A2952" s="7" t="s">
        <v>77</v>
      </c>
      <c r="B2952" s="7" t="s">
        <v>1679</v>
      </c>
      <c r="C2952" s="7">
        <f>1+1</f>
        <v>2</v>
      </c>
      <c r="D2952" s="7">
        <v>1.0</v>
      </c>
      <c r="E2952" s="7">
        <v>1.0</v>
      </c>
      <c r="F2952" s="7" t="s">
        <v>93</v>
      </c>
      <c r="G2952" s="7" t="s">
        <v>2108</v>
      </c>
      <c r="H2952" s="9" t="s">
        <v>2981</v>
      </c>
      <c r="I2952" t="s">
        <v>3246</v>
      </c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 t="str">
        <f t="shared" si="1"/>
        <v>Land area </v>
      </c>
      <c r="AE2952" s="7" t="str">
        <f t="shared" si="2"/>
        <v> sq. ft.</v>
      </c>
      <c r="AF2952">
        <f>IFERROR(__xludf.DUMMYFUNCTION("VALUE(REGEXREPLACE(G2952,""[^[:digit:]]"", """"))"),969.0)</f>
        <v>969</v>
      </c>
      <c r="AG2952" s="7"/>
      <c r="AH2952" s="7"/>
      <c r="AI2952" s="7"/>
      <c r="AJ2952" s="7"/>
      <c r="AK2952" s="7"/>
      <c r="AL2952" s="7"/>
      <c r="AM2952" s="7"/>
      <c r="AN2952" s="7"/>
      <c r="AO2952" s="7"/>
      <c r="AP2952" s="7"/>
      <c r="AQ2952" s="7"/>
      <c r="AR2952" s="7"/>
      <c r="AS2952" s="7" t="s">
        <v>22</v>
      </c>
    </row>
    <row r="2953">
      <c r="A2953" s="7" t="s">
        <v>100</v>
      </c>
      <c r="B2953" s="7" t="s">
        <v>1704</v>
      </c>
      <c r="C2953" s="7">
        <f>3</f>
        <v>3</v>
      </c>
      <c r="D2953" s="7">
        <v>2.0</v>
      </c>
      <c r="E2953" s="7">
        <v>2.0</v>
      </c>
      <c r="F2953" s="7" t="s">
        <v>343</v>
      </c>
      <c r="G2953" s="7" t="s">
        <v>283</v>
      </c>
      <c r="H2953" s="9" t="s">
        <v>2981</v>
      </c>
      <c r="I2953" t="s">
        <v>3091</v>
      </c>
      <c r="J2953" s="7"/>
      <c r="K2953" s="7"/>
      <c r="L2953" s="7"/>
      <c r="M2953" s="7"/>
      <c r="N2953" s="7"/>
      <c r="O2953" s="7"/>
      <c r="P2953" s="7"/>
      <c r="Q2953" s="7"/>
      <c r="R2953" s="7"/>
      <c r="S2953" s="7" t="s">
        <v>2990</v>
      </c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 t="str">
        <f t="shared" si="1"/>
        <v>Land area </v>
      </c>
      <c r="AE2953" s="7" t="str">
        <f t="shared" si="2"/>
        <v> sq. ft.</v>
      </c>
      <c r="AF2953">
        <f>IFERROR(__xludf.DUMMYFUNCTION("VALUE(REGEXREPLACE(G2953,""[^[:digit:]]"", """"))"),2275.0)</f>
        <v>2275</v>
      </c>
      <c r="AG2953" s="7"/>
      <c r="AH2953" s="7"/>
      <c r="AI2953" s="7"/>
      <c r="AJ2953" s="7"/>
      <c r="AK2953" s="7"/>
      <c r="AL2953" s="7"/>
      <c r="AM2953" s="7"/>
      <c r="AN2953" s="7"/>
      <c r="AO2953" s="7"/>
      <c r="AP2953" s="7"/>
      <c r="AQ2953" s="7"/>
      <c r="AR2953" s="7"/>
      <c r="AS2953" s="7" t="s">
        <v>27</v>
      </c>
    </row>
    <row r="2954">
      <c r="A2954" s="7" t="s">
        <v>371</v>
      </c>
      <c r="B2954" s="7" t="s">
        <v>890</v>
      </c>
      <c r="C2954" s="7">
        <f>2</f>
        <v>2</v>
      </c>
      <c r="D2954" s="7">
        <v>2.0</v>
      </c>
      <c r="E2954" s="7">
        <v>2.0</v>
      </c>
      <c r="F2954" s="7" t="s">
        <v>385</v>
      </c>
      <c r="G2954" s="7" t="s">
        <v>1478</v>
      </c>
      <c r="H2954" s="9" t="s">
        <v>2979</v>
      </c>
      <c r="I2954" t="s">
        <v>3732</v>
      </c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 t="str">
        <f t="shared" si="1"/>
        <v>Built-up :</v>
      </c>
      <c r="AE2954" s="7" t="str">
        <f t="shared" si="2"/>
        <v> sq. ft.</v>
      </c>
      <c r="AF2954">
        <f>IFERROR(__xludf.DUMMYFUNCTION("VALUE(REGEXREPLACE(G2954,""[^[:digit:]]"", """"))"),830.0)</f>
        <v>830</v>
      </c>
      <c r="AG2954" s="7"/>
      <c r="AH2954" s="7"/>
      <c r="AI2954" s="7"/>
      <c r="AJ2954" s="7"/>
      <c r="AK2954" s="7"/>
      <c r="AL2954" s="7"/>
      <c r="AM2954" s="7"/>
      <c r="AN2954" s="7"/>
      <c r="AO2954" s="7"/>
      <c r="AP2954" s="7"/>
      <c r="AQ2954" s="7"/>
      <c r="AR2954" s="7"/>
      <c r="AS2954" s="7" t="s">
        <v>27</v>
      </c>
    </row>
    <row r="2955">
      <c r="A2955" s="7" t="s">
        <v>371</v>
      </c>
      <c r="B2955" s="7" t="s">
        <v>969</v>
      </c>
      <c r="E2955" s="7">
        <v>2.0</v>
      </c>
      <c r="F2955" s="7" t="s">
        <v>121</v>
      </c>
      <c r="G2955" s="7" t="s">
        <v>140</v>
      </c>
      <c r="H2955" s="9" t="s">
        <v>2979</v>
      </c>
      <c r="I2955" t="s">
        <v>3008</v>
      </c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 t="str">
        <f t="shared" si="1"/>
        <v>Built-up :</v>
      </c>
      <c r="AE2955" s="7" t="str">
        <f t="shared" si="2"/>
        <v> sq. ft.</v>
      </c>
      <c r="AF2955">
        <f>IFERROR(__xludf.DUMMYFUNCTION("VALUE(REGEXREPLACE(G2955,""[^[:digit:]]"", """"))"),880.0)</f>
        <v>880</v>
      </c>
      <c r="AG2955" s="7"/>
      <c r="AH2955" s="7"/>
      <c r="AI2955" s="7"/>
      <c r="AJ2955" s="7"/>
      <c r="AK2955" s="7"/>
      <c r="AL2955" s="7"/>
      <c r="AM2955" s="7"/>
      <c r="AN2955" s="7"/>
      <c r="AO2955" s="7"/>
      <c r="AP2955" s="7"/>
      <c r="AQ2955" s="7"/>
      <c r="AR2955" s="7"/>
      <c r="AS2955" s="7" t="s">
        <v>27</v>
      </c>
    </row>
    <row r="2956">
      <c r="A2956" s="7" t="s">
        <v>23</v>
      </c>
      <c r="B2956" s="7" t="s">
        <v>134</v>
      </c>
      <c r="C2956" s="7">
        <f>3+1</f>
        <v>4</v>
      </c>
      <c r="D2956" s="7">
        <v>5.0</v>
      </c>
      <c r="E2956" s="9">
        <v>2.0</v>
      </c>
      <c r="F2956" s="7" t="s">
        <v>121</v>
      </c>
      <c r="G2956" s="7" t="s">
        <v>2109</v>
      </c>
      <c r="H2956" s="9" t="s">
        <v>2979</v>
      </c>
      <c r="I2956" t="s">
        <v>4115</v>
      </c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 t="str">
        <f t="shared" si="1"/>
        <v>Built-up :</v>
      </c>
      <c r="AE2956" s="7" t="str">
        <f t="shared" si="2"/>
        <v> sq. ft.</v>
      </c>
      <c r="AF2956">
        <f>IFERROR(__xludf.DUMMYFUNCTION("VALUE(REGEXREPLACE(G2956,""[^[:digit:]]"", """"))"),1480.0)</f>
        <v>1480</v>
      </c>
      <c r="AG2956" s="7"/>
      <c r="AH2956" s="7"/>
      <c r="AI2956" s="7"/>
      <c r="AJ2956" s="7"/>
      <c r="AK2956" s="7"/>
      <c r="AL2956" s="7"/>
      <c r="AM2956" s="7"/>
      <c r="AN2956" s="7"/>
      <c r="AO2956" s="7"/>
      <c r="AP2956" s="7"/>
      <c r="AQ2956" s="7"/>
      <c r="AR2956" s="7"/>
      <c r="AS2956" s="7" t="s">
        <v>27</v>
      </c>
    </row>
    <row r="2957">
      <c r="A2957" s="7" t="s">
        <v>23</v>
      </c>
      <c r="B2957" s="7" t="s">
        <v>149</v>
      </c>
      <c r="C2957" s="7">
        <f>4+1</f>
        <v>5</v>
      </c>
      <c r="D2957" s="7">
        <v>4.0</v>
      </c>
      <c r="E2957" s="9">
        <v>2.0</v>
      </c>
      <c r="F2957" s="7" t="s">
        <v>43</v>
      </c>
      <c r="G2957" s="7" t="s">
        <v>256</v>
      </c>
      <c r="H2957" s="9" t="s">
        <v>2981</v>
      </c>
      <c r="I2957" t="s">
        <v>3079</v>
      </c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 t="str">
        <f t="shared" si="1"/>
        <v>Land area </v>
      </c>
      <c r="AE2957" s="7" t="str">
        <f t="shared" si="2"/>
        <v> sq. ft.</v>
      </c>
      <c r="AF2957">
        <f>IFERROR(__xludf.DUMMYFUNCTION("VALUE(REGEXREPLACE(G2957,""[^[:digit:]]"", """"))"),3700.0)</f>
        <v>3700</v>
      </c>
      <c r="AG2957" s="7"/>
      <c r="AH2957" s="7"/>
      <c r="AI2957" s="7"/>
      <c r="AJ2957" s="7"/>
      <c r="AK2957" s="7"/>
      <c r="AL2957" s="7"/>
      <c r="AM2957" s="7"/>
      <c r="AN2957" s="7"/>
      <c r="AO2957" s="7"/>
      <c r="AP2957" s="7"/>
      <c r="AQ2957" s="7"/>
      <c r="AR2957" s="7"/>
      <c r="AS2957" s="7" t="s">
        <v>27</v>
      </c>
    </row>
    <row r="2958">
      <c r="A2958" s="7" t="s">
        <v>17</v>
      </c>
      <c r="B2958" s="7" t="s">
        <v>130</v>
      </c>
      <c r="C2958" s="7">
        <f t="shared" ref="C2958:C2959" si="397">2+1</f>
        <v>3</v>
      </c>
      <c r="D2958" s="7">
        <v>2.0</v>
      </c>
      <c r="E2958" s="7">
        <v>2.0</v>
      </c>
      <c r="F2958" s="7" t="s">
        <v>121</v>
      </c>
      <c r="G2958" s="7" t="s">
        <v>2110</v>
      </c>
      <c r="H2958" s="9" t="s">
        <v>2979</v>
      </c>
      <c r="I2958" t="s">
        <v>4116</v>
      </c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 t="str">
        <f t="shared" si="1"/>
        <v>Built-up :</v>
      </c>
      <c r="AE2958" s="7" t="str">
        <f t="shared" si="2"/>
        <v> sq. ft.</v>
      </c>
      <c r="AF2958">
        <f>IFERROR(__xludf.DUMMYFUNCTION("VALUE(REGEXREPLACE(G2958,""[^[:digit:]]"", """"))"),1463.0)</f>
        <v>1463</v>
      </c>
      <c r="AG2958" s="7"/>
      <c r="AH2958" s="7"/>
      <c r="AI2958" s="7"/>
      <c r="AJ2958" s="7"/>
      <c r="AK2958" s="7"/>
      <c r="AL2958" s="7"/>
      <c r="AM2958" s="7"/>
      <c r="AN2958" s="7"/>
      <c r="AO2958" s="7"/>
      <c r="AP2958" s="7"/>
      <c r="AQ2958" s="7"/>
      <c r="AR2958" s="7"/>
      <c r="AS2958" s="7" t="s">
        <v>22</v>
      </c>
    </row>
    <row r="2959">
      <c r="A2959" s="7" t="s">
        <v>17</v>
      </c>
      <c r="B2959" s="7" t="s">
        <v>296</v>
      </c>
      <c r="C2959" s="7">
        <f t="shared" si="397"/>
        <v>3</v>
      </c>
      <c r="D2959" s="7">
        <v>2.0</v>
      </c>
      <c r="E2959" s="9">
        <v>2.0</v>
      </c>
      <c r="F2959" s="7" t="s">
        <v>121</v>
      </c>
      <c r="G2959" s="7" t="s">
        <v>2110</v>
      </c>
      <c r="H2959" s="9" t="s">
        <v>2979</v>
      </c>
      <c r="I2959" t="s">
        <v>4116</v>
      </c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 t="str">
        <f t="shared" si="1"/>
        <v>Built-up :</v>
      </c>
      <c r="AE2959" s="7" t="str">
        <f t="shared" si="2"/>
        <v> sq. ft.</v>
      </c>
      <c r="AF2959">
        <f>IFERROR(__xludf.DUMMYFUNCTION("VALUE(REGEXREPLACE(G2959,""[^[:digit:]]"", """"))"),1463.0)</f>
        <v>1463</v>
      </c>
      <c r="AG2959" s="7"/>
      <c r="AH2959" s="7"/>
      <c r="AI2959" s="7"/>
      <c r="AJ2959" s="7"/>
      <c r="AK2959" s="7"/>
      <c r="AL2959" s="7"/>
      <c r="AM2959" s="7"/>
      <c r="AN2959" s="7"/>
      <c r="AO2959" s="7"/>
      <c r="AP2959" s="7"/>
      <c r="AQ2959" s="7"/>
      <c r="AR2959" s="7"/>
      <c r="AS2959" s="7" t="s">
        <v>27</v>
      </c>
    </row>
    <row r="2960">
      <c r="A2960" s="7" t="s">
        <v>109</v>
      </c>
      <c r="B2960" s="7" t="s">
        <v>702</v>
      </c>
      <c r="C2960" s="7">
        <f>3</f>
        <v>3</v>
      </c>
      <c r="D2960" s="7">
        <v>2.0</v>
      </c>
      <c r="E2960" s="7">
        <v>1.0</v>
      </c>
      <c r="F2960" s="7" t="s">
        <v>30</v>
      </c>
      <c r="G2960" s="7" t="s">
        <v>157</v>
      </c>
      <c r="H2960" s="9" t="s">
        <v>2979</v>
      </c>
      <c r="I2960" t="s">
        <v>3031</v>
      </c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 t="str">
        <f t="shared" si="1"/>
        <v>Built-up :</v>
      </c>
      <c r="AE2960" s="7" t="str">
        <f t="shared" si="2"/>
        <v> sq. ft.</v>
      </c>
      <c r="AF2960">
        <f>IFERROR(__xludf.DUMMYFUNCTION("VALUE(REGEXREPLACE(G2960,""[^[:digit:]]"", """"))"),1050.0)</f>
        <v>1050</v>
      </c>
      <c r="AG2960" s="7"/>
      <c r="AH2960" s="7"/>
      <c r="AI2960" s="7"/>
      <c r="AJ2960" s="7"/>
      <c r="AK2960" s="7"/>
      <c r="AL2960" s="7"/>
      <c r="AM2960" s="7"/>
      <c r="AN2960" s="7"/>
      <c r="AO2960" s="7"/>
      <c r="AP2960" s="7"/>
      <c r="AQ2960" s="7"/>
      <c r="AR2960" s="7"/>
      <c r="AS2960" s="7" t="s">
        <v>27</v>
      </c>
    </row>
    <row r="2961">
      <c r="A2961" s="7" t="s">
        <v>109</v>
      </c>
      <c r="B2961" s="7" t="s">
        <v>715</v>
      </c>
      <c r="C2961" s="7">
        <f>3+1</f>
        <v>4</v>
      </c>
      <c r="D2961" s="7">
        <v>2.0</v>
      </c>
      <c r="E2961" s="7">
        <v>2.0</v>
      </c>
      <c r="F2961" s="7" t="s">
        <v>30</v>
      </c>
      <c r="G2961" s="7" t="s">
        <v>135</v>
      </c>
      <c r="H2961" s="9" t="s">
        <v>2979</v>
      </c>
      <c r="I2961" t="s">
        <v>3023</v>
      </c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 t="str">
        <f t="shared" si="1"/>
        <v>Built-up :</v>
      </c>
      <c r="AE2961" s="7" t="str">
        <f t="shared" si="2"/>
        <v> sq. ft.</v>
      </c>
      <c r="AF2961">
        <f>IFERROR(__xludf.DUMMYFUNCTION("VALUE(REGEXREPLACE(G2961,""[^[:digit:]]"", """"))"),1200.0)</f>
        <v>1200</v>
      </c>
      <c r="AG2961" s="7"/>
      <c r="AH2961" s="7"/>
      <c r="AI2961" s="7"/>
      <c r="AJ2961" s="7"/>
      <c r="AK2961" s="7"/>
      <c r="AL2961" s="7"/>
      <c r="AM2961" s="7"/>
      <c r="AN2961" s="7"/>
      <c r="AO2961" s="7"/>
      <c r="AP2961" s="7"/>
      <c r="AQ2961" s="7"/>
      <c r="AR2961" s="7"/>
      <c r="AS2961" s="7" t="s">
        <v>27</v>
      </c>
    </row>
    <row r="2962">
      <c r="A2962" s="7" t="s">
        <v>33</v>
      </c>
      <c r="B2962" s="7" t="s">
        <v>2111</v>
      </c>
      <c r="C2962" s="7">
        <f>3</f>
        <v>3</v>
      </c>
      <c r="D2962" s="7">
        <v>2.0</v>
      </c>
      <c r="E2962" s="7">
        <v>2.0</v>
      </c>
      <c r="F2962" s="7" t="s">
        <v>83</v>
      </c>
      <c r="G2962" s="7" t="s">
        <v>734</v>
      </c>
      <c r="H2962" s="9" t="s">
        <v>2979</v>
      </c>
      <c r="I2962" t="s">
        <v>3308</v>
      </c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 t="str">
        <f t="shared" si="1"/>
        <v>Built-up :</v>
      </c>
      <c r="AE2962" s="7" t="str">
        <f t="shared" si="2"/>
        <v> sq. ft.</v>
      </c>
      <c r="AF2962">
        <f>IFERROR(__xludf.DUMMYFUNCTION("VALUE(REGEXREPLACE(G2962,""[^[:digit:]]"", """"))"),1100.0)</f>
        <v>1100</v>
      </c>
      <c r="AG2962" s="7"/>
      <c r="AH2962" s="7"/>
      <c r="AI2962" s="7"/>
      <c r="AJ2962" s="7"/>
      <c r="AK2962" s="7"/>
      <c r="AL2962" s="7"/>
      <c r="AM2962" s="7"/>
      <c r="AN2962" s="7"/>
      <c r="AO2962" s="7"/>
      <c r="AP2962" s="7"/>
      <c r="AQ2962" s="7"/>
      <c r="AR2962" s="7"/>
    </row>
    <row r="2963">
      <c r="A2963" s="7" t="s">
        <v>428</v>
      </c>
      <c r="B2963" s="7" t="s">
        <v>1978</v>
      </c>
      <c r="C2963" s="7">
        <f>1</f>
        <v>1</v>
      </c>
      <c r="D2963" s="7">
        <v>1.0</v>
      </c>
      <c r="E2963" s="9">
        <v>2.0</v>
      </c>
      <c r="F2963" s="7" t="s">
        <v>82</v>
      </c>
      <c r="G2963" s="7" t="s">
        <v>1127</v>
      </c>
      <c r="H2963" s="9" t="s">
        <v>2979</v>
      </c>
      <c r="I2963" t="s">
        <v>3521</v>
      </c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 t="str">
        <f t="shared" si="1"/>
        <v>Built-up :</v>
      </c>
      <c r="AE2963" s="7" t="str">
        <f t="shared" si="2"/>
        <v> sq. ft.</v>
      </c>
      <c r="AF2963">
        <f>IFERROR(__xludf.DUMMYFUNCTION("VALUE(REGEXREPLACE(G2963,""[^[:digit:]]"", """"))"),672.0)</f>
        <v>672</v>
      </c>
      <c r="AG2963" s="7"/>
      <c r="AH2963" s="7"/>
      <c r="AI2963" s="7"/>
      <c r="AJ2963" s="7"/>
      <c r="AK2963" s="7"/>
      <c r="AL2963" s="7"/>
      <c r="AM2963" s="7"/>
      <c r="AN2963" s="7"/>
      <c r="AO2963" s="7"/>
      <c r="AP2963" s="7"/>
      <c r="AQ2963" s="7"/>
      <c r="AR2963" s="7"/>
      <c r="AS2963" s="7" t="s">
        <v>22</v>
      </c>
    </row>
    <row r="2964">
      <c r="A2964" s="7" t="s">
        <v>104</v>
      </c>
      <c r="B2964" s="7" t="s">
        <v>172</v>
      </c>
      <c r="C2964" s="7">
        <f>3</f>
        <v>3</v>
      </c>
      <c r="D2964" s="7">
        <v>2.0</v>
      </c>
      <c r="E2964" s="7">
        <v>3.0</v>
      </c>
      <c r="F2964" s="7" t="s">
        <v>343</v>
      </c>
      <c r="G2964" s="7" t="s">
        <v>2112</v>
      </c>
      <c r="H2964" s="9" t="s">
        <v>2981</v>
      </c>
      <c r="I2964" t="s">
        <v>4117</v>
      </c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 t="str">
        <f t="shared" si="1"/>
        <v>Land area </v>
      </c>
      <c r="AE2964" s="7" t="str">
        <f t="shared" si="2"/>
        <v> sq. ft.</v>
      </c>
      <c r="AF2964">
        <f>IFERROR(__xludf.DUMMYFUNCTION("VALUE(REGEXREPLACE(G2964,""[^[:digit:]]"", """"))"),130.0)</f>
        <v>130</v>
      </c>
      <c r="AG2964" s="7"/>
      <c r="AH2964" s="7"/>
      <c r="AI2964" s="7"/>
      <c r="AJ2964" s="7"/>
      <c r="AK2964" s="7"/>
      <c r="AL2964" s="7"/>
      <c r="AM2964" s="7"/>
      <c r="AN2964" s="7"/>
      <c r="AO2964" s="7"/>
      <c r="AP2964" s="7"/>
      <c r="AQ2964" s="7"/>
      <c r="AR2964" s="7"/>
      <c r="AS2964" s="7" t="s">
        <v>22</v>
      </c>
    </row>
    <row r="2965">
      <c r="A2965" s="7" t="s">
        <v>104</v>
      </c>
      <c r="B2965" s="7" t="s">
        <v>172</v>
      </c>
      <c r="C2965" s="7">
        <f>4</f>
        <v>4</v>
      </c>
      <c r="D2965" s="7">
        <v>2.0</v>
      </c>
      <c r="E2965" s="7">
        <v>2.0</v>
      </c>
      <c r="F2965" s="7" t="s">
        <v>82</v>
      </c>
      <c r="G2965" s="7" t="s">
        <v>2113</v>
      </c>
      <c r="H2965" s="9" t="s">
        <v>2981</v>
      </c>
      <c r="I2965" t="s">
        <v>4118</v>
      </c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 t="str">
        <f t="shared" si="1"/>
        <v>Land area </v>
      </c>
      <c r="AE2965" s="7" t="str">
        <f t="shared" si="2"/>
        <v> sq. ft.</v>
      </c>
      <c r="AF2965">
        <f>IFERROR(__xludf.DUMMYFUNCTION("VALUE(REGEXREPLACE(G2965,""[^[:digit:]]"", """"))"),1162.0)</f>
        <v>1162</v>
      </c>
      <c r="AG2965" s="7"/>
      <c r="AH2965" s="7"/>
      <c r="AI2965" s="7"/>
      <c r="AJ2965" s="7"/>
      <c r="AK2965" s="7"/>
      <c r="AL2965" s="7"/>
      <c r="AM2965" s="7"/>
      <c r="AN2965" s="7"/>
      <c r="AO2965" s="7"/>
      <c r="AP2965" s="7"/>
      <c r="AQ2965" s="7"/>
      <c r="AR2965" s="7"/>
      <c r="AS2965" s="7" t="s">
        <v>27</v>
      </c>
    </row>
    <row r="2966">
      <c r="A2966" s="7" t="s">
        <v>164</v>
      </c>
      <c r="B2966" s="7" t="s">
        <v>144</v>
      </c>
      <c r="C2966" s="7">
        <f>2+1</f>
        <v>3</v>
      </c>
      <c r="D2966" s="7">
        <v>2.0</v>
      </c>
      <c r="E2966" s="7">
        <v>1.0</v>
      </c>
      <c r="F2966" s="7" t="s">
        <v>20</v>
      </c>
      <c r="G2966" s="7" t="s">
        <v>234</v>
      </c>
      <c r="H2966" s="9" t="s">
        <v>2979</v>
      </c>
      <c r="I2966" t="s">
        <v>3068</v>
      </c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 t="str">
        <f t="shared" si="1"/>
        <v>Built-up :</v>
      </c>
      <c r="AE2966" s="7" t="str">
        <f t="shared" si="2"/>
        <v> sq. ft.</v>
      </c>
      <c r="AF2966">
        <f>IFERROR(__xludf.DUMMYFUNCTION("VALUE(REGEXREPLACE(G2966,""[^[:digit:]]"", """"))"),1399.0)</f>
        <v>1399</v>
      </c>
      <c r="AG2966" s="7"/>
      <c r="AH2966" s="7"/>
      <c r="AI2966" s="7"/>
      <c r="AJ2966" s="7"/>
      <c r="AK2966" s="7"/>
      <c r="AL2966" s="7"/>
      <c r="AM2966" s="7"/>
      <c r="AN2966" s="7"/>
      <c r="AO2966" s="7"/>
      <c r="AP2966" s="7"/>
      <c r="AQ2966" s="7"/>
      <c r="AR2966" s="7"/>
      <c r="AS2966" s="7" t="s">
        <v>22</v>
      </c>
    </row>
    <row r="2967">
      <c r="A2967" s="7" t="s">
        <v>164</v>
      </c>
      <c r="B2967" s="7" t="s">
        <v>125</v>
      </c>
      <c r="C2967" s="7">
        <f>3</f>
        <v>3</v>
      </c>
      <c r="D2967" s="7">
        <v>3.0</v>
      </c>
      <c r="E2967" s="9">
        <v>2.0</v>
      </c>
      <c r="F2967" s="7" t="s">
        <v>20</v>
      </c>
      <c r="G2967" s="7" t="s">
        <v>1299</v>
      </c>
      <c r="H2967" s="9" t="s">
        <v>2979</v>
      </c>
      <c r="I2967" t="s">
        <v>3631</v>
      </c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 t="str">
        <f t="shared" si="1"/>
        <v>Built-up :</v>
      </c>
      <c r="AE2967" s="7" t="str">
        <f t="shared" si="2"/>
        <v> sq. ft.</v>
      </c>
      <c r="AF2967">
        <f>IFERROR(__xludf.DUMMYFUNCTION("VALUE(REGEXREPLACE(G2967,""[^[:digit:]]"", """"))"),1787.0)</f>
        <v>1787</v>
      </c>
      <c r="AG2967" s="7"/>
      <c r="AH2967" s="7"/>
      <c r="AI2967" s="7"/>
      <c r="AJ2967" s="7"/>
      <c r="AK2967" s="7"/>
      <c r="AL2967" s="7"/>
      <c r="AM2967" s="7"/>
      <c r="AN2967" s="7"/>
      <c r="AO2967" s="7"/>
      <c r="AP2967" s="7"/>
      <c r="AQ2967" s="7"/>
      <c r="AR2967" s="7"/>
      <c r="AS2967" s="7" t="s">
        <v>27</v>
      </c>
    </row>
    <row r="2968">
      <c r="A2968" s="7" t="s">
        <v>164</v>
      </c>
      <c r="B2968" s="7" t="s">
        <v>78</v>
      </c>
      <c r="C2968" s="7">
        <f>2</f>
        <v>2</v>
      </c>
      <c r="D2968" s="7">
        <v>2.0</v>
      </c>
      <c r="E2968" s="7">
        <v>1.0</v>
      </c>
      <c r="F2968" s="7" t="s">
        <v>82</v>
      </c>
      <c r="G2968" s="7" t="s">
        <v>959</v>
      </c>
      <c r="H2968" s="9" t="s">
        <v>2979</v>
      </c>
      <c r="I2968" t="s">
        <v>3427</v>
      </c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 t="str">
        <f t="shared" si="1"/>
        <v>Built-up :</v>
      </c>
      <c r="AE2968" s="7" t="str">
        <f t="shared" si="2"/>
        <v> sq. ft.</v>
      </c>
      <c r="AF2968">
        <f>IFERROR(__xludf.DUMMYFUNCTION("VALUE(REGEXREPLACE(G2968,""[^[:digit:]]"", """"))"),1259.0)</f>
        <v>1259</v>
      </c>
      <c r="AG2968" s="7"/>
      <c r="AH2968" s="7"/>
      <c r="AI2968" s="7"/>
      <c r="AJ2968" s="7"/>
      <c r="AK2968" s="7"/>
      <c r="AL2968" s="7"/>
      <c r="AM2968" s="7"/>
      <c r="AN2968" s="7"/>
      <c r="AO2968" s="7"/>
      <c r="AP2968" s="7"/>
      <c r="AQ2968" s="7"/>
      <c r="AR2968" s="7"/>
      <c r="AS2968" s="7" t="s">
        <v>22</v>
      </c>
    </row>
    <row r="2969">
      <c r="A2969" s="7" t="s">
        <v>32</v>
      </c>
      <c r="B2969" s="7" t="s">
        <v>2114</v>
      </c>
      <c r="C2969" s="7">
        <f>7</f>
        <v>7</v>
      </c>
      <c r="D2969" s="7">
        <v>7.0</v>
      </c>
      <c r="E2969" s="9">
        <v>2.0</v>
      </c>
      <c r="F2969" s="7" t="s">
        <v>25</v>
      </c>
      <c r="G2969" s="7" t="s">
        <v>2115</v>
      </c>
      <c r="H2969" s="9" t="s">
        <v>2981</v>
      </c>
      <c r="I2969" t="s">
        <v>4119</v>
      </c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 t="str">
        <f t="shared" si="1"/>
        <v>Land area </v>
      </c>
      <c r="AE2969" s="7" t="str">
        <f t="shared" si="2"/>
        <v> sq. ft.</v>
      </c>
      <c r="AF2969">
        <f>IFERROR(__xludf.DUMMYFUNCTION("VALUE(REGEXREPLACE(G2969,""[^[:digit:]]"", """"))"),9978.0)</f>
        <v>9978</v>
      </c>
      <c r="AG2969" s="7"/>
      <c r="AH2969" s="7"/>
      <c r="AI2969" s="7"/>
      <c r="AJ2969" s="7"/>
      <c r="AK2969" s="7"/>
      <c r="AL2969" s="7"/>
      <c r="AM2969" s="7"/>
      <c r="AN2969" s="7"/>
      <c r="AO2969" s="7"/>
      <c r="AP2969" s="7"/>
      <c r="AQ2969" s="7"/>
      <c r="AR2969" s="7"/>
      <c r="AS2969" s="7" t="s">
        <v>27</v>
      </c>
    </row>
    <row r="2970">
      <c r="A2970" s="7" t="s">
        <v>164</v>
      </c>
      <c r="B2970" s="7" t="s">
        <v>1374</v>
      </c>
      <c r="C2970" s="7">
        <f>1+1</f>
        <v>2</v>
      </c>
      <c r="D2970" s="7">
        <v>2.0</v>
      </c>
      <c r="E2970" s="9">
        <v>2.0</v>
      </c>
      <c r="F2970" s="7" t="s">
        <v>82</v>
      </c>
      <c r="G2970" s="7" t="s">
        <v>237</v>
      </c>
      <c r="H2970" s="9" t="s">
        <v>2979</v>
      </c>
      <c r="I2970" t="s">
        <v>3069</v>
      </c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 t="str">
        <f t="shared" si="1"/>
        <v>Built-up :</v>
      </c>
      <c r="AE2970" s="7" t="str">
        <f t="shared" si="2"/>
        <v> sq. ft.</v>
      </c>
      <c r="AF2970">
        <f>IFERROR(__xludf.DUMMYFUNCTION("VALUE(REGEXREPLACE(G2970,""[^[:digit:]]"", """"))"),1087.0)</f>
        <v>1087</v>
      </c>
      <c r="AG2970" s="7"/>
      <c r="AH2970" s="7"/>
      <c r="AI2970" s="7"/>
      <c r="AJ2970" s="7"/>
      <c r="AK2970" s="7"/>
      <c r="AL2970" s="7"/>
      <c r="AM2970" s="7"/>
      <c r="AN2970" s="7"/>
      <c r="AO2970" s="7"/>
      <c r="AP2970" s="7"/>
      <c r="AQ2970" s="7"/>
      <c r="AR2970" s="7"/>
      <c r="AS2970" s="7" t="s">
        <v>27</v>
      </c>
    </row>
    <row r="2971">
      <c r="A2971" s="7" t="s">
        <v>164</v>
      </c>
      <c r="B2971" s="7" t="s">
        <v>306</v>
      </c>
      <c r="C2971" s="7">
        <f>2+1</f>
        <v>3</v>
      </c>
      <c r="D2971" s="7">
        <v>4.0</v>
      </c>
      <c r="E2971" s="7">
        <v>1.0</v>
      </c>
      <c r="F2971" s="7" t="s">
        <v>20</v>
      </c>
      <c r="G2971" s="7" t="s">
        <v>303</v>
      </c>
      <c r="H2971" s="9" t="s">
        <v>2979</v>
      </c>
      <c r="I2971" t="s">
        <v>3099</v>
      </c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 t="str">
        <f t="shared" si="1"/>
        <v>Built-up :</v>
      </c>
      <c r="AE2971" s="7" t="str">
        <f t="shared" si="2"/>
        <v> sq. ft.</v>
      </c>
      <c r="AF2971">
        <f>IFERROR(__xludf.DUMMYFUNCTION("VALUE(REGEXREPLACE(G2971,""[^[:digit:]]"", """"))"),1485.0)</f>
        <v>1485</v>
      </c>
      <c r="AG2971" s="7"/>
      <c r="AH2971" s="7"/>
      <c r="AI2971" s="7"/>
      <c r="AJ2971" s="7"/>
      <c r="AK2971" s="7"/>
      <c r="AL2971" s="7"/>
      <c r="AM2971" s="7"/>
      <c r="AN2971" s="7"/>
      <c r="AO2971" s="7"/>
      <c r="AP2971" s="7"/>
      <c r="AQ2971" s="7"/>
      <c r="AR2971" s="7"/>
      <c r="AS2971" s="7" t="s">
        <v>22</v>
      </c>
    </row>
    <row r="2972">
      <c r="A2972" s="7" t="s">
        <v>164</v>
      </c>
      <c r="B2972" s="7" t="s">
        <v>940</v>
      </c>
      <c r="C2972" s="7">
        <f>4+1</f>
        <v>5</v>
      </c>
      <c r="D2972" s="7">
        <v>6.0</v>
      </c>
      <c r="E2972" s="7">
        <v>4.0</v>
      </c>
      <c r="F2972" s="7" t="s">
        <v>312</v>
      </c>
      <c r="G2972" s="7" t="s">
        <v>568</v>
      </c>
      <c r="H2972" s="9" t="s">
        <v>2979</v>
      </c>
      <c r="I2972" t="s">
        <v>3229</v>
      </c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 t="str">
        <f t="shared" si="1"/>
        <v>Built-up :</v>
      </c>
      <c r="AE2972" s="7" t="str">
        <f t="shared" si="2"/>
        <v> sq. ft.</v>
      </c>
      <c r="AF2972">
        <f>IFERROR(__xludf.DUMMYFUNCTION("VALUE(REGEXREPLACE(G2972,""[^[:digit:]]"", """"))"),2982.0)</f>
        <v>2982</v>
      </c>
      <c r="AG2972" s="7"/>
      <c r="AH2972" s="7"/>
      <c r="AI2972" s="7"/>
      <c r="AJ2972" s="7"/>
      <c r="AK2972" s="7"/>
      <c r="AL2972" s="7"/>
      <c r="AM2972" s="7"/>
      <c r="AN2972" s="7"/>
      <c r="AO2972" s="7"/>
      <c r="AP2972" s="7"/>
      <c r="AQ2972" s="7"/>
      <c r="AR2972" s="7"/>
      <c r="AS2972" s="7" t="s">
        <v>27</v>
      </c>
    </row>
    <row r="2973">
      <c r="A2973" s="7" t="s">
        <v>155</v>
      </c>
      <c r="B2973" s="7" t="s">
        <v>955</v>
      </c>
      <c r="C2973" s="7">
        <f>3</f>
        <v>3</v>
      </c>
      <c r="D2973" s="7">
        <v>2.0</v>
      </c>
      <c r="E2973" s="7">
        <v>1.0</v>
      </c>
      <c r="F2973" s="7" t="s">
        <v>121</v>
      </c>
      <c r="G2973" s="7" t="s">
        <v>2116</v>
      </c>
      <c r="H2973" s="9" t="s">
        <v>2979</v>
      </c>
      <c r="I2973" t="s">
        <v>4120</v>
      </c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 t="str">
        <f t="shared" si="1"/>
        <v>Built-up :</v>
      </c>
      <c r="AE2973" s="7" t="str">
        <f t="shared" si="2"/>
        <v> sq. ft.</v>
      </c>
      <c r="AF2973">
        <f>IFERROR(__xludf.DUMMYFUNCTION("VALUE(REGEXREPLACE(G2973,""[^[:digit:]]"", """"))"),984.0)</f>
        <v>984</v>
      </c>
      <c r="AG2973" s="7"/>
      <c r="AH2973" s="7"/>
      <c r="AI2973" s="7"/>
      <c r="AJ2973" s="7"/>
      <c r="AK2973" s="7"/>
      <c r="AL2973" s="7"/>
      <c r="AM2973" s="7"/>
      <c r="AN2973" s="7"/>
      <c r="AO2973" s="7"/>
      <c r="AP2973" s="7"/>
      <c r="AQ2973" s="7"/>
      <c r="AR2973" s="7"/>
      <c r="AS2973" s="7" t="s">
        <v>27</v>
      </c>
    </row>
    <row r="2974">
      <c r="A2974" s="7" t="s">
        <v>164</v>
      </c>
      <c r="B2974" s="7" t="s">
        <v>327</v>
      </c>
      <c r="C2974" s="7">
        <f>2+1</f>
        <v>3</v>
      </c>
      <c r="D2974" s="7">
        <v>3.0</v>
      </c>
      <c r="E2974" s="7">
        <v>2.0</v>
      </c>
      <c r="F2974" s="7" t="s">
        <v>83</v>
      </c>
      <c r="G2974" s="7" t="s">
        <v>1518</v>
      </c>
      <c r="H2974" s="9" t="s">
        <v>2979</v>
      </c>
      <c r="I2974" t="s">
        <v>3755</v>
      </c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 t="str">
        <f t="shared" si="1"/>
        <v>Built-up :</v>
      </c>
      <c r="AE2974" s="7" t="str">
        <f t="shared" si="2"/>
        <v> sq. ft.</v>
      </c>
      <c r="AF2974">
        <f>IFERROR(__xludf.DUMMYFUNCTION("VALUE(REGEXREPLACE(G2974,""[^[:digit:]]"", """"))"),1540.0)</f>
        <v>1540</v>
      </c>
      <c r="AG2974" s="7"/>
      <c r="AH2974" s="7"/>
      <c r="AI2974" s="7"/>
      <c r="AJ2974" s="7"/>
      <c r="AK2974" s="7"/>
      <c r="AL2974" s="7"/>
      <c r="AM2974" s="7"/>
      <c r="AN2974" s="7"/>
      <c r="AO2974" s="7"/>
      <c r="AP2974" s="7"/>
      <c r="AQ2974" s="7"/>
      <c r="AR2974" s="7"/>
      <c r="AS2974" s="7" t="s">
        <v>27</v>
      </c>
    </row>
    <row r="2975">
      <c r="A2975" s="7" t="s">
        <v>72</v>
      </c>
      <c r="B2975" s="7" t="s">
        <v>322</v>
      </c>
      <c r="C2975" s="7">
        <f>3+2</f>
        <v>5</v>
      </c>
      <c r="D2975" s="7">
        <v>4.0</v>
      </c>
      <c r="E2975" s="9">
        <v>2.0</v>
      </c>
      <c r="F2975" s="7" t="s">
        <v>93</v>
      </c>
      <c r="G2975" s="7" t="s">
        <v>74</v>
      </c>
      <c r="H2975" s="9" t="s">
        <v>2979</v>
      </c>
      <c r="I2975" t="s">
        <v>2998</v>
      </c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 t="str">
        <f t="shared" si="1"/>
        <v>Built-up :</v>
      </c>
      <c r="AE2975" s="7" t="str">
        <f t="shared" si="2"/>
        <v> sq. ft.</v>
      </c>
      <c r="AF2975">
        <f>IFERROR(__xludf.DUMMYFUNCTION("VALUE(REGEXREPLACE(G2975,""[^[:digit:]]"", """"))"),1830.0)</f>
        <v>1830</v>
      </c>
      <c r="AG2975" s="7"/>
      <c r="AH2975" s="7"/>
      <c r="AI2975" s="7"/>
      <c r="AJ2975" s="7"/>
      <c r="AK2975" s="7"/>
      <c r="AL2975" s="7"/>
      <c r="AM2975" s="7"/>
      <c r="AN2975" s="7"/>
      <c r="AO2975" s="7"/>
      <c r="AP2975" s="7"/>
      <c r="AQ2975" s="7"/>
      <c r="AR2975" s="7"/>
      <c r="AS2975" s="7" t="s">
        <v>27</v>
      </c>
    </row>
    <row r="2976">
      <c r="A2976" s="7" t="s">
        <v>72</v>
      </c>
      <c r="B2976" s="7" t="s">
        <v>707</v>
      </c>
      <c r="C2976" s="7">
        <f t="shared" ref="C2976:C2977" si="398">3+1</f>
        <v>4</v>
      </c>
      <c r="D2976" s="7">
        <v>4.0</v>
      </c>
      <c r="E2976" s="7">
        <v>2.0</v>
      </c>
      <c r="F2976" s="7" t="s">
        <v>83</v>
      </c>
      <c r="G2976" s="7" t="s">
        <v>708</v>
      </c>
      <c r="H2976" s="9" t="s">
        <v>2979</v>
      </c>
      <c r="I2976" t="s">
        <v>3293</v>
      </c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 t="str">
        <f t="shared" si="1"/>
        <v>Built-up :</v>
      </c>
      <c r="AE2976" s="7" t="str">
        <f t="shared" si="2"/>
        <v> sq. ft.</v>
      </c>
      <c r="AF2976">
        <f>IFERROR(__xludf.DUMMYFUNCTION("VALUE(REGEXREPLACE(G2976,""[^[:digit:]]"", """"))"),2070.0)</f>
        <v>2070</v>
      </c>
      <c r="AG2976" s="7"/>
      <c r="AH2976" s="7"/>
      <c r="AI2976" s="7"/>
      <c r="AJ2976" s="7"/>
      <c r="AK2976" s="7"/>
      <c r="AL2976" s="7"/>
      <c r="AM2976" s="7"/>
      <c r="AN2976" s="7"/>
      <c r="AO2976" s="7"/>
      <c r="AP2976" s="7"/>
      <c r="AQ2976" s="7"/>
      <c r="AR2976" s="7"/>
      <c r="AS2976" s="7" t="s">
        <v>27</v>
      </c>
    </row>
    <row r="2977">
      <c r="A2977" s="7" t="s">
        <v>72</v>
      </c>
      <c r="B2977" s="7" t="s">
        <v>118</v>
      </c>
      <c r="C2977" s="7">
        <f t="shared" si="398"/>
        <v>4</v>
      </c>
      <c r="D2977" s="7">
        <v>4.0</v>
      </c>
      <c r="E2977" s="7">
        <v>2.0</v>
      </c>
      <c r="F2977" s="7" t="s">
        <v>93</v>
      </c>
      <c r="G2977" s="7" t="s">
        <v>119</v>
      </c>
      <c r="H2977" s="9" t="s">
        <v>2979</v>
      </c>
      <c r="I2977" t="s">
        <v>3015</v>
      </c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 t="str">
        <f t="shared" si="1"/>
        <v>Built-up :</v>
      </c>
      <c r="AE2977" s="7" t="str">
        <f t="shared" si="2"/>
        <v> sq. ft.</v>
      </c>
      <c r="AF2977">
        <f>IFERROR(__xludf.DUMMYFUNCTION("VALUE(REGEXREPLACE(G2977,""[^[:digit:]]"", """"))"),2020.0)</f>
        <v>2020</v>
      </c>
      <c r="AG2977" s="7"/>
      <c r="AH2977" s="7"/>
      <c r="AI2977" s="7"/>
      <c r="AJ2977" s="7"/>
      <c r="AK2977" s="7"/>
      <c r="AL2977" s="7"/>
      <c r="AM2977" s="7"/>
      <c r="AN2977" s="7"/>
      <c r="AO2977" s="7"/>
      <c r="AP2977" s="7"/>
      <c r="AQ2977" s="7"/>
      <c r="AR2977" s="7"/>
      <c r="AS2977" s="7" t="s">
        <v>27</v>
      </c>
    </row>
    <row r="2978">
      <c r="A2978" s="7" t="s">
        <v>23</v>
      </c>
      <c r="B2978" s="7" t="s">
        <v>943</v>
      </c>
      <c r="C2978" s="7">
        <f t="shared" ref="C2978:C2979" si="399">5+1</f>
        <v>6</v>
      </c>
      <c r="D2978" s="7">
        <v>5.0</v>
      </c>
      <c r="E2978" s="9">
        <v>2.0</v>
      </c>
      <c r="F2978" s="7" t="s">
        <v>43</v>
      </c>
      <c r="G2978" s="7" t="s">
        <v>478</v>
      </c>
      <c r="H2978" s="9" t="s">
        <v>2981</v>
      </c>
      <c r="I2978" t="s">
        <v>3183</v>
      </c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 t="str">
        <f t="shared" si="1"/>
        <v>Land area </v>
      </c>
      <c r="AE2978" s="7" t="str">
        <f t="shared" si="2"/>
        <v> sq. ft.</v>
      </c>
      <c r="AF2978">
        <f>IFERROR(__xludf.DUMMYFUNCTION("VALUE(REGEXREPLACE(G2978,""[^[:digit:]]"", """"))"),3200.0)</f>
        <v>3200</v>
      </c>
      <c r="AG2978" s="7"/>
      <c r="AH2978" s="7"/>
      <c r="AI2978" s="7"/>
      <c r="AJ2978" s="7"/>
      <c r="AK2978" s="7"/>
      <c r="AL2978" s="7"/>
      <c r="AM2978" s="7"/>
      <c r="AN2978" s="7"/>
      <c r="AO2978" s="7"/>
      <c r="AP2978" s="7"/>
      <c r="AQ2978" s="7"/>
      <c r="AR2978" s="7"/>
      <c r="AS2978" s="7" t="s">
        <v>27</v>
      </c>
    </row>
    <row r="2979">
      <c r="A2979" s="7" t="s">
        <v>23</v>
      </c>
      <c r="B2979" s="7" t="s">
        <v>534</v>
      </c>
      <c r="C2979" s="7">
        <f t="shared" si="399"/>
        <v>6</v>
      </c>
      <c r="D2979" s="7">
        <v>6.0</v>
      </c>
      <c r="E2979" s="7">
        <v>2.0</v>
      </c>
      <c r="F2979" s="7" t="s">
        <v>681</v>
      </c>
      <c r="G2979" s="7" t="s">
        <v>2117</v>
      </c>
      <c r="H2979" s="9" t="s">
        <v>2981</v>
      </c>
      <c r="I2979" t="s">
        <v>4121</v>
      </c>
      <c r="J2979" s="7"/>
      <c r="K2979" s="7"/>
      <c r="L2979" s="7"/>
      <c r="M2979" s="7"/>
      <c r="N2979" s="7"/>
      <c r="O2979" s="7"/>
      <c r="P2979" s="7"/>
      <c r="Q2979" s="7"/>
      <c r="R2979" s="7"/>
      <c r="S2979" s="7" t="s">
        <v>4122</v>
      </c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 t="str">
        <f t="shared" si="1"/>
        <v>Land area </v>
      </c>
      <c r="AE2979" s="7" t="str">
        <f t="shared" si="2"/>
        <v> sq. ft.</v>
      </c>
      <c r="AF2979">
        <f>IFERROR(__xludf.DUMMYFUNCTION("VALUE(REGEXREPLACE(G2979,""[^[:digit:]]"", """"))"),2281.0)</f>
        <v>2281</v>
      </c>
      <c r="AG2979" s="7"/>
      <c r="AH2979" s="7"/>
      <c r="AI2979" s="7"/>
      <c r="AJ2979" s="7"/>
      <c r="AK2979" s="7"/>
      <c r="AL2979" s="7"/>
      <c r="AM2979" s="7"/>
      <c r="AN2979" s="7"/>
      <c r="AO2979" s="7"/>
      <c r="AP2979" s="7"/>
      <c r="AQ2979" s="7"/>
      <c r="AR2979" s="7"/>
      <c r="AS2979" s="7" t="s">
        <v>27</v>
      </c>
    </row>
    <row r="2980">
      <c r="A2980" s="7" t="s">
        <v>23</v>
      </c>
      <c r="B2980" s="7" t="s">
        <v>403</v>
      </c>
      <c r="C2980" s="7">
        <f>5</f>
        <v>5</v>
      </c>
      <c r="D2980" s="7">
        <v>3.0</v>
      </c>
      <c r="E2980" s="7">
        <v>3.0</v>
      </c>
      <c r="F2980" s="7" t="s">
        <v>169</v>
      </c>
      <c r="G2980" s="7" t="s">
        <v>2118</v>
      </c>
      <c r="H2980" s="9" t="s">
        <v>2981</v>
      </c>
      <c r="I2980" t="s">
        <v>4123</v>
      </c>
      <c r="J2980" s="7"/>
      <c r="K2980" s="7"/>
      <c r="L2980" s="7"/>
      <c r="M2980" s="7"/>
      <c r="N2980" s="7"/>
      <c r="O2980" s="7"/>
      <c r="P2980" s="7"/>
      <c r="Q2980" s="7"/>
      <c r="R2980" s="7"/>
      <c r="S2980" s="7" t="s">
        <v>3589</v>
      </c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 t="str">
        <f t="shared" si="1"/>
        <v>Land area </v>
      </c>
      <c r="AE2980" s="7" t="str">
        <f t="shared" si="2"/>
        <v> sq. ft.</v>
      </c>
      <c r="AF2980">
        <f>IFERROR(__xludf.DUMMYFUNCTION("VALUE(REGEXREPLACE(G2980,""[^[:digit:]]"", """"))"),2278.0)</f>
        <v>2278</v>
      </c>
      <c r="AG2980" s="7"/>
      <c r="AH2980" s="7"/>
      <c r="AI2980" s="7"/>
      <c r="AJ2980" s="7"/>
      <c r="AK2980" s="7"/>
      <c r="AL2980" s="7"/>
      <c r="AM2980" s="7"/>
      <c r="AN2980" s="7"/>
      <c r="AO2980" s="7"/>
      <c r="AP2980" s="7"/>
      <c r="AQ2980" s="7"/>
      <c r="AR2980" s="7"/>
    </row>
    <row r="2981">
      <c r="A2981" s="7" t="s">
        <v>177</v>
      </c>
      <c r="B2981" s="7" t="s">
        <v>193</v>
      </c>
      <c r="C2981" s="7">
        <f>4</f>
        <v>4</v>
      </c>
      <c r="D2981" s="7">
        <v>3.0</v>
      </c>
      <c r="E2981" s="9">
        <v>2.0</v>
      </c>
      <c r="F2981" s="7" t="s">
        <v>54</v>
      </c>
      <c r="G2981" s="7" t="s">
        <v>280</v>
      </c>
      <c r="H2981" s="9" t="s">
        <v>2981</v>
      </c>
      <c r="I2981" t="s">
        <v>3037</v>
      </c>
      <c r="J2981" s="7"/>
      <c r="K2981" s="7"/>
      <c r="L2981" s="7"/>
      <c r="M2981" s="7"/>
      <c r="N2981" s="7"/>
      <c r="O2981" s="7"/>
      <c r="P2981" s="7"/>
      <c r="Q2981" s="7"/>
      <c r="R2981" s="7"/>
      <c r="S2981" s="7" t="s">
        <v>2990</v>
      </c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 t="str">
        <f t="shared" si="1"/>
        <v>Land area </v>
      </c>
      <c r="AE2981" s="7" t="str">
        <f t="shared" si="2"/>
        <v> sq. ft.</v>
      </c>
      <c r="AF2981">
        <f>IFERROR(__xludf.DUMMYFUNCTION("VALUE(REGEXREPLACE(G2981,""[^[:digit:]]"", """"))"),2475.0)</f>
        <v>2475</v>
      </c>
      <c r="AG2981" s="7"/>
      <c r="AH2981" s="7"/>
      <c r="AI2981" s="7"/>
      <c r="AJ2981" s="7"/>
      <c r="AK2981" s="7"/>
      <c r="AL2981" s="7"/>
      <c r="AM2981" s="7"/>
      <c r="AN2981" s="7"/>
      <c r="AO2981" s="7"/>
      <c r="AP2981" s="7"/>
      <c r="AQ2981" s="7"/>
      <c r="AR2981" s="7"/>
      <c r="AS2981" s="7" t="s">
        <v>27</v>
      </c>
    </row>
    <row r="2982">
      <c r="A2982" s="7" t="s">
        <v>177</v>
      </c>
      <c r="B2982" s="7" t="s">
        <v>842</v>
      </c>
      <c r="C2982" s="7">
        <f>4+2</f>
        <v>6</v>
      </c>
      <c r="D2982" s="7">
        <v>5.0</v>
      </c>
      <c r="E2982" s="9">
        <v>2.0</v>
      </c>
      <c r="F2982" s="7" t="s">
        <v>25</v>
      </c>
      <c r="G2982" s="7" t="s">
        <v>2119</v>
      </c>
      <c r="H2982" s="9" t="s">
        <v>2981</v>
      </c>
      <c r="I2982" t="s">
        <v>4124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 t="str">
        <f t="shared" si="1"/>
        <v>Land area </v>
      </c>
      <c r="AE2982" s="7" t="str">
        <f t="shared" si="2"/>
        <v> sq. ft.</v>
      </c>
      <c r="AF2982">
        <f>IFERROR(__xludf.DUMMYFUNCTION("VALUE(REGEXREPLACE(G2982,""[^[:digit:]]"", """"))"),656663.0)</f>
        <v>656663</v>
      </c>
      <c r="AG2982" s="7"/>
      <c r="AH2982" s="7"/>
      <c r="AI2982" s="7"/>
      <c r="AJ2982" s="7"/>
      <c r="AK2982" s="7"/>
      <c r="AL2982" s="7"/>
      <c r="AM2982" s="7"/>
      <c r="AN2982" s="7"/>
      <c r="AO2982" s="7"/>
      <c r="AP2982" s="7"/>
      <c r="AQ2982" s="7"/>
      <c r="AR2982" s="7"/>
      <c r="AS2982" s="7" t="s">
        <v>27</v>
      </c>
    </row>
    <row r="2983">
      <c r="A2983" s="7" t="s">
        <v>23</v>
      </c>
      <c r="B2983" s="7" t="s">
        <v>123</v>
      </c>
      <c r="C2983" s="7">
        <f>5</f>
        <v>5</v>
      </c>
      <c r="D2983" s="7">
        <v>6.0</v>
      </c>
      <c r="E2983" s="9">
        <v>2.0</v>
      </c>
      <c r="F2983" s="7" t="s">
        <v>67</v>
      </c>
      <c r="G2983" s="7" t="s">
        <v>843</v>
      </c>
      <c r="H2983" s="9" t="s">
        <v>2981</v>
      </c>
      <c r="I2983" t="s">
        <v>3366</v>
      </c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 t="str">
        <f t="shared" si="1"/>
        <v>Land area </v>
      </c>
      <c r="AE2983" s="7" t="str">
        <f t="shared" si="2"/>
        <v> sq. ft.</v>
      </c>
      <c r="AF2983">
        <f>IFERROR(__xludf.DUMMYFUNCTION("VALUE(REGEXREPLACE(G2983,""[^[:digit:]]"", """"))"),6600.0)</f>
        <v>6600</v>
      </c>
      <c r="AG2983" s="7"/>
      <c r="AH2983" s="7"/>
      <c r="AI2983" s="7"/>
      <c r="AJ2983" s="7"/>
      <c r="AK2983" s="7"/>
      <c r="AL2983" s="7"/>
      <c r="AM2983" s="7"/>
      <c r="AN2983" s="7"/>
      <c r="AO2983" s="7"/>
      <c r="AP2983" s="7"/>
      <c r="AQ2983" s="7"/>
      <c r="AR2983" s="7"/>
      <c r="AS2983" s="7" t="s">
        <v>27</v>
      </c>
    </row>
    <row r="2984">
      <c r="A2984" s="7" t="s">
        <v>23</v>
      </c>
      <c r="B2984" s="7" t="s">
        <v>1721</v>
      </c>
      <c r="C2984" s="7">
        <f>6+1</f>
        <v>7</v>
      </c>
      <c r="D2984" s="7">
        <v>5.0</v>
      </c>
      <c r="E2984" s="7">
        <v>5.0</v>
      </c>
      <c r="F2984" s="7" t="s">
        <v>67</v>
      </c>
      <c r="G2984" s="7" t="s">
        <v>2120</v>
      </c>
      <c r="H2984" s="9" t="s">
        <v>2981</v>
      </c>
      <c r="I2984" t="s">
        <v>4125</v>
      </c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 t="str">
        <f t="shared" si="1"/>
        <v>Land area </v>
      </c>
      <c r="AE2984" s="7" t="str">
        <f t="shared" si="2"/>
        <v> sq. ft.</v>
      </c>
      <c r="AF2984">
        <f>IFERROR(__xludf.DUMMYFUNCTION("VALUE(REGEXREPLACE(G2984,""[^[:digit:]]"", """"))"),6144.0)</f>
        <v>6144</v>
      </c>
      <c r="AG2984" s="7"/>
      <c r="AH2984" s="7"/>
      <c r="AI2984" s="7"/>
      <c r="AJ2984" s="7"/>
      <c r="AK2984" s="7"/>
      <c r="AL2984" s="7"/>
      <c r="AM2984" s="7"/>
      <c r="AN2984" s="7"/>
      <c r="AO2984" s="7"/>
      <c r="AP2984" s="7"/>
      <c r="AQ2984" s="7"/>
      <c r="AR2984" s="7"/>
      <c r="AS2984" s="7" t="s">
        <v>27</v>
      </c>
    </row>
    <row r="2985">
      <c r="A2985" s="7" t="s">
        <v>143</v>
      </c>
      <c r="B2985" s="7" t="s">
        <v>2121</v>
      </c>
      <c r="E2985" s="9">
        <v>2.0</v>
      </c>
      <c r="F2985" s="7" t="s">
        <v>667</v>
      </c>
      <c r="G2985" s="7" t="s">
        <v>2122</v>
      </c>
      <c r="H2985" s="9" t="s">
        <v>2981</v>
      </c>
      <c r="I2985" t="s">
        <v>4126</v>
      </c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 t="str">
        <f t="shared" si="1"/>
        <v>Land area </v>
      </c>
      <c r="AE2985" s="7" t="str">
        <f t="shared" si="2"/>
        <v> sq. ft.</v>
      </c>
      <c r="AF2985">
        <f>IFERROR(__xludf.DUMMYFUNCTION("VALUE(REGEXREPLACE(G2985,""[^[:digit:]]"", """"))"),87120.0)</f>
        <v>87120</v>
      </c>
      <c r="AG2985" s="7"/>
      <c r="AH2985" s="7"/>
      <c r="AI2985" s="7"/>
      <c r="AJ2985" s="7"/>
      <c r="AK2985" s="7"/>
      <c r="AL2985" s="7"/>
      <c r="AM2985" s="7"/>
      <c r="AN2985" s="7"/>
      <c r="AO2985" s="7"/>
      <c r="AP2985" s="7"/>
      <c r="AQ2985" s="7"/>
      <c r="AR2985" s="7"/>
    </row>
    <row r="2986">
      <c r="A2986" s="7" t="s">
        <v>86</v>
      </c>
      <c r="B2986" s="7" t="s">
        <v>2123</v>
      </c>
      <c r="E2986" s="9">
        <v>2.0</v>
      </c>
      <c r="F2986" s="7" t="s">
        <v>667</v>
      </c>
      <c r="G2986" s="7" t="s">
        <v>2124</v>
      </c>
      <c r="H2986" s="9" t="s">
        <v>2981</v>
      </c>
      <c r="I2986" t="s">
        <v>4127</v>
      </c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 t="str">
        <f t="shared" si="1"/>
        <v>Land area </v>
      </c>
      <c r="AE2986" s="7" t="str">
        <f t="shared" si="2"/>
        <v> sq. ft.</v>
      </c>
      <c r="AF2986">
        <f>IFERROR(__xludf.DUMMYFUNCTION("VALUE(REGEXREPLACE(G2986,""[^[:digit:]]"", """"))"),32300.0)</f>
        <v>32300</v>
      </c>
      <c r="AG2986" s="7"/>
      <c r="AH2986" s="7"/>
      <c r="AI2986" s="7"/>
      <c r="AJ2986" s="7"/>
      <c r="AK2986" s="7"/>
      <c r="AL2986" s="7"/>
      <c r="AM2986" s="7"/>
      <c r="AN2986" s="7"/>
      <c r="AO2986" s="7"/>
      <c r="AP2986" s="7"/>
      <c r="AQ2986" s="7"/>
      <c r="AR2986" s="7"/>
      <c r="AS2986" s="7" t="s">
        <v>103</v>
      </c>
    </row>
    <row r="2987">
      <c r="A2987" s="7" t="s">
        <v>262</v>
      </c>
      <c r="B2987" s="7" t="s">
        <v>943</v>
      </c>
      <c r="E2987" s="9">
        <v>2.0</v>
      </c>
      <c r="F2987" s="7" t="s">
        <v>667</v>
      </c>
      <c r="G2987" s="7" t="s">
        <v>2125</v>
      </c>
      <c r="H2987" s="9" t="s">
        <v>2981</v>
      </c>
      <c r="I2987" t="s">
        <v>4128</v>
      </c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 t="str">
        <f t="shared" si="1"/>
        <v>Land area </v>
      </c>
      <c r="AE2987" s="7" t="str">
        <f t="shared" si="2"/>
        <v> sq. ft.</v>
      </c>
      <c r="AF2987">
        <f>IFERROR(__xludf.DUMMYFUNCTION("VALUE(REGEXREPLACE(G2987,""[^[:digit:]]"", """"))"),13300.0)</f>
        <v>13300</v>
      </c>
      <c r="AG2987" s="7"/>
      <c r="AH2987" s="7"/>
      <c r="AI2987" s="7"/>
      <c r="AJ2987" s="7"/>
      <c r="AK2987" s="7"/>
      <c r="AL2987" s="7"/>
      <c r="AM2987" s="7"/>
      <c r="AN2987" s="7"/>
      <c r="AO2987" s="7"/>
      <c r="AP2987" s="7"/>
      <c r="AQ2987" s="7"/>
      <c r="AR2987" s="7"/>
      <c r="AS2987" s="7" t="s">
        <v>251</v>
      </c>
    </row>
    <row r="2988">
      <c r="A2988" s="7" t="s">
        <v>23</v>
      </c>
      <c r="B2988" s="7" t="s">
        <v>2126</v>
      </c>
      <c r="E2988" s="9">
        <v>2.0</v>
      </c>
      <c r="F2988" s="7" t="s">
        <v>1453</v>
      </c>
      <c r="G2988" s="7" t="s">
        <v>2127</v>
      </c>
      <c r="H2988" s="9" t="s">
        <v>2981</v>
      </c>
      <c r="I2988" t="s">
        <v>4129</v>
      </c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 t="str">
        <f t="shared" si="1"/>
        <v>Land area </v>
      </c>
      <c r="AE2988" s="7" t="str">
        <f t="shared" si="2"/>
        <v> sq. ft.</v>
      </c>
      <c r="AF2988">
        <f>IFERROR(__xludf.DUMMYFUNCTION("VALUE(REGEXREPLACE(G2988,""[^[:digit:]]"", """"))"),9050.0)</f>
        <v>9050</v>
      </c>
      <c r="AG2988" s="7"/>
      <c r="AH2988" s="7"/>
      <c r="AI2988" s="7"/>
      <c r="AJ2988" s="7"/>
      <c r="AK2988" s="7"/>
      <c r="AL2988" s="7"/>
      <c r="AM2988" s="7"/>
      <c r="AN2988" s="7"/>
      <c r="AO2988" s="7"/>
      <c r="AP2988" s="7"/>
      <c r="AQ2988" s="7"/>
      <c r="AR2988" s="7"/>
      <c r="AS2988" s="7" t="s">
        <v>251</v>
      </c>
    </row>
    <row r="2989">
      <c r="A2989" s="7" t="s">
        <v>1960</v>
      </c>
      <c r="B2989" s="7" t="s">
        <v>2128</v>
      </c>
      <c r="E2989" s="9">
        <v>2.0</v>
      </c>
      <c r="F2989" s="7" t="s">
        <v>667</v>
      </c>
      <c r="G2989" s="7" t="s">
        <v>2129</v>
      </c>
      <c r="H2989" s="9" t="s">
        <v>2981</v>
      </c>
      <c r="I2989" t="s">
        <v>4130</v>
      </c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 t="str">
        <f t="shared" si="1"/>
        <v>Land area </v>
      </c>
      <c r="AE2989" s="7" t="str">
        <f t="shared" si="2"/>
        <v> sq. ft.</v>
      </c>
      <c r="AF2989">
        <f>IFERROR(__xludf.DUMMYFUNCTION("VALUE(REGEXREPLACE(G2989,""[^[:digit:]]"", """"))"),70543.0)</f>
        <v>70543</v>
      </c>
      <c r="AG2989" s="7"/>
      <c r="AH2989" s="7"/>
      <c r="AI2989" s="7"/>
      <c r="AJ2989" s="7"/>
      <c r="AK2989" s="7"/>
      <c r="AL2989" s="7"/>
      <c r="AM2989" s="7"/>
      <c r="AN2989" s="7"/>
      <c r="AO2989" s="7"/>
      <c r="AP2989" s="7"/>
      <c r="AQ2989" s="7"/>
      <c r="AR2989" s="7"/>
    </row>
    <row r="2990">
      <c r="A2990" s="7" t="s">
        <v>155</v>
      </c>
      <c r="B2990" s="7" t="s">
        <v>2130</v>
      </c>
      <c r="E2990" s="9">
        <v>2.0</v>
      </c>
      <c r="F2990" s="7" t="s">
        <v>667</v>
      </c>
      <c r="G2990" s="7" t="s">
        <v>2131</v>
      </c>
      <c r="H2990" s="9" t="s">
        <v>2981</v>
      </c>
      <c r="I2990" t="s">
        <v>4131</v>
      </c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 t="str">
        <f t="shared" si="1"/>
        <v>Land area </v>
      </c>
      <c r="AE2990" s="7" t="str">
        <f t="shared" si="2"/>
        <v> sq. ft.</v>
      </c>
      <c r="AF2990">
        <f>IFERROR(__xludf.DUMMYFUNCTION("VALUE(REGEXREPLACE(G2990,""[^[:digit:]]"", """"))"),108900.0)</f>
        <v>108900</v>
      </c>
      <c r="AG2990" s="7"/>
      <c r="AH2990" s="7"/>
      <c r="AI2990" s="7"/>
      <c r="AJ2990" s="7"/>
      <c r="AK2990" s="7"/>
      <c r="AL2990" s="7"/>
      <c r="AM2990" s="7"/>
      <c r="AN2990" s="7"/>
      <c r="AO2990" s="7"/>
      <c r="AP2990" s="7"/>
      <c r="AQ2990" s="7"/>
      <c r="AR2990" s="7"/>
    </row>
    <row r="2991">
      <c r="A2991" s="7" t="s">
        <v>77</v>
      </c>
      <c r="B2991" s="7" t="s">
        <v>2132</v>
      </c>
      <c r="E2991" s="9">
        <v>2.0</v>
      </c>
      <c r="F2991" s="7" t="s">
        <v>1453</v>
      </c>
      <c r="G2991" s="7" t="s">
        <v>2133</v>
      </c>
      <c r="H2991" s="9" t="s">
        <v>2981</v>
      </c>
      <c r="I2991" t="s">
        <v>4132</v>
      </c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 t="str">
        <f t="shared" si="1"/>
        <v>Land area </v>
      </c>
      <c r="AE2991" s="7" t="str">
        <f t="shared" si="2"/>
        <v> sq. ft.</v>
      </c>
      <c r="AF2991">
        <f>IFERROR(__xludf.DUMMYFUNCTION("VALUE(REGEXREPLACE(G2991,""[^[:digit:]]"", """"))"),18200.0)</f>
        <v>18200</v>
      </c>
      <c r="AG2991" s="7"/>
      <c r="AH2991" s="7"/>
      <c r="AI2991" s="7"/>
      <c r="AJ2991" s="7"/>
      <c r="AK2991" s="7"/>
      <c r="AL2991" s="7"/>
      <c r="AM2991" s="7"/>
      <c r="AN2991" s="7"/>
      <c r="AO2991" s="7"/>
      <c r="AP2991" s="7"/>
      <c r="AQ2991" s="7"/>
      <c r="AR2991" s="7"/>
    </row>
    <row r="2992">
      <c r="A2992" s="7" t="s">
        <v>77</v>
      </c>
      <c r="B2992" s="7" t="s">
        <v>390</v>
      </c>
      <c r="E2992" s="9">
        <v>2.0</v>
      </c>
      <c r="F2992" s="7" t="s">
        <v>1453</v>
      </c>
      <c r="G2992" s="7" t="s">
        <v>1063</v>
      </c>
      <c r="H2992" s="9" t="s">
        <v>2981</v>
      </c>
      <c r="I2992" t="s">
        <v>3484</v>
      </c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 t="str">
        <f t="shared" si="1"/>
        <v>Land area </v>
      </c>
      <c r="AE2992" s="7" t="str">
        <f t="shared" si="2"/>
        <v> sq. ft.</v>
      </c>
      <c r="AF2992">
        <f>IFERROR(__xludf.DUMMYFUNCTION("VALUE(REGEXREPLACE(G2992,""[^[:digit:]]"", """"))"),9000.0)</f>
        <v>9000</v>
      </c>
      <c r="AG2992" s="7"/>
      <c r="AH2992" s="7"/>
      <c r="AI2992" s="7"/>
      <c r="AJ2992" s="7"/>
      <c r="AK2992" s="7"/>
      <c r="AL2992" s="7"/>
      <c r="AM2992" s="7"/>
      <c r="AN2992" s="7"/>
      <c r="AO2992" s="7"/>
      <c r="AP2992" s="7"/>
      <c r="AQ2992" s="7"/>
      <c r="AR2992" s="7"/>
    </row>
    <row r="2993">
      <c r="A2993" s="7" t="s">
        <v>77</v>
      </c>
      <c r="B2993" s="7" t="s">
        <v>2134</v>
      </c>
      <c r="E2993" s="9">
        <v>2.0</v>
      </c>
      <c r="F2993" s="7" t="s">
        <v>1453</v>
      </c>
      <c r="G2993" s="7" t="s">
        <v>531</v>
      </c>
      <c r="H2993" s="9" t="s">
        <v>2981</v>
      </c>
      <c r="I2993" t="s">
        <v>3210</v>
      </c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 t="str">
        <f t="shared" si="1"/>
        <v>Land area </v>
      </c>
      <c r="AE2993" s="7" t="str">
        <f t="shared" si="2"/>
        <v> sq. ft.</v>
      </c>
      <c r="AF2993">
        <f>IFERROR(__xludf.DUMMYFUNCTION("VALUE(REGEXREPLACE(G2993,""[^[:digit:]]"", """"))"),7700.0)</f>
        <v>7700</v>
      </c>
      <c r="AG2993" s="7"/>
      <c r="AH2993" s="7"/>
      <c r="AI2993" s="7"/>
      <c r="AJ2993" s="7"/>
      <c r="AK2993" s="7"/>
      <c r="AL2993" s="7"/>
      <c r="AM2993" s="7"/>
      <c r="AN2993" s="7"/>
      <c r="AO2993" s="7"/>
      <c r="AP2993" s="7"/>
      <c r="AQ2993" s="7"/>
      <c r="AR2993" s="7"/>
      <c r="AS2993" s="7" t="s">
        <v>251</v>
      </c>
    </row>
    <row r="2994">
      <c r="A2994" s="7" t="s">
        <v>709</v>
      </c>
      <c r="B2994" s="7" t="s">
        <v>314</v>
      </c>
      <c r="C2994" s="7">
        <f>1</f>
        <v>1</v>
      </c>
      <c r="D2994" s="7">
        <v>2.0</v>
      </c>
      <c r="E2994" s="7">
        <v>1.0</v>
      </c>
      <c r="F2994" s="7" t="s">
        <v>20</v>
      </c>
      <c r="G2994" s="7" t="s">
        <v>1352</v>
      </c>
      <c r="H2994" s="9" t="s">
        <v>2979</v>
      </c>
      <c r="I2994" t="s">
        <v>3662</v>
      </c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 t="str">
        <f t="shared" si="1"/>
        <v>Built-up :</v>
      </c>
      <c r="AE2994" s="7" t="str">
        <f t="shared" si="2"/>
        <v> sq. ft.</v>
      </c>
      <c r="AF2994">
        <f>IFERROR(__xludf.DUMMYFUNCTION("VALUE(REGEXREPLACE(G2994,""[^[:digit:]]"", """"))"),876.0)</f>
        <v>876</v>
      </c>
      <c r="AG2994" s="7"/>
      <c r="AH2994" s="7"/>
      <c r="AI2994" s="7"/>
      <c r="AJ2994" s="7"/>
      <c r="AK2994" s="7"/>
      <c r="AL2994" s="7"/>
      <c r="AM2994" s="7"/>
      <c r="AN2994" s="7"/>
      <c r="AO2994" s="7"/>
      <c r="AP2994" s="7"/>
      <c r="AQ2994" s="7"/>
      <c r="AR2994" s="7"/>
      <c r="AS2994" s="7" t="s">
        <v>27</v>
      </c>
    </row>
    <row r="2995">
      <c r="A2995" s="7" t="s">
        <v>262</v>
      </c>
      <c r="B2995" s="7" t="s">
        <v>2135</v>
      </c>
      <c r="E2995" s="9">
        <v>2.0</v>
      </c>
      <c r="F2995" s="7" t="s">
        <v>667</v>
      </c>
      <c r="G2995" s="7" t="s">
        <v>2136</v>
      </c>
      <c r="H2995" s="9" t="s">
        <v>2981</v>
      </c>
      <c r="I2995" t="s">
        <v>4133</v>
      </c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 t="str">
        <f t="shared" si="1"/>
        <v>Land area </v>
      </c>
      <c r="AE2995" s="7" t="str">
        <f t="shared" si="2"/>
        <v> sq. ft.</v>
      </c>
      <c r="AF2995">
        <f>IFERROR(__xludf.DUMMYFUNCTION("VALUE(REGEXREPLACE(G2995,""[^[:digit:]]"", """"))"),23900.0)</f>
        <v>23900</v>
      </c>
      <c r="AG2995" s="7"/>
      <c r="AH2995" s="7"/>
      <c r="AI2995" s="7"/>
      <c r="AJ2995" s="7"/>
      <c r="AK2995" s="7"/>
      <c r="AL2995" s="7"/>
      <c r="AM2995" s="7"/>
      <c r="AN2995" s="7"/>
      <c r="AO2995" s="7"/>
      <c r="AP2995" s="7"/>
      <c r="AQ2995" s="7"/>
      <c r="AR2995" s="7"/>
      <c r="AS2995" s="7" t="s">
        <v>251</v>
      </c>
    </row>
    <row r="2996">
      <c r="A2996" s="7" t="s">
        <v>164</v>
      </c>
      <c r="B2996" s="7" t="s">
        <v>309</v>
      </c>
      <c r="C2996" s="7" t="s">
        <v>325</v>
      </c>
      <c r="D2996" s="7">
        <v>2.0</v>
      </c>
      <c r="E2996" s="7">
        <v>1.0</v>
      </c>
      <c r="F2996" s="7" t="s">
        <v>1821</v>
      </c>
      <c r="G2996" s="7" t="s">
        <v>246</v>
      </c>
      <c r="H2996" s="9" t="s">
        <v>2979</v>
      </c>
      <c r="I2996" t="s">
        <v>3074</v>
      </c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 t="str">
        <f t="shared" si="1"/>
        <v>Built-up :</v>
      </c>
      <c r="AE2996" s="7" t="str">
        <f t="shared" si="2"/>
        <v> sq. ft.</v>
      </c>
      <c r="AF2996">
        <f>IFERROR(__xludf.DUMMYFUNCTION("VALUE(REGEXREPLACE(G2996,""[^[:digit:]]"", """"))"),825.0)</f>
        <v>825</v>
      </c>
      <c r="AG2996" s="7"/>
      <c r="AH2996" s="7"/>
      <c r="AI2996" s="7"/>
      <c r="AJ2996" s="7"/>
      <c r="AK2996" s="7"/>
      <c r="AL2996" s="7"/>
      <c r="AM2996" s="7"/>
      <c r="AN2996" s="7"/>
      <c r="AO2996" s="7"/>
      <c r="AP2996" s="7"/>
      <c r="AQ2996" s="7"/>
      <c r="AR2996" s="7"/>
      <c r="AS2996" s="7" t="s">
        <v>27</v>
      </c>
    </row>
    <row r="2997">
      <c r="A2997" s="7" t="s">
        <v>164</v>
      </c>
      <c r="B2997" s="7" t="s">
        <v>2137</v>
      </c>
      <c r="C2997" s="7">
        <f>2+1</f>
        <v>3</v>
      </c>
      <c r="D2997" s="7">
        <v>4.0</v>
      </c>
      <c r="E2997" s="7">
        <v>1.0</v>
      </c>
      <c r="F2997" s="7" t="s">
        <v>121</v>
      </c>
      <c r="G2997" s="7" t="s">
        <v>700</v>
      </c>
      <c r="H2997" s="9" t="s">
        <v>2979</v>
      </c>
      <c r="I2997" t="s">
        <v>3291</v>
      </c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 t="str">
        <f t="shared" si="1"/>
        <v>Built-up :</v>
      </c>
      <c r="AE2997" s="7" t="str">
        <f t="shared" si="2"/>
        <v> sq. ft.</v>
      </c>
      <c r="AF2997">
        <f>IFERROR(__xludf.DUMMYFUNCTION("VALUE(REGEXREPLACE(G2997,""[^[:digit:]]"", """"))"),1738.0)</f>
        <v>1738</v>
      </c>
      <c r="AG2997" s="7"/>
      <c r="AH2997" s="7"/>
      <c r="AI2997" s="7"/>
      <c r="AJ2997" s="7"/>
      <c r="AK2997" s="7"/>
      <c r="AL2997" s="7"/>
      <c r="AM2997" s="7"/>
      <c r="AN2997" s="7"/>
      <c r="AO2997" s="7"/>
      <c r="AP2997" s="7"/>
      <c r="AQ2997" s="7"/>
      <c r="AR2997" s="7"/>
      <c r="AS2997" s="7" t="s">
        <v>27</v>
      </c>
    </row>
    <row r="2998">
      <c r="A2998" s="7" t="s">
        <v>177</v>
      </c>
      <c r="B2998" s="7" t="s">
        <v>66</v>
      </c>
      <c r="C2998" s="7">
        <f>4+2</f>
        <v>6</v>
      </c>
      <c r="D2998" s="7">
        <v>6.0</v>
      </c>
      <c r="E2998" s="7">
        <v>3.0</v>
      </c>
      <c r="F2998" s="7" t="s">
        <v>83</v>
      </c>
      <c r="G2998" s="7" t="s">
        <v>550</v>
      </c>
      <c r="H2998" s="9" t="s">
        <v>2979</v>
      </c>
      <c r="I2998" t="s">
        <v>3220</v>
      </c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 t="str">
        <f t="shared" si="1"/>
        <v>Built-up :</v>
      </c>
      <c r="AE2998" s="7" t="str">
        <f t="shared" si="2"/>
        <v> sq. ft.</v>
      </c>
      <c r="AF2998">
        <f>IFERROR(__xludf.DUMMYFUNCTION("VALUE(REGEXREPLACE(G2998,""[^[:digit:]]"", """"))"),4771.0)</f>
        <v>4771</v>
      </c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  <c r="AR2998" s="7"/>
      <c r="AS2998" s="7" t="s">
        <v>103</v>
      </c>
    </row>
    <row r="2999">
      <c r="A2999" s="7" t="s">
        <v>177</v>
      </c>
      <c r="B2999" s="7" t="s">
        <v>616</v>
      </c>
      <c r="C2999" s="7">
        <f>4+1</f>
        <v>5</v>
      </c>
      <c r="D2999" s="7">
        <v>6.0</v>
      </c>
      <c r="E2999" s="7">
        <v>3.0</v>
      </c>
      <c r="F2999" s="7" t="s">
        <v>83</v>
      </c>
      <c r="G2999" s="7" t="s">
        <v>572</v>
      </c>
      <c r="H2999" s="9" t="s">
        <v>2979</v>
      </c>
      <c r="I2999" t="s">
        <v>3231</v>
      </c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 t="str">
        <f t="shared" si="1"/>
        <v>Built-up :</v>
      </c>
      <c r="AE2999" s="7" t="str">
        <f t="shared" si="2"/>
        <v> sq. ft.</v>
      </c>
      <c r="AF2999">
        <f>IFERROR(__xludf.DUMMYFUNCTION("VALUE(REGEXREPLACE(G2999,""[^[:digit:]]"", """"))"),4025.0)</f>
        <v>4025</v>
      </c>
      <c r="AG2999" s="7"/>
      <c r="AH2999" s="7"/>
      <c r="AI2999" s="7"/>
      <c r="AJ2999" s="7"/>
      <c r="AK2999" s="7"/>
      <c r="AL2999" s="7"/>
      <c r="AM2999" s="7"/>
      <c r="AN2999" s="7"/>
      <c r="AO2999" s="7"/>
      <c r="AP2999" s="7"/>
      <c r="AQ2999" s="7"/>
      <c r="AR2999" s="7"/>
      <c r="AS2999" s="7" t="s">
        <v>103</v>
      </c>
    </row>
    <row r="3000">
      <c r="A3000" s="7" t="s">
        <v>177</v>
      </c>
      <c r="B3000" s="7" t="s">
        <v>858</v>
      </c>
      <c r="C3000" s="7">
        <f t="shared" ref="C3000:C3001" si="400">5+1</f>
        <v>6</v>
      </c>
      <c r="D3000" s="7">
        <v>7.0</v>
      </c>
      <c r="E3000" s="7">
        <v>6.0</v>
      </c>
      <c r="F3000" s="7" t="s">
        <v>83</v>
      </c>
      <c r="G3000" s="7" t="s">
        <v>546</v>
      </c>
      <c r="H3000" s="9" t="s">
        <v>2979</v>
      </c>
      <c r="I3000" t="s">
        <v>3216</v>
      </c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 t="str">
        <f t="shared" si="1"/>
        <v>Built-up :</v>
      </c>
      <c r="AE3000" s="7" t="str">
        <f t="shared" si="2"/>
        <v> sq. ft.</v>
      </c>
      <c r="AF3000">
        <f>IFERROR(__xludf.DUMMYFUNCTION("VALUE(REGEXREPLACE(G3000,""[^[:digit:]]"", """"))"),6913.0)</f>
        <v>6913</v>
      </c>
      <c r="AG3000" s="7"/>
      <c r="AH3000" s="7"/>
      <c r="AI3000" s="7"/>
      <c r="AJ3000" s="7"/>
      <c r="AK3000" s="7"/>
      <c r="AL3000" s="7"/>
      <c r="AM3000" s="7"/>
      <c r="AN3000" s="7"/>
      <c r="AO3000" s="7"/>
      <c r="AP3000" s="7"/>
      <c r="AQ3000" s="7"/>
      <c r="AR3000" s="7"/>
      <c r="AS3000" s="7" t="s">
        <v>27</v>
      </c>
    </row>
    <row r="3001">
      <c r="A3001" s="7" t="s">
        <v>177</v>
      </c>
      <c r="B3001" s="7" t="s">
        <v>66</v>
      </c>
      <c r="C3001" s="7">
        <f t="shared" si="400"/>
        <v>6</v>
      </c>
      <c r="D3001" s="7">
        <v>6.0</v>
      </c>
      <c r="E3001" s="7">
        <v>6.0</v>
      </c>
      <c r="F3001" s="7" t="s">
        <v>25</v>
      </c>
      <c r="G3001" s="7" t="s">
        <v>2138</v>
      </c>
      <c r="H3001" s="9" t="s">
        <v>2981</v>
      </c>
      <c r="I3001" t="s">
        <v>4134</v>
      </c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 t="str">
        <f t="shared" si="1"/>
        <v>Land area </v>
      </c>
      <c r="AE3001" s="7" t="str">
        <f t="shared" si="2"/>
        <v> sq. ft.</v>
      </c>
      <c r="AF3001">
        <f>IFERROR(__xludf.DUMMYFUNCTION("VALUE(REGEXREPLACE(G3001,""[^[:digit:]]"", """"))"),13000.0)</f>
        <v>13000</v>
      </c>
      <c r="AG3001" s="7"/>
      <c r="AH3001" s="7"/>
      <c r="AI3001" s="7"/>
      <c r="AJ3001" s="7"/>
      <c r="AK3001" s="7"/>
      <c r="AL3001" s="7"/>
      <c r="AM3001" s="7"/>
      <c r="AN3001" s="7"/>
      <c r="AO3001" s="7"/>
      <c r="AP3001" s="7"/>
      <c r="AQ3001" s="7"/>
      <c r="AR3001" s="7"/>
      <c r="AS3001" s="7" t="s">
        <v>27</v>
      </c>
    </row>
    <row r="3002">
      <c r="A3002" s="7" t="s">
        <v>72</v>
      </c>
      <c r="B3002" s="7" t="s">
        <v>940</v>
      </c>
      <c r="C3002" s="7">
        <f t="shared" ref="C3002:C3003" si="401">6+1</f>
        <v>7</v>
      </c>
      <c r="D3002" s="7">
        <v>6.0</v>
      </c>
      <c r="E3002" s="7">
        <v>4.0</v>
      </c>
      <c r="F3002" s="7" t="s">
        <v>43</v>
      </c>
      <c r="G3002" s="7" t="s">
        <v>1202</v>
      </c>
      <c r="H3002" s="9" t="s">
        <v>2981</v>
      </c>
      <c r="I3002" t="s">
        <v>3574</v>
      </c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 t="str">
        <f t="shared" si="1"/>
        <v>Land area </v>
      </c>
      <c r="AE3002" s="7" t="str">
        <f t="shared" si="2"/>
        <v> sq. ft.</v>
      </c>
      <c r="AF3002">
        <f>IFERROR(__xludf.DUMMYFUNCTION("VALUE(REGEXREPLACE(G3002,""[^[:digit:]]"", """"))"),4500.0)</f>
        <v>4500</v>
      </c>
      <c r="AG3002" s="7"/>
      <c r="AH3002" s="7"/>
      <c r="AI3002" s="7"/>
      <c r="AJ3002" s="7"/>
      <c r="AK3002" s="7"/>
      <c r="AL3002" s="7"/>
      <c r="AM3002" s="7"/>
      <c r="AN3002" s="7"/>
      <c r="AO3002" s="7"/>
      <c r="AP3002" s="7"/>
      <c r="AQ3002" s="7"/>
      <c r="AR3002" s="7"/>
      <c r="AS3002" s="7" t="s">
        <v>22</v>
      </c>
    </row>
    <row r="3003">
      <c r="A3003" s="7" t="s">
        <v>72</v>
      </c>
      <c r="B3003" s="7" t="s">
        <v>757</v>
      </c>
      <c r="C3003" s="7">
        <f t="shared" si="401"/>
        <v>7</v>
      </c>
      <c r="D3003" s="7">
        <v>6.0</v>
      </c>
      <c r="E3003" s="7">
        <v>4.0</v>
      </c>
      <c r="F3003" s="7" t="s">
        <v>64</v>
      </c>
      <c r="G3003" s="7" t="s">
        <v>2139</v>
      </c>
      <c r="H3003" s="9" t="s">
        <v>2981</v>
      </c>
      <c r="I3003" t="s">
        <v>4135</v>
      </c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 t="str">
        <f t="shared" si="1"/>
        <v>Land area </v>
      </c>
      <c r="AE3003" s="7" t="str">
        <f t="shared" si="2"/>
        <v> sq. ft.</v>
      </c>
      <c r="AF3003">
        <f>IFERROR(__xludf.DUMMYFUNCTION("VALUE(REGEXREPLACE(G3003,""[^[:digit:]]"", """"))"),3100.0)</f>
        <v>3100</v>
      </c>
      <c r="AG3003" s="7"/>
      <c r="AH3003" s="7"/>
      <c r="AI3003" s="7"/>
      <c r="AJ3003" s="7"/>
      <c r="AK3003" s="7"/>
      <c r="AL3003" s="7"/>
      <c r="AM3003" s="7"/>
      <c r="AN3003" s="7"/>
      <c r="AO3003" s="7"/>
      <c r="AP3003" s="7"/>
      <c r="AQ3003" s="7"/>
      <c r="AR3003" s="7"/>
      <c r="AS3003" s="7" t="s">
        <v>27</v>
      </c>
    </row>
    <row r="3004">
      <c r="A3004" s="7" t="s">
        <v>432</v>
      </c>
      <c r="B3004" s="7" t="s">
        <v>475</v>
      </c>
      <c r="C3004" s="7">
        <f>5+1</f>
        <v>6</v>
      </c>
      <c r="D3004" s="7">
        <v>5.0</v>
      </c>
      <c r="E3004" s="7">
        <v>4.0</v>
      </c>
      <c r="F3004" s="7" t="s">
        <v>43</v>
      </c>
      <c r="G3004" s="7" t="s">
        <v>1154</v>
      </c>
      <c r="H3004" s="9" t="s">
        <v>2981</v>
      </c>
      <c r="I3004" t="s">
        <v>3543</v>
      </c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 t="str">
        <f t="shared" si="1"/>
        <v>Land area </v>
      </c>
      <c r="AE3004" s="7" t="str">
        <f t="shared" si="2"/>
        <v> sq. ft.</v>
      </c>
      <c r="AF3004">
        <f>IFERROR(__xludf.DUMMYFUNCTION("VALUE(REGEXREPLACE(G3004,""[^[:digit:]]"", """"))"),4300.0)</f>
        <v>4300</v>
      </c>
      <c r="AG3004" s="7"/>
      <c r="AH3004" s="7"/>
      <c r="AI3004" s="7"/>
      <c r="AJ3004" s="7"/>
      <c r="AK3004" s="7"/>
      <c r="AL3004" s="7"/>
      <c r="AM3004" s="7"/>
      <c r="AN3004" s="7"/>
      <c r="AO3004" s="7"/>
      <c r="AP3004" s="7"/>
      <c r="AQ3004" s="7"/>
      <c r="AR3004" s="7"/>
      <c r="AS3004" s="7" t="s">
        <v>27</v>
      </c>
    </row>
    <row r="3005">
      <c r="A3005" s="7" t="s">
        <v>432</v>
      </c>
      <c r="B3005" s="7" t="s">
        <v>534</v>
      </c>
      <c r="C3005" s="7">
        <f>4+1</f>
        <v>5</v>
      </c>
      <c r="D3005" s="7">
        <v>6.0</v>
      </c>
      <c r="E3005" s="7">
        <v>4.0</v>
      </c>
      <c r="F3005" s="7" t="s">
        <v>43</v>
      </c>
      <c r="G3005" s="7" t="s">
        <v>2140</v>
      </c>
      <c r="H3005" s="9" t="s">
        <v>2981</v>
      </c>
      <c r="I3005" t="s">
        <v>3086</v>
      </c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 t="str">
        <f t="shared" si="1"/>
        <v>Land area </v>
      </c>
      <c r="AE3005" s="7" t="str">
        <f t="shared" si="2"/>
        <v> sq. ft.</v>
      </c>
      <c r="AF3005">
        <f>IFERROR(__xludf.DUMMYFUNCTION("VALUE(REGEXREPLACE(G3005,""[^[:digit:]]"", """"))"),2850.0)</f>
        <v>2850</v>
      </c>
      <c r="AG3005" s="7"/>
      <c r="AH3005" s="7"/>
      <c r="AI3005" s="7"/>
      <c r="AJ3005" s="7"/>
      <c r="AK3005" s="7"/>
      <c r="AL3005" s="7"/>
      <c r="AM3005" s="7"/>
      <c r="AN3005" s="7"/>
      <c r="AO3005" s="7"/>
      <c r="AP3005" s="7"/>
      <c r="AQ3005" s="7"/>
      <c r="AR3005" s="7"/>
      <c r="AS3005" s="7" t="s">
        <v>27</v>
      </c>
    </row>
    <row r="3006">
      <c r="A3006" s="7" t="s">
        <v>432</v>
      </c>
      <c r="B3006" s="7" t="s">
        <v>1736</v>
      </c>
      <c r="C3006" s="7">
        <f>5+2</f>
        <v>7</v>
      </c>
      <c r="D3006" s="7">
        <v>7.0</v>
      </c>
      <c r="E3006" s="7">
        <v>28.0</v>
      </c>
      <c r="F3006" s="7" t="s">
        <v>25</v>
      </c>
      <c r="G3006" s="7" t="s">
        <v>1737</v>
      </c>
      <c r="H3006" s="9" t="s">
        <v>2981</v>
      </c>
      <c r="I3006" t="s">
        <v>3892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 t="str">
        <f t="shared" si="1"/>
        <v>Land area </v>
      </c>
      <c r="AE3006" s="7" t="str">
        <f t="shared" si="2"/>
        <v> sq. ft.</v>
      </c>
      <c r="AF3006">
        <f>IFERROR(__xludf.DUMMYFUNCTION("VALUE(REGEXREPLACE(G3006,""[^[:digit:]]"", """"))"),17800.0)</f>
        <v>17800</v>
      </c>
      <c r="AG3006" s="7"/>
      <c r="AH3006" s="7"/>
      <c r="AI3006" s="7"/>
      <c r="AJ3006" s="7"/>
      <c r="AK3006" s="7"/>
      <c r="AL3006" s="7"/>
      <c r="AM3006" s="7"/>
      <c r="AN3006" s="7"/>
      <c r="AO3006" s="7"/>
      <c r="AP3006" s="7"/>
      <c r="AQ3006" s="7"/>
      <c r="AR3006" s="7"/>
      <c r="AS3006" s="7" t="s">
        <v>27</v>
      </c>
    </row>
    <row r="3007">
      <c r="A3007" s="7" t="s">
        <v>432</v>
      </c>
      <c r="B3007" s="7" t="s">
        <v>120</v>
      </c>
      <c r="C3007" s="7">
        <f t="shared" ref="C3007:C3009" si="402">5+1</f>
        <v>6</v>
      </c>
      <c r="D3007" s="7">
        <v>5.0</v>
      </c>
      <c r="E3007" s="9">
        <v>2.0</v>
      </c>
      <c r="F3007" s="7" t="s">
        <v>1036</v>
      </c>
      <c r="G3007" s="7" t="s">
        <v>1935</v>
      </c>
      <c r="H3007" s="9" t="s">
        <v>2979</v>
      </c>
      <c r="I3007" t="s">
        <v>4007</v>
      </c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 t="str">
        <f t="shared" si="1"/>
        <v>Built-up :</v>
      </c>
      <c r="AE3007" s="7" t="str">
        <f t="shared" si="2"/>
        <v> sq. ft.</v>
      </c>
      <c r="AF3007">
        <f>IFERROR(__xludf.DUMMYFUNCTION("VALUE(REGEXREPLACE(G3007,""[^[:digit:]]"", """"))"),4600.0)</f>
        <v>4600</v>
      </c>
      <c r="AG3007" s="7"/>
      <c r="AH3007" s="7"/>
      <c r="AI3007" s="7"/>
      <c r="AJ3007" s="7"/>
      <c r="AK3007" s="7"/>
      <c r="AL3007" s="7"/>
      <c r="AM3007" s="7"/>
      <c r="AN3007" s="7"/>
      <c r="AO3007" s="7"/>
      <c r="AP3007" s="7"/>
      <c r="AQ3007" s="7"/>
      <c r="AR3007" s="7"/>
      <c r="AS3007" s="7" t="s">
        <v>27</v>
      </c>
    </row>
    <row r="3008">
      <c r="A3008" s="7" t="s">
        <v>432</v>
      </c>
      <c r="B3008" s="7" t="s">
        <v>2141</v>
      </c>
      <c r="C3008" s="7">
        <f t="shared" si="402"/>
        <v>6</v>
      </c>
      <c r="D3008" s="7">
        <v>6.0</v>
      </c>
      <c r="E3008" s="7">
        <v>6.0</v>
      </c>
      <c r="F3008" s="7" t="s">
        <v>25</v>
      </c>
      <c r="G3008" s="7" t="s">
        <v>843</v>
      </c>
      <c r="H3008" s="9" t="s">
        <v>2981</v>
      </c>
      <c r="I3008" t="s">
        <v>3366</v>
      </c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 t="str">
        <f t="shared" si="1"/>
        <v>Land area </v>
      </c>
      <c r="AE3008" s="7" t="str">
        <f t="shared" si="2"/>
        <v> sq. ft.</v>
      </c>
      <c r="AF3008">
        <f>IFERROR(__xludf.DUMMYFUNCTION("VALUE(REGEXREPLACE(G3008,""[^[:digit:]]"", """"))"),6600.0)</f>
        <v>6600</v>
      </c>
      <c r="AG3008" s="7"/>
      <c r="AH3008" s="7"/>
      <c r="AI3008" s="7"/>
      <c r="AJ3008" s="7"/>
      <c r="AK3008" s="7"/>
      <c r="AL3008" s="7"/>
      <c r="AM3008" s="7"/>
      <c r="AN3008" s="7"/>
      <c r="AO3008" s="7"/>
      <c r="AP3008" s="7"/>
      <c r="AQ3008" s="7"/>
      <c r="AR3008" s="7"/>
      <c r="AS3008" s="7" t="s">
        <v>103</v>
      </c>
    </row>
    <row r="3009">
      <c r="A3009" s="7" t="s">
        <v>432</v>
      </c>
      <c r="B3009" s="7" t="s">
        <v>465</v>
      </c>
      <c r="C3009" s="7">
        <f t="shared" si="402"/>
        <v>6</v>
      </c>
      <c r="D3009" s="7">
        <v>6.0</v>
      </c>
      <c r="E3009" s="7">
        <v>6.0</v>
      </c>
      <c r="F3009" s="7" t="s">
        <v>25</v>
      </c>
      <c r="G3009" s="7" t="s">
        <v>1764</v>
      </c>
      <c r="H3009" s="9" t="s">
        <v>2981</v>
      </c>
      <c r="I3009" t="s">
        <v>3912</v>
      </c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 t="str">
        <f t="shared" si="1"/>
        <v>Land area </v>
      </c>
      <c r="AE3009" s="7" t="str">
        <f t="shared" si="2"/>
        <v> sq. ft.</v>
      </c>
      <c r="AF3009">
        <f>IFERROR(__xludf.DUMMYFUNCTION("VALUE(REGEXREPLACE(G3009,""[^[:digit:]]"", """"))"),8200.0)</f>
        <v>8200</v>
      </c>
      <c r="AG3009" s="7"/>
      <c r="AH3009" s="7"/>
      <c r="AI3009" s="7"/>
      <c r="AJ3009" s="7"/>
      <c r="AK3009" s="7"/>
      <c r="AL3009" s="7"/>
      <c r="AM3009" s="7"/>
      <c r="AN3009" s="7"/>
      <c r="AO3009" s="7"/>
      <c r="AP3009" s="7"/>
      <c r="AQ3009" s="7"/>
      <c r="AR3009" s="7"/>
      <c r="AS3009" s="7" t="s">
        <v>27</v>
      </c>
    </row>
    <row r="3010">
      <c r="A3010" s="7" t="s">
        <v>72</v>
      </c>
      <c r="B3010" s="7" t="s">
        <v>2142</v>
      </c>
      <c r="C3010" s="7">
        <f>5+2</f>
        <v>7</v>
      </c>
      <c r="D3010" s="7">
        <v>6.0</v>
      </c>
      <c r="E3010" s="7">
        <v>6.0</v>
      </c>
      <c r="F3010" s="7" t="s">
        <v>25</v>
      </c>
      <c r="G3010" s="7" t="s">
        <v>40</v>
      </c>
      <c r="H3010" s="9" t="s">
        <v>2981</v>
      </c>
      <c r="I3010" t="s">
        <v>2987</v>
      </c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 t="str">
        <f t="shared" si="1"/>
        <v>Land area </v>
      </c>
      <c r="AE3010" s="7" t="str">
        <f t="shared" si="2"/>
        <v> sq. ft.</v>
      </c>
      <c r="AF3010">
        <f>IFERROR(__xludf.DUMMYFUNCTION("VALUE(REGEXREPLACE(G3010,""[^[:digit:]]"", """"))"),7200.0)</f>
        <v>7200</v>
      </c>
      <c r="AG3010" s="7"/>
      <c r="AH3010" s="7"/>
      <c r="AI3010" s="7"/>
      <c r="AJ3010" s="7"/>
      <c r="AK3010" s="7"/>
      <c r="AL3010" s="7"/>
      <c r="AM3010" s="7"/>
      <c r="AN3010" s="7"/>
      <c r="AO3010" s="7"/>
      <c r="AP3010" s="7"/>
      <c r="AQ3010" s="7"/>
      <c r="AR3010" s="7"/>
      <c r="AS3010" s="7" t="s">
        <v>27</v>
      </c>
    </row>
    <row r="3011">
      <c r="A3011" s="7" t="s">
        <v>72</v>
      </c>
      <c r="B3011" s="7" t="s">
        <v>513</v>
      </c>
      <c r="C3011" s="7">
        <f t="shared" ref="C3011:C3012" si="403">5+1</f>
        <v>6</v>
      </c>
      <c r="D3011" s="7">
        <v>4.0</v>
      </c>
      <c r="E3011" s="7">
        <v>4.0</v>
      </c>
      <c r="F3011" s="7" t="s">
        <v>25</v>
      </c>
      <c r="G3011" s="7" t="s">
        <v>2143</v>
      </c>
      <c r="H3011" s="9" t="s">
        <v>2981</v>
      </c>
      <c r="I3011" t="s">
        <v>4136</v>
      </c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 t="str">
        <f t="shared" si="1"/>
        <v>Land area </v>
      </c>
      <c r="AE3011" s="7" t="str">
        <f t="shared" si="2"/>
        <v> sq. ft.</v>
      </c>
      <c r="AF3011">
        <f>IFERROR(__xludf.DUMMYFUNCTION("VALUE(REGEXREPLACE(G3011,""[^[:digit:]]"", """"))"),10800.0)</f>
        <v>10800</v>
      </c>
      <c r="AG3011" s="7"/>
      <c r="AH3011" s="7"/>
      <c r="AI3011" s="7"/>
      <c r="AJ3011" s="7"/>
      <c r="AK3011" s="7"/>
      <c r="AL3011" s="7"/>
      <c r="AM3011" s="7"/>
      <c r="AN3011" s="7"/>
      <c r="AO3011" s="7"/>
      <c r="AP3011" s="7"/>
      <c r="AQ3011" s="7"/>
      <c r="AR3011" s="7"/>
      <c r="AS3011" s="7" t="s">
        <v>27</v>
      </c>
    </row>
    <row r="3012">
      <c r="A3012" s="7" t="s">
        <v>432</v>
      </c>
      <c r="B3012" s="7" t="s">
        <v>66</v>
      </c>
      <c r="C3012" s="7">
        <f t="shared" si="403"/>
        <v>6</v>
      </c>
      <c r="D3012" s="7">
        <v>6.0</v>
      </c>
      <c r="E3012" s="9">
        <v>2.0</v>
      </c>
      <c r="F3012" s="7" t="s">
        <v>25</v>
      </c>
      <c r="G3012" s="7" t="s">
        <v>856</v>
      </c>
      <c r="H3012" s="9" t="s">
        <v>2981</v>
      </c>
      <c r="I3012" t="s">
        <v>3373</v>
      </c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 t="str">
        <f t="shared" si="1"/>
        <v>Land area </v>
      </c>
      <c r="AE3012" s="7" t="str">
        <f t="shared" si="2"/>
        <v> sq. ft.</v>
      </c>
      <c r="AF3012">
        <f>IFERROR(__xludf.DUMMYFUNCTION("VALUE(REGEXREPLACE(G3012,""[^[:digit:]]"", """"))"),8100.0)</f>
        <v>8100</v>
      </c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  <c r="AR3012" s="7"/>
      <c r="AS3012" s="7" t="s">
        <v>27</v>
      </c>
    </row>
    <row r="3013">
      <c r="A3013" s="7" t="s">
        <v>72</v>
      </c>
      <c r="B3013" s="7" t="s">
        <v>1951</v>
      </c>
      <c r="C3013" s="7">
        <f t="shared" ref="C3013:C3014" si="404">4+1</f>
        <v>5</v>
      </c>
      <c r="D3013" s="7">
        <v>5.0</v>
      </c>
      <c r="E3013" s="7">
        <v>4.0</v>
      </c>
      <c r="F3013" s="7" t="s">
        <v>487</v>
      </c>
      <c r="G3013" s="7" t="s">
        <v>863</v>
      </c>
      <c r="H3013" s="9" t="s">
        <v>2981</v>
      </c>
      <c r="I3013" t="s">
        <v>3377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 t="str">
        <f t="shared" si="1"/>
        <v>Land area </v>
      </c>
      <c r="AE3013" s="7" t="str">
        <f t="shared" si="2"/>
        <v> sq. ft.</v>
      </c>
      <c r="AF3013">
        <f>IFERROR(__xludf.DUMMYFUNCTION("VALUE(REGEXREPLACE(G3013,""[^[:digit:]]"", """"))"),3500.0)</f>
        <v>3500</v>
      </c>
      <c r="AG3013" s="7"/>
      <c r="AH3013" s="7"/>
      <c r="AI3013" s="7"/>
      <c r="AJ3013" s="7"/>
      <c r="AK3013" s="7"/>
      <c r="AL3013" s="7"/>
      <c r="AM3013" s="7"/>
      <c r="AN3013" s="7"/>
      <c r="AO3013" s="7"/>
      <c r="AP3013" s="7"/>
      <c r="AQ3013" s="7"/>
      <c r="AR3013" s="7"/>
      <c r="AS3013" s="7" t="s">
        <v>27</v>
      </c>
    </row>
    <row r="3014">
      <c r="A3014" s="7" t="s">
        <v>72</v>
      </c>
      <c r="B3014" s="7" t="s">
        <v>757</v>
      </c>
      <c r="C3014" s="7">
        <f t="shared" si="404"/>
        <v>5</v>
      </c>
      <c r="D3014" s="7">
        <v>5.0</v>
      </c>
      <c r="E3014" s="9">
        <v>2.0</v>
      </c>
      <c r="F3014" s="7" t="s">
        <v>43</v>
      </c>
      <c r="G3014" s="7" t="s">
        <v>1594</v>
      </c>
      <c r="H3014" s="9" t="s">
        <v>2981</v>
      </c>
      <c r="I3014" t="s">
        <v>3800</v>
      </c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 t="str">
        <f t="shared" si="1"/>
        <v>Land area </v>
      </c>
      <c r="AE3014" s="7" t="str">
        <f t="shared" si="2"/>
        <v> sq. ft.</v>
      </c>
      <c r="AF3014">
        <f>IFERROR(__xludf.DUMMYFUNCTION("VALUE(REGEXREPLACE(G3014,""[^[:digit:]]"", """"))"),2700.0)</f>
        <v>2700</v>
      </c>
      <c r="AG3014" s="7"/>
      <c r="AH3014" s="7"/>
      <c r="AI3014" s="7"/>
      <c r="AJ3014" s="7"/>
      <c r="AK3014" s="7"/>
      <c r="AL3014" s="7"/>
      <c r="AM3014" s="7"/>
      <c r="AN3014" s="7"/>
      <c r="AO3014" s="7"/>
      <c r="AP3014" s="7"/>
      <c r="AQ3014" s="7"/>
      <c r="AR3014" s="7"/>
      <c r="AS3014" s="7" t="s">
        <v>22</v>
      </c>
    </row>
    <row r="3015">
      <c r="A3015" s="7" t="s">
        <v>72</v>
      </c>
      <c r="B3015" s="7" t="s">
        <v>513</v>
      </c>
      <c r="C3015" s="7">
        <f>6+1</f>
        <v>7</v>
      </c>
      <c r="D3015" s="7">
        <v>6.0</v>
      </c>
      <c r="E3015" s="7">
        <v>6.0</v>
      </c>
      <c r="F3015" s="7" t="s">
        <v>25</v>
      </c>
      <c r="G3015" s="7" t="s">
        <v>2144</v>
      </c>
      <c r="H3015" s="9" t="s">
        <v>2981</v>
      </c>
      <c r="I3015" t="s">
        <v>4137</v>
      </c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 t="str">
        <f t="shared" si="1"/>
        <v>Land area </v>
      </c>
      <c r="AE3015" s="7" t="str">
        <f t="shared" si="2"/>
        <v> sq. ft.</v>
      </c>
      <c r="AF3015">
        <f>IFERROR(__xludf.DUMMYFUNCTION("VALUE(REGEXREPLACE(G3015,""[^[:digit:]]"", """"))"),9600.0)</f>
        <v>9600</v>
      </c>
      <c r="AG3015" s="7"/>
      <c r="AH3015" s="7"/>
      <c r="AI3015" s="7"/>
      <c r="AJ3015" s="7"/>
      <c r="AK3015" s="7"/>
      <c r="AL3015" s="7"/>
      <c r="AM3015" s="7"/>
      <c r="AN3015" s="7"/>
      <c r="AO3015" s="7"/>
      <c r="AP3015" s="7"/>
      <c r="AQ3015" s="7"/>
      <c r="AR3015" s="7"/>
      <c r="AS3015" s="7" t="s">
        <v>27</v>
      </c>
    </row>
    <row r="3016">
      <c r="A3016" s="7" t="s">
        <v>432</v>
      </c>
      <c r="B3016" s="7" t="s">
        <v>123</v>
      </c>
      <c r="C3016" s="7">
        <f t="shared" ref="C3016:C3021" si="405">5+1</f>
        <v>6</v>
      </c>
      <c r="D3016" s="7">
        <v>5.0</v>
      </c>
      <c r="E3016" s="7">
        <v>4.0</v>
      </c>
      <c r="F3016" s="7" t="s">
        <v>736</v>
      </c>
      <c r="G3016" s="7" t="s">
        <v>860</v>
      </c>
      <c r="H3016" s="9" t="s">
        <v>2981</v>
      </c>
      <c r="I3016" t="s">
        <v>3376</v>
      </c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 t="str">
        <f t="shared" si="1"/>
        <v>Land area </v>
      </c>
      <c r="AE3016" s="7" t="str">
        <f t="shared" si="2"/>
        <v> sq. ft.</v>
      </c>
      <c r="AF3016">
        <f>IFERROR(__xludf.DUMMYFUNCTION("VALUE(REGEXREPLACE(G3016,""[^[:digit:]]"", """"))"),4000.0)</f>
        <v>4000</v>
      </c>
      <c r="AG3016" s="7"/>
      <c r="AH3016" s="7"/>
      <c r="AI3016" s="7"/>
      <c r="AJ3016" s="7"/>
      <c r="AK3016" s="7"/>
      <c r="AL3016" s="7"/>
      <c r="AM3016" s="7"/>
      <c r="AN3016" s="7"/>
      <c r="AO3016" s="7"/>
      <c r="AP3016" s="7"/>
      <c r="AQ3016" s="7"/>
      <c r="AR3016" s="7"/>
      <c r="AS3016" s="7" t="s">
        <v>27</v>
      </c>
    </row>
    <row r="3017">
      <c r="A3017" s="7" t="s">
        <v>72</v>
      </c>
      <c r="B3017" s="7" t="s">
        <v>123</v>
      </c>
      <c r="C3017" s="7">
        <f t="shared" si="405"/>
        <v>6</v>
      </c>
      <c r="D3017" s="7">
        <v>5.0</v>
      </c>
      <c r="E3017" s="7">
        <v>4.0</v>
      </c>
      <c r="F3017" s="7" t="s">
        <v>736</v>
      </c>
      <c r="G3017" s="7" t="s">
        <v>2145</v>
      </c>
      <c r="H3017" s="9" t="s">
        <v>2981</v>
      </c>
      <c r="I3017" t="s">
        <v>4138</v>
      </c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 t="str">
        <f t="shared" si="1"/>
        <v>Land area </v>
      </c>
      <c r="AE3017" s="7" t="str">
        <f t="shared" si="2"/>
        <v> sq. ft.</v>
      </c>
      <c r="AF3017">
        <f>IFERROR(__xludf.DUMMYFUNCTION("VALUE(REGEXREPLACE(G3017,""[^[:digit:]]"", """"))"),4040.0)</f>
        <v>4040</v>
      </c>
      <c r="AG3017" s="7"/>
      <c r="AH3017" s="7"/>
      <c r="AI3017" s="7"/>
      <c r="AJ3017" s="7"/>
      <c r="AK3017" s="7"/>
      <c r="AL3017" s="7"/>
      <c r="AM3017" s="7"/>
      <c r="AN3017" s="7"/>
      <c r="AO3017" s="7"/>
      <c r="AP3017" s="7"/>
      <c r="AQ3017" s="7"/>
      <c r="AR3017" s="7"/>
      <c r="AS3017" s="7" t="s">
        <v>27</v>
      </c>
    </row>
    <row r="3018">
      <c r="A3018" s="7" t="s">
        <v>432</v>
      </c>
      <c r="B3018" s="7" t="s">
        <v>123</v>
      </c>
      <c r="C3018" s="7">
        <f t="shared" si="405"/>
        <v>6</v>
      </c>
      <c r="D3018" s="7">
        <v>5.0</v>
      </c>
      <c r="E3018" s="7">
        <v>4.0</v>
      </c>
      <c r="F3018" s="7" t="s">
        <v>736</v>
      </c>
      <c r="G3018" s="7" t="s">
        <v>2145</v>
      </c>
      <c r="H3018" s="9" t="s">
        <v>2981</v>
      </c>
      <c r="I3018" t="s">
        <v>4138</v>
      </c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 t="str">
        <f t="shared" si="1"/>
        <v>Land area </v>
      </c>
      <c r="AE3018" s="7" t="str">
        <f t="shared" si="2"/>
        <v> sq. ft.</v>
      </c>
      <c r="AF3018">
        <f>IFERROR(__xludf.DUMMYFUNCTION("VALUE(REGEXREPLACE(G3018,""[^[:digit:]]"", """"))"),4040.0)</f>
        <v>4040</v>
      </c>
      <c r="AG3018" s="7"/>
      <c r="AH3018" s="7"/>
      <c r="AI3018" s="7"/>
      <c r="AJ3018" s="7"/>
      <c r="AK3018" s="7"/>
      <c r="AL3018" s="7"/>
      <c r="AM3018" s="7"/>
      <c r="AN3018" s="7"/>
      <c r="AO3018" s="7"/>
      <c r="AP3018" s="7"/>
      <c r="AQ3018" s="7"/>
      <c r="AR3018" s="7"/>
      <c r="AS3018" s="7" t="s">
        <v>27</v>
      </c>
    </row>
    <row r="3019">
      <c r="A3019" s="7" t="s">
        <v>432</v>
      </c>
      <c r="B3019" s="7" t="s">
        <v>1492</v>
      </c>
      <c r="C3019" s="7">
        <f t="shared" si="405"/>
        <v>6</v>
      </c>
      <c r="D3019" s="7">
        <v>5.0</v>
      </c>
      <c r="E3019" s="7">
        <v>5.0</v>
      </c>
      <c r="F3019" s="7" t="s">
        <v>43</v>
      </c>
      <c r="G3019" s="7" t="s">
        <v>860</v>
      </c>
      <c r="H3019" s="9" t="s">
        <v>2981</v>
      </c>
      <c r="I3019" t="s">
        <v>3376</v>
      </c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 t="str">
        <f t="shared" si="1"/>
        <v>Land area </v>
      </c>
      <c r="AE3019" s="7" t="str">
        <f t="shared" si="2"/>
        <v> sq. ft.</v>
      </c>
      <c r="AF3019">
        <f>IFERROR(__xludf.DUMMYFUNCTION("VALUE(REGEXREPLACE(G3019,""[^[:digit:]]"", """"))"),4000.0)</f>
        <v>4000</v>
      </c>
      <c r="AG3019" s="7"/>
      <c r="AH3019" s="7"/>
      <c r="AI3019" s="7"/>
      <c r="AJ3019" s="7"/>
      <c r="AK3019" s="7"/>
      <c r="AL3019" s="7"/>
      <c r="AM3019" s="7"/>
      <c r="AN3019" s="7"/>
      <c r="AO3019" s="7"/>
      <c r="AP3019" s="7"/>
      <c r="AQ3019" s="7"/>
      <c r="AR3019" s="7"/>
      <c r="AS3019" s="7" t="s">
        <v>27</v>
      </c>
    </row>
    <row r="3020">
      <c r="A3020" s="7" t="s">
        <v>432</v>
      </c>
      <c r="B3020" s="7" t="s">
        <v>2146</v>
      </c>
      <c r="C3020" s="7">
        <f t="shared" si="405"/>
        <v>6</v>
      </c>
      <c r="D3020" s="7">
        <v>4.0</v>
      </c>
      <c r="E3020" s="7">
        <v>4.0</v>
      </c>
      <c r="F3020" s="7" t="s">
        <v>43</v>
      </c>
      <c r="G3020" s="7" t="s">
        <v>860</v>
      </c>
      <c r="H3020" s="9" t="s">
        <v>2981</v>
      </c>
      <c r="I3020" t="s">
        <v>3376</v>
      </c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 t="str">
        <f t="shared" si="1"/>
        <v>Land area </v>
      </c>
      <c r="AE3020" s="7" t="str">
        <f t="shared" si="2"/>
        <v> sq. ft.</v>
      </c>
      <c r="AF3020">
        <f>IFERROR(__xludf.DUMMYFUNCTION("VALUE(REGEXREPLACE(G3020,""[^[:digit:]]"", """"))"),4000.0)</f>
        <v>4000</v>
      </c>
      <c r="AG3020" s="7"/>
      <c r="AH3020" s="7"/>
      <c r="AI3020" s="7"/>
      <c r="AJ3020" s="7"/>
      <c r="AK3020" s="7"/>
      <c r="AL3020" s="7"/>
      <c r="AM3020" s="7"/>
      <c r="AN3020" s="7"/>
      <c r="AO3020" s="7"/>
      <c r="AP3020" s="7"/>
      <c r="AQ3020" s="7"/>
      <c r="AR3020" s="7"/>
      <c r="AS3020" s="7" t="s">
        <v>27</v>
      </c>
    </row>
    <row r="3021">
      <c r="A3021" s="7" t="s">
        <v>432</v>
      </c>
      <c r="B3021" s="7" t="s">
        <v>1610</v>
      </c>
      <c r="C3021" s="7">
        <f t="shared" si="405"/>
        <v>6</v>
      </c>
      <c r="D3021" s="7">
        <v>5.0</v>
      </c>
      <c r="E3021" s="9">
        <v>2.0</v>
      </c>
      <c r="F3021" s="7" t="s">
        <v>90</v>
      </c>
      <c r="G3021" s="7" t="s">
        <v>1491</v>
      </c>
      <c r="H3021" s="9" t="s">
        <v>2981</v>
      </c>
      <c r="I3021" t="s">
        <v>3062</v>
      </c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 t="str">
        <f t="shared" si="1"/>
        <v>Land area </v>
      </c>
      <c r="AE3021" s="7" t="str">
        <f t="shared" si="2"/>
        <v> sq. ft.</v>
      </c>
      <c r="AF3021">
        <f>IFERROR(__xludf.DUMMYFUNCTION("VALUE(REGEXREPLACE(G3021,""[^[:digit:]]"", """"))"),2400.0)</f>
        <v>2400</v>
      </c>
      <c r="AG3021" s="7"/>
      <c r="AH3021" s="7"/>
      <c r="AI3021" s="7"/>
      <c r="AJ3021" s="7"/>
      <c r="AK3021" s="7"/>
      <c r="AL3021" s="7"/>
      <c r="AM3021" s="7"/>
      <c r="AN3021" s="7"/>
      <c r="AO3021" s="7"/>
      <c r="AP3021" s="7"/>
      <c r="AQ3021" s="7"/>
      <c r="AR3021" s="7"/>
      <c r="AS3021" s="7" t="s">
        <v>27</v>
      </c>
    </row>
    <row r="3022">
      <c r="A3022" s="7" t="s">
        <v>432</v>
      </c>
      <c r="B3022" s="7" t="s">
        <v>386</v>
      </c>
      <c r="C3022" s="7">
        <f>4</f>
        <v>4</v>
      </c>
      <c r="D3022" s="7">
        <v>3.0</v>
      </c>
      <c r="E3022" s="7">
        <v>4.0</v>
      </c>
      <c r="F3022" s="7" t="s">
        <v>184</v>
      </c>
      <c r="G3022" s="7" t="s">
        <v>2147</v>
      </c>
      <c r="H3022" s="9" t="s">
        <v>2981</v>
      </c>
      <c r="I3022" t="s">
        <v>4139</v>
      </c>
      <c r="J3022" s="7"/>
      <c r="K3022" s="7"/>
      <c r="L3022" s="7"/>
      <c r="M3022" s="7"/>
      <c r="N3022" s="7"/>
      <c r="O3022" s="7"/>
      <c r="P3022" s="7"/>
      <c r="Q3022" s="7"/>
      <c r="R3022" s="7"/>
      <c r="S3022" s="7" t="s">
        <v>2993</v>
      </c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 t="str">
        <f t="shared" si="1"/>
        <v>Land area </v>
      </c>
      <c r="AE3022" s="7" t="str">
        <f t="shared" si="2"/>
        <v> sq. ft.</v>
      </c>
      <c r="AF3022">
        <f>IFERROR(__xludf.DUMMYFUNCTION("VALUE(REGEXREPLACE(G3022,""[^[:digit:]]"", """"))"),4280.0)</f>
        <v>4280</v>
      </c>
      <c r="AG3022" s="7"/>
      <c r="AH3022" s="7"/>
      <c r="AI3022" s="7"/>
      <c r="AJ3022" s="7"/>
      <c r="AK3022" s="7"/>
      <c r="AL3022" s="7"/>
      <c r="AM3022" s="7"/>
      <c r="AN3022" s="7"/>
      <c r="AO3022" s="7"/>
      <c r="AP3022" s="7"/>
      <c r="AQ3022" s="7"/>
      <c r="AR3022" s="7"/>
      <c r="AS3022" s="7" t="s">
        <v>103</v>
      </c>
    </row>
    <row r="3023">
      <c r="A3023" s="7" t="s">
        <v>432</v>
      </c>
      <c r="B3023" s="7" t="s">
        <v>69</v>
      </c>
      <c r="C3023" s="7">
        <f>5+1</f>
        <v>6</v>
      </c>
      <c r="D3023" s="7">
        <v>5.0</v>
      </c>
      <c r="E3023" s="7">
        <v>2.0</v>
      </c>
      <c r="F3023" s="7" t="s">
        <v>487</v>
      </c>
      <c r="G3023" s="7" t="s">
        <v>478</v>
      </c>
      <c r="H3023" s="9" t="s">
        <v>2981</v>
      </c>
      <c r="I3023" t="s">
        <v>3183</v>
      </c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 t="str">
        <f t="shared" si="1"/>
        <v>Land area </v>
      </c>
      <c r="AE3023" s="7" t="str">
        <f t="shared" si="2"/>
        <v> sq. ft.</v>
      </c>
      <c r="AF3023">
        <f>IFERROR(__xludf.DUMMYFUNCTION("VALUE(REGEXREPLACE(G3023,""[^[:digit:]]"", """"))"),3200.0)</f>
        <v>3200</v>
      </c>
      <c r="AG3023" s="7"/>
      <c r="AH3023" s="7"/>
      <c r="AI3023" s="7"/>
      <c r="AJ3023" s="7"/>
      <c r="AK3023" s="7"/>
      <c r="AL3023" s="7"/>
      <c r="AM3023" s="7"/>
      <c r="AN3023" s="7"/>
      <c r="AO3023" s="7"/>
      <c r="AP3023" s="7"/>
      <c r="AQ3023" s="7"/>
      <c r="AR3023" s="7"/>
      <c r="AS3023" s="7" t="s">
        <v>27</v>
      </c>
    </row>
    <row r="3024">
      <c r="A3024" s="7" t="s">
        <v>432</v>
      </c>
      <c r="B3024" s="7" t="s">
        <v>468</v>
      </c>
      <c r="C3024" s="7">
        <f>7</f>
        <v>7</v>
      </c>
      <c r="D3024" s="7">
        <v>4.0</v>
      </c>
      <c r="E3024" s="9">
        <v>2.0</v>
      </c>
      <c r="F3024" s="7" t="s">
        <v>169</v>
      </c>
      <c r="G3024" s="7" t="s">
        <v>1296</v>
      </c>
      <c r="H3024" s="9" t="s">
        <v>2981</v>
      </c>
      <c r="I3024" t="s">
        <v>3630</v>
      </c>
      <c r="J3024" s="7"/>
      <c r="K3024" s="7"/>
      <c r="L3024" s="7"/>
      <c r="M3024" s="7"/>
      <c r="N3024" s="7"/>
      <c r="O3024" s="7"/>
      <c r="P3024" s="7"/>
      <c r="Q3024" s="7"/>
      <c r="R3024" s="7"/>
      <c r="S3024" s="7" t="s">
        <v>3101</v>
      </c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 t="str">
        <f t="shared" si="1"/>
        <v>Land area </v>
      </c>
      <c r="AE3024" s="7" t="str">
        <f t="shared" si="2"/>
        <v> sq. ft.</v>
      </c>
      <c r="AF3024">
        <f>IFERROR(__xludf.DUMMYFUNCTION("VALUE(REGEXREPLACE(G3024,""[^[:digit:]]"", """"))"),3285.0)</f>
        <v>3285</v>
      </c>
      <c r="AG3024" s="7"/>
      <c r="AH3024" s="7"/>
      <c r="AI3024" s="7"/>
      <c r="AJ3024" s="7"/>
      <c r="AK3024" s="7"/>
      <c r="AL3024" s="7"/>
      <c r="AM3024" s="7"/>
      <c r="AN3024" s="7"/>
      <c r="AO3024" s="7"/>
      <c r="AP3024" s="7"/>
      <c r="AQ3024" s="7"/>
      <c r="AR3024" s="7"/>
      <c r="AS3024" s="7" t="s">
        <v>27</v>
      </c>
    </row>
    <row r="3025">
      <c r="A3025" s="7" t="s">
        <v>432</v>
      </c>
      <c r="B3025" s="7" t="s">
        <v>144</v>
      </c>
      <c r="C3025" s="7">
        <f>4</f>
        <v>4</v>
      </c>
      <c r="D3025" s="7">
        <v>3.0</v>
      </c>
      <c r="E3025" s="7">
        <v>2.0</v>
      </c>
      <c r="F3025" s="7" t="s">
        <v>169</v>
      </c>
      <c r="G3025" s="7" t="s">
        <v>283</v>
      </c>
      <c r="H3025" s="9" t="s">
        <v>2981</v>
      </c>
      <c r="I3025" t="s">
        <v>3091</v>
      </c>
      <c r="J3025" s="7"/>
      <c r="K3025" s="7"/>
      <c r="L3025" s="7"/>
      <c r="M3025" s="7"/>
      <c r="N3025" s="7"/>
      <c r="O3025" s="7"/>
      <c r="P3025" s="7"/>
      <c r="Q3025" s="7"/>
      <c r="R3025" s="7"/>
      <c r="S3025" s="7" t="s">
        <v>2990</v>
      </c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 t="str">
        <f t="shared" si="1"/>
        <v>Land area </v>
      </c>
      <c r="AE3025" s="7" t="str">
        <f t="shared" si="2"/>
        <v> sq. ft.</v>
      </c>
      <c r="AF3025">
        <f>IFERROR(__xludf.DUMMYFUNCTION("VALUE(REGEXREPLACE(G3025,""[^[:digit:]]"", """"))"),2275.0)</f>
        <v>2275</v>
      </c>
      <c r="AG3025" s="7"/>
      <c r="AH3025" s="7"/>
      <c r="AI3025" s="7"/>
      <c r="AJ3025" s="7"/>
      <c r="AK3025" s="7"/>
      <c r="AL3025" s="7"/>
      <c r="AM3025" s="7"/>
      <c r="AN3025" s="7"/>
      <c r="AO3025" s="7"/>
      <c r="AP3025" s="7"/>
      <c r="AQ3025" s="7"/>
      <c r="AR3025" s="7"/>
      <c r="AS3025" s="7" t="s">
        <v>27</v>
      </c>
    </row>
    <row r="3026">
      <c r="A3026" s="7" t="s">
        <v>358</v>
      </c>
      <c r="B3026" s="7" t="s">
        <v>1328</v>
      </c>
      <c r="C3026" s="7">
        <f>3+1</f>
        <v>4</v>
      </c>
      <c r="D3026" s="7">
        <v>3.0</v>
      </c>
      <c r="E3026" s="7">
        <v>2.0</v>
      </c>
      <c r="F3026" s="7" t="s">
        <v>93</v>
      </c>
      <c r="G3026" s="7" t="s">
        <v>636</v>
      </c>
      <c r="H3026" s="9" t="s">
        <v>2979</v>
      </c>
      <c r="I3026" t="s">
        <v>3260</v>
      </c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 t="str">
        <f t="shared" si="1"/>
        <v>Built-up :</v>
      </c>
      <c r="AE3026" s="7" t="str">
        <f t="shared" si="2"/>
        <v> sq. ft.</v>
      </c>
      <c r="AF3026">
        <f>IFERROR(__xludf.DUMMYFUNCTION("VALUE(REGEXREPLACE(G3026,""[^[:digit:]]"", """"))"),1577.0)</f>
        <v>1577</v>
      </c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  <c r="AR3026" s="7"/>
      <c r="AS3026" s="7" t="s">
        <v>27</v>
      </c>
    </row>
    <row r="3027">
      <c r="A3027" s="7" t="s">
        <v>17</v>
      </c>
      <c r="B3027" s="7" t="s">
        <v>322</v>
      </c>
      <c r="C3027" s="7">
        <f>2+1</f>
        <v>3</v>
      </c>
      <c r="D3027" s="7">
        <v>2.0</v>
      </c>
      <c r="E3027" s="7">
        <v>1.0</v>
      </c>
      <c r="F3027" s="7" t="s">
        <v>83</v>
      </c>
      <c r="G3027" s="7" t="s">
        <v>323</v>
      </c>
      <c r="H3027" s="9" t="s">
        <v>2979</v>
      </c>
      <c r="I3027" t="s">
        <v>3108</v>
      </c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 t="str">
        <f t="shared" si="1"/>
        <v>Built-up :</v>
      </c>
      <c r="AE3027" s="7" t="str">
        <f t="shared" si="2"/>
        <v> sq. ft.</v>
      </c>
      <c r="AF3027">
        <f>IFERROR(__xludf.DUMMYFUNCTION("VALUE(REGEXREPLACE(G3027,""[^[:digit:]]"", """"))"),915.0)</f>
        <v>915</v>
      </c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  <c r="AR3027" s="7"/>
    </row>
    <row r="3028">
      <c r="A3028" s="7" t="s">
        <v>1315</v>
      </c>
      <c r="B3028" s="7" t="s">
        <v>329</v>
      </c>
      <c r="C3028" s="7">
        <f>4</f>
        <v>4</v>
      </c>
      <c r="D3028" s="7">
        <v>5.0</v>
      </c>
      <c r="E3028" s="7">
        <v>2.0</v>
      </c>
      <c r="F3028" s="7" t="s">
        <v>90</v>
      </c>
      <c r="G3028" s="7" t="s">
        <v>1197</v>
      </c>
      <c r="H3028" s="9" t="s">
        <v>2981</v>
      </c>
      <c r="I3028" t="s">
        <v>3037</v>
      </c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  <c r="AB3028" s="7"/>
      <c r="AC3028" s="7"/>
      <c r="AD3028" s="7" t="str">
        <f t="shared" si="1"/>
        <v>Land area </v>
      </c>
      <c r="AE3028" s="7" t="str">
        <f t="shared" si="2"/>
        <v> sq. ft.</v>
      </c>
      <c r="AF3028">
        <f>IFERROR(__xludf.DUMMYFUNCTION("VALUE(REGEXREPLACE(G3028,""[^[:digit:]]"", """"))"),1800.0)</f>
        <v>1800</v>
      </c>
      <c r="AG3028" s="7"/>
      <c r="AH3028" s="7"/>
      <c r="AI3028" s="7"/>
      <c r="AJ3028" s="7"/>
      <c r="AK3028" s="7"/>
      <c r="AL3028" s="7"/>
      <c r="AM3028" s="7"/>
      <c r="AN3028" s="7"/>
      <c r="AO3028" s="7"/>
      <c r="AP3028" s="7"/>
      <c r="AQ3028" s="7"/>
      <c r="AR3028" s="7"/>
      <c r="AS3028" s="7" t="s">
        <v>22</v>
      </c>
    </row>
    <row r="3029">
      <c r="A3029" s="7" t="s">
        <v>72</v>
      </c>
      <c r="B3029" s="7" t="s">
        <v>309</v>
      </c>
      <c r="C3029" s="7">
        <f>3+1</f>
        <v>4</v>
      </c>
      <c r="D3029" s="7">
        <v>5.0</v>
      </c>
      <c r="E3029" s="7">
        <v>3.0</v>
      </c>
      <c r="F3029" s="7" t="s">
        <v>83</v>
      </c>
      <c r="G3029" s="7" t="s">
        <v>561</v>
      </c>
      <c r="H3029" s="9" t="s">
        <v>2979</v>
      </c>
      <c r="I3029" t="s">
        <v>3226</v>
      </c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7" t="str">
        <f t="shared" si="1"/>
        <v>Built-up :</v>
      </c>
      <c r="AE3029" s="7" t="str">
        <f t="shared" si="2"/>
        <v> sq. ft.</v>
      </c>
      <c r="AF3029">
        <f>IFERROR(__xludf.DUMMYFUNCTION("VALUE(REGEXREPLACE(G3029,""[^[:digit:]]"", """"))"),2535.0)</f>
        <v>2535</v>
      </c>
      <c r="AG3029" s="7"/>
      <c r="AH3029" s="7"/>
      <c r="AI3029" s="7"/>
      <c r="AJ3029" s="7"/>
      <c r="AK3029" s="7"/>
      <c r="AL3029" s="7"/>
      <c r="AM3029" s="7"/>
      <c r="AN3029" s="7"/>
      <c r="AO3029" s="7"/>
      <c r="AP3029" s="7"/>
      <c r="AQ3029" s="7"/>
      <c r="AR3029" s="7"/>
      <c r="AS3029" s="7" t="s">
        <v>22</v>
      </c>
    </row>
    <row r="3030">
      <c r="A3030" s="7" t="s">
        <v>72</v>
      </c>
      <c r="B3030" s="7" t="s">
        <v>1187</v>
      </c>
      <c r="C3030" s="7">
        <f>3</f>
        <v>3</v>
      </c>
      <c r="D3030" s="7">
        <v>2.0</v>
      </c>
      <c r="E3030" s="7">
        <v>1.0</v>
      </c>
      <c r="F3030" s="7" t="s">
        <v>20</v>
      </c>
      <c r="G3030" s="7" t="s">
        <v>2148</v>
      </c>
      <c r="H3030" s="9" t="s">
        <v>2979</v>
      </c>
      <c r="I3030" t="s">
        <v>4140</v>
      </c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7" t="str">
        <f t="shared" si="1"/>
        <v>Built-up :</v>
      </c>
      <c r="AE3030" s="7" t="str">
        <f t="shared" si="2"/>
        <v> sq. ft.</v>
      </c>
      <c r="AF3030">
        <f>IFERROR(__xludf.DUMMYFUNCTION("VALUE(REGEXREPLACE(G3030,""[^[:digit:]]"", """"))"),1248.0)</f>
        <v>1248</v>
      </c>
      <c r="AG3030" s="7"/>
      <c r="AH3030" s="7"/>
      <c r="AI3030" s="7"/>
      <c r="AJ3030" s="7"/>
      <c r="AK3030" s="7"/>
      <c r="AL3030" s="7"/>
      <c r="AM3030" s="7"/>
      <c r="AN3030" s="7"/>
      <c r="AO3030" s="7"/>
      <c r="AP3030" s="7"/>
      <c r="AQ3030" s="7"/>
      <c r="AR3030" s="7"/>
      <c r="AS3030" s="7" t="s">
        <v>27</v>
      </c>
    </row>
    <row r="3031">
      <c r="A3031" s="7" t="s">
        <v>72</v>
      </c>
      <c r="B3031" s="7" t="s">
        <v>2149</v>
      </c>
      <c r="C3031" s="7">
        <f>2</f>
        <v>2</v>
      </c>
      <c r="D3031" s="7">
        <v>2.0</v>
      </c>
      <c r="E3031" s="7">
        <v>1.0</v>
      </c>
      <c r="F3031" s="7" t="s">
        <v>83</v>
      </c>
      <c r="G3031" s="7" t="s">
        <v>1178</v>
      </c>
      <c r="H3031" s="9" t="s">
        <v>2979</v>
      </c>
      <c r="I3031" t="s">
        <v>3561</v>
      </c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7" t="str">
        <f t="shared" si="1"/>
        <v>Built-up :</v>
      </c>
      <c r="AE3031" s="7" t="str">
        <f t="shared" si="2"/>
        <v> sq. ft.</v>
      </c>
      <c r="AF3031">
        <f>IFERROR(__xludf.DUMMYFUNCTION("VALUE(REGEXREPLACE(G3031,""[^[:digit:]]"", """"))"),930.0)</f>
        <v>930</v>
      </c>
      <c r="AG3031" s="7"/>
      <c r="AH3031" s="7"/>
      <c r="AI3031" s="7"/>
      <c r="AJ3031" s="7"/>
      <c r="AK3031" s="7"/>
      <c r="AL3031" s="7"/>
      <c r="AM3031" s="7"/>
      <c r="AN3031" s="7"/>
      <c r="AO3031" s="7"/>
      <c r="AP3031" s="7"/>
      <c r="AQ3031" s="7"/>
      <c r="AR3031" s="7"/>
      <c r="AS3031" s="7" t="s">
        <v>27</v>
      </c>
    </row>
    <row r="3032">
      <c r="A3032" s="7" t="s">
        <v>28</v>
      </c>
      <c r="B3032" s="7" t="s">
        <v>890</v>
      </c>
      <c r="C3032" s="7">
        <f t="shared" ref="C3032:C3033" si="406">3</f>
        <v>3</v>
      </c>
      <c r="D3032" s="7">
        <v>2.0</v>
      </c>
      <c r="E3032" s="7">
        <v>1.0</v>
      </c>
      <c r="F3032" s="7" t="s">
        <v>83</v>
      </c>
      <c r="G3032" s="7" t="s">
        <v>734</v>
      </c>
      <c r="H3032" s="9" t="s">
        <v>2979</v>
      </c>
      <c r="I3032" t="s">
        <v>3308</v>
      </c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7" t="str">
        <f t="shared" si="1"/>
        <v>Built-up :</v>
      </c>
      <c r="AE3032" s="7" t="str">
        <f t="shared" si="2"/>
        <v> sq. ft.</v>
      </c>
      <c r="AF3032">
        <f>IFERROR(__xludf.DUMMYFUNCTION("VALUE(REGEXREPLACE(G3032,""[^[:digit:]]"", """"))"),1100.0)</f>
        <v>1100</v>
      </c>
      <c r="AG3032" s="7"/>
      <c r="AH3032" s="7"/>
      <c r="AI3032" s="7"/>
      <c r="AJ3032" s="7"/>
      <c r="AK3032" s="7"/>
      <c r="AL3032" s="7"/>
      <c r="AM3032" s="7"/>
      <c r="AN3032" s="7"/>
      <c r="AO3032" s="7"/>
      <c r="AP3032" s="7"/>
      <c r="AQ3032" s="7"/>
      <c r="AR3032" s="7"/>
      <c r="AS3032" s="7" t="s">
        <v>27</v>
      </c>
    </row>
    <row r="3033">
      <c r="A3033" s="7" t="s">
        <v>72</v>
      </c>
      <c r="B3033" s="7" t="s">
        <v>1075</v>
      </c>
      <c r="C3033" s="7">
        <f t="shared" si="406"/>
        <v>3</v>
      </c>
      <c r="D3033" s="7">
        <v>2.0</v>
      </c>
      <c r="E3033" s="7">
        <v>1.0</v>
      </c>
      <c r="F3033" s="7" t="s">
        <v>83</v>
      </c>
      <c r="G3033" s="7" t="s">
        <v>1604</v>
      </c>
      <c r="H3033" s="9" t="s">
        <v>2979</v>
      </c>
      <c r="I3033" t="s">
        <v>3805</v>
      </c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  <c r="AB3033" s="7"/>
      <c r="AC3033" s="7"/>
      <c r="AD3033" s="7" t="str">
        <f t="shared" si="1"/>
        <v>Built-up :</v>
      </c>
      <c r="AE3033" s="7" t="str">
        <f t="shared" si="2"/>
        <v> sq. ft.</v>
      </c>
      <c r="AF3033">
        <f>IFERROR(__xludf.DUMMYFUNCTION("VALUE(REGEXREPLACE(G3033,""[^[:digit:]]"", """"))"),1280.0)</f>
        <v>1280</v>
      </c>
      <c r="AG3033" s="7"/>
      <c r="AH3033" s="7"/>
      <c r="AI3033" s="7"/>
      <c r="AJ3033" s="7"/>
      <c r="AK3033" s="7"/>
      <c r="AL3033" s="7"/>
      <c r="AM3033" s="7"/>
      <c r="AN3033" s="7"/>
      <c r="AO3033" s="7"/>
      <c r="AP3033" s="7"/>
      <c r="AQ3033" s="7"/>
      <c r="AR3033" s="7"/>
      <c r="AS3033" s="7" t="s">
        <v>22</v>
      </c>
    </row>
    <row r="3034">
      <c r="A3034" s="7" t="s">
        <v>28</v>
      </c>
      <c r="B3034" s="7" t="s">
        <v>281</v>
      </c>
      <c r="C3034" s="7">
        <f>4+1</f>
        <v>5</v>
      </c>
      <c r="D3034" s="7">
        <v>5.0</v>
      </c>
      <c r="E3034" s="7">
        <v>2.0</v>
      </c>
      <c r="F3034" s="7" t="s">
        <v>43</v>
      </c>
      <c r="G3034" s="7" t="s">
        <v>2150</v>
      </c>
      <c r="H3034" s="9" t="s">
        <v>2979</v>
      </c>
      <c r="I3034" t="s">
        <v>4141</v>
      </c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  <c r="AB3034" s="7"/>
      <c r="AC3034" s="7"/>
      <c r="AD3034" s="7" t="str">
        <f t="shared" si="1"/>
        <v>Built-up :</v>
      </c>
      <c r="AE3034" s="7" t="str">
        <f t="shared" si="2"/>
        <v> sq. ft.</v>
      </c>
      <c r="AF3034">
        <f>IFERROR(__xludf.DUMMYFUNCTION("VALUE(REGEXREPLACE(G3034,""[^[:digit:]]"", """"))"),3719.0)</f>
        <v>3719</v>
      </c>
      <c r="AG3034" s="7"/>
      <c r="AH3034" s="7"/>
      <c r="AI3034" s="7"/>
      <c r="AJ3034" s="7"/>
      <c r="AK3034" s="7"/>
      <c r="AL3034" s="7"/>
      <c r="AM3034" s="7"/>
      <c r="AN3034" s="7"/>
      <c r="AO3034" s="7"/>
      <c r="AP3034" s="7"/>
      <c r="AQ3034" s="7"/>
      <c r="AR3034" s="7"/>
      <c r="AS3034" s="7" t="s">
        <v>22</v>
      </c>
    </row>
    <row r="3035">
      <c r="A3035" s="7" t="s">
        <v>580</v>
      </c>
      <c r="B3035" s="7" t="s">
        <v>1423</v>
      </c>
      <c r="C3035" s="7">
        <f>3+1</f>
        <v>4</v>
      </c>
      <c r="D3035" s="7">
        <v>2.0</v>
      </c>
      <c r="E3035" s="7">
        <v>2.0</v>
      </c>
      <c r="F3035" s="7" t="s">
        <v>83</v>
      </c>
      <c r="G3035" s="7" t="s">
        <v>342</v>
      </c>
      <c r="H3035" s="9" t="s">
        <v>2979</v>
      </c>
      <c r="I3035" t="s">
        <v>3117</v>
      </c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7" t="str">
        <f t="shared" si="1"/>
        <v>Built-up :</v>
      </c>
      <c r="AE3035" s="7" t="str">
        <f t="shared" si="2"/>
        <v> sq. ft.</v>
      </c>
      <c r="AF3035">
        <f>IFERROR(__xludf.DUMMYFUNCTION("VALUE(REGEXREPLACE(G3035,""[^[:digit:]]"", """"))"),1076.0)</f>
        <v>1076</v>
      </c>
      <c r="AG3035" s="7"/>
      <c r="AH3035" s="7"/>
      <c r="AI3035" s="7"/>
      <c r="AJ3035" s="7"/>
      <c r="AK3035" s="7"/>
      <c r="AL3035" s="7"/>
      <c r="AM3035" s="7"/>
      <c r="AN3035" s="7"/>
      <c r="AO3035" s="7"/>
      <c r="AP3035" s="7"/>
      <c r="AQ3035" s="7"/>
      <c r="AR3035" s="7"/>
      <c r="AS3035" s="7" t="s">
        <v>27</v>
      </c>
    </row>
    <row r="3036">
      <c r="A3036" s="7" t="s">
        <v>72</v>
      </c>
      <c r="B3036" s="7" t="s">
        <v>2151</v>
      </c>
      <c r="C3036" s="7">
        <f t="shared" ref="C3036:C3038" si="407">3</f>
        <v>3</v>
      </c>
      <c r="D3036" s="7">
        <v>2.0</v>
      </c>
      <c r="E3036" s="7">
        <v>1.0</v>
      </c>
      <c r="F3036" s="7" t="s">
        <v>83</v>
      </c>
      <c r="G3036" s="7" t="s">
        <v>1522</v>
      </c>
      <c r="H3036" s="9" t="s">
        <v>2979</v>
      </c>
      <c r="I3036" t="s">
        <v>3759</v>
      </c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 t="str">
        <f t="shared" si="1"/>
        <v>Built-up :</v>
      </c>
      <c r="AE3036" s="7" t="str">
        <f t="shared" si="2"/>
        <v> sq. ft.</v>
      </c>
      <c r="AF3036">
        <f>IFERROR(__xludf.DUMMYFUNCTION("VALUE(REGEXREPLACE(G3036,""[^[:digit:]]"", """"))"),1290.0)</f>
        <v>1290</v>
      </c>
      <c r="AG3036" s="7"/>
      <c r="AH3036" s="7"/>
      <c r="AI3036" s="7"/>
      <c r="AJ3036" s="7"/>
      <c r="AK3036" s="7"/>
      <c r="AL3036" s="7"/>
      <c r="AM3036" s="7"/>
      <c r="AN3036" s="7"/>
      <c r="AO3036" s="7"/>
      <c r="AP3036" s="7"/>
      <c r="AQ3036" s="7"/>
      <c r="AR3036" s="7"/>
      <c r="AS3036" s="7" t="s">
        <v>27</v>
      </c>
    </row>
    <row r="3037">
      <c r="A3037" s="7" t="s">
        <v>358</v>
      </c>
      <c r="B3037" s="7" t="s">
        <v>1074</v>
      </c>
      <c r="C3037" s="7">
        <f t="shared" si="407"/>
        <v>3</v>
      </c>
      <c r="D3037" s="7">
        <v>2.0</v>
      </c>
      <c r="E3037" s="7">
        <v>2.0</v>
      </c>
      <c r="F3037" s="7" t="s">
        <v>83</v>
      </c>
      <c r="G3037" s="7" t="s">
        <v>1411</v>
      </c>
      <c r="H3037" s="9" t="s">
        <v>2979</v>
      </c>
      <c r="I3037" t="s">
        <v>3696</v>
      </c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 t="str">
        <f t="shared" si="1"/>
        <v>Built-up :</v>
      </c>
      <c r="AE3037" s="7" t="str">
        <f t="shared" si="2"/>
        <v> sq. ft.</v>
      </c>
      <c r="AF3037">
        <f>IFERROR(__xludf.DUMMYFUNCTION("VALUE(REGEXREPLACE(G3037,""[^[:digit:]]"", """"))"),1788.0)</f>
        <v>1788</v>
      </c>
      <c r="AG3037" s="7"/>
      <c r="AH3037" s="7"/>
      <c r="AI3037" s="7"/>
      <c r="AJ3037" s="7"/>
      <c r="AK3037" s="7"/>
      <c r="AL3037" s="7"/>
      <c r="AM3037" s="7"/>
      <c r="AN3037" s="7"/>
      <c r="AO3037" s="7"/>
      <c r="AP3037" s="7"/>
      <c r="AQ3037" s="7"/>
      <c r="AR3037" s="7"/>
      <c r="AS3037" s="7" t="s">
        <v>27</v>
      </c>
    </row>
    <row r="3038">
      <c r="A3038" s="7" t="s">
        <v>358</v>
      </c>
      <c r="B3038" s="7" t="s">
        <v>316</v>
      </c>
      <c r="C3038" s="7">
        <f t="shared" si="407"/>
        <v>3</v>
      </c>
      <c r="D3038" s="7">
        <v>2.0</v>
      </c>
      <c r="E3038" s="7">
        <v>2.0</v>
      </c>
      <c r="F3038" s="7" t="s">
        <v>83</v>
      </c>
      <c r="G3038" s="7" t="s">
        <v>1412</v>
      </c>
      <c r="H3038" s="9" t="s">
        <v>2979</v>
      </c>
      <c r="I3038" t="s">
        <v>3697</v>
      </c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7" t="str">
        <f t="shared" si="1"/>
        <v>Built-up :</v>
      </c>
      <c r="AE3038" s="7" t="str">
        <f t="shared" si="2"/>
        <v> sq. ft.</v>
      </c>
      <c r="AF3038">
        <f>IFERROR(__xludf.DUMMYFUNCTION("VALUE(REGEXREPLACE(G3038,""[^[:digit:]]"", """"))"),1319.0)</f>
        <v>1319</v>
      </c>
      <c r="AG3038" s="7"/>
      <c r="AH3038" s="7"/>
      <c r="AI3038" s="7"/>
      <c r="AJ3038" s="7"/>
      <c r="AK3038" s="7"/>
      <c r="AL3038" s="7"/>
      <c r="AM3038" s="7"/>
      <c r="AN3038" s="7"/>
      <c r="AO3038" s="7"/>
      <c r="AP3038" s="7"/>
      <c r="AQ3038" s="7"/>
      <c r="AR3038" s="7"/>
      <c r="AS3038" s="7" t="s">
        <v>27</v>
      </c>
    </row>
    <row r="3039">
      <c r="A3039" s="7" t="s">
        <v>1158</v>
      </c>
      <c r="B3039" s="7" t="s">
        <v>2152</v>
      </c>
      <c r="E3039" s="9">
        <v>2.0</v>
      </c>
      <c r="F3039" s="7" t="s">
        <v>667</v>
      </c>
      <c r="G3039" s="7" t="s">
        <v>2153</v>
      </c>
      <c r="H3039" s="9" t="s">
        <v>2981</v>
      </c>
      <c r="I3039" t="s">
        <v>4142</v>
      </c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 t="str">
        <f t="shared" si="1"/>
        <v>Land area </v>
      </c>
      <c r="AE3039" s="7" t="str">
        <f t="shared" si="2"/>
        <v> sq. ft.</v>
      </c>
      <c r="AF3039">
        <f>IFERROR(__xludf.DUMMYFUNCTION("VALUE(REGEXREPLACE(G3039,""[^[:digit:]]"", """"))"),5930.0)</f>
        <v>5930</v>
      </c>
      <c r="AG3039" s="7"/>
      <c r="AH3039" s="7"/>
      <c r="AI3039" s="7"/>
      <c r="AJ3039" s="7"/>
      <c r="AK3039" s="7"/>
      <c r="AL3039" s="7"/>
      <c r="AM3039" s="7"/>
      <c r="AN3039" s="7"/>
      <c r="AO3039" s="7"/>
      <c r="AP3039" s="7"/>
      <c r="AQ3039" s="7"/>
      <c r="AR3039" s="7"/>
    </row>
    <row r="3040">
      <c r="A3040" s="7" t="s">
        <v>65</v>
      </c>
      <c r="B3040" s="7" t="s">
        <v>462</v>
      </c>
      <c r="C3040" s="7">
        <f>3+1</f>
        <v>4</v>
      </c>
      <c r="D3040" s="7">
        <v>3.0</v>
      </c>
      <c r="E3040" s="7">
        <v>2.0</v>
      </c>
      <c r="F3040" s="7" t="s">
        <v>793</v>
      </c>
      <c r="G3040" s="7" t="s">
        <v>483</v>
      </c>
      <c r="H3040" s="9" t="s">
        <v>2979</v>
      </c>
      <c r="I3040" t="s">
        <v>3185</v>
      </c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 t="str">
        <f t="shared" si="1"/>
        <v>Built-up :</v>
      </c>
      <c r="AE3040" s="7" t="str">
        <f t="shared" si="2"/>
        <v> sq. ft.</v>
      </c>
      <c r="AF3040">
        <f>IFERROR(__xludf.DUMMYFUNCTION("VALUE(REGEXREPLACE(G3040,""[^[:digit:]]"", """"))"),2300.0)</f>
        <v>2300</v>
      </c>
      <c r="AG3040" s="7"/>
      <c r="AH3040" s="7"/>
      <c r="AI3040" s="7"/>
      <c r="AJ3040" s="7"/>
      <c r="AK3040" s="7"/>
      <c r="AL3040" s="7"/>
      <c r="AM3040" s="7"/>
      <c r="AN3040" s="7"/>
      <c r="AO3040" s="7"/>
      <c r="AP3040" s="7"/>
      <c r="AQ3040" s="7"/>
      <c r="AR3040" s="7"/>
      <c r="AS3040" s="7" t="s">
        <v>27</v>
      </c>
    </row>
    <row r="3041">
      <c r="A3041" s="7" t="s">
        <v>72</v>
      </c>
      <c r="B3041" s="7" t="s">
        <v>610</v>
      </c>
      <c r="C3041" s="7">
        <f>4+1</f>
        <v>5</v>
      </c>
      <c r="D3041" s="7">
        <v>4.0</v>
      </c>
      <c r="E3041" s="7">
        <v>3.0</v>
      </c>
      <c r="F3041" s="7" t="s">
        <v>30</v>
      </c>
      <c r="G3041" s="7" t="s">
        <v>456</v>
      </c>
      <c r="H3041" s="9" t="s">
        <v>2979</v>
      </c>
      <c r="I3041" t="s">
        <v>3170</v>
      </c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7" t="str">
        <f t="shared" si="1"/>
        <v>Built-up :</v>
      </c>
      <c r="AE3041" s="7" t="str">
        <f t="shared" si="2"/>
        <v> sq. ft.</v>
      </c>
      <c r="AF3041">
        <f>IFERROR(__xludf.DUMMYFUNCTION("VALUE(REGEXREPLACE(G3041,""[^[:digit:]]"", """"))"),2973.0)</f>
        <v>2973</v>
      </c>
      <c r="AG3041" s="7"/>
      <c r="AH3041" s="7"/>
      <c r="AI3041" s="7"/>
      <c r="AJ3041" s="7"/>
      <c r="AK3041" s="7"/>
      <c r="AL3041" s="7"/>
      <c r="AM3041" s="7"/>
      <c r="AN3041" s="7"/>
      <c r="AO3041" s="7"/>
      <c r="AP3041" s="7"/>
      <c r="AQ3041" s="7"/>
      <c r="AR3041" s="7"/>
      <c r="AS3041" s="7" t="s">
        <v>27</v>
      </c>
    </row>
    <row r="3042">
      <c r="A3042" s="7" t="s">
        <v>72</v>
      </c>
      <c r="B3042" s="7" t="s">
        <v>460</v>
      </c>
      <c r="C3042" s="7">
        <f t="shared" ref="C3042:C3043" si="408">3+1</f>
        <v>4</v>
      </c>
      <c r="D3042" s="7">
        <v>4.0</v>
      </c>
      <c r="E3042" s="7">
        <v>2.0</v>
      </c>
      <c r="F3042" s="7" t="s">
        <v>30</v>
      </c>
      <c r="G3042" s="7" t="s">
        <v>404</v>
      </c>
      <c r="H3042" s="9" t="s">
        <v>2979</v>
      </c>
      <c r="I3042" t="s">
        <v>3147</v>
      </c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 t="str">
        <f t="shared" si="1"/>
        <v>Built-up :</v>
      </c>
      <c r="AE3042" s="7" t="str">
        <f t="shared" si="2"/>
        <v> sq. ft.</v>
      </c>
      <c r="AF3042">
        <f>IFERROR(__xludf.DUMMYFUNCTION("VALUE(REGEXREPLACE(G3042,""[^[:digit:]]"", """"))"),1878.0)</f>
        <v>1878</v>
      </c>
      <c r="AG3042" s="7"/>
      <c r="AH3042" s="7"/>
      <c r="AI3042" s="7"/>
      <c r="AJ3042" s="7"/>
      <c r="AK3042" s="7"/>
      <c r="AL3042" s="7"/>
      <c r="AM3042" s="7"/>
      <c r="AN3042" s="7"/>
      <c r="AO3042" s="7"/>
      <c r="AP3042" s="7"/>
      <c r="AQ3042" s="7"/>
      <c r="AR3042" s="7"/>
      <c r="AS3042" s="7" t="s">
        <v>27</v>
      </c>
    </row>
    <row r="3043">
      <c r="A3043" s="7" t="s">
        <v>41</v>
      </c>
      <c r="B3043" s="7" t="s">
        <v>329</v>
      </c>
      <c r="C3043" s="7">
        <f t="shared" si="408"/>
        <v>4</v>
      </c>
      <c r="D3043" s="7">
        <v>4.0</v>
      </c>
      <c r="E3043" s="7">
        <v>2.0</v>
      </c>
      <c r="F3043" s="7" t="s">
        <v>83</v>
      </c>
      <c r="G3043" s="7" t="s">
        <v>2154</v>
      </c>
      <c r="H3043" s="9" t="s">
        <v>2979</v>
      </c>
      <c r="I3043" t="s">
        <v>4143</v>
      </c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 t="str">
        <f t="shared" si="1"/>
        <v>Built-up :</v>
      </c>
      <c r="AE3043" s="7" t="str">
        <f t="shared" si="2"/>
        <v> sq. ft.</v>
      </c>
      <c r="AF3043">
        <f>IFERROR(__xludf.DUMMYFUNCTION("VALUE(REGEXREPLACE(G3043,""[^[:digit:]]"", """"))"),2161.0)</f>
        <v>2161</v>
      </c>
      <c r="AG3043" s="7"/>
      <c r="AH3043" s="7"/>
      <c r="AI3043" s="7"/>
      <c r="AJ3043" s="7"/>
      <c r="AK3043" s="7"/>
      <c r="AL3043" s="7"/>
      <c r="AM3043" s="7"/>
      <c r="AN3043" s="7"/>
      <c r="AO3043" s="7"/>
      <c r="AP3043" s="7"/>
      <c r="AQ3043" s="7"/>
      <c r="AR3043" s="7"/>
    </row>
    <row r="3044">
      <c r="A3044" s="7" t="s">
        <v>171</v>
      </c>
      <c r="B3044" s="7" t="s">
        <v>85</v>
      </c>
      <c r="C3044" s="7">
        <f>5</f>
        <v>5</v>
      </c>
      <c r="D3044" s="7">
        <v>5.0</v>
      </c>
      <c r="E3044" s="9">
        <v>2.0</v>
      </c>
      <c r="F3044" s="7" t="s">
        <v>681</v>
      </c>
      <c r="G3044" s="7" t="s">
        <v>44</v>
      </c>
      <c r="H3044" s="9" t="s">
        <v>2981</v>
      </c>
      <c r="I3044" t="s">
        <v>2988</v>
      </c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 t="str">
        <f t="shared" si="1"/>
        <v>Land area </v>
      </c>
      <c r="AE3044" s="7" t="str">
        <f t="shared" si="2"/>
        <v> sq. ft.</v>
      </c>
      <c r="AF3044">
        <f>IFERROR(__xludf.DUMMYFUNCTION("VALUE(REGEXREPLACE(G3044,""[^[:digit:]]"", """"))"),3600.0)</f>
        <v>3600</v>
      </c>
      <c r="AG3044" s="7"/>
      <c r="AH3044" s="7"/>
      <c r="AI3044" s="7"/>
      <c r="AJ3044" s="7"/>
      <c r="AK3044" s="7"/>
      <c r="AL3044" s="7"/>
      <c r="AM3044" s="7"/>
      <c r="AN3044" s="7"/>
      <c r="AO3044" s="7"/>
      <c r="AP3044" s="7"/>
      <c r="AQ3044" s="7"/>
      <c r="AR3044" s="7"/>
      <c r="AS3044" s="7" t="s">
        <v>22</v>
      </c>
    </row>
    <row r="3045">
      <c r="A3045" s="7" t="s">
        <v>72</v>
      </c>
      <c r="B3045" s="7" t="s">
        <v>858</v>
      </c>
      <c r="C3045" s="7">
        <f>7+1</f>
        <v>8</v>
      </c>
      <c r="D3045" s="7">
        <v>8.0</v>
      </c>
      <c r="E3045" s="7">
        <v>6.0</v>
      </c>
      <c r="F3045" s="7" t="s">
        <v>25</v>
      </c>
      <c r="G3045" s="7" t="s">
        <v>2155</v>
      </c>
      <c r="H3045" s="9" t="s">
        <v>2981</v>
      </c>
      <c r="I3045" t="s">
        <v>4144</v>
      </c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 t="str">
        <f t="shared" si="1"/>
        <v>Land area </v>
      </c>
      <c r="AE3045" s="7" t="str">
        <f t="shared" si="2"/>
        <v> sq. ft.</v>
      </c>
      <c r="AF3045">
        <f>IFERROR(__xludf.DUMMYFUNCTION("VALUE(REGEXREPLACE(G3045,""[^[:digit:]]"", """"))"),9365.0)</f>
        <v>9365</v>
      </c>
      <c r="AG3045" s="7"/>
      <c r="AH3045" s="7"/>
      <c r="AI3045" s="7"/>
      <c r="AJ3045" s="7"/>
      <c r="AK3045" s="7"/>
      <c r="AL3045" s="7"/>
      <c r="AM3045" s="7"/>
      <c r="AN3045" s="7"/>
      <c r="AO3045" s="7"/>
      <c r="AP3045" s="7"/>
      <c r="AQ3045" s="7"/>
      <c r="AR3045" s="7"/>
      <c r="AS3045" s="7" t="s">
        <v>27</v>
      </c>
    </row>
    <row r="3046">
      <c r="A3046" s="7" t="s">
        <v>72</v>
      </c>
      <c r="B3046" s="7" t="s">
        <v>513</v>
      </c>
      <c r="C3046" s="7">
        <f>8+1</f>
        <v>9</v>
      </c>
      <c r="D3046" s="7">
        <v>9.0</v>
      </c>
      <c r="E3046" s="7">
        <v>6.0</v>
      </c>
      <c r="F3046" s="7" t="s">
        <v>25</v>
      </c>
      <c r="G3046" s="7" t="s">
        <v>991</v>
      </c>
      <c r="H3046" s="9" t="s">
        <v>2981</v>
      </c>
      <c r="I3046" t="s">
        <v>3439</v>
      </c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 t="str">
        <f t="shared" si="1"/>
        <v>Land area </v>
      </c>
      <c r="AE3046" s="7" t="str">
        <f t="shared" si="2"/>
        <v> sq. ft.</v>
      </c>
      <c r="AF3046">
        <f>IFERROR(__xludf.DUMMYFUNCTION("VALUE(REGEXREPLACE(G3046,""[^[:digit:]]"", """"))"),10345.0)</f>
        <v>10345</v>
      </c>
      <c r="AG3046" s="7"/>
      <c r="AH3046" s="7"/>
      <c r="AI3046" s="7"/>
      <c r="AJ3046" s="7"/>
      <c r="AK3046" s="7"/>
      <c r="AL3046" s="7"/>
      <c r="AM3046" s="7"/>
      <c r="AN3046" s="7"/>
      <c r="AO3046" s="7"/>
      <c r="AP3046" s="7"/>
      <c r="AQ3046" s="7"/>
      <c r="AR3046" s="7"/>
      <c r="AS3046" s="7" t="s">
        <v>27</v>
      </c>
    </row>
    <row r="3047">
      <c r="A3047" s="7" t="s">
        <v>180</v>
      </c>
      <c r="B3047" s="7" t="s">
        <v>151</v>
      </c>
      <c r="C3047" s="7">
        <f>3</f>
        <v>3</v>
      </c>
      <c r="D3047" s="7">
        <v>5.0</v>
      </c>
      <c r="E3047" s="7">
        <v>3.0</v>
      </c>
      <c r="F3047" s="7" t="s">
        <v>83</v>
      </c>
      <c r="G3047" s="7" t="s">
        <v>1280</v>
      </c>
      <c r="H3047" s="9" t="s">
        <v>2979</v>
      </c>
      <c r="I3047" t="s">
        <v>3619</v>
      </c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 t="str">
        <f t="shared" si="1"/>
        <v>Built-up :</v>
      </c>
      <c r="AE3047" s="7" t="str">
        <f t="shared" si="2"/>
        <v> sq. ft.</v>
      </c>
      <c r="AF3047">
        <f>IFERROR(__xludf.DUMMYFUNCTION("VALUE(REGEXREPLACE(G3047,""[^[:digit:]]"", """"))"),3285.0)</f>
        <v>3285</v>
      </c>
      <c r="AG3047" s="7"/>
      <c r="AH3047" s="7"/>
      <c r="AI3047" s="7"/>
      <c r="AJ3047" s="7"/>
      <c r="AK3047" s="7"/>
      <c r="AL3047" s="7"/>
      <c r="AM3047" s="7"/>
      <c r="AN3047" s="7"/>
      <c r="AO3047" s="7"/>
      <c r="AP3047" s="7"/>
      <c r="AQ3047" s="7"/>
      <c r="AR3047" s="7"/>
      <c r="AS3047" s="7" t="s">
        <v>22</v>
      </c>
    </row>
    <row r="3048">
      <c r="A3048" s="7" t="s">
        <v>432</v>
      </c>
      <c r="B3048" s="7" t="s">
        <v>257</v>
      </c>
      <c r="C3048" s="7">
        <f>5+1</f>
        <v>6</v>
      </c>
      <c r="D3048" s="7">
        <v>5.0</v>
      </c>
      <c r="E3048" s="7">
        <v>4.0</v>
      </c>
      <c r="F3048" s="7" t="s">
        <v>64</v>
      </c>
      <c r="G3048" s="7" t="s">
        <v>2156</v>
      </c>
      <c r="H3048" s="9" t="s">
        <v>2981</v>
      </c>
      <c r="I3048" t="s">
        <v>4145</v>
      </c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 t="str">
        <f t="shared" si="1"/>
        <v>Land area </v>
      </c>
      <c r="AE3048" s="7" t="str">
        <f t="shared" si="2"/>
        <v> sq. ft.</v>
      </c>
      <c r="AF3048">
        <f>IFERROR(__xludf.DUMMYFUNCTION("VALUE(REGEXREPLACE(G3048,""[^[:digit:]]"", """"))"),3900.0)</f>
        <v>3900</v>
      </c>
      <c r="AG3048" s="7"/>
      <c r="AH3048" s="7"/>
      <c r="AI3048" s="7"/>
      <c r="AJ3048" s="7"/>
      <c r="AK3048" s="7"/>
      <c r="AL3048" s="7"/>
      <c r="AM3048" s="7"/>
      <c r="AN3048" s="7"/>
      <c r="AO3048" s="7"/>
      <c r="AP3048" s="7"/>
      <c r="AQ3048" s="7"/>
      <c r="AR3048" s="7"/>
      <c r="AS3048" s="7" t="s">
        <v>27</v>
      </c>
    </row>
    <row r="3049">
      <c r="A3049" s="7" t="s">
        <v>72</v>
      </c>
      <c r="B3049" s="7" t="s">
        <v>313</v>
      </c>
      <c r="C3049" s="7">
        <f>4+1</f>
        <v>5</v>
      </c>
      <c r="D3049" s="7">
        <v>5.0</v>
      </c>
      <c r="E3049" s="9">
        <v>2.0</v>
      </c>
      <c r="F3049" s="7" t="s">
        <v>83</v>
      </c>
      <c r="G3049" s="7" t="s">
        <v>926</v>
      </c>
      <c r="H3049" s="9" t="s">
        <v>2979</v>
      </c>
      <c r="I3049" t="s">
        <v>3408</v>
      </c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 t="str">
        <f t="shared" si="1"/>
        <v>Built-up :</v>
      </c>
      <c r="AE3049" s="7" t="str">
        <f t="shared" si="2"/>
        <v> sq. ft.</v>
      </c>
      <c r="AF3049">
        <f>IFERROR(__xludf.DUMMYFUNCTION("VALUE(REGEXREPLACE(G3049,""[^[:digit:]]"", """"))"),3401.0)</f>
        <v>3401</v>
      </c>
      <c r="AG3049" s="7"/>
      <c r="AH3049" s="7"/>
      <c r="AI3049" s="7"/>
      <c r="AJ3049" s="7"/>
      <c r="AK3049" s="7"/>
      <c r="AL3049" s="7"/>
      <c r="AM3049" s="7"/>
      <c r="AN3049" s="7"/>
      <c r="AO3049" s="7"/>
      <c r="AP3049" s="7"/>
      <c r="AQ3049" s="7"/>
      <c r="AR3049" s="7"/>
    </row>
    <row r="3050">
      <c r="A3050" s="7" t="s">
        <v>72</v>
      </c>
      <c r="B3050" s="7" t="s">
        <v>132</v>
      </c>
      <c r="C3050" s="7">
        <f>2+1</f>
        <v>3</v>
      </c>
      <c r="D3050" s="7">
        <v>2.0</v>
      </c>
      <c r="E3050" s="7">
        <v>1.0</v>
      </c>
      <c r="F3050" s="7" t="s">
        <v>83</v>
      </c>
      <c r="G3050" s="7" t="s">
        <v>2157</v>
      </c>
      <c r="H3050" s="9" t="s">
        <v>2979</v>
      </c>
      <c r="I3050" t="s">
        <v>4146</v>
      </c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7" t="str">
        <f t="shared" si="1"/>
        <v>Built-up :</v>
      </c>
      <c r="AE3050" s="7" t="str">
        <f t="shared" si="2"/>
        <v> sq. ft.</v>
      </c>
      <c r="AF3050">
        <f>IFERROR(__xludf.DUMMYFUNCTION("VALUE(REGEXREPLACE(G3050,""[^[:digit:]]"", """"))"),1235.0)</f>
        <v>1235</v>
      </c>
      <c r="AG3050" s="7"/>
      <c r="AH3050" s="7"/>
      <c r="AI3050" s="7"/>
      <c r="AJ3050" s="7"/>
      <c r="AK3050" s="7"/>
      <c r="AL3050" s="7"/>
      <c r="AM3050" s="7"/>
      <c r="AN3050" s="7"/>
      <c r="AO3050" s="7"/>
      <c r="AP3050" s="7"/>
      <c r="AQ3050" s="7"/>
      <c r="AR3050" s="7"/>
    </row>
    <row r="3051">
      <c r="A3051" s="7" t="s">
        <v>32</v>
      </c>
      <c r="B3051" s="7" t="s">
        <v>1074</v>
      </c>
      <c r="C3051" s="7">
        <f>5</f>
        <v>5</v>
      </c>
      <c r="D3051" s="7">
        <v>5.0</v>
      </c>
      <c r="E3051" s="9">
        <v>2.0</v>
      </c>
      <c r="F3051" s="7" t="s">
        <v>169</v>
      </c>
      <c r="G3051" s="7" t="s">
        <v>2158</v>
      </c>
      <c r="H3051" s="9" t="s">
        <v>2981</v>
      </c>
      <c r="I3051" t="s">
        <v>4147</v>
      </c>
      <c r="J3051" s="7"/>
      <c r="K3051" s="7"/>
      <c r="L3051" s="7"/>
      <c r="M3051" s="7"/>
      <c r="N3051" s="7"/>
      <c r="O3051" s="7"/>
      <c r="P3051" s="7"/>
      <c r="Q3051" s="7"/>
      <c r="R3051" s="7"/>
      <c r="S3051" s="7" t="s">
        <v>2990</v>
      </c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 t="str">
        <f t="shared" si="1"/>
        <v>Land area </v>
      </c>
      <c r="AE3051" s="7" t="str">
        <f t="shared" si="2"/>
        <v> sq. ft.</v>
      </c>
      <c r="AF3051">
        <f>IFERROR(__xludf.DUMMYFUNCTION("VALUE(REGEXREPLACE(G3051,""[^[:digit:]]"", """"))"),2675.0)</f>
        <v>2675</v>
      </c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  <c r="AR3051" s="7"/>
      <c r="AS3051" s="7" t="s">
        <v>27</v>
      </c>
    </row>
    <row r="3052">
      <c r="A3052" s="7" t="s">
        <v>32</v>
      </c>
      <c r="B3052" s="7" t="s">
        <v>1187</v>
      </c>
      <c r="C3052" s="7">
        <f>3+1</f>
        <v>4</v>
      </c>
      <c r="D3052" s="7">
        <v>2.0</v>
      </c>
      <c r="E3052" s="9">
        <v>2.0</v>
      </c>
      <c r="F3052" s="7" t="s">
        <v>93</v>
      </c>
      <c r="G3052" s="7" t="s">
        <v>1833</v>
      </c>
      <c r="H3052" s="9" t="s">
        <v>2979</v>
      </c>
      <c r="I3052" t="s">
        <v>3946</v>
      </c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  <c r="AB3052" s="7"/>
      <c r="AC3052" s="7"/>
      <c r="AD3052" s="7" t="str">
        <f t="shared" si="1"/>
        <v>Built-up :</v>
      </c>
      <c r="AE3052" s="7" t="str">
        <f t="shared" si="2"/>
        <v> sq. ft.</v>
      </c>
      <c r="AF3052">
        <f>IFERROR(__xludf.DUMMYFUNCTION("VALUE(REGEXREPLACE(G3052,""[^[:digit:]]"", """"))"),1315.0)</f>
        <v>1315</v>
      </c>
      <c r="AG3052" s="7"/>
      <c r="AH3052" s="7"/>
      <c r="AI3052" s="7"/>
      <c r="AJ3052" s="7"/>
      <c r="AK3052" s="7"/>
      <c r="AL3052" s="7"/>
      <c r="AM3052" s="7"/>
      <c r="AN3052" s="7"/>
      <c r="AO3052" s="7"/>
      <c r="AP3052" s="7"/>
      <c r="AQ3052" s="7"/>
      <c r="AR3052" s="7"/>
      <c r="AS3052" s="7" t="s">
        <v>22</v>
      </c>
    </row>
    <row r="3053">
      <c r="A3053" s="7" t="s">
        <v>32</v>
      </c>
      <c r="B3053" s="7" t="s">
        <v>191</v>
      </c>
      <c r="C3053" s="7">
        <f>4+1</f>
        <v>5</v>
      </c>
      <c r="D3053" s="7">
        <v>4.0</v>
      </c>
      <c r="E3053" s="9">
        <v>2.0</v>
      </c>
      <c r="F3053" s="7" t="s">
        <v>54</v>
      </c>
      <c r="G3053" s="7" t="s">
        <v>344</v>
      </c>
      <c r="H3053" s="9" t="s">
        <v>2981</v>
      </c>
      <c r="I3053" t="s">
        <v>3118</v>
      </c>
      <c r="J3053" s="7"/>
      <c r="K3053" s="7"/>
      <c r="L3053" s="7"/>
      <c r="M3053" s="7"/>
      <c r="N3053" s="7"/>
      <c r="O3053" s="7"/>
      <c r="P3053" s="7"/>
      <c r="Q3053" s="7"/>
      <c r="R3053" s="7"/>
      <c r="S3053" s="7" t="s">
        <v>2993</v>
      </c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 t="str">
        <f t="shared" si="1"/>
        <v>Land area </v>
      </c>
      <c r="AE3053" s="7" t="str">
        <f t="shared" si="2"/>
        <v> sq. ft.</v>
      </c>
      <c r="AF3053">
        <f>IFERROR(__xludf.DUMMYFUNCTION("VALUE(REGEXREPLACE(G3053,""[^[:digit:]]"", """"))"),2480.0)</f>
        <v>2480</v>
      </c>
      <c r="AG3053" s="7"/>
      <c r="AH3053" s="7"/>
      <c r="AI3053" s="7"/>
      <c r="AJ3053" s="7"/>
      <c r="AK3053" s="7"/>
      <c r="AL3053" s="7"/>
      <c r="AM3053" s="7"/>
      <c r="AN3053" s="7"/>
      <c r="AO3053" s="7"/>
      <c r="AP3053" s="7"/>
      <c r="AQ3053" s="7"/>
      <c r="AR3053" s="7"/>
      <c r="AS3053" s="7" t="s">
        <v>103</v>
      </c>
    </row>
    <row r="3054">
      <c r="A3054" s="7" t="s">
        <v>32</v>
      </c>
      <c r="B3054" s="7" t="s">
        <v>245</v>
      </c>
      <c r="C3054" s="7">
        <f t="shared" ref="C3054:C3057" si="409">4</f>
        <v>4</v>
      </c>
      <c r="D3054" s="7">
        <v>3.0</v>
      </c>
      <c r="E3054" s="7">
        <v>2.0</v>
      </c>
      <c r="F3054" s="7" t="s">
        <v>54</v>
      </c>
      <c r="G3054" s="7" t="s">
        <v>283</v>
      </c>
      <c r="H3054" s="9" t="s">
        <v>2981</v>
      </c>
      <c r="I3054" t="s">
        <v>3091</v>
      </c>
      <c r="J3054" s="7"/>
      <c r="K3054" s="7"/>
      <c r="L3054" s="7"/>
      <c r="M3054" s="7"/>
      <c r="N3054" s="7"/>
      <c r="O3054" s="7"/>
      <c r="P3054" s="7"/>
      <c r="Q3054" s="7"/>
      <c r="R3054" s="7"/>
      <c r="S3054" s="7" t="s">
        <v>2990</v>
      </c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7" t="str">
        <f t="shared" si="1"/>
        <v>Land area </v>
      </c>
      <c r="AE3054" s="7" t="str">
        <f t="shared" si="2"/>
        <v> sq. ft.</v>
      </c>
      <c r="AF3054">
        <f>IFERROR(__xludf.DUMMYFUNCTION("VALUE(REGEXREPLACE(G3054,""[^[:digit:]]"", """"))"),2275.0)</f>
        <v>2275</v>
      </c>
      <c r="AG3054" s="7"/>
      <c r="AH3054" s="7"/>
      <c r="AI3054" s="7"/>
      <c r="AJ3054" s="7"/>
      <c r="AK3054" s="7"/>
      <c r="AL3054" s="7"/>
      <c r="AM3054" s="7"/>
      <c r="AN3054" s="7"/>
      <c r="AO3054" s="7"/>
      <c r="AP3054" s="7"/>
      <c r="AQ3054" s="7"/>
      <c r="AR3054" s="7"/>
      <c r="AS3054" s="7" t="s">
        <v>27</v>
      </c>
    </row>
    <row r="3055">
      <c r="A3055" s="7" t="s">
        <v>32</v>
      </c>
      <c r="B3055" s="7" t="s">
        <v>245</v>
      </c>
      <c r="C3055" s="7">
        <f t="shared" si="409"/>
        <v>4</v>
      </c>
      <c r="D3055" s="7">
        <v>4.0</v>
      </c>
      <c r="E3055" s="7">
        <v>2.0</v>
      </c>
      <c r="F3055" s="7" t="s">
        <v>54</v>
      </c>
      <c r="G3055" s="7" t="s">
        <v>1121</v>
      </c>
      <c r="H3055" s="9" t="s">
        <v>2981</v>
      </c>
      <c r="I3055" t="s">
        <v>3518</v>
      </c>
      <c r="J3055" s="7"/>
      <c r="K3055" s="7"/>
      <c r="L3055" s="7"/>
      <c r="M3055" s="7"/>
      <c r="N3055" s="7"/>
      <c r="O3055" s="7"/>
      <c r="P3055" s="7"/>
      <c r="Q3055" s="7"/>
      <c r="R3055" s="7"/>
      <c r="S3055" s="7" t="s">
        <v>3121</v>
      </c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 t="str">
        <f t="shared" si="1"/>
        <v>Land area </v>
      </c>
      <c r="AE3055" s="7" t="str">
        <f t="shared" si="2"/>
        <v> sq. ft.</v>
      </c>
      <c r="AF3055">
        <f>IFERROR(__xludf.DUMMYFUNCTION("VALUE(REGEXREPLACE(G3055,""[^[:digit:]]"", """"))"),2270.0)</f>
        <v>2270</v>
      </c>
      <c r="AG3055" s="7"/>
      <c r="AH3055" s="7"/>
      <c r="AI3055" s="7"/>
      <c r="AJ3055" s="7"/>
      <c r="AK3055" s="7"/>
      <c r="AL3055" s="7"/>
      <c r="AM3055" s="7"/>
      <c r="AN3055" s="7"/>
      <c r="AO3055" s="7"/>
      <c r="AP3055" s="7"/>
      <c r="AQ3055" s="7"/>
      <c r="AR3055" s="7"/>
      <c r="AS3055" s="7" t="s">
        <v>27</v>
      </c>
    </row>
    <row r="3056">
      <c r="A3056" s="7" t="s">
        <v>1979</v>
      </c>
      <c r="B3056" s="7" t="s">
        <v>635</v>
      </c>
      <c r="C3056" s="7">
        <f t="shared" si="409"/>
        <v>4</v>
      </c>
      <c r="D3056" s="7">
        <v>3.0</v>
      </c>
      <c r="E3056" s="7">
        <v>2.0</v>
      </c>
      <c r="F3056" s="7" t="s">
        <v>54</v>
      </c>
      <c r="G3056" s="7" t="s">
        <v>2159</v>
      </c>
      <c r="H3056" s="9" t="s">
        <v>2981</v>
      </c>
      <c r="I3056" t="s">
        <v>4148</v>
      </c>
      <c r="J3056" s="7"/>
      <c r="K3056" s="7"/>
      <c r="L3056" s="7"/>
      <c r="M3056" s="7"/>
      <c r="N3056" s="7"/>
      <c r="O3056" s="7"/>
      <c r="P3056" s="7"/>
      <c r="Q3056" s="7"/>
      <c r="R3056" s="7"/>
      <c r="S3056" s="7" t="s">
        <v>3298</v>
      </c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 t="str">
        <f t="shared" si="1"/>
        <v>Land area </v>
      </c>
      <c r="AE3056" s="7" t="str">
        <f t="shared" si="2"/>
        <v> sq. ft.</v>
      </c>
      <c r="AF3056">
        <f>IFERROR(__xludf.DUMMYFUNCTION("VALUE(REGEXREPLACE(G3056,""[^[:digit:]]"", """"))"),2665.0)</f>
        <v>2665</v>
      </c>
      <c r="AG3056" s="7"/>
      <c r="AH3056" s="7"/>
      <c r="AI3056" s="7"/>
      <c r="AJ3056" s="7"/>
      <c r="AK3056" s="7"/>
      <c r="AL3056" s="7"/>
      <c r="AM3056" s="7"/>
      <c r="AN3056" s="7"/>
      <c r="AO3056" s="7"/>
      <c r="AP3056" s="7"/>
      <c r="AQ3056" s="7"/>
      <c r="AR3056" s="7"/>
      <c r="AS3056" s="7" t="s">
        <v>27</v>
      </c>
    </row>
    <row r="3057">
      <c r="A3057" s="7" t="s">
        <v>1979</v>
      </c>
      <c r="B3057" s="7" t="s">
        <v>2160</v>
      </c>
      <c r="C3057" s="7">
        <f t="shared" si="409"/>
        <v>4</v>
      </c>
      <c r="D3057" s="7">
        <v>3.0</v>
      </c>
      <c r="E3057" s="7">
        <v>2.0</v>
      </c>
      <c r="F3057" s="7" t="s">
        <v>54</v>
      </c>
      <c r="G3057" s="7" t="s">
        <v>718</v>
      </c>
      <c r="H3057" s="9" t="s">
        <v>2981</v>
      </c>
      <c r="I3057" t="s">
        <v>3297</v>
      </c>
      <c r="J3057" s="7"/>
      <c r="K3057" s="7"/>
      <c r="L3057" s="7"/>
      <c r="M3057" s="7"/>
      <c r="N3057" s="7"/>
      <c r="O3057" s="7"/>
      <c r="P3057" s="7"/>
      <c r="Q3057" s="7"/>
      <c r="R3057" s="7"/>
      <c r="S3057" s="7" t="s">
        <v>3298</v>
      </c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 t="str">
        <f t="shared" si="1"/>
        <v>Land area </v>
      </c>
      <c r="AE3057" s="7" t="str">
        <f t="shared" si="2"/>
        <v> sq. ft.</v>
      </c>
      <c r="AF3057">
        <f>IFERROR(__xludf.DUMMYFUNCTION("VALUE(REGEXREPLACE(G3057,""[^[:digit:]]"", """"))"),2065.0)</f>
        <v>2065</v>
      </c>
      <c r="AG3057" s="7"/>
      <c r="AH3057" s="7"/>
      <c r="AI3057" s="7"/>
      <c r="AJ3057" s="7"/>
      <c r="AK3057" s="7"/>
      <c r="AL3057" s="7"/>
      <c r="AM3057" s="7"/>
      <c r="AN3057" s="7"/>
      <c r="AO3057" s="7"/>
      <c r="AP3057" s="7"/>
      <c r="AQ3057" s="7"/>
      <c r="AR3057" s="7"/>
      <c r="AS3057" s="7" t="s">
        <v>27</v>
      </c>
    </row>
    <row r="3058">
      <c r="A3058" s="7" t="s">
        <v>104</v>
      </c>
      <c r="B3058" s="7" t="s">
        <v>967</v>
      </c>
      <c r="C3058" s="7">
        <f>3</f>
        <v>3</v>
      </c>
      <c r="D3058" s="7">
        <v>2.0</v>
      </c>
      <c r="E3058" s="9">
        <v>2.0</v>
      </c>
      <c r="F3058" s="7" t="s">
        <v>343</v>
      </c>
      <c r="G3058" s="7" t="s">
        <v>211</v>
      </c>
      <c r="H3058" s="9" t="s">
        <v>2981</v>
      </c>
      <c r="I3058" t="s">
        <v>2992</v>
      </c>
      <c r="J3058" s="7"/>
      <c r="K3058" s="7"/>
      <c r="L3058" s="7"/>
      <c r="M3058" s="7"/>
      <c r="N3058" s="7"/>
      <c r="O3058" s="7"/>
      <c r="P3058" s="7"/>
      <c r="Q3058" s="7"/>
      <c r="R3058" s="7"/>
      <c r="S3058" s="7" t="s">
        <v>2993</v>
      </c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 t="str">
        <f t="shared" si="1"/>
        <v>Land area </v>
      </c>
      <c r="AE3058" s="7" t="str">
        <f t="shared" si="2"/>
        <v> sq. ft.</v>
      </c>
      <c r="AF3058">
        <f>IFERROR(__xludf.DUMMYFUNCTION("VALUE(REGEXREPLACE(G3058,""[^[:digit:]]"", """"))"),2280.0)</f>
        <v>2280</v>
      </c>
      <c r="AG3058" s="7"/>
      <c r="AH3058" s="7"/>
      <c r="AI3058" s="7"/>
      <c r="AJ3058" s="7"/>
      <c r="AK3058" s="7"/>
      <c r="AL3058" s="7"/>
      <c r="AM3058" s="7"/>
      <c r="AN3058" s="7"/>
      <c r="AO3058" s="7"/>
      <c r="AP3058" s="7"/>
      <c r="AQ3058" s="7"/>
      <c r="AR3058" s="7"/>
      <c r="AS3058" s="7" t="s">
        <v>27</v>
      </c>
    </row>
    <row r="3059">
      <c r="A3059" s="7" t="s">
        <v>155</v>
      </c>
      <c r="B3059" s="7" t="s">
        <v>953</v>
      </c>
      <c r="C3059" s="7">
        <f>2+1</f>
        <v>3</v>
      </c>
      <c r="D3059" s="7">
        <v>3.0</v>
      </c>
      <c r="E3059" s="7">
        <v>1.0</v>
      </c>
      <c r="F3059" s="7" t="s">
        <v>83</v>
      </c>
      <c r="G3059" s="7" t="s">
        <v>1336</v>
      </c>
      <c r="H3059" s="9" t="s">
        <v>2979</v>
      </c>
      <c r="I3059" t="s">
        <v>3654</v>
      </c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 t="str">
        <f t="shared" si="1"/>
        <v>Built-up :</v>
      </c>
      <c r="AE3059" s="7" t="str">
        <f t="shared" si="2"/>
        <v> sq. ft.</v>
      </c>
      <c r="AF3059">
        <f>IFERROR(__xludf.DUMMYFUNCTION("VALUE(REGEXREPLACE(G3059,""[^[:digit:]]"", """"))"),1147.0)</f>
        <v>1147</v>
      </c>
      <c r="AG3059" s="7"/>
      <c r="AH3059" s="7"/>
      <c r="AI3059" s="7"/>
      <c r="AJ3059" s="7"/>
      <c r="AK3059" s="7"/>
      <c r="AL3059" s="7"/>
      <c r="AM3059" s="7"/>
      <c r="AN3059" s="7"/>
      <c r="AO3059" s="7"/>
      <c r="AP3059" s="7"/>
      <c r="AQ3059" s="7"/>
      <c r="AR3059" s="7"/>
      <c r="AS3059" s="7" t="s">
        <v>103</v>
      </c>
    </row>
    <row r="3060">
      <c r="A3060" s="7" t="s">
        <v>37</v>
      </c>
      <c r="B3060" s="7" t="s">
        <v>1225</v>
      </c>
      <c r="C3060" s="7">
        <f>4+1</f>
        <v>5</v>
      </c>
      <c r="D3060" s="7">
        <v>3.0</v>
      </c>
      <c r="E3060" s="7">
        <v>2.0</v>
      </c>
      <c r="F3060" s="7" t="s">
        <v>83</v>
      </c>
      <c r="G3060" s="7" t="s">
        <v>2161</v>
      </c>
      <c r="H3060" s="9" t="s">
        <v>2979</v>
      </c>
      <c r="I3060" t="s">
        <v>4149</v>
      </c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 t="str">
        <f t="shared" si="1"/>
        <v>Built-up :</v>
      </c>
      <c r="AE3060" s="7" t="str">
        <f t="shared" si="2"/>
        <v> sq. ft.</v>
      </c>
      <c r="AF3060">
        <f>IFERROR(__xludf.DUMMYFUNCTION("VALUE(REGEXREPLACE(G3060,""[^[:digit:]]"", """"))"),1985.0)</f>
        <v>1985</v>
      </c>
      <c r="AG3060" s="7"/>
      <c r="AH3060" s="7"/>
      <c r="AI3060" s="7"/>
      <c r="AJ3060" s="7"/>
      <c r="AK3060" s="7"/>
      <c r="AL3060" s="7"/>
      <c r="AM3060" s="7"/>
      <c r="AN3060" s="7"/>
      <c r="AO3060" s="7"/>
      <c r="AP3060" s="7"/>
      <c r="AQ3060" s="7"/>
      <c r="AR3060" s="7"/>
      <c r="AS3060" s="7" t="s">
        <v>27</v>
      </c>
    </row>
    <row r="3061">
      <c r="A3061" s="7" t="s">
        <v>72</v>
      </c>
      <c r="B3061" s="7" t="s">
        <v>462</v>
      </c>
      <c r="C3061" s="7">
        <f>3</f>
        <v>3</v>
      </c>
      <c r="D3061" s="7">
        <v>5.0</v>
      </c>
      <c r="E3061" s="7">
        <v>2.0</v>
      </c>
      <c r="F3061" s="7" t="s">
        <v>30</v>
      </c>
      <c r="G3061" s="7" t="s">
        <v>2045</v>
      </c>
      <c r="H3061" s="9" t="s">
        <v>2979</v>
      </c>
      <c r="I3061" t="s">
        <v>4075</v>
      </c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 t="str">
        <f t="shared" si="1"/>
        <v>Built-up :</v>
      </c>
      <c r="AE3061" s="7" t="str">
        <f t="shared" si="2"/>
        <v> sq. ft.</v>
      </c>
      <c r="AF3061">
        <f>IFERROR(__xludf.DUMMYFUNCTION("VALUE(REGEXREPLACE(G3061,""[^[:digit:]]"", """"))"),2025.0)</f>
        <v>2025</v>
      </c>
      <c r="AG3061" s="7"/>
      <c r="AH3061" s="7"/>
      <c r="AI3061" s="7"/>
      <c r="AJ3061" s="7"/>
      <c r="AK3061" s="7"/>
      <c r="AL3061" s="7"/>
      <c r="AM3061" s="7"/>
      <c r="AN3061" s="7"/>
      <c r="AO3061" s="7"/>
      <c r="AP3061" s="7"/>
      <c r="AQ3061" s="7"/>
      <c r="AR3061" s="7"/>
      <c r="AS3061" s="7" t="s">
        <v>27</v>
      </c>
    </row>
    <row r="3062">
      <c r="A3062" s="7" t="s">
        <v>52</v>
      </c>
      <c r="B3062" s="7" t="s">
        <v>1292</v>
      </c>
      <c r="C3062" s="7">
        <f t="shared" ref="C3062:C3063" si="410">3+1</f>
        <v>4</v>
      </c>
      <c r="D3062" s="7">
        <v>4.0</v>
      </c>
      <c r="E3062" s="7">
        <v>1.0</v>
      </c>
      <c r="F3062" s="7" t="s">
        <v>30</v>
      </c>
      <c r="G3062" s="7" t="s">
        <v>412</v>
      </c>
      <c r="H3062" s="9" t="s">
        <v>2979</v>
      </c>
      <c r="I3062" t="s">
        <v>3151</v>
      </c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 t="str">
        <f t="shared" si="1"/>
        <v>Built-up :</v>
      </c>
      <c r="AE3062" s="7" t="str">
        <f t="shared" si="2"/>
        <v> sq. ft.</v>
      </c>
      <c r="AF3062">
        <f>IFERROR(__xludf.DUMMYFUNCTION("VALUE(REGEXREPLACE(G3062,""[^[:digit:]]"", """"))"),2700.0)</f>
        <v>2700</v>
      </c>
      <c r="AG3062" s="7"/>
      <c r="AH3062" s="7"/>
      <c r="AI3062" s="7"/>
      <c r="AJ3062" s="7"/>
      <c r="AK3062" s="7"/>
      <c r="AL3062" s="7"/>
      <c r="AM3062" s="7"/>
      <c r="AN3062" s="7"/>
      <c r="AO3062" s="7"/>
      <c r="AP3062" s="7"/>
      <c r="AQ3062" s="7"/>
      <c r="AR3062" s="7"/>
      <c r="AS3062" s="7" t="s">
        <v>22</v>
      </c>
    </row>
    <row r="3063">
      <c r="A3063" s="7" t="s">
        <v>52</v>
      </c>
      <c r="B3063" s="7" t="s">
        <v>1513</v>
      </c>
      <c r="C3063" s="7">
        <f t="shared" si="410"/>
        <v>4</v>
      </c>
      <c r="D3063" s="7">
        <v>4.0</v>
      </c>
      <c r="E3063" s="7">
        <v>1.0</v>
      </c>
      <c r="F3063" s="7" t="s">
        <v>30</v>
      </c>
      <c r="G3063" s="7" t="s">
        <v>412</v>
      </c>
      <c r="H3063" s="9" t="s">
        <v>2979</v>
      </c>
      <c r="I3063" t="s">
        <v>3151</v>
      </c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 t="str">
        <f t="shared" si="1"/>
        <v>Built-up :</v>
      </c>
      <c r="AE3063" s="7" t="str">
        <f t="shared" si="2"/>
        <v> sq. ft.</v>
      </c>
      <c r="AF3063">
        <f>IFERROR(__xludf.DUMMYFUNCTION("VALUE(REGEXREPLACE(G3063,""[^[:digit:]]"", """"))"),2700.0)</f>
        <v>2700</v>
      </c>
      <c r="AG3063" s="7"/>
      <c r="AH3063" s="7"/>
      <c r="AI3063" s="7"/>
      <c r="AJ3063" s="7"/>
      <c r="AK3063" s="7"/>
      <c r="AL3063" s="7"/>
      <c r="AM3063" s="7"/>
      <c r="AN3063" s="7"/>
      <c r="AO3063" s="7"/>
      <c r="AP3063" s="7"/>
      <c r="AQ3063" s="7"/>
      <c r="AR3063" s="7"/>
      <c r="AS3063" s="7" t="s">
        <v>27</v>
      </c>
    </row>
    <row r="3064">
      <c r="A3064" s="7" t="s">
        <v>72</v>
      </c>
      <c r="B3064" s="7" t="s">
        <v>75</v>
      </c>
      <c r="C3064" s="7">
        <f>4+1</f>
        <v>5</v>
      </c>
      <c r="D3064" s="7">
        <v>3.0</v>
      </c>
      <c r="E3064" s="9">
        <v>2.0</v>
      </c>
      <c r="F3064" s="7" t="s">
        <v>83</v>
      </c>
      <c r="G3064" s="7" t="s">
        <v>76</v>
      </c>
      <c r="H3064" s="9" t="s">
        <v>2979</v>
      </c>
      <c r="I3064" t="s">
        <v>2999</v>
      </c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 t="str">
        <f t="shared" si="1"/>
        <v>Built-up :</v>
      </c>
      <c r="AE3064" s="7" t="str">
        <f t="shared" si="2"/>
        <v> sq. ft.</v>
      </c>
      <c r="AF3064">
        <f>IFERROR(__xludf.DUMMYFUNCTION("VALUE(REGEXREPLACE(G3064,""[^[:digit:]]"", """"))"),3720.0)</f>
        <v>3720</v>
      </c>
      <c r="AG3064" s="7"/>
      <c r="AH3064" s="7"/>
      <c r="AI3064" s="7"/>
      <c r="AJ3064" s="7"/>
      <c r="AK3064" s="7"/>
      <c r="AL3064" s="7"/>
      <c r="AM3064" s="7"/>
      <c r="AN3064" s="7"/>
      <c r="AO3064" s="7"/>
      <c r="AP3064" s="7"/>
      <c r="AQ3064" s="7"/>
      <c r="AR3064" s="7"/>
    </row>
    <row r="3065">
      <c r="A3065" s="7" t="s">
        <v>48</v>
      </c>
      <c r="B3065" s="7" t="s">
        <v>329</v>
      </c>
      <c r="C3065" s="7">
        <f>4</f>
        <v>4</v>
      </c>
      <c r="D3065" s="7">
        <v>4.0</v>
      </c>
      <c r="E3065" s="9">
        <v>2.0</v>
      </c>
      <c r="F3065" s="7" t="s">
        <v>184</v>
      </c>
      <c r="G3065" s="7" t="s">
        <v>2162</v>
      </c>
      <c r="H3065" s="9" t="s">
        <v>2981</v>
      </c>
      <c r="I3065" t="s">
        <v>4150</v>
      </c>
      <c r="J3065" s="7"/>
      <c r="K3065" s="7"/>
      <c r="L3065" s="7"/>
      <c r="M3065" s="7"/>
      <c r="N3065" s="7"/>
      <c r="O3065" s="7"/>
      <c r="P3065" s="7"/>
      <c r="Q3065" s="7"/>
      <c r="R3065" s="7"/>
      <c r="S3065" s="7" t="s">
        <v>4151</v>
      </c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 t="str">
        <f t="shared" si="1"/>
        <v>Land area </v>
      </c>
      <c r="AE3065" s="7" t="str">
        <f t="shared" si="2"/>
        <v> sq. ft.</v>
      </c>
      <c r="AF3065">
        <f>IFERROR(__xludf.DUMMYFUNCTION("VALUE(REGEXREPLACE(G3065,""[^[:digit:]]"", """"))"),4854.0)</f>
        <v>4854</v>
      </c>
      <c r="AG3065" s="7"/>
      <c r="AH3065" s="7"/>
      <c r="AI3065" s="7"/>
      <c r="AJ3065" s="7"/>
      <c r="AK3065" s="7"/>
      <c r="AL3065" s="7"/>
      <c r="AM3065" s="7"/>
      <c r="AN3065" s="7"/>
      <c r="AO3065" s="7"/>
      <c r="AP3065" s="7"/>
      <c r="AQ3065" s="7"/>
      <c r="AR3065" s="7"/>
      <c r="AS3065" s="7" t="s">
        <v>103</v>
      </c>
    </row>
    <row r="3066">
      <c r="A3066" s="7" t="s">
        <v>100</v>
      </c>
      <c r="B3066" s="7" t="s">
        <v>2163</v>
      </c>
      <c r="C3066" s="7">
        <f t="shared" ref="C3066:C3067" si="411">3</f>
        <v>3</v>
      </c>
      <c r="D3066" s="7">
        <v>2.0</v>
      </c>
      <c r="E3066" s="9">
        <v>2.0</v>
      </c>
      <c r="F3066" s="7" t="s">
        <v>20</v>
      </c>
      <c r="G3066" s="7" t="s">
        <v>491</v>
      </c>
      <c r="H3066" s="9" t="s">
        <v>2979</v>
      </c>
      <c r="I3066" t="s">
        <v>3190</v>
      </c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 t="str">
        <f t="shared" si="1"/>
        <v>Built-up :</v>
      </c>
      <c r="AE3066" s="7" t="str">
        <f t="shared" si="2"/>
        <v> sq. ft.</v>
      </c>
      <c r="AF3066">
        <f>IFERROR(__xludf.DUMMYFUNCTION("VALUE(REGEXREPLACE(G3066,""[^[:digit:]]"", """"))"),950.0)</f>
        <v>950</v>
      </c>
      <c r="AG3066" s="7"/>
      <c r="AH3066" s="7"/>
      <c r="AI3066" s="7"/>
      <c r="AJ3066" s="7"/>
      <c r="AK3066" s="7"/>
      <c r="AL3066" s="7"/>
      <c r="AM3066" s="7"/>
      <c r="AN3066" s="7"/>
      <c r="AO3066" s="7"/>
      <c r="AP3066" s="7"/>
      <c r="AQ3066" s="7"/>
      <c r="AR3066" s="7"/>
      <c r="AS3066" s="7" t="s">
        <v>27</v>
      </c>
    </row>
    <row r="3067">
      <c r="A3067" s="7" t="s">
        <v>100</v>
      </c>
      <c r="B3067" s="7" t="s">
        <v>2163</v>
      </c>
      <c r="C3067" s="7">
        <f t="shared" si="411"/>
        <v>3</v>
      </c>
      <c r="D3067" s="7">
        <v>2.0</v>
      </c>
      <c r="E3067" s="9">
        <v>2.0</v>
      </c>
      <c r="F3067" s="7" t="s">
        <v>20</v>
      </c>
      <c r="G3067" s="7" t="s">
        <v>491</v>
      </c>
      <c r="H3067" s="9" t="s">
        <v>2979</v>
      </c>
      <c r="I3067" t="s">
        <v>3190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 t="str">
        <f t="shared" si="1"/>
        <v>Built-up :</v>
      </c>
      <c r="AE3067" s="7" t="str">
        <f t="shared" si="2"/>
        <v> sq. ft.</v>
      </c>
      <c r="AF3067">
        <f>IFERROR(__xludf.DUMMYFUNCTION("VALUE(REGEXREPLACE(G3067,""[^[:digit:]]"", """"))"),950.0)</f>
        <v>950</v>
      </c>
      <c r="AG3067" s="7"/>
      <c r="AH3067" s="7"/>
      <c r="AI3067" s="7"/>
      <c r="AJ3067" s="7"/>
      <c r="AK3067" s="7"/>
      <c r="AL3067" s="7"/>
      <c r="AM3067" s="7"/>
      <c r="AN3067" s="7"/>
      <c r="AO3067" s="7"/>
      <c r="AP3067" s="7"/>
      <c r="AQ3067" s="7"/>
      <c r="AR3067" s="7"/>
      <c r="AS3067" s="7" t="s">
        <v>27</v>
      </c>
    </row>
    <row r="3068">
      <c r="A3068" s="7" t="s">
        <v>104</v>
      </c>
      <c r="B3068" s="7" t="s">
        <v>311</v>
      </c>
      <c r="C3068" s="7">
        <f>6+1</f>
        <v>7</v>
      </c>
      <c r="D3068" s="7">
        <v>4.0</v>
      </c>
      <c r="E3068" s="7">
        <v>3.0</v>
      </c>
      <c r="F3068" s="7" t="s">
        <v>203</v>
      </c>
      <c r="G3068" s="7" t="s">
        <v>1119</v>
      </c>
      <c r="H3068" s="9" t="s">
        <v>2981</v>
      </c>
      <c r="I3068" t="s">
        <v>3516</v>
      </c>
      <c r="J3068" s="7"/>
      <c r="K3068" s="7"/>
      <c r="L3068" s="7"/>
      <c r="M3068" s="7"/>
      <c r="N3068" s="7"/>
      <c r="O3068" s="7"/>
      <c r="P3068" s="7"/>
      <c r="Q3068" s="7"/>
      <c r="R3068" s="7"/>
      <c r="S3068" s="7" t="s">
        <v>3121</v>
      </c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 t="str">
        <f t="shared" si="1"/>
        <v>Land area </v>
      </c>
      <c r="AE3068" s="7" t="str">
        <f t="shared" si="2"/>
        <v> sq. ft.</v>
      </c>
      <c r="AF3068">
        <f>IFERROR(__xludf.DUMMYFUNCTION("VALUE(REGEXREPLACE(G3068,""[^[:digit:]]"", """"))"),2070.0)</f>
        <v>2070</v>
      </c>
      <c r="AG3068" s="7"/>
      <c r="AH3068" s="7"/>
      <c r="AI3068" s="7"/>
      <c r="AJ3068" s="7"/>
      <c r="AK3068" s="7"/>
      <c r="AL3068" s="7"/>
      <c r="AM3068" s="7"/>
      <c r="AN3068" s="7"/>
      <c r="AO3068" s="7"/>
      <c r="AP3068" s="7"/>
      <c r="AQ3068" s="7"/>
      <c r="AR3068" s="7"/>
      <c r="AS3068" s="7" t="s">
        <v>27</v>
      </c>
    </row>
    <row r="3069">
      <c r="A3069" s="7" t="s">
        <v>48</v>
      </c>
      <c r="B3069" s="7" t="s">
        <v>322</v>
      </c>
      <c r="C3069" s="7">
        <f>10</f>
        <v>10</v>
      </c>
      <c r="D3069" s="7">
        <v>6.0</v>
      </c>
      <c r="E3069" s="7">
        <v>4.0</v>
      </c>
      <c r="F3069" s="7" t="s">
        <v>184</v>
      </c>
      <c r="G3069" s="7" t="s">
        <v>2164</v>
      </c>
      <c r="H3069" s="9" t="s">
        <v>2981</v>
      </c>
      <c r="I3069" t="s">
        <v>4152</v>
      </c>
      <c r="J3069" s="7"/>
      <c r="K3069" s="7"/>
      <c r="L3069" s="7"/>
      <c r="M3069" s="7"/>
      <c r="N3069" s="7"/>
      <c r="O3069" s="7"/>
      <c r="P3069" s="7"/>
      <c r="Q3069" s="7"/>
      <c r="R3069" s="7"/>
      <c r="S3069" s="7" t="s">
        <v>2993</v>
      </c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 t="str">
        <f t="shared" si="1"/>
        <v>Land area </v>
      </c>
      <c r="AE3069" s="7" t="str">
        <f t="shared" si="2"/>
        <v> sq. ft.</v>
      </c>
      <c r="AF3069">
        <f>IFERROR(__xludf.DUMMYFUNCTION("VALUE(REGEXREPLACE(G3069,""[^[:digit:]]"", """"))"),5580.0)</f>
        <v>5580</v>
      </c>
      <c r="AG3069" s="7"/>
      <c r="AH3069" s="7"/>
      <c r="AI3069" s="7"/>
      <c r="AJ3069" s="7"/>
      <c r="AK3069" s="7"/>
      <c r="AL3069" s="7"/>
      <c r="AM3069" s="7"/>
      <c r="AN3069" s="7"/>
      <c r="AO3069" s="7"/>
      <c r="AP3069" s="7"/>
      <c r="AQ3069" s="7"/>
      <c r="AR3069" s="7"/>
      <c r="AS3069" s="7" t="s">
        <v>27</v>
      </c>
    </row>
    <row r="3070">
      <c r="A3070" s="7" t="s">
        <v>148</v>
      </c>
      <c r="B3070" s="7" t="s">
        <v>1880</v>
      </c>
      <c r="C3070" s="7">
        <f>2</f>
        <v>2</v>
      </c>
      <c r="D3070" s="7">
        <v>2.0</v>
      </c>
      <c r="E3070" s="7">
        <v>2.0</v>
      </c>
      <c r="F3070" s="7" t="s">
        <v>46</v>
      </c>
      <c r="G3070" s="7" t="s">
        <v>2081</v>
      </c>
      <c r="H3070" s="9" t="s">
        <v>2981</v>
      </c>
      <c r="I3070" t="s">
        <v>3505</v>
      </c>
      <c r="J3070" s="7"/>
      <c r="K3070" s="7"/>
      <c r="L3070" s="7"/>
      <c r="M3070" s="7"/>
      <c r="N3070" s="7"/>
      <c r="O3070" s="7"/>
      <c r="P3070" s="7"/>
      <c r="Q3070" s="7"/>
      <c r="R3070" s="7"/>
      <c r="S3070" s="7" t="s">
        <v>3009</v>
      </c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 t="str">
        <f t="shared" si="1"/>
        <v>Land area </v>
      </c>
      <c r="AE3070" s="7" t="str">
        <f t="shared" si="2"/>
        <v> sq. ft.</v>
      </c>
      <c r="AF3070">
        <f>IFERROR(__xludf.DUMMYFUNCTION("VALUE(REGEXREPLACE(G3070,""[^[:digit:]]"", """"))"),1455.0)</f>
        <v>1455</v>
      </c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  <c r="AR3070" s="7"/>
      <c r="AS3070" s="7" t="s">
        <v>103</v>
      </c>
    </row>
    <row r="3071">
      <c r="A3071" s="7" t="s">
        <v>506</v>
      </c>
      <c r="B3071" s="7" t="s">
        <v>507</v>
      </c>
      <c r="C3071" s="7">
        <f t="shared" ref="C3071:C3072" si="412">3</f>
        <v>3</v>
      </c>
      <c r="D3071" s="7">
        <v>2.0</v>
      </c>
      <c r="E3071" s="7">
        <v>2.0</v>
      </c>
      <c r="F3071" s="7" t="s">
        <v>30</v>
      </c>
      <c r="G3071" s="7" t="s">
        <v>508</v>
      </c>
      <c r="H3071" s="9" t="s">
        <v>2979</v>
      </c>
      <c r="I3071" t="s">
        <v>3200</v>
      </c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 t="str">
        <f t="shared" si="1"/>
        <v>Built-up :</v>
      </c>
      <c r="AE3071" s="7" t="str">
        <f t="shared" si="2"/>
        <v> sq. ft.</v>
      </c>
      <c r="AF3071">
        <f>IFERROR(__xludf.DUMMYFUNCTION("VALUE(REGEXREPLACE(G3071,""[^[:digit:]]"", """"))"),1196.0)</f>
        <v>1196</v>
      </c>
      <c r="AG3071" s="7"/>
      <c r="AH3071" s="7"/>
      <c r="AI3071" s="7"/>
      <c r="AJ3071" s="7"/>
      <c r="AK3071" s="7"/>
      <c r="AL3071" s="7"/>
      <c r="AM3071" s="7"/>
      <c r="AN3071" s="7"/>
      <c r="AO3071" s="7"/>
      <c r="AP3071" s="7"/>
      <c r="AQ3071" s="7"/>
      <c r="AR3071" s="7"/>
      <c r="AS3071" s="7" t="s">
        <v>27</v>
      </c>
    </row>
    <row r="3072">
      <c r="A3072" s="7" t="s">
        <v>506</v>
      </c>
      <c r="B3072" s="7" t="s">
        <v>507</v>
      </c>
      <c r="C3072" s="7">
        <f t="shared" si="412"/>
        <v>3</v>
      </c>
      <c r="D3072" s="7">
        <v>2.0</v>
      </c>
      <c r="E3072" s="7">
        <v>2.0</v>
      </c>
      <c r="F3072" s="7" t="s">
        <v>93</v>
      </c>
      <c r="G3072" s="7" t="s">
        <v>508</v>
      </c>
      <c r="H3072" s="9" t="s">
        <v>2979</v>
      </c>
      <c r="I3072" t="s">
        <v>3200</v>
      </c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7" t="str">
        <f t="shared" si="1"/>
        <v>Built-up :</v>
      </c>
      <c r="AE3072" s="7" t="str">
        <f t="shared" si="2"/>
        <v> sq. ft.</v>
      </c>
      <c r="AF3072">
        <f>IFERROR(__xludf.DUMMYFUNCTION("VALUE(REGEXREPLACE(G3072,""[^[:digit:]]"", """"))"),1196.0)</f>
        <v>1196</v>
      </c>
      <c r="AG3072" s="7"/>
      <c r="AH3072" s="7"/>
      <c r="AI3072" s="7"/>
      <c r="AJ3072" s="7"/>
      <c r="AK3072" s="7"/>
      <c r="AL3072" s="7"/>
      <c r="AM3072" s="7"/>
      <c r="AN3072" s="7"/>
      <c r="AO3072" s="7"/>
      <c r="AP3072" s="7"/>
      <c r="AQ3072" s="7"/>
      <c r="AR3072" s="7"/>
      <c r="AS3072" s="7" t="s">
        <v>27</v>
      </c>
    </row>
    <row r="3073">
      <c r="A3073" s="7" t="s">
        <v>171</v>
      </c>
      <c r="B3073" s="7" t="s">
        <v>677</v>
      </c>
      <c r="C3073" s="7">
        <f>3+1</f>
        <v>4</v>
      </c>
      <c r="D3073" s="7">
        <v>2.0</v>
      </c>
      <c r="E3073" s="7">
        <v>1.0</v>
      </c>
      <c r="F3073" s="7" t="s">
        <v>93</v>
      </c>
      <c r="G3073" s="7" t="s">
        <v>2165</v>
      </c>
      <c r="H3073" s="9" t="s">
        <v>2979</v>
      </c>
      <c r="I3073" t="s">
        <v>4153</v>
      </c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7" t="str">
        <f t="shared" si="1"/>
        <v>Built-up :</v>
      </c>
      <c r="AE3073" s="7" t="str">
        <f t="shared" si="2"/>
        <v> sq. ft.</v>
      </c>
      <c r="AF3073">
        <f>IFERROR(__xludf.DUMMYFUNCTION("VALUE(REGEXREPLACE(G3073,""[^[:digit:]]"", """"))"),1460.0)</f>
        <v>1460</v>
      </c>
      <c r="AG3073" s="7"/>
      <c r="AH3073" s="7"/>
      <c r="AI3073" s="7"/>
      <c r="AJ3073" s="7"/>
      <c r="AK3073" s="7"/>
      <c r="AL3073" s="7"/>
      <c r="AM3073" s="7"/>
      <c r="AN3073" s="7"/>
      <c r="AO3073" s="7"/>
      <c r="AP3073" s="7"/>
      <c r="AQ3073" s="7"/>
      <c r="AR3073" s="7"/>
      <c r="AS3073" s="7" t="s">
        <v>27</v>
      </c>
    </row>
    <row r="3074">
      <c r="A3074" s="7" t="s">
        <v>155</v>
      </c>
      <c r="B3074" s="7" t="s">
        <v>715</v>
      </c>
      <c r="C3074" s="7">
        <f>3</f>
        <v>3</v>
      </c>
      <c r="D3074" s="7">
        <v>2.0</v>
      </c>
      <c r="E3074" s="7">
        <v>1.0</v>
      </c>
      <c r="F3074" s="7" t="s">
        <v>83</v>
      </c>
      <c r="G3074" s="7" t="s">
        <v>981</v>
      </c>
      <c r="H3074" s="9" t="s">
        <v>2979</v>
      </c>
      <c r="I3074" t="s">
        <v>3435</v>
      </c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 t="str">
        <f t="shared" si="1"/>
        <v>Built-up :</v>
      </c>
      <c r="AE3074" s="7" t="str">
        <f t="shared" si="2"/>
        <v> sq. ft.</v>
      </c>
      <c r="AF3074">
        <f>IFERROR(__xludf.DUMMYFUNCTION("VALUE(REGEXREPLACE(G3074,""[^[:digit:]]"", """"))"),1079.0)</f>
        <v>1079</v>
      </c>
      <c r="AG3074" s="7"/>
      <c r="AH3074" s="7"/>
      <c r="AI3074" s="7"/>
      <c r="AJ3074" s="7"/>
      <c r="AK3074" s="7"/>
      <c r="AL3074" s="7"/>
      <c r="AM3074" s="7"/>
      <c r="AN3074" s="7"/>
      <c r="AO3074" s="7"/>
      <c r="AP3074" s="7"/>
      <c r="AQ3074" s="7"/>
      <c r="AR3074" s="7"/>
      <c r="AS3074" s="7" t="s">
        <v>27</v>
      </c>
    </row>
    <row r="3075">
      <c r="A3075" s="7" t="s">
        <v>33</v>
      </c>
      <c r="B3075" s="7" t="s">
        <v>314</v>
      </c>
      <c r="E3075" s="9">
        <v>2.0</v>
      </c>
      <c r="F3075" s="7" t="s">
        <v>83</v>
      </c>
      <c r="G3075" s="7" t="s">
        <v>2166</v>
      </c>
      <c r="H3075" s="9" t="s">
        <v>2979</v>
      </c>
      <c r="I3075" t="s">
        <v>4154</v>
      </c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  <c r="AB3075" s="7"/>
      <c r="AC3075" s="7"/>
      <c r="AD3075" s="7" t="str">
        <f t="shared" si="1"/>
        <v>Built-up :</v>
      </c>
      <c r="AE3075" s="7" t="str">
        <f t="shared" si="2"/>
        <v> sq. ft.</v>
      </c>
      <c r="AF3075">
        <f>IFERROR(__xludf.DUMMYFUNCTION("VALUE(REGEXREPLACE(G3075,""[^[:digit:]]"", """"))"),1233.0)</f>
        <v>1233</v>
      </c>
      <c r="AG3075" s="7"/>
      <c r="AH3075" s="7"/>
      <c r="AI3075" s="7"/>
      <c r="AJ3075" s="7"/>
      <c r="AK3075" s="7"/>
      <c r="AL3075" s="7"/>
      <c r="AM3075" s="7"/>
      <c r="AN3075" s="7"/>
      <c r="AO3075" s="7"/>
      <c r="AP3075" s="7"/>
      <c r="AQ3075" s="7"/>
      <c r="AR3075" s="7"/>
    </row>
    <row r="3076">
      <c r="A3076" s="7" t="s">
        <v>177</v>
      </c>
      <c r="B3076" s="7" t="s">
        <v>193</v>
      </c>
      <c r="C3076" s="7">
        <f>3+1</f>
        <v>4</v>
      </c>
      <c r="D3076" s="7">
        <v>3.0</v>
      </c>
      <c r="E3076" s="7">
        <v>1.0</v>
      </c>
      <c r="F3076" s="7" t="s">
        <v>93</v>
      </c>
      <c r="G3076" s="7" t="s">
        <v>333</v>
      </c>
      <c r="H3076" s="9" t="s">
        <v>2981</v>
      </c>
      <c r="I3076" t="s">
        <v>3091</v>
      </c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  <c r="AB3076" s="7"/>
      <c r="AC3076" s="7"/>
      <c r="AD3076" s="7" t="str">
        <f t="shared" si="1"/>
        <v>Land area </v>
      </c>
      <c r="AE3076" s="7" t="str">
        <f t="shared" si="2"/>
        <v> sq. ft.</v>
      </c>
      <c r="AF3076">
        <f>IFERROR(__xludf.DUMMYFUNCTION("VALUE(REGEXREPLACE(G3076,""[^[:digit:]]"", """"))"),1650.0)</f>
        <v>1650</v>
      </c>
      <c r="AG3076" s="7"/>
      <c r="AH3076" s="7"/>
      <c r="AI3076" s="7"/>
      <c r="AJ3076" s="7"/>
      <c r="AK3076" s="7"/>
      <c r="AL3076" s="7"/>
      <c r="AM3076" s="7"/>
      <c r="AN3076" s="7"/>
      <c r="AO3076" s="7"/>
      <c r="AP3076" s="7"/>
      <c r="AQ3076" s="7"/>
      <c r="AR3076" s="7"/>
      <c r="AS3076" s="7" t="s">
        <v>22</v>
      </c>
    </row>
    <row r="3077">
      <c r="A3077" s="7" t="s">
        <v>109</v>
      </c>
      <c r="B3077" s="7" t="s">
        <v>639</v>
      </c>
      <c r="C3077" s="7">
        <f t="shared" ref="C3077:C3078" si="413">3</f>
        <v>3</v>
      </c>
      <c r="D3077" s="7">
        <v>2.0</v>
      </c>
      <c r="E3077" s="7">
        <v>1.0</v>
      </c>
      <c r="F3077" s="7" t="s">
        <v>354</v>
      </c>
      <c r="G3077" s="7" t="s">
        <v>135</v>
      </c>
      <c r="H3077" s="9" t="s">
        <v>2979</v>
      </c>
      <c r="I3077" t="s">
        <v>3023</v>
      </c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7" t="str">
        <f t="shared" si="1"/>
        <v>Built-up :</v>
      </c>
      <c r="AE3077" s="7" t="str">
        <f t="shared" si="2"/>
        <v> sq. ft.</v>
      </c>
      <c r="AF3077">
        <f>IFERROR(__xludf.DUMMYFUNCTION("VALUE(REGEXREPLACE(G3077,""[^[:digit:]]"", """"))"),1200.0)</f>
        <v>1200</v>
      </c>
      <c r="AG3077" s="7"/>
      <c r="AH3077" s="7"/>
      <c r="AI3077" s="7"/>
      <c r="AJ3077" s="7"/>
      <c r="AK3077" s="7"/>
      <c r="AL3077" s="7"/>
      <c r="AM3077" s="7"/>
      <c r="AN3077" s="7"/>
      <c r="AO3077" s="7"/>
      <c r="AP3077" s="7"/>
      <c r="AQ3077" s="7"/>
      <c r="AR3077" s="7"/>
    </row>
    <row r="3078">
      <c r="A3078" s="7" t="s">
        <v>109</v>
      </c>
      <c r="B3078" s="7" t="s">
        <v>2167</v>
      </c>
      <c r="C3078" s="7">
        <f t="shared" si="413"/>
        <v>3</v>
      </c>
      <c r="D3078" s="7">
        <v>2.0</v>
      </c>
      <c r="E3078" s="7">
        <v>1.0</v>
      </c>
      <c r="F3078" s="7" t="s">
        <v>30</v>
      </c>
      <c r="G3078" s="7" t="s">
        <v>2168</v>
      </c>
      <c r="H3078" s="9" t="s">
        <v>2979</v>
      </c>
      <c r="I3078" t="s">
        <v>4155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 t="str">
        <f t="shared" si="1"/>
        <v>Built-up :</v>
      </c>
      <c r="AE3078" s="7" t="str">
        <f t="shared" si="2"/>
        <v> sq. ft.</v>
      </c>
      <c r="AF3078">
        <f>IFERROR(__xludf.DUMMYFUNCTION("VALUE(REGEXREPLACE(G3078,""[^[:digit:]]"", """"))"),1320.0)</f>
        <v>1320</v>
      </c>
      <c r="AG3078" s="7"/>
      <c r="AH3078" s="7"/>
      <c r="AI3078" s="7"/>
      <c r="AJ3078" s="7"/>
      <c r="AK3078" s="7"/>
      <c r="AL3078" s="7"/>
      <c r="AM3078" s="7"/>
      <c r="AN3078" s="7"/>
      <c r="AO3078" s="7"/>
      <c r="AP3078" s="7"/>
      <c r="AQ3078" s="7"/>
      <c r="AR3078" s="7"/>
      <c r="AS3078" s="7" t="s">
        <v>27</v>
      </c>
    </row>
    <row r="3079">
      <c r="A3079" s="7" t="s">
        <v>72</v>
      </c>
      <c r="B3079" s="7" t="s">
        <v>85</v>
      </c>
      <c r="C3079" s="7">
        <f>4+1</f>
        <v>5</v>
      </c>
      <c r="D3079" s="7">
        <v>4.0</v>
      </c>
      <c r="E3079" s="7">
        <v>3.0</v>
      </c>
      <c r="F3079" s="7" t="s">
        <v>30</v>
      </c>
      <c r="G3079" s="7" t="s">
        <v>1970</v>
      </c>
      <c r="H3079" s="9" t="s">
        <v>2979</v>
      </c>
      <c r="I3079" t="s">
        <v>4027</v>
      </c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7" t="str">
        <f t="shared" si="1"/>
        <v>Built-up :</v>
      </c>
      <c r="AE3079" s="7" t="str">
        <f t="shared" si="2"/>
        <v> sq. ft.</v>
      </c>
      <c r="AF3079">
        <f>IFERROR(__xludf.DUMMYFUNCTION("VALUE(REGEXREPLACE(G3079,""[^[:digit:]]"", """"))"),2513.0)</f>
        <v>2513</v>
      </c>
      <c r="AG3079" s="7"/>
      <c r="AH3079" s="7"/>
      <c r="AI3079" s="7"/>
      <c r="AJ3079" s="7"/>
      <c r="AK3079" s="7"/>
      <c r="AL3079" s="7"/>
      <c r="AM3079" s="7"/>
      <c r="AN3079" s="7"/>
      <c r="AO3079" s="7"/>
      <c r="AP3079" s="7"/>
      <c r="AQ3079" s="7"/>
      <c r="AR3079" s="7"/>
      <c r="AS3079" s="7" t="s">
        <v>22</v>
      </c>
    </row>
    <row r="3080">
      <c r="A3080" s="7" t="s">
        <v>72</v>
      </c>
      <c r="B3080" s="7" t="s">
        <v>807</v>
      </c>
      <c r="C3080" s="7">
        <f>3+1</f>
        <v>4</v>
      </c>
      <c r="D3080" s="7">
        <v>3.0</v>
      </c>
      <c r="E3080" s="7">
        <v>2.0</v>
      </c>
      <c r="F3080" s="7" t="s">
        <v>30</v>
      </c>
      <c r="G3080" s="7" t="s">
        <v>31</v>
      </c>
      <c r="H3080" s="9" t="s">
        <v>2979</v>
      </c>
      <c r="I3080" t="s">
        <v>2983</v>
      </c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 t="str">
        <f t="shared" si="1"/>
        <v>Built-up :</v>
      </c>
      <c r="AE3080" s="7" t="str">
        <f t="shared" si="2"/>
        <v> sq. ft.</v>
      </c>
      <c r="AF3080">
        <f>IFERROR(__xludf.DUMMYFUNCTION("VALUE(REGEXREPLACE(G3080,""[^[:digit:]]"", """"))"),1875.0)</f>
        <v>1875</v>
      </c>
      <c r="AG3080" s="7"/>
      <c r="AH3080" s="7"/>
      <c r="AI3080" s="7"/>
      <c r="AJ3080" s="7"/>
      <c r="AK3080" s="7"/>
      <c r="AL3080" s="7"/>
      <c r="AM3080" s="7"/>
      <c r="AN3080" s="7"/>
      <c r="AO3080" s="7"/>
      <c r="AP3080" s="7"/>
      <c r="AQ3080" s="7"/>
      <c r="AR3080" s="7"/>
      <c r="AS3080" s="7" t="s">
        <v>22</v>
      </c>
    </row>
    <row r="3081">
      <c r="A3081" s="7" t="s">
        <v>17</v>
      </c>
      <c r="B3081" s="7" t="s">
        <v>158</v>
      </c>
      <c r="C3081" s="7">
        <f>2</f>
        <v>2</v>
      </c>
      <c r="D3081" s="7">
        <v>2.0</v>
      </c>
      <c r="E3081" s="9">
        <v>2.0</v>
      </c>
      <c r="F3081" s="7" t="s">
        <v>20</v>
      </c>
      <c r="G3081" s="7" t="s">
        <v>1813</v>
      </c>
      <c r="H3081" s="9" t="s">
        <v>2979</v>
      </c>
      <c r="I3081" t="s">
        <v>3936</v>
      </c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 t="str">
        <f t="shared" si="1"/>
        <v>Built-up :</v>
      </c>
      <c r="AE3081" s="7" t="str">
        <f t="shared" si="2"/>
        <v> sq. ft.</v>
      </c>
      <c r="AF3081">
        <f>IFERROR(__xludf.DUMMYFUNCTION("VALUE(REGEXREPLACE(G3081,""[^[:digit:]]"", """"))"),1299.0)</f>
        <v>1299</v>
      </c>
      <c r="AG3081" s="7"/>
      <c r="AH3081" s="7"/>
      <c r="AI3081" s="7"/>
      <c r="AJ3081" s="7"/>
      <c r="AK3081" s="7"/>
      <c r="AL3081" s="7"/>
      <c r="AM3081" s="7"/>
      <c r="AN3081" s="7"/>
      <c r="AO3081" s="7"/>
      <c r="AP3081" s="7"/>
      <c r="AQ3081" s="7"/>
      <c r="AR3081" s="7"/>
    </row>
    <row r="3082">
      <c r="A3082" s="7" t="s">
        <v>1960</v>
      </c>
      <c r="B3082" s="7" t="s">
        <v>1307</v>
      </c>
      <c r="C3082" s="7" t="s">
        <v>325</v>
      </c>
      <c r="D3082" s="7">
        <v>1.0</v>
      </c>
      <c r="E3082" s="7">
        <v>1.0</v>
      </c>
      <c r="F3082" s="7" t="s">
        <v>83</v>
      </c>
      <c r="G3082" s="7" t="s">
        <v>1524</v>
      </c>
      <c r="H3082" s="9" t="s">
        <v>2979</v>
      </c>
      <c r="I3082" t="s">
        <v>3760</v>
      </c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  <c r="AB3082" s="7"/>
      <c r="AC3082" s="7"/>
      <c r="AD3082" s="7" t="str">
        <f t="shared" si="1"/>
        <v>Built-up :</v>
      </c>
      <c r="AE3082" s="7" t="str">
        <f t="shared" si="2"/>
        <v> sq. ft.</v>
      </c>
      <c r="AF3082">
        <f>IFERROR(__xludf.DUMMYFUNCTION("VALUE(REGEXREPLACE(G3082,""[^[:digit:]]"", """"))"),450.0)</f>
        <v>450</v>
      </c>
      <c r="AG3082" s="7"/>
      <c r="AH3082" s="7"/>
      <c r="AI3082" s="7"/>
      <c r="AJ3082" s="7"/>
      <c r="AK3082" s="7"/>
      <c r="AL3082" s="7"/>
      <c r="AM3082" s="7"/>
      <c r="AN3082" s="7"/>
      <c r="AO3082" s="7"/>
      <c r="AP3082" s="7"/>
      <c r="AQ3082" s="7"/>
      <c r="AR3082" s="7"/>
      <c r="AS3082" s="7" t="s">
        <v>27</v>
      </c>
    </row>
    <row r="3083">
      <c r="A3083" s="7" t="s">
        <v>28</v>
      </c>
      <c r="B3083" s="7" t="s">
        <v>134</v>
      </c>
      <c r="C3083" s="7">
        <f>4</f>
        <v>4</v>
      </c>
      <c r="D3083" s="7">
        <v>3.0</v>
      </c>
      <c r="E3083" s="7">
        <v>2.0</v>
      </c>
      <c r="F3083" s="7" t="s">
        <v>30</v>
      </c>
      <c r="G3083" s="7" t="s">
        <v>2169</v>
      </c>
      <c r="H3083" s="9" t="s">
        <v>2979</v>
      </c>
      <c r="I3083" t="s">
        <v>4156</v>
      </c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 t="str">
        <f t="shared" si="1"/>
        <v>Built-up :</v>
      </c>
      <c r="AE3083" s="7" t="str">
        <f t="shared" si="2"/>
        <v> sq. ft.</v>
      </c>
      <c r="AF3083">
        <f>IFERROR(__xludf.DUMMYFUNCTION("VALUE(REGEXREPLACE(G3083,""[^[:digit:]]"", """"))"),1929.0)</f>
        <v>1929</v>
      </c>
      <c r="AG3083" s="7"/>
      <c r="AH3083" s="7"/>
      <c r="AI3083" s="7"/>
      <c r="AJ3083" s="7"/>
      <c r="AK3083" s="7"/>
      <c r="AL3083" s="7"/>
      <c r="AM3083" s="7"/>
      <c r="AN3083" s="7"/>
      <c r="AO3083" s="7"/>
      <c r="AP3083" s="7"/>
      <c r="AQ3083" s="7"/>
      <c r="AR3083" s="7"/>
      <c r="AS3083" s="7" t="s">
        <v>27</v>
      </c>
    </row>
    <row r="3084">
      <c r="A3084" s="7" t="s">
        <v>100</v>
      </c>
      <c r="B3084" s="7" t="s">
        <v>107</v>
      </c>
      <c r="C3084" s="7">
        <f>3</f>
        <v>3</v>
      </c>
      <c r="D3084" s="7">
        <v>2.0</v>
      </c>
      <c r="E3084" s="7">
        <v>1.0</v>
      </c>
      <c r="F3084" s="7" t="s">
        <v>30</v>
      </c>
      <c r="G3084" s="7" t="s">
        <v>1532</v>
      </c>
      <c r="H3084" s="9" t="s">
        <v>2979</v>
      </c>
      <c r="I3084" t="s">
        <v>3764</v>
      </c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7" t="str">
        <f t="shared" si="1"/>
        <v>Built-up :</v>
      </c>
      <c r="AE3084" s="7" t="str">
        <f t="shared" si="2"/>
        <v> sq. ft.</v>
      </c>
      <c r="AF3084">
        <f>IFERROR(__xludf.DUMMYFUNCTION("VALUE(REGEXREPLACE(G3084,""[^[:digit:]]"", """"))"),1044.0)</f>
        <v>1044</v>
      </c>
      <c r="AG3084" s="7"/>
      <c r="AH3084" s="7"/>
      <c r="AI3084" s="7"/>
      <c r="AJ3084" s="7"/>
      <c r="AK3084" s="7"/>
      <c r="AL3084" s="7"/>
      <c r="AM3084" s="7"/>
      <c r="AN3084" s="7"/>
      <c r="AO3084" s="7"/>
      <c r="AP3084" s="7"/>
      <c r="AQ3084" s="7"/>
      <c r="AR3084" s="7"/>
      <c r="AS3084" s="7" t="s">
        <v>27</v>
      </c>
    </row>
    <row r="3085">
      <c r="A3085" s="7" t="s">
        <v>164</v>
      </c>
      <c r="B3085" s="7" t="s">
        <v>81</v>
      </c>
      <c r="C3085" s="7">
        <f>3+1</f>
        <v>4</v>
      </c>
      <c r="D3085" s="7">
        <v>2.0</v>
      </c>
      <c r="E3085" s="7">
        <v>1.0</v>
      </c>
      <c r="F3085" s="7" t="s">
        <v>93</v>
      </c>
      <c r="G3085" s="7" t="s">
        <v>2170</v>
      </c>
      <c r="H3085" s="9" t="s">
        <v>2979</v>
      </c>
      <c r="I3085" t="s">
        <v>4157</v>
      </c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7" t="str">
        <f t="shared" si="1"/>
        <v>Built-up :</v>
      </c>
      <c r="AE3085" s="7" t="str">
        <f t="shared" si="2"/>
        <v> sq. ft.</v>
      </c>
      <c r="AF3085">
        <f>IFERROR(__xludf.DUMMYFUNCTION("VALUE(REGEXREPLACE(G3085,""[^[:digit:]]"", """"))"),1584.0)</f>
        <v>1584</v>
      </c>
      <c r="AG3085" s="7"/>
      <c r="AH3085" s="7"/>
      <c r="AI3085" s="7"/>
      <c r="AJ3085" s="7"/>
      <c r="AK3085" s="7"/>
      <c r="AL3085" s="7"/>
      <c r="AM3085" s="7"/>
      <c r="AN3085" s="7"/>
      <c r="AO3085" s="7"/>
      <c r="AP3085" s="7"/>
      <c r="AQ3085" s="7"/>
      <c r="AR3085" s="7"/>
      <c r="AS3085" s="7" t="s">
        <v>22</v>
      </c>
    </row>
    <row r="3086">
      <c r="A3086" s="7" t="s">
        <v>23</v>
      </c>
      <c r="B3086" s="7" t="s">
        <v>893</v>
      </c>
      <c r="C3086" s="7">
        <f>7</f>
        <v>7</v>
      </c>
      <c r="D3086" s="7">
        <v>6.0</v>
      </c>
      <c r="E3086" s="7">
        <v>6.0</v>
      </c>
      <c r="F3086" s="7" t="s">
        <v>61</v>
      </c>
      <c r="G3086" s="7" t="s">
        <v>2171</v>
      </c>
      <c r="H3086" s="9" t="s">
        <v>2981</v>
      </c>
      <c r="I3086" t="s">
        <v>4158</v>
      </c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7" t="str">
        <f t="shared" si="1"/>
        <v>Land area </v>
      </c>
      <c r="AE3086" s="7" t="str">
        <f t="shared" si="2"/>
        <v> sq. ft.</v>
      </c>
      <c r="AF3086">
        <f>IFERROR(__xludf.DUMMYFUNCTION("VALUE(REGEXREPLACE(G3086,""[^[:digit:]]"", """"))"),7680.0)</f>
        <v>7680</v>
      </c>
      <c r="AG3086" s="7"/>
      <c r="AH3086" s="7"/>
      <c r="AI3086" s="7"/>
      <c r="AJ3086" s="7"/>
      <c r="AK3086" s="7"/>
      <c r="AL3086" s="7"/>
      <c r="AM3086" s="7"/>
      <c r="AN3086" s="7"/>
      <c r="AO3086" s="7"/>
      <c r="AP3086" s="7"/>
      <c r="AQ3086" s="7"/>
      <c r="AR3086" s="7"/>
      <c r="AS3086" s="7" t="s">
        <v>27</v>
      </c>
    </row>
    <row r="3087">
      <c r="A3087" s="7" t="s">
        <v>41</v>
      </c>
      <c r="B3087" s="7" t="s">
        <v>279</v>
      </c>
      <c r="C3087" s="7">
        <f>3+1</f>
        <v>4</v>
      </c>
      <c r="D3087" s="7">
        <v>4.0</v>
      </c>
      <c r="E3087" s="9">
        <v>2.0</v>
      </c>
      <c r="F3087" s="7" t="s">
        <v>169</v>
      </c>
      <c r="G3087" s="7" t="s">
        <v>721</v>
      </c>
      <c r="H3087" s="9" t="s">
        <v>2981</v>
      </c>
      <c r="I3087" t="s">
        <v>3300</v>
      </c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  <c r="AB3087" s="7"/>
      <c r="AC3087" s="7"/>
      <c r="AD3087" s="7" t="str">
        <f t="shared" si="1"/>
        <v>Land area </v>
      </c>
      <c r="AE3087" s="7" t="str">
        <f t="shared" si="2"/>
        <v> sq. ft.</v>
      </c>
      <c r="AF3087">
        <f>IFERROR(__xludf.DUMMYFUNCTION("VALUE(REGEXREPLACE(G3087,""[^[:digit:]]"", """"))"),2200.0)</f>
        <v>2200</v>
      </c>
      <c r="AG3087" s="7"/>
      <c r="AH3087" s="7"/>
      <c r="AI3087" s="7"/>
      <c r="AJ3087" s="7"/>
      <c r="AK3087" s="7"/>
      <c r="AL3087" s="7"/>
      <c r="AM3087" s="7"/>
      <c r="AN3087" s="7"/>
      <c r="AO3087" s="7"/>
      <c r="AP3087" s="7"/>
      <c r="AQ3087" s="7"/>
      <c r="AR3087" s="7"/>
      <c r="AS3087" s="7" t="s">
        <v>27</v>
      </c>
    </row>
    <row r="3088">
      <c r="A3088" s="7" t="s">
        <v>100</v>
      </c>
      <c r="B3088" s="7" t="s">
        <v>534</v>
      </c>
      <c r="C3088" s="7">
        <f>7</f>
        <v>7</v>
      </c>
      <c r="D3088" s="7">
        <v>6.0</v>
      </c>
      <c r="E3088" s="9">
        <v>2.0</v>
      </c>
      <c r="F3088" s="7" t="s">
        <v>67</v>
      </c>
      <c r="G3088" s="7" t="s">
        <v>62</v>
      </c>
      <c r="H3088" s="9" t="s">
        <v>2981</v>
      </c>
      <c r="I3088" t="s">
        <v>2995</v>
      </c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 t="str">
        <f t="shared" si="1"/>
        <v>Land area </v>
      </c>
      <c r="AE3088" s="7" t="str">
        <f t="shared" si="2"/>
        <v> sq. ft.</v>
      </c>
      <c r="AF3088">
        <f>IFERROR(__xludf.DUMMYFUNCTION("VALUE(REGEXREPLACE(G3088,""[^[:digit:]]"", """"))"),6000.0)</f>
        <v>6000</v>
      </c>
      <c r="AG3088" s="7"/>
      <c r="AH3088" s="7"/>
      <c r="AI3088" s="7"/>
      <c r="AJ3088" s="7"/>
      <c r="AK3088" s="7"/>
      <c r="AL3088" s="7"/>
      <c r="AM3088" s="7"/>
      <c r="AN3088" s="7"/>
      <c r="AO3088" s="7"/>
      <c r="AP3088" s="7"/>
      <c r="AQ3088" s="7"/>
      <c r="AR3088" s="7"/>
      <c r="AS3088" s="7" t="s">
        <v>27</v>
      </c>
    </row>
    <row r="3089">
      <c r="A3089" s="7" t="s">
        <v>72</v>
      </c>
      <c r="B3089" s="7" t="s">
        <v>156</v>
      </c>
      <c r="C3089" s="7">
        <f>3</f>
        <v>3</v>
      </c>
      <c r="D3089" s="7">
        <v>2.0</v>
      </c>
      <c r="E3089" s="7">
        <v>1.0</v>
      </c>
      <c r="F3089" s="7" t="s">
        <v>83</v>
      </c>
      <c r="G3089" s="7" t="s">
        <v>2172</v>
      </c>
      <c r="H3089" s="9" t="s">
        <v>2979</v>
      </c>
      <c r="I3089" t="s">
        <v>4159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7" t="str">
        <f t="shared" si="1"/>
        <v>Built-up :</v>
      </c>
      <c r="AE3089" s="7" t="str">
        <f t="shared" si="2"/>
        <v> sq. ft.</v>
      </c>
      <c r="AF3089">
        <f>IFERROR(__xludf.DUMMYFUNCTION("VALUE(REGEXREPLACE(G3089,""[^[:digit:]]"", """"))"),1408.0)</f>
        <v>1408</v>
      </c>
      <c r="AG3089" s="7"/>
      <c r="AH3089" s="7"/>
      <c r="AI3089" s="7"/>
      <c r="AJ3089" s="7"/>
      <c r="AK3089" s="7"/>
      <c r="AL3089" s="7"/>
      <c r="AM3089" s="7"/>
      <c r="AN3089" s="7"/>
      <c r="AO3089" s="7"/>
      <c r="AP3089" s="7"/>
      <c r="AQ3089" s="7"/>
      <c r="AR3089" s="7"/>
    </row>
    <row r="3090">
      <c r="A3090" s="7" t="s">
        <v>1158</v>
      </c>
      <c r="B3090" s="7" t="s">
        <v>407</v>
      </c>
      <c r="C3090" s="7">
        <f>2</f>
        <v>2</v>
      </c>
      <c r="D3090" s="7">
        <v>2.0</v>
      </c>
      <c r="E3090" s="9">
        <v>2.0</v>
      </c>
      <c r="F3090" s="7" t="s">
        <v>20</v>
      </c>
      <c r="G3090" s="7" t="s">
        <v>2173</v>
      </c>
      <c r="H3090" s="9" t="s">
        <v>2979</v>
      </c>
      <c r="I3090" t="s">
        <v>4160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7" t="str">
        <f t="shared" si="1"/>
        <v>Built-up :</v>
      </c>
      <c r="AE3090" s="7" t="str">
        <f t="shared" si="2"/>
        <v> sq. ft.</v>
      </c>
      <c r="AF3090">
        <f>IFERROR(__xludf.DUMMYFUNCTION("VALUE(REGEXREPLACE(G3090,""[^[:digit:]]"", """"))"),838.0)</f>
        <v>838</v>
      </c>
      <c r="AG3090" s="7"/>
      <c r="AH3090" s="7"/>
      <c r="AI3090" s="7"/>
      <c r="AJ3090" s="7"/>
      <c r="AK3090" s="7"/>
      <c r="AL3090" s="7"/>
      <c r="AM3090" s="7"/>
      <c r="AN3090" s="7"/>
      <c r="AO3090" s="7"/>
      <c r="AP3090" s="7"/>
      <c r="AQ3090" s="7"/>
      <c r="AR3090" s="7"/>
      <c r="AS3090" s="7" t="s">
        <v>22</v>
      </c>
    </row>
    <row r="3091">
      <c r="A3091" s="7" t="s">
        <v>86</v>
      </c>
      <c r="B3091" s="7" t="s">
        <v>655</v>
      </c>
      <c r="C3091" s="7">
        <f>4+1</f>
        <v>5</v>
      </c>
      <c r="D3091" s="7">
        <v>5.0</v>
      </c>
      <c r="E3091" s="9">
        <v>2.0</v>
      </c>
      <c r="F3091" s="7" t="s">
        <v>83</v>
      </c>
      <c r="G3091" s="7" t="s">
        <v>220</v>
      </c>
      <c r="H3091" s="9" t="s">
        <v>2979</v>
      </c>
      <c r="I3091" t="s">
        <v>3060</v>
      </c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 t="str">
        <f t="shared" si="1"/>
        <v>Built-up :</v>
      </c>
      <c r="AE3091" s="7" t="str">
        <f t="shared" si="2"/>
        <v> sq. ft.</v>
      </c>
      <c r="AF3091">
        <f>IFERROR(__xludf.DUMMYFUNCTION("VALUE(REGEXREPLACE(G3091,""[^[:digit:]]"", """"))"),3400.0)</f>
        <v>3400</v>
      </c>
      <c r="AG3091" s="7"/>
      <c r="AH3091" s="7"/>
      <c r="AI3091" s="7"/>
      <c r="AJ3091" s="7"/>
      <c r="AK3091" s="7"/>
      <c r="AL3091" s="7"/>
      <c r="AM3091" s="7"/>
      <c r="AN3091" s="7"/>
      <c r="AO3091" s="7"/>
      <c r="AP3091" s="7"/>
      <c r="AQ3091" s="7"/>
      <c r="AR3091" s="7"/>
    </row>
    <row r="3092">
      <c r="A3092" s="7" t="s">
        <v>428</v>
      </c>
      <c r="B3092" s="7" t="s">
        <v>465</v>
      </c>
      <c r="C3092" s="7">
        <f>5</f>
        <v>5</v>
      </c>
      <c r="D3092" s="7">
        <v>5.0</v>
      </c>
      <c r="E3092" s="9">
        <v>2.0</v>
      </c>
      <c r="F3092" s="7" t="s">
        <v>25</v>
      </c>
      <c r="G3092" s="7" t="s">
        <v>264</v>
      </c>
      <c r="H3092" s="9" t="s">
        <v>2981</v>
      </c>
      <c r="I3092" t="s">
        <v>3082</v>
      </c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 t="str">
        <f t="shared" si="1"/>
        <v>Land area </v>
      </c>
      <c r="AE3092" s="7" t="str">
        <f t="shared" si="2"/>
        <v> sq. ft.</v>
      </c>
      <c r="AF3092">
        <f>IFERROR(__xludf.DUMMYFUNCTION("VALUE(REGEXREPLACE(G3092,""[^[:digit:]]"", """"))"),10000.0)</f>
        <v>10000</v>
      </c>
      <c r="AG3092" s="7"/>
      <c r="AH3092" s="7"/>
      <c r="AI3092" s="7"/>
      <c r="AJ3092" s="7"/>
      <c r="AK3092" s="7"/>
      <c r="AL3092" s="7"/>
      <c r="AM3092" s="7"/>
      <c r="AN3092" s="7"/>
      <c r="AO3092" s="7"/>
      <c r="AP3092" s="7"/>
      <c r="AQ3092" s="7"/>
      <c r="AR3092" s="7"/>
      <c r="AS3092" s="7" t="s">
        <v>103</v>
      </c>
    </row>
    <row r="3093">
      <c r="A3093" s="7" t="s">
        <v>41</v>
      </c>
      <c r="B3093" s="7" t="s">
        <v>842</v>
      </c>
      <c r="C3093" s="7">
        <f>5+1</f>
        <v>6</v>
      </c>
      <c r="D3093" s="7">
        <v>6.0</v>
      </c>
      <c r="E3093" s="7">
        <v>4.0</v>
      </c>
      <c r="F3093" s="7" t="s">
        <v>61</v>
      </c>
      <c r="G3093" s="7" t="s">
        <v>1202</v>
      </c>
      <c r="H3093" s="9" t="s">
        <v>2981</v>
      </c>
      <c r="I3093" t="s">
        <v>3574</v>
      </c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 t="str">
        <f t="shared" si="1"/>
        <v>Land area </v>
      </c>
      <c r="AE3093" s="7" t="str">
        <f t="shared" si="2"/>
        <v> sq. ft.</v>
      </c>
      <c r="AF3093">
        <f>IFERROR(__xludf.DUMMYFUNCTION("VALUE(REGEXREPLACE(G3093,""[^[:digit:]]"", """"))"),4500.0)</f>
        <v>4500</v>
      </c>
      <c r="AG3093" s="7"/>
      <c r="AH3093" s="7"/>
      <c r="AI3093" s="7"/>
      <c r="AJ3093" s="7"/>
      <c r="AK3093" s="7"/>
      <c r="AL3093" s="7"/>
      <c r="AM3093" s="7"/>
      <c r="AN3093" s="7"/>
      <c r="AO3093" s="7"/>
      <c r="AP3093" s="7"/>
      <c r="AQ3093" s="7"/>
      <c r="AR3093" s="7"/>
      <c r="AS3093" s="7" t="s">
        <v>27</v>
      </c>
    </row>
    <row r="3094">
      <c r="A3094" s="7" t="s">
        <v>428</v>
      </c>
      <c r="B3094" s="7" t="s">
        <v>2174</v>
      </c>
      <c r="C3094" s="7">
        <f>4+2</f>
        <v>6</v>
      </c>
      <c r="D3094" s="7">
        <v>6.0</v>
      </c>
      <c r="E3094" s="7">
        <v>8.0</v>
      </c>
      <c r="F3094" s="7" t="s">
        <v>25</v>
      </c>
      <c r="G3094" s="7" t="s">
        <v>1461</v>
      </c>
      <c r="H3094" s="9" t="s">
        <v>2981</v>
      </c>
      <c r="I3094" t="s">
        <v>3724</v>
      </c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 t="str">
        <f t="shared" si="1"/>
        <v>Land area </v>
      </c>
      <c r="AE3094" s="7" t="str">
        <f t="shared" si="2"/>
        <v> sq. ft.</v>
      </c>
      <c r="AF3094">
        <f>IFERROR(__xludf.DUMMYFUNCTION("VALUE(REGEXREPLACE(G3094,""[^[:digit:]]"", """"))"),16500.0)</f>
        <v>16500</v>
      </c>
      <c r="AG3094" s="7"/>
      <c r="AH3094" s="7"/>
      <c r="AI3094" s="7"/>
      <c r="AJ3094" s="7"/>
      <c r="AK3094" s="7"/>
      <c r="AL3094" s="7"/>
      <c r="AM3094" s="7"/>
      <c r="AN3094" s="7"/>
      <c r="AO3094" s="7"/>
      <c r="AP3094" s="7"/>
      <c r="AQ3094" s="7"/>
      <c r="AR3094" s="7"/>
      <c r="AS3094" s="7" t="s">
        <v>103</v>
      </c>
    </row>
    <row r="3095">
      <c r="A3095" s="7" t="s">
        <v>65</v>
      </c>
      <c r="B3095" s="7" t="s">
        <v>465</v>
      </c>
      <c r="C3095" s="7">
        <f>6+1</f>
        <v>7</v>
      </c>
      <c r="D3095" s="7">
        <v>6.0</v>
      </c>
      <c r="E3095" s="7">
        <v>8.0</v>
      </c>
      <c r="F3095" s="7" t="s">
        <v>67</v>
      </c>
      <c r="G3095" s="7" t="s">
        <v>2175</v>
      </c>
      <c r="H3095" s="9" t="s">
        <v>2981</v>
      </c>
      <c r="I3095" t="s">
        <v>4161</v>
      </c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 t="str">
        <f t="shared" si="1"/>
        <v>Land area </v>
      </c>
      <c r="AE3095" s="7" t="str">
        <f t="shared" si="2"/>
        <v> sq. ft.</v>
      </c>
      <c r="AF3095">
        <f>IFERROR(__xludf.DUMMYFUNCTION("VALUE(REGEXREPLACE(G3095,""[^[:digit:]]"", """"))"),20800.0)</f>
        <v>20800</v>
      </c>
      <c r="AG3095" s="7"/>
      <c r="AH3095" s="7"/>
      <c r="AI3095" s="7"/>
      <c r="AJ3095" s="7"/>
      <c r="AK3095" s="7"/>
      <c r="AL3095" s="7"/>
      <c r="AM3095" s="7"/>
      <c r="AN3095" s="7"/>
      <c r="AO3095" s="7"/>
      <c r="AP3095" s="7"/>
      <c r="AQ3095" s="7"/>
      <c r="AR3095" s="7"/>
      <c r="AS3095" s="7" t="s">
        <v>27</v>
      </c>
    </row>
    <row r="3096">
      <c r="A3096" s="7" t="s">
        <v>89</v>
      </c>
      <c r="B3096" s="7" t="s">
        <v>2176</v>
      </c>
      <c r="C3096" s="7">
        <f t="shared" ref="C3096:C3097" si="414">3</f>
        <v>3</v>
      </c>
      <c r="D3096" s="7">
        <v>2.0</v>
      </c>
      <c r="E3096" s="9">
        <v>2.0</v>
      </c>
      <c r="F3096" s="7" t="s">
        <v>83</v>
      </c>
      <c r="G3096" s="7" t="s">
        <v>1532</v>
      </c>
      <c r="H3096" s="9" t="s">
        <v>2979</v>
      </c>
      <c r="I3096" t="s">
        <v>3764</v>
      </c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 t="str">
        <f t="shared" si="1"/>
        <v>Built-up :</v>
      </c>
      <c r="AE3096" s="7" t="str">
        <f t="shared" si="2"/>
        <v> sq. ft.</v>
      </c>
      <c r="AF3096">
        <f>IFERROR(__xludf.DUMMYFUNCTION("VALUE(REGEXREPLACE(G3096,""[^[:digit:]]"", """"))"),1044.0)</f>
        <v>1044</v>
      </c>
      <c r="AG3096" s="7"/>
      <c r="AH3096" s="7"/>
      <c r="AI3096" s="7"/>
      <c r="AJ3096" s="7"/>
      <c r="AK3096" s="7"/>
      <c r="AL3096" s="7"/>
      <c r="AM3096" s="7"/>
      <c r="AN3096" s="7"/>
      <c r="AO3096" s="7"/>
      <c r="AP3096" s="7"/>
      <c r="AQ3096" s="7"/>
      <c r="AR3096" s="7"/>
      <c r="AS3096" s="7" t="s">
        <v>27</v>
      </c>
    </row>
    <row r="3097">
      <c r="A3097" s="7" t="s">
        <v>104</v>
      </c>
      <c r="B3097" s="7" t="s">
        <v>967</v>
      </c>
      <c r="C3097" s="7">
        <f t="shared" si="414"/>
        <v>3</v>
      </c>
      <c r="D3097" s="7">
        <v>2.0</v>
      </c>
      <c r="E3097" s="9">
        <v>2.0</v>
      </c>
      <c r="F3097" s="7" t="s">
        <v>343</v>
      </c>
      <c r="G3097" s="7" t="s">
        <v>211</v>
      </c>
      <c r="H3097" s="9" t="s">
        <v>2981</v>
      </c>
      <c r="I3097" t="s">
        <v>2992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 t="s">
        <v>2993</v>
      </c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 t="str">
        <f t="shared" si="1"/>
        <v>Land area </v>
      </c>
      <c r="AE3097" s="7" t="str">
        <f t="shared" si="2"/>
        <v> sq. ft.</v>
      </c>
      <c r="AF3097">
        <f>IFERROR(__xludf.DUMMYFUNCTION("VALUE(REGEXREPLACE(G3097,""[^[:digit:]]"", """"))"),2280.0)</f>
        <v>2280</v>
      </c>
      <c r="AG3097" s="7"/>
      <c r="AH3097" s="7"/>
      <c r="AI3097" s="7"/>
      <c r="AJ3097" s="7"/>
      <c r="AK3097" s="7"/>
      <c r="AL3097" s="7"/>
      <c r="AM3097" s="7"/>
      <c r="AN3097" s="7"/>
      <c r="AO3097" s="7"/>
      <c r="AP3097" s="7"/>
      <c r="AQ3097" s="7"/>
      <c r="AR3097" s="7"/>
      <c r="AS3097" s="7" t="s">
        <v>27</v>
      </c>
    </row>
    <row r="3098">
      <c r="A3098" s="7" t="s">
        <v>100</v>
      </c>
      <c r="B3098" s="7" t="s">
        <v>733</v>
      </c>
      <c r="C3098" s="7">
        <f>3+1</f>
        <v>4</v>
      </c>
      <c r="D3098" s="7">
        <v>3.0</v>
      </c>
      <c r="E3098" s="7">
        <v>1.0</v>
      </c>
      <c r="F3098" s="7" t="s">
        <v>30</v>
      </c>
      <c r="G3098" s="7" t="s">
        <v>2177</v>
      </c>
      <c r="H3098" s="9" t="s">
        <v>2979</v>
      </c>
      <c r="I3098" t="s">
        <v>4162</v>
      </c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 t="str">
        <f t="shared" si="1"/>
        <v>Built-up :</v>
      </c>
      <c r="AE3098" s="7" t="str">
        <f t="shared" si="2"/>
        <v> sq. ft.</v>
      </c>
      <c r="AF3098">
        <f>IFERROR(__xludf.DUMMYFUNCTION("VALUE(REGEXREPLACE(G3098,""[^[:digit:]]"", """"))"),1385.0)</f>
        <v>1385</v>
      </c>
      <c r="AG3098" s="7"/>
      <c r="AH3098" s="7"/>
      <c r="AI3098" s="7"/>
      <c r="AJ3098" s="7"/>
      <c r="AK3098" s="7"/>
      <c r="AL3098" s="7"/>
      <c r="AM3098" s="7"/>
      <c r="AN3098" s="7"/>
      <c r="AO3098" s="7"/>
      <c r="AP3098" s="7"/>
      <c r="AQ3098" s="7"/>
      <c r="AR3098" s="7"/>
      <c r="AS3098" s="7" t="s">
        <v>27</v>
      </c>
    </row>
    <row r="3099">
      <c r="A3099" s="7" t="s">
        <v>100</v>
      </c>
      <c r="B3099" s="7" t="s">
        <v>975</v>
      </c>
      <c r="C3099" s="7">
        <f>1</f>
        <v>1</v>
      </c>
      <c r="D3099" s="7">
        <v>2.0</v>
      </c>
      <c r="E3099" s="7">
        <v>1.0</v>
      </c>
      <c r="F3099" s="7" t="s">
        <v>145</v>
      </c>
      <c r="G3099" s="7" t="s">
        <v>786</v>
      </c>
      <c r="H3099" s="9" t="s">
        <v>2979</v>
      </c>
      <c r="I3099" t="s">
        <v>3339</v>
      </c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  <c r="AB3099" s="7"/>
      <c r="AC3099" s="7"/>
      <c r="AD3099" s="7" t="str">
        <f t="shared" si="1"/>
        <v>Built-up :</v>
      </c>
      <c r="AE3099" s="7" t="str">
        <f t="shared" si="2"/>
        <v> sq. ft.</v>
      </c>
      <c r="AF3099">
        <f>IFERROR(__xludf.DUMMYFUNCTION("VALUE(REGEXREPLACE(G3099,""[^[:digit:]]"", """"))"),775.0)</f>
        <v>775</v>
      </c>
      <c r="AG3099" s="7"/>
      <c r="AH3099" s="7"/>
      <c r="AI3099" s="7"/>
      <c r="AJ3099" s="7"/>
      <c r="AK3099" s="7"/>
      <c r="AL3099" s="7"/>
      <c r="AM3099" s="7"/>
      <c r="AN3099" s="7"/>
      <c r="AO3099" s="7"/>
      <c r="AP3099" s="7"/>
      <c r="AQ3099" s="7"/>
      <c r="AR3099" s="7"/>
      <c r="AS3099" s="7" t="s">
        <v>22</v>
      </c>
    </row>
    <row r="3100">
      <c r="A3100" s="7" t="s">
        <v>104</v>
      </c>
      <c r="B3100" s="7" t="s">
        <v>172</v>
      </c>
      <c r="C3100" s="7">
        <f>3</f>
        <v>3</v>
      </c>
      <c r="D3100" s="7">
        <v>2.0</v>
      </c>
      <c r="E3100" s="9">
        <v>2.0</v>
      </c>
      <c r="F3100" s="7" t="s">
        <v>343</v>
      </c>
      <c r="G3100" s="7" t="s">
        <v>1732</v>
      </c>
      <c r="H3100" s="9" t="s">
        <v>2981</v>
      </c>
      <c r="I3100" t="s">
        <v>3889</v>
      </c>
      <c r="J3100" s="7"/>
      <c r="K3100" s="7"/>
      <c r="L3100" s="7"/>
      <c r="M3100" s="7"/>
      <c r="N3100" s="7"/>
      <c r="O3100" s="7"/>
      <c r="P3100" s="7"/>
      <c r="Q3100" s="7"/>
      <c r="R3100" s="7"/>
      <c r="S3100" s="7" t="s">
        <v>3298</v>
      </c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 t="str">
        <f t="shared" si="1"/>
        <v>Land area </v>
      </c>
      <c r="AE3100" s="7" t="str">
        <f t="shared" si="2"/>
        <v> sq. ft.</v>
      </c>
      <c r="AF3100">
        <f>IFERROR(__xludf.DUMMYFUNCTION("VALUE(REGEXREPLACE(G3100,""[^[:digit:]]"", """"))"),2265.0)</f>
        <v>2265</v>
      </c>
      <c r="AG3100" s="7"/>
      <c r="AH3100" s="7"/>
      <c r="AI3100" s="7"/>
      <c r="AJ3100" s="7"/>
      <c r="AK3100" s="7"/>
      <c r="AL3100" s="7"/>
      <c r="AM3100" s="7"/>
      <c r="AN3100" s="7"/>
      <c r="AO3100" s="7"/>
      <c r="AP3100" s="7"/>
      <c r="AQ3100" s="7"/>
      <c r="AR3100" s="7"/>
      <c r="AS3100" s="7" t="s">
        <v>27</v>
      </c>
    </row>
    <row r="3101">
      <c r="A3101" s="7" t="s">
        <v>358</v>
      </c>
      <c r="B3101" s="7" t="s">
        <v>2178</v>
      </c>
      <c r="C3101" s="7">
        <f>4</f>
        <v>4</v>
      </c>
      <c r="D3101" s="7">
        <v>3.0</v>
      </c>
      <c r="E3101" s="9">
        <v>2.0</v>
      </c>
      <c r="F3101" s="7" t="s">
        <v>54</v>
      </c>
      <c r="G3101" s="7" t="s">
        <v>211</v>
      </c>
      <c r="H3101" s="9" t="s">
        <v>2981</v>
      </c>
      <c r="I3101" t="s">
        <v>2992</v>
      </c>
      <c r="J3101" s="7"/>
      <c r="K3101" s="7"/>
      <c r="L3101" s="7"/>
      <c r="M3101" s="7"/>
      <c r="N3101" s="7"/>
      <c r="O3101" s="7"/>
      <c r="P3101" s="7"/>
      <c r="Q3101" s="7"/>
      <c r="R3101" s="7"/>
      <c r="S3101" s="7" t="s">
        <v>2993</v>
      </c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 t="str">
        <f t="shared" si="1"/>
        <v>Land area </v>
      </c>
      <c r="AE3101" s="7" t="str">
        <f t="shared" si="2"/>
        <v> sq. ft.</v>
      </c>
      <c r="AF3101">
        <f>IFERROR(__xludf.DUMMYFUNCTION("VALUE(REGEXREPLACE(G3101,""[^[:digit:]]"", """"))"),2280.0)</f>
        <v>2280</v>
      </c>
      <c r="AG3101" s="7"/>
      <c r="AH3101" s="7"/>
      <c r="AI3101" s="7"/>
      <c r="AJ3101" s="7"/>
      <c r="AK3101" s="7"/>
      <c r="AL3101" s="7"/>
      <c r="AM3101" s="7"/>
      <c r="AN3101" s="7"/>
      <c r="AO3101" s="7"/>
      <c r="AP3101" s="7"/>
      <c r="AQ3101" s="7"/>
      <c r="AR3101" s="7"/>
      <c r="AS3101" s="7" t="s">
        <v>27</v>
      </c>
    </row>
    <row r="3102">
      <c r="A3102" s="7" t="s">
        <v>104</v>
      </c>
      <c r="B3102" s="7" t="s">
        <v>311</v>
      </c>
      <c r="C3102" s="7">
        <f>5+1</f>
        <v>6</v>
      </c>
      <c r="D3102" s="7">
        <v>4.0</v>
      </c>
      <c r="E3102" s="9">
        <v>2.0</v>
      </c>
      <c r="F3102" s="7" t="s">
        <v>2179</v>
      </c>
      <c r="G3102" s="7" t="s">
        <v>1119</v>
      </c>
      <c r="H3102" s="9" t="s">
        <v>2981</v>
      </c>
      <c r="I3102" t="s">
        <v>3516</v>
      </c>
      <c r="J3102" s="7"/>
      <c r="K3102" s="7"/>
      <c r="L3102" s="7"/>
      <c r="M3102" s="7"/>
      <c r="N3102" s="7"/>
      <c r="O3102" s="7"/>
      <c r="P3102" s="7"/>
      <c r="Q3102" s="7"/>
      <c r="R3102" s="7"/>
      <c r="S3102" s="7" t="s">
        <v>3121</v>
      </c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 t="str">
        <f t="shared" si="1"/>
        <v>Land area </v>
      </c>
      <c r="AE3102" s="7" t="str">
        <f t="shared" si="2"/>
        <v> sq. ft.</v>
      </c>
      <c r="AF3102">
        <f>IFERROR(__xludf.DUMMYFUNCTION("VALUE(REGEXREPLACE(G3102,""[^[:digit:]]"", """"))"),2070.0)</f>
        <v>2070</v>
      </c>
      <c r="AG3102" s="7"/>
      <c r="AH3102" s="7"/>
      <c r="AI3102" s="7"/>
      <c r="AJ3102" s="7"/>
      <c r="AK3102" s="7"/>
      <c r="AL3102" s="7"/>
      <c r="AM3102" s="7"/>
      <c r="AN3102" s="7"/>
      <c r="AO3102" s="7"/>
      <c r="AP3102" s="7"/>
      <c r="AQ3102" s="7"/>
      <c r="AR3102" s="7"/>
      <c r="AS3102" s="7" t="s">
        <v>27</v>
      </c>
    </row>
    <row r="3103">
      <c r="A3103" s="7" t="s">
        <v>267</v>
      </c>
      <c r="B3103" s="7" t="s">
        <v>1823</v>
      </c>
      <c r="C3103" s="7">
        <f>2</f>
        <v>2</v>
      </c>
      <c r="D3103" s="7">
        <v>2.0</v>
      </c>
      <c r="E3103" s="7">
        <v>1.0</v>
      </c>
      <c r="F3103" s="7" t="s">
        <v>20</v>
      </c>
      <c r="G3103" s="7" t="s">
        <v>269</v>
      </c>
      <c r="H3103" s="9" t="s">
        <v>2979</v>
      </c>
      <c r="I3103" t="s">
        <v>3084</v>
      </c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 t="str">
        <f t="shared" si="1"/>
        <v>Built-up :</v>
      </c>
      <c r="AE3103" s="7" t="str">
        <f t="shared" si="2"/>
        <v> sq. ft.</v>
      </c>
      <c r="AF3103">
        <f>IFERROR(__xludf.DUMMYFUNCTION("VALUE(REGEXREPLACE(G3103,""[^[:digit:]]"", """"))"),715.0)</f>
        <v>715</v>
      </c>
      <c r="AG3103" s="7"/>
      <c r="AH3103" s="7"/>
      <c r="AI3103" s="7"/>
      <c r="AJ3103" s="7"/>
      <c r="AK3103" s="7"/>
      <c r="AL3103" s="7"/>
      <c r="AM3103" s="7"/>
      <c r="AN3103" s="7"/>
      <c r="AO3103" s="7"/>
      <c r="AP3103" s="7"/>
      <c r="AQ3103" s="7"/>
      <c r="AR3103" s="7"/>
      <c r="AS3103" s="7" t="s">
        <v>27</v>
      </c>
    </row>
    <row r="3104">
      <c r="A3104" s="7" t="s">
        <v>267</v>
      </c>
      <c r="B3104" s="7" t="s">
        <v>603</v>
      </c>
      <c r="C3104" s="7">
        <f t="shared" ref="C3104:C3105" si="415">3</f>
        <v>3</v>
      </c>
      <c r="D3104" s="7">
        <v>2.0</v>
      </c>
      <c r="E3104" s="7">
        <v>1.0</v>
      </c>
      <c r="F3104" s="7" t="s">
        <v>20</v>
      </c>
      <c r="G3104" s="7" t="s">
        <v>954</v>
      </c>
      <c r="H3104" s="9" t="s">
        <v>2979</v>
      </c>
      <c r="I3104" t="s">
        <v>3424</v>
      </c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 t="str">
        <f t="shared" si="1"/>
        <v>Built-up :</v>
      </c>
      <c r="AE3104" s="7" t="str">
        <f t="shared" si="2"/>
        <v> sq. ft.</v>
      </c>
      <c r="AF3104">
        <f>IFERROR(__xludf.DUMMYFUNCTION("VALUE(REGEXREPLACE(G3104,""[^[:digit:]]"", """"))"),935.0)</f>
        <v>935</v>
      </c>
      <c r="AG3104" s="7"/>
      <c r="AH3104" s="7"/>
      <c r="AI3104" s="7"/>
      <c r="AJ3104" s="7"/>
      <c r="AK3104" s="7"/>
      <c r="AL3104" s="7"/>
      <c r="AM3104" s="7"/>
      <c r="AN3104" s="7"/>
      <c r="AO3104" s="7"/>
      <c r="AP3104" s="7"/>
      <c r="AQ3104" s="7"/>
      <c r="AR3104" s="7"/>
      <c r="AS3104" s="7" t="s">
        <v>27</v>
      </c>
    </row>
    <row r="3105">
      <c r="A3105" s="7" t="s">
        <v>148</v>
      </c>
      <c r="B3105" s="7" t="s">
        <v>761</v>
      </c>
      <c r="C3105" s="7">
        <f t="shared" si="415"/>
        <v>3</v>
      </c>
      <c r="D3105" s="7">
        <v>2.0</v>
      </c>
      <c r="E3105" s="9">
        <v>2.0</v>
      </c>
      <c r="F3105" s="7" t="s">
        <v>20</v>
      </c>
      <c r="G3105" s="7" t="s">
        <v>2180</v>
      </c>
      <c r="H3105" s="9" t="s">
        <v>2979</v>
      </c>
      <c r="I3105" t="s">
        <v>4163</v>
      </c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 t="str">
        <f t="shared" si="1"/>
        <v>Built-up :</v>
      </c>
      <c r="AE3105" s="7" t="str">
        <f t="shared" si="2"/>
        <v> sq. ft.</v>
      </c>
      <c r="AF3105">
        <f>IFERROR(__xludf.DUMMYFUNCTION("VALUE(REGEXREPLACE(G3105,""[^[:digit:]]"", """"))"),1007.0)</f>
        <v>1007</v>
      </c>
      <c r="AG3105" s="7"/>
      <c r="AH3105" s="7"/>
      <c r="AI3105" s="7"/>
      <c r="AJ3105" s="7"/>
      <c r="AK3105" s="7"/>
      <c r="AL3105" s="7"/>
      <c r="AM3105" s="7"/>
      <c r="AN3105" s="7"/>
      <c r="AO3105" s="7"/>
      <c r="AP3105" s="7"/>
      <c r="AQ3105" s="7"/>
      <c r="AR3105" s="7"/>
      <c r="AS3105" s="7" t="s">
        <v>27</v>
      </c>
    </row>
    <row r="3106">
      <c r="A3106" s="7" t="s">
        <v>155</v>
      </c>
      <c r="B3106" s="7" t="s">
        <v>511</v>
      </c>
      <c r="C3106" s="7">
        <f t="shared" ref="C3106:C3107" si="416">3+1</f>
        <v>4</v>
      </c>
      <c r="D3106" s="7">
        <v>4.0</v>
      </c>
      <c r="E3106" s="7">
        <v>2.0</v>
      </c>
      <c r="F3106" s="7" t="s">
        <v>83</v>
      </c>
      <c r="G3106" s="7" t="s">
        <v>2181</v>
      </c>
      <c r="H3106" s="9" t="s">
        <v>2979</v>
      </c>
      <c r="I3106" t="s">
        <v>4164</v>
      </c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 t="str">
        <f t="shared" si="1"/>
        <v>Built-up :</v>
      </c>
      <c r="AE3106" s="7" t="str">
        <f t="shared" si="2"/>
        <v> sq. ft.</v>
      </c>
      <c r="AF3106">
        <f>IFERROR(__xludf.DUMMYFUNCTION("VALUE(REGEXREPLACE(G3106,""[^[:digit:]]"", """"))"),1757.0)</f>
        <v>1757</v>
      </c>
      <c r="AG3106" s="7"/>
      <c r="AH3106" s="7"/>
      <c r="AI3106" s="7"/>
      <c r="AJ3106" s="7"/>
      <c r="AK3106" s="7"/>
      <c r="AL3106" s="7"/>
      <c r="AM3106" s="7"/>
      <c r="AN3106" s="7"/>
      <c r="AO3106" s="7"/>
      <c r="AP3106" s="7"/>
      <c r="AQ3106" s="7"/>
      <c r="AR3106" s="7"/>
      <c r="AS3106" s="7" t="s">
        <v>22</v>
      </c>
    </row>
    <row r="3107">
      <c r="A3107" s="7" t="s">
        <v>171</v>
      </c>
      <c r="B3107" s="7" t="s">
        <v>507</v>
      </c>
      <c r="C3107" s="7">
        <f t="shared" si="416"/>
        <v>4</v>
      </c>
      <c r="D3107" s="7">
        <v>3.0</v>
      </c>
      <c r="E3107" s="7">
        <v>1.0</v>
      </c>
      <c r="F3107" s="7" t="s">
        <v>83</v>
      </c>
      <c r="G3107" s="7" t="s">
        <v>2182</v>
      </c>
      <c r="H3107" s="9" t="s">
        <v>2979</v>
      </c>
      <c r="I3107" t="s">
        <v>4165</v>
      </c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 t="str">
        <f t="shared" si="1"/>
        <v>Built-up :</v>
      </c>
      <c r="AE3107" s="7" t="str">
        <f t="shared" si="2"/>
        <v> sq. ft.</v>
      </c>
      <c r="AF3107">
        <f>IFERROR(__xludf.DUMMYFUNCTION("VALUE(REGEXREPLACE(G3107,""[^[:digit:]]"", """"))"),1416.0)</f>
        <v>1416</v>
      </c>
      <c r="AG3107" s="7"/>
      <c r="AH3107" s="7"/>
      <c r="AI3107" s="7"/>
      <c r="AJ3107" s="7"/>
      <c r="AK3107" s="7"/>
      <c r="AL3107" s="7"/>
      <c r="AM3107" s="7"/>
      <c r="AN3107" s="7"/>
      <c r="AO3107" s="7"/>
      <c r="AP3107" s="7"/>
      <c r="AQ3107" s="7"/>
      <c r="AR3107" s="7"/>
    </row>
    <row r="3108">
      <c r="A3108" s="7" t="s">
        <v>171</v>
      </c>
      <c r="B3108" s="7" t="s">
        <v>1140</v>
      </c>
      <c r="C3108" s="7" t="s">
        <v>325</v>
      </c>
      <c r="D3108" s="7">
        <v>1.0</v>
      </c>
      <c r="E3108" s="7">
        <v>1.0</v>
      </c>
      <c r="F3108" s="7" t="s">
        <v>20</v>
      </c>
      <c r="G3108" s="7" t="s">
        <v>2183</v>
      </c>
      <c r="H3108" s="9" t="s">
        <v>2979</v>
      </c>
      <c r="I3108" t="s">
        <v>4166</v>
      </c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 t="str">
        <f t="shared" si="1"/>
        <v>Built-up :</v>
      </c>
      <c r="AE3108" s="7" t="str">
        <f t="shared" si="2"/>
        <v> sq. ft.</v>
      </c>
      <c r="AF3108">
        <f>IFERROR(__xludf.DUMMYFUNCTION("VALUE(REGEXREPLACE(G3108,""[^[:digit:]]"", """"))"),543.0)</f>
        <v>543</v>
      </c>
      <c r="AG3108" s="7"/>
      <c r="AH3108" s="7"/>
      <c r="AI3108" s="7"/>
      <c r="AJ3108" s="7"/>
      <c r="AK3108" s="7"/>
      <c r="AL3108" s="7"/>
      <c r="AM3108" s="7"/>
      <c r="AN3108" s="7"/>
      <c r="AO3108" s="7"/>
      <c r="AP3108" s="7"/>
      <c r="AQ3108" s="7"/>
      <c r="AR3108" s="7"/>
      <c r="AS3108" s="7" t="s">
        <v>27</v>
      </c>
    </row>
    <row r="3109">
      <c r="A3109" s="7" t="s">
        <v>171</v>
      </c>
      <c r="B3109" s="7" t="s">
        <v>563</v>
      </c>
      <c r="C3109" s="7">
        <f t="shared" ref="C3109:C3110" si="417">3+1</f>
        <v>4</v>
      </c>
      <c r="D3109" s="7">
        <v>2.0</v>
      </c>
      <c r="E3109" s="7">
        <v>2.0</v>
      </c>
      <c r="F3109" s="7" t="s">
        <v>83</v>
      </c>
      <c r="G3109" s="7" t="s">
        <v>1371</v>
      </c>
      <c r="H3109" s="9" t="s">
        <v>2979</v>
      </c>
      <c r="I3109" t="s">
        <v>3678</v>
      </c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 t="str">
        <f t="shared" si="1"/>
        <v>Built-up :</v>
      </c>
      <c r="AE3109" s="7" t="str">
        <f t="shared" si="2"/>
        <v> sq. ft.</v>
      </c>
      <c r="AF3109">
        <f>IFERROR(__xludf.DUMMYFUNCTION("VALUE(REGEXREPLACE(G3109,""[^[:digit:]]"", """"))"),1362.0)</f>
        <v>1362</v>
      </c>
      <c r="AG3109" s="7"/>
      <c r="AH3109" s="7"/>
      <c r="AI3109" s="7"/>
      <c r="AJ3109" s="7"/>
      <c r="AK3109" s="7"/>
      <c r="AL3109" s="7"/>
      <c r="AM3109" s="7"/>
      <c r="AN3109" s="7"/>
      <c r="AO3109" s="7"/>
      <c r="AP3109" s="7"/>
      <c r="AQ3109" s="7"/>
      <c r="AR3109" s="7"/>
    </row>
    <row r="3110">
      <c r="A3110" s="7" t="s">
        <v>371</v>
      </c>
      <c r="B3110" s="7" t="s">
        <v>983</v>
      </c>
      <c r="C3110" s="7">
        <f t="shared" si="417"/>
        <v>4</v>
      </c>
      <c r="D3110" s="7">
        <v>3.0</v>
      </c>
      <c r="E3110" s="7">
        <v>1.0</v>
      </c>
      <c r="F3110" s="7" t="s">
        <v>83</v>
      </c>
      <c r="G3110" s="7" t="s">
        <v>1521</v>
      </c>
      <c r="H3110" s="9" t="s">
        <v>2979</v>
      </c>
      <c r="I3110" t="s">
        <v>3758</v>
      </c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 t="str">
        <f t="shared" si="1"/>
        <v>Built-up :</v>
      </c>
      <c r="AE3110" s="7" t="str">
        <f t="shared" si="2"/>
        <v> sq. ft.</v>
      </c>
      <c r="AF3110">
        <f>IFERROR(__xludf.DUMMYFUNCTION("VALUE(REGEXREPLACE(G3110,""[^[:digit:]]"", """"))"),1267.0)</f>
        <v>1267</v>
      </c>
      <c r="AG3110" s="7"/>
      <c r="AH3110" s="7"/>
      <c r="AI3110" s="7"/>
      <c r="AJ3110" s="7"/>
      <c r="AK3110" s="7"/>
      <c r="AL3110" s="7"/>
      <c r="AM3110" s="7"/>
      <c r="AN3110" s="7"/>
      <c r="AO3110" s="7"/>
      <c r="AP3110" s="7"/>
      <c r="AQ3110" s="7"/>
      <c r="AR3110" s="7"/>
    </row>
    <row r="3111">
      <c r="A3111" s="7" t="s">
        <v>171</v>
      </c>
      <c r="B3111" s="7" t="s">
        <v>502</v>
      </c>
      <c r="C3111" s="7">
        <f>4</f>
        <v>4</v>
      </c>
      <c r="D3111" s="7">
        <v>2.0</v>
      </c>
      <c r="E3111" s="9">
        <v>2.0</v>
      </c>
      <c r="F3111" s="7" t="s">
        <v>83</v>
      </c>
      <c r="H3111" s="9" t="s">
        <v>2984</v>
      </c>
      <c r="I3111" t="s">
        <v>2985</v>
      </c>
      <c r="AD3111" s="7" t="str">
        <f t="shared" si="1"/>
        <v/>
      </c>
      <c r="AE3111" s="7" t="str">
        <f t="shared" si="2"/>
        <v/>
      </c>
      <c r="AF3111">
        <f>IFERROR(__xludf.DUMMYFUNCTION("VALUE(REGEXREPLACE(G3111,""[^[:digit:]]"", """"))"),0.0)</f>
        <v>0</v>
      </c>
    </row>
    <row r="3112">
      <c r="A3112" s="7" t="s">
        <v>171</v>
      </c>
      <c r="B3112" s="7" t="s">
        <v>975</v>
      </c>
      <c r="C3112" s="7">
        <f>3</f>
        <v>3</v>
      </c>
      <c r="D3112" s="7">
        <v>2.0</v>
      </c>
      <c r="E3112" s="9">
        <v>2.0</v>
      </c>
      <c r="F3112" s="7" t="s">
        <v>83</v>
      </c>
      <c r="H3112" s="9" t="s">
        <v>2984</v>
      </c>
      <c r="I3112" t="s">
        <v>2985</v>
      </c>
      <c r="AD3112" s="7" t="str">
        <f t="shared" si="1"/>
        <v/>
      </c>
      <c r="AE3112" s="7" t="str">
        <f t="shared" si="2"/>
        <v/>
      </c>
      <c r="AF3112">
        <f>IFERROR(__xludf.DUMMYFUNCTION("VALUE(REGEXREPLACE(G3112,""[^[:digit:]]"", """"))"),0.0)</f>
        <v>0</v>
      </c>
    </row>
    <row r="3113">
      <c r="A3113" s="7" t="s">
        <v>171</v>
      </c>
      <c r="B3113" s="7" t="s">
        <v>172</v>
      </c>
      <c r="C3113" s="7">
        <f>4</f>
        <v>4</v>
      </c>
      <c r="D3113" s="7">
        <v>2.0</v>
      </c>
      <c r="E3113" s="7">
        <v>3.0</v>
      </c>
      <c r="F3113" s="7" t="s">
        <v>83</v>
      </c>
      <c r="H3113" s="9" t="s">
        <v>2984</v>
      </c>
      <c r="I3113" t="s">
        <v>2985</v>
      </c>
      <c r="AD3113" s="7" t="str">
        <f t="shared" si="1"/>
        <v/>
      </c>
      <c r="AE3113" s="7" t="str">
        <f t="shared" si="2"/>
        <v/>
      </c>
      <c r="AF3113">
        <f>IFERROR(__xludf.DUMMYFUNCTION("VALUE(REGEXREPLACE(G3113,""[^[:digit:]]"", """"))"),0.0)</f>
        <v>0</v>
      </c>
    </row>
    <row r="3114">
      <c r="A3114" s="7" t="s">
        <v>171</v>
      </c>
      <c r="B3114" s="7" t="s">
        <v>2184</v>
      </c>
      <c r="C3114" s="7">
        <f>3</f>
        <v>3</v>
      </c>
      <c r="D3114" s="7">
        <v>2.0</v>
      </c>
      <c r="E3114" s="7">
        <v>1.0</v>
      </c>
      <c r="F3114" s="7" t="s">
        <v>83</v>
      </c>
      <c r="G3114" s="7" t="s">
        <v>1449</v>
      </c>
      <c r="H3114" s="9" t="s">
        <v>2979</v>
      </c>
      <c r="I3114" t="s">
        <v>3721</v>
      </c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7" t="str">
        <f t="shared" si="1"/>
        <v>Built-up :</v>
      </c>
      <c r="AE3114" s="7" t="str">
        <f t="shared" si="2"/>
        <v> sq. ft.</v>
      </c>
      <c r="AF3114">
        <f>IFERROR(__xludf.DUMMYFUNCTION("VALUE(REGEXREPLACE(G3114,""[^[:digit:]]"", """"))"),931.0)</f>
        <v>931</v>
      </c>
      <c r="AG3114" s="7"/>
      <c r="AH3114" s="7"/>
      <c r="AI3114" s="7"/>
      <c r="AJ3114" s="7"/>
      <c r="AK3114" s="7"/>
      <c r="AL3114" s="7"/>
      <c r="AM3114" s="7"/>
      <c r="AN3114" s="7"/>
      <c r="AO3114" s="7"/>
      <c r="AP3114" s="7"/>
      <c r="AQ3114" s="7"/>
      <c r="AR3114" s="7"/>
    </row>
    <row r="3115">
      <c r="A3115" s="7" t="s">
        <v>171</v>
      </c>
      <c r="B3115" s="7" t="s">
        <v>268</v>
      </c>
      <c r="C3115" s="7">
        <f t="shared" ref="C3115:C3116" si="418">4</f>
        <v>4</v>
      </c>
      <c r="D3115" s="7">
        <v>2.0</v>
      </c>
      <c r="E3115" s="9">
        <v>2.0</v>
      </c>
      <c r="F3115" s="7" t="s">
        <v>83</v>
      </c>
      <c r="H3115" s="9" t="s">
        <v>2984</v>
      </c>
      <c r="I3115" t="s">
        <v>2985</v>
      </c>
      <c r="AD3115" s="7" t="str">
        <f t="shared" si="1"/>
        <v/>
      </c>
      <c r="AE3115" s="7" t="str">
        <f t="shared" si="2"/>
        <v/>
      </c>
      <c r="AF3115">
        <f>IFERROR(__xludf.DUMMYFUNCTION("VALUE(REGEXREPLACE(G3115,""[^[:digit:]]"", """"))"),0.0)</f>
        <v>0</v>
      </c>
    </row>
    <row r="3116">
      <c r="A3116" s="7" t="s">
        <v>171</v>
      </c>
      <c r="B3116" s="7" t="s">
        <v>2185</v>
      </c>
      <c r="C3116" s="7">
        <f t="shared" si="418"/>
        <v>4</v>
      </c>
      <c r="D3116" s="7">
        <v>2.0</v>
      </c>
      <c r="E3116" s="9">
        <v>2.0</v>
      </c>
      <c r="F3116" s="7" t="s">
        <v>83</v>
      </c>
      <c r="H3116" s="9" t="s">
        <v>2984</v>
      </c>
      <c r="I3116" t="s">
        <v>2985</v>
      </c>
      <c r="AD3116" s="7" t="str">
        <f t="shared" si="1"/>
        <v/>
      </c>
      <c r="AE3116" s="7" t="str">
        <f t="shared" si="2"/>
        <v/>
      </c>
      <c r="AF3116">
        <f>IFERROR(__xludf.DUMMYFUNCTION("VALUE(REGEXREPLACE(G3116,""[^[:digit:]]"", """"))"),0.0)</f>
        <v>0</v>
      </c>
    </row>
    <row r="3117">
      <c r="A3117" s="7" t="s">
        <v>171</v>
      </c>
      <c r="B3117" s="7" t="s">
        <v>975</v>
      </c>
      <c r="C3117" s="7">
        <f>3</f>
        <v>3</v>
      </c>
      <c r="D3117" s="7">
        <v>2.0</v>
      </c>
      <c r="E3117" s="7">
        <v>1.0</v>
      </c>
      <c r="F3117" s="7" t="s">
        <v>83</v>
      </c>
      <c r="H3117" s="9" t="s">
        <v>2984</v>
      </c>
      <c r="I3117" t="s">
        <v>2985</v>
      </c>
      <c r="AD3117" s="7" t="str">
        <f t="shared" si="1"/>
        <v/>
      </c>
      <c r="AE3117" s="7" t="str">
        <f t="shared" si="2"/>
        <v/>
      </c>
      <c r="AF3117">
        <f>IFERROR(__xludf.DUMMYFUNCTION("VALUE(REGEXREPLACE(G3117,""[^[:digit:]]"", """"))"),0.0)</f>
        <v>0</v>
      </c>
    </row>
    <row r="3118">
      <c r="A3118" s="7" t="s">
        <v>171</v>
      </c>
      <c r="B3118" s="7" t="s">
        <v>1140</v>
      </c>
      <c r="C3118" s="7" t="s">
        <v>325</v>
      </c>
      <c r="D3118" s="7">
        <v>1.0</v>
      </c>
      <c r="E3118" s="7">
        <v>1.0</v>
      </c>
      <c r="F3118" s="7" t="s">
        <v>20</v>
      </c>
      <c r="G3118" s="7" t="s">
        <v>2183</v>
      </c>
      <c r="H3118" s="9" t="s">
        <v>2979</v>
      </c>
      <c r="I3118" t="s">
        <v>4166</v>
      </c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  <c r="AB3118" s="7"/>
      <c r="AC3118" s="7"/>
      <c r="AD3118" s="7" t="str">
        <f t="shared" si="1"/>
        <v>Built-up :</v>
      </c>
      <c r="AE3118" s="7" t="str">
        <f t="shared" si="2"/>
        <v> sq. ft.</v>
      </c>
      <c r="AF3118">
        <f>IFERROR(__xludf.DUMMYFUNCTION("VALUE(REGEXREPLACE(G3118,""[^[:digit:]]"", """"))"),543.0)</f>
        <v>543</v>
      </c>
      <c r="AG3118" s="7"/>
      <c r="AH3118" s="7"/>
      <c r="AI3118" s="7"/>
      <c r="AJ3118" s="7"/>
      <c r="AK3118" s="7"/>
      <c r="AL3118" s="7"/>
      <c r="AM3118" s="7"/>
      <c r="AN3118" s="7"/>
      <c r="AO3118" s="7"/>
      <c r="AP3118" s="7"/>
      <c r="AQ3118" s="7"/>
      <c r="AR3118" s="7"/>
      <c r="AS3118" s="7" t="s">
        <v>27</v>
      </c>
    </row>
    <row r="3119">
      <c r="A3119" s="7" t="s">
        <v>171</v>
      </c>
      <c r="B3119" s="7" t="s">
        <v>543</v>
      </c>
      <c r="C3119" s="7">
        <f t="shared" ref="C3119:C3120" si="419">4</f>
        <v>4</v>
      </c>
      <c r="D3119" s="7">
        <v>2.0</v>
      </c>
      <c r="E3119" s="9">
        <v>2.0</v>
      </c>
      <c r="F3119" s="7" t="s">
        <v>83</v>
      </c>
      <c r="H3119" s="9" t="s">
        <v>2984</v>
      </c>
      <c r="I3119" t="s">
        <v>2985</v>
      </c>
      <c r="AD3119" s="7" t="str">
        <f t="shared" si="1"/>
        <v/>
      </c>
      <c r="AE3119" s="7" t="str">
        <f t="shared" si="2"/>
        <v/>
      </c>
      <c r="AF3119">
        <f>IFERROR(__xludf.DUMMYFUNCTION("VALUE(REGEXREPLACE(G3119,""[^[:digit:]]"", """"))"),0.0)</f>
        <v>0</v>
      </c>
    </row>
    <row r="3120">
      <c r="A3120" s="7" t="s">
        <v>171</v>
      </c>
      <c r="B3120" s="7" t="s">
        <v>702</v>
      </c>
      <c r="C3120" s="7">
        <f t="shared" si="419"/>
        <v>4</v>
      </c>
      <c r="D3120" s="7">
        <v>2.0</v>
      </c>
      <c r="E3120" s="9">
        <v>2.0</v>
      </c>
      <c r="F3120" s="7" t="s">
        <v>83</v>
      </c>
      <c r="H3120" s="9" t="s">
        <v>2984</v>
      </c>
      <c r="I3120" t="s">
        <v>2985</v>
      </c>
      <c r="AD3120" s="7" t="str">
        <f t="shared" si="1"/>
        <v/>
      </c>
      <c r="AE3120" s="7" t="str">
        <f t="shared" si="2"/>
        <v/>
      </c>
      <c r="AF3120">
        <f>IFERROR(__xludf.DUMMYFUNCTION("VALUE(REGEXREPLACE(G3120,""[^[:digit:]]"", """"))"),0.0)</f>
        <v>0</v>
      </c>
    </row>
    <row r="3121">
      <c r="A3121" s="7" t="s">
        <v>171</v>
      </c>
      <c r="B3121" s="7" t="s">
        <v>105</v>
      </c>
      <c r="C3121" s="7">
        <f t="shared" ref="C3121:C3122" si="420">3</f>
        <v>3</v>
      </c>
      <c r="D3121" s="7">
        <v>4.0</v>
      </c>
      <c r="E3121" s="7">
        <v>2.0</v>
      </c>
      <c r="F3121" s="7" t="s">
        <v>20</v>
      </c>
      <c r="G3121" s="7" t="s">
        <v>1505</v>
      </c>
      <c r="H3121" s="9" t="s">
        <v>2979</v>
      </c>
      <c r="I3121" t="s">
        <v>3750</v>
      </c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7" t="str">
        <f t="shared" si="1"/>
        <v>Built-up :</v>
      </c>
      <c r="AE3121" s="7" t="str">
        <f t="shared" si="2"/>
        <v> sq. ft.</v>
      </c>
      <c r="AF3121">
        <f>IFERROR(__xludf.DUMMYFUNCTION("VALUE(REGEXREPLACE(G3121,""[^[:digit:]]"", """"))"),1281.0)</f>
        <v>1281</v>
      </c>
      <c r="AG3121" s="7"/>
      <c r="AH3121" s="7"/>
      <c r="AI3121" s="7"/>
      <c r="AJ3121" s="7"/>
      <c r="AK3121" s="7"/>
      <c r="AL3121" s="7"/>
      <c r="AM3121" s="7"/>
      <c r="AN3121" s="7"/>
      <c r="AO3121" s="7"/>
      <c r="AP3121" s="7"/>
      <c r="AQ3121" s="7"/>
      <c r="AR3121" s="7"/>
    </row>
    <row r="3122">
      <c r="A3122" s="7" t="s">
        <v>171</v>
      </c>
      <c r="B3122" s="7" t="s">
        <v>2186</v>
      </c>
      <c r="C3122" s="7">
        <f t="shared" si="420"/>
        <v>3</v>
      </c>
      <c r="D3122" s="7">
        <v>2.0</v>
      </c>
      <c r="E3122" s="9">
        <v>2.0</v>
      </c>
      <c r="F3122" s="7" t="s">
        <v>83</v>
      </c>
      <c r="H3122" s="9" t="s">
        <v>2984</v>
      </c>
      <c r="I3122" t="s">
        <v>2985</v>
      </c>
      <c r="AD3122" s="7" t="str">
        <f t="shared" si="1"/>
        <v/>
      </c>
      <c r="AE3122" s="7" t="str">
        <f t="shared" si="2"/>
        <v/>
      </c>
      <c r="AF3122">
        <f>IFERROR(__xludf.DUMMYFUNCTION("VALUE(REGEXREPLACE(G3122,""[^[:digit:]]"", """"))"),0.0)</f>
        <v>0</v>
      </c>
    </row>
    <row r="3123">
      <c r="A3123" s="7" t="s">
        <v>171</v>
      </c>
      <c r="B3123" s="7" t="s">
        <v>759</v>
      </c>
      <c r="C3123" s="7">
        <f t="shared" ref="C3123:C3125" si="421">4</f>
        <v>4</v>
      </c>
      <c r="D3123" s="7">
        <v>2.0</v>
      </c>
      <c r="E3123" s="9">
        <v>2.0</v>
      </c>
      <c r="F3123" s="7" t="s">
        <v>83</v>
      </c>
      <c r="H3123" s="9" t="s">
        <v>2984</v>
      </c>
      <c r="I3123" t="s">
        <v>2985</v>
      </c>
      <c r="AD3123" s="7" t="str">
        <f t="shared" si="1"/>
        <v/>
      </c>
      <c r="AE3123" s="7" t="str">
        <f t="shared" si="2"/>
        <v/>
      </c>
      <c r="AF3123">
        <f>IFERROR(__xludf.DUMMYFUNCTION("VALUE(REGEXREPLACE(G3123,""[^[:digit:]]"", """"))"),0.0)</f>
        <v>0</v>
      </c>
    </row>
    <row r="3124">
      <c r="A3124" s="7" t="s">
        <v>171</v>
      </c>
      <c r="B3124" s="7" t="s">
        <v>268</v>
      </c>
      <c r="C3124" s="7">
        <f t="shared" si="421"/>
        <v>4</v>
      </c>
      <c r="D3124" s="7">
        <v>2.0</v>
      </c>
      <c r="E3124" s="7">
        <v>2.0</v>
      </c>
      <c r="F3124" s="7" t="s">
        <v>83</v>
      </c>
      <c r="H3124" s="9" t="s">
        <v>2984</v>
      </c>
      <c r="I3124" t="s">
        <v>2985</v>
      </c>
      <c r="AD3124" s="7" t="str">
        <f t="shared" si="1"/>
        <v/>
      </c>
      <c r="AE3124" s="7" t="str">
        <f t="shared" si="2"/>
        <v/>
      </c>
      <c r="AF3124">
        <f>IFERROR(__xludf.DUMMYFUNCTION("VALUE(REGEXREPLACE(G3124,""[^[:digit:]]"", """"))"),0.0)</f>
        <v>0</v>
      </c>
    </row>
    <row r="3125">
      <c r="A3125" s="7" t="s">
        <v>171</v>
      </c>
      <c r="B3125" s="7" t="s">
        <v>2185</v>
      </c>
      <c r="C3125" s="7">
        <f t="shared" si="421"/>
        <v>4</v>
      </c>
      <c r="D3125" s="7">
        <v>2.0</v>
      </c>
      <c r="E3125" s="7">
        <v>2.0</v>
      </c>
      <c r="F3125" s="7" t="s">
        <v>83</v>
      </c>
      <c r="H3125" s="9" t="s">
        <v>2984</v>
      </c>
      <c r="I3125" t="s">
        <v>2985</v>
      </c>
      <c r="AD3125" s="7" t="str">
        <f t="shared" si="1"/>
        <v/>
      </c>
      <c r="AE3125" s="7" t="str">
        <f t="shared" si="2"/>
        <v/>
      </c>
      <c r="AF3125">
        <f>IFERROR(__xludf.DUMMYFUNCTION("VALUE(REGEXREPLACE(G3125,""[^[:digit:]]"", """"))"),0.0)</f>
        <v>0</v>
      </c>
    </row>
    <row r="3126">
      <c r="A3126" s="7" t="s">
        <v>171</v>
      </c>
      <c r="B3126" s="7" t="s">
        <v>575</v>
      </c>
      <c r="C3126" s="7">
        <f>3</f>
        <v>3</v>
      </c>
      <c r="D3126" s="7">
        <v>3.0</v>
      </c>
      <c r="E3126" s="7">
        <v>2.0</v>
      </c>
      <c r="F3126" s="7" t="s">
        <v>20</v>
      </c>
      <c r="H3126" s="9" t="s">
        <v>2984</v>
      </c>
      <c r="I3126" t="s">
        <v>2985</v>
      </c>
      <c r="AD3126" s="7" t="str">
        <f t="shared" si="1"/>
        <v/>
      </c>
      <c r="AE3126" s="7" t="str">
        <f t="shared" si="2"/>
        <v/>
      </c>
      <c r="AF3126">
        <f>IFERROR(__xludf.DUMMYFUNCTION("VALUE(REGEXREPLACE(G3126,""[^[:digit:]]"", """"))"),0.0)</f>
        <v>0</v>
      </c>
      <c r="AS3126" s="7" t="s">
        <v>27</v>
      </c>
    </row>
    <row r="3127">
      <c r="A3127" s="7" t="s">
        <v>171</v>
      </c>
      <c r="B3127" s="7" t="s">
        <v>715</v>
      </c>
      <c r="C3127" s="7">
        <f>4</f>
        <v>4</v>
      </c>
      <c r="D3127" s="7">
        <v>2.0</v>
      </c>
      <c r="E3127" s="9">
        <v>2.0</v>
      </c>
      <c r="F3127" s="7" t="s">
        <v>83</v>
      </c>
      <c r="H3127" s="9" t="s">
        <v>2984</v>
      </c>
      <c r="I3127" t="s">
        <v>2985</v>
      </c>
      <c r="AD3127" s="7" t="str">
        <f t="shared" si="1"/>
        <v/>
      </c>
      <c r="AE3127" s="7" t="str">
        <f t="shared" si="2"/>
        <v/>
      </c>
      <c r="AF3127">
        <f>IFERROR(__xludf.DUMMYFUNCTION("VALUE(REGEXREPLACE(G3127,""[^[:digit:]]"", """"))"),0.0)</f>
        <v>0</v>
      </c>
    </row>
    <row r="3128">
      <c r="A3128" s="7" t="s">
        <v>368</v>
      </c>
      <c r="B3128" s="7" t="s">
        <v>268</v>
      </c>
      <c r="C3128" s="7">
        <f t="shared" ref="C3128:C3130" si="422">3</f>
        <v>3</v>
      </c>
      <c r="D3128" s="7">
        <v>2.0</v>
      </c>
      <c r="E3128" s="7">
        <v>2.0</v>
      </c>
      <c r="F3128" s="7" t="s">
        <v>20</v>
      </c>
      <c r="G3128" s="7" t="s">
        <v>2187</v>
      </c>
      <c r="H3128" s="9" t="s">
        <v>2979</v>
      </c>
      <c r="I3128" t="s">
        <v>4167</v>
      </c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7" t="str">
        <f t="shared" si="1"/>
        <v>Built-up :</v>
      </c>
      <c r="AE3128" s="7" t="str">
        <f t="shared" si="2"/>
        <v> sq. ft.</v>
      </c>
      <c r="AF3128">
        <f>IFERROR(__xludf.DUMMYFUNCTION("VALUE(REGEXREPLACE(G3128,""[^[:digit:]]"", """"))"),975.0)</f>
        <v>975</v>
      </c>
      <c r="AG3128" s="7"/>
      <c r="AH3128" s="7"/>
      <c r="AI3128" s="7"/>
      <c r="AJ3128" s="7"/>
      <c r="AK3128" s="7"/>
      <c r="AL3128" s="7"/>
      <c r="AM3128" s="7"/>
      <c r="AN3128" s="7"/>
      <c r="AO3128" s="7"/>
      <c r="AP3128" s="7"/>
      <c r="AQ3128" s="7"/>
      <c r="AR3128" s="7"/>
      <c r="AS3128" s="7" t="s">
        <v>27</v>
      </c>
    </row>
    <row r="3129">
      <c r="A3129" s="7" t="s">
        <v>155</v>
      </c>
      <c r="B3129" s="7" t="s">
        <v>87</v>
      </c>
      <c r="C3129" s="7">
        <f t="shared" si="422"/>
        <v>3</v>
      </c>
      <c r="D3129" s="7">
        <v>2.0</v>
      </c>
      <c r="E3129" s="7">
        <v>1.0</v>
      </c>
      <c r="F3129" s="7" t="s">
        <v>20</v>
      </c>
      <c r="H3129" s="9" t="s">
        <v>2984</v>
      </c>
      <c r="I3129" t="s">
        <v>2985</v>
      </c>
      <c r="AD3129" s="7" t="str">
        <f t="shared" si="1"/>
        <v/>
      </c>
      <c r="AE3129" s="7" t="str">
        <f t="shared" si="2"/>
        <v/>
      </c>
      <c r="AF3129">
        <f>IFERROR(__xludf.DUMMYFUNCTION("VALUE(REGEXREPLACE(G3129,""[^[:digit:]]"", """"))"),0.0)</f>
        <v>0</v>
      </c>
    </row>
    <row r="3130">
      <c r="A3130" s="7" t="s">
        <v>1014</v>
      </c>
      <c r="B3130" s="7" t="s">
        <v>268</v>
      </c>
      <c r="C3130" s="7">
        <f t="shared" si="422"/>
        <v>3</v>
      </c>
      <c r="D3130" s="7">
        <v>2.0</v>
      </c>
      <c r="E3130" s="7">
        <v>1.0</v>
      </c>
      <c r="F3130" s="7" t="s">
        <v>83</v>
      </c>
      <c r="G3130" s="7" t="s">
        <v>2188</v>
      </c>
      <c r="H3130" s="9" t="s">
        <v>2979</v>
      </c>
      <c r="I3130" t="s">
        <v>4168</v>
      </c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  <c r="AB3130" s="7"/>
      <c r="AC3130" s="7"/>
      <c r="AD3130" s="7" t="str">
        <f t="shared" si="1"/>
        <v>Built-up :</v>
      </c>
      <c r="AE3130" s="7" t="str">
        <f t="shared" si="2"/>
        <v> sq. ft.</v>
      </c>
      <c r="AF3130">
        <f>IFERROR(__xludf.DUMMYFUNCTION("VALUE(REGEXREPLACE(G3130,""[^[:digit:]]"", """"))"),1037.0)</f>
        <v>1037</v>
      </c>
      <c r="AG3130" s="7"/>
      <c r="AH3130" s="7"/>
      <c r="AI3130" s="7"/>
      <c r="AJ3130" s="7"/>
      <c r="AK3130" s="7"/>
      <c r="AL3130" s="7"/>
      <c r="AM3130" s="7"/>
      <c r="AN3130" s="7"/>
      <c r="AO3130" s="7"/>
      <c r="AP3130" s="7"/>
      <c r="AQ3130" s="7"/>
      <c r="AR3130" s="7"/>
    </row>
    <row r="3131">
      <c r="A3131" s="7" t="s">
        <v>171</v>
      </c>
      <c r="B3131" s="7" t="s">
        <v>1786</v>
      </c>
      <c r="C3131" s="7">
        <f>3+1</f>
        <v>4</v>
      </c>
      <c r="D3131" s="7">
        <v>3.0</v>
      </c>
      <c r="E3131" s="7">
        <v>2.0</v>
      </c>
      <c r="F3131" s="7" t="s">
        <v>83</v>
      </c>
      <c r="G3131" s="7" t="s">
        <v>2189</v>
      </c>
      <c r="H3131" s="9" t="s">
        <v>2979</v>
      </c>
      <c r="I3131" t="s">
        <v>4169</v>
      </c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7" t="str">
        <f t="shared" si="1"/>
        <v>Built-up :</v>
      </c>
      <c r="AE3131" s="7" t="str">
        <f t="shared" si="2"/>
        <v> sq. ft.</v>
      </c>
      <c r="AF3131">
        <f>IFERROR(__xludf.DUMMYFUNCTION("VALUE(REGEXREPLACE(G3131,""[^[:digit:]]"", """"))"),1477.0)</f>
        <v>1477</v>
      </c>
      <c r="AG3131" s="7"/>
      <c r="AH3131" s="7"/>
      <c r="AI3131" s="7"/>
      <c r="AJ3131" s="7"/>
      <c r="AK3131" s="7"/>
      <c r="AL3131" s="7"/>
      <c r="AM3131" s="7"/>
      <c r="AN3131" s="7"/>
      <c r="AO3131" s="7"/>
      <c r="AP3131" s="7"/>
      <c r="AQ3131" s="7"/>
      <c r="AR3131" s="7"/>
      <c r="AS3131" s="7" t="s">
        <v>27</v>
      </c>
    </row>
    <row r="3132">
      <c r="A3132" s="7" t="s">
        <v>155</v>
      </c>
      <c r="B3132" s="7" t="s">
        <v>502</v>
      </c>
      <c r="C3132" s="7">
        <f>3</f>
        <v>3</v>
      </c>
      <c r="D3132" s="7">
        <v>2.0</v>
      </c>
      <c r="E3132" s="7">
        <v>1.0</v>
      </c>
      <c r="F3132" s="7" t="s">
        <v>83</v>
      </c>
      <c r="G3132" s="7" t="s">
        <v>2190</v>
      </c>
      <c r="H3132" s="9" t="s">
        <v>2981</v>
      </c>
      <c r="I3132" t="s">
        <v>4170</v>
      </c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7" t="str">
        <f t="shared" si="1"/>
        <v>Land area </v>
      </c>
      <c r="AE3132" s="7" t="str">
        <f t="shared" si="2"/>
        <v> sq. ft.</v>
      </c>
      <c r="AF3132">
        <f>IFERROR(__xludf.DUMMYFUNCTION("VALUE(REGEXREPLACE(G3132,""[^[:digit:]]"", """"))"),1034.0)</f>
        <v>1034</v>
      </c>
      <c r="AG3132" s="7"/>
      <c r="AH3132" s="7"/>
      <c r="AI3132" s="7"/>
      <c r="AJ3132" s="7"/>
      <c r="AK3132" s="7"/>
      <c r="AL3132" s="7"/>
      <c r="AM3132" s="7"/>
      <c r="AN3132" s="7"/>
      <c r="AO3132" s="7"/>
      <c r="AP3132" s="7"/>
      <c r="AQ3132" s="7"/>
      <c r="AR3132" s="7"/>
    </row>
    <row r="3133">
      <c r="A3133" s="7" t="s">
        <v>428</v>
      </c>
      <c r="B3133" s="7" t="s">
        <v>309</v>
      </c>
      <c r="C3133" s="7">
        <f>3+1</f>
        <v>4</v>
      </c>
      <c r="D3133" s="7">
        <v>5.0</v>
      </c>
      <c r="E3133" s="7">
        <v>2.0</v>
      </c>
      <c r="F3133" s="7" t="s">
        <v>145</v>
      </c>
      <c r="G3133" s="7" t="s">
        <v>2191</v>
      </c>
      <c r="H3133" s="9" t="s">
        <v>2981</v>
      </c>
      <c r="I3133" t="s">
        <v>3421</v>
      </c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7" t="str">
        <f t="shared" si="1"/>
        <v>Land area </v>
      </c>
      <c r="AE3133" s="7" t="str">
        <f t="shared" si="2"/>
        <v> sq. ft.</v>
      </c>
      <c r="AF3133">
        <f>IFERROR(__xludf.DUMMYFUNCTION("VALUE(REGEXREPLACE(G3133,""[^[:digit:]]"", """"))"),960.0)</f>
        <v>960</v>
      </c>
      <c r="AG3133" s="7"/>
      <c r="AH3133" s="7"/>
      <c r="AI3133" s="7"/>
      <c r="AJ3133" s="7"/>
      <c r="AK3133" s="7"/>
      <c r="AL3133" s="7"/>
      <c r="AM3133" s="7"/>
      <c r="AN3133" s="7"/>
      <c r="AO3133" s="7"/>
      <c r="AP3133" s="7"/>
      <c r="AQ3133" s="7"/>
      <c r="AR3133" s="7"/>
      <c r="AS3133" s="7" t="s">
        <v>22</v>
      </c>
    </row>
    <row r="3134">
      <c r="A3134" s="7" t="s">
        <v>72</v>
      </c>
      <c r="B3134" s="7" t="s">
        <v>475</v>
      </c>
      <c r="C3134" s="7">
        <f>4+1</f>
        <v>5</v>
      </c>
      <c r="D3134" s="7">
        <v>5.0</v>
      </c>
      <c r="E3134" s="9">
        <v>2.0</v>
      </c>
      <c r="F3134" s="7" t="s">
        <v>83</v>
      </c>
      <c r="G3134" s="7" t="s">
        <v>113</v>
      </c>
      <c r="H3134" s="9" t="s">
        <v>2979</v>
      </c>
      <c r="I3134" t="s">
        <v>3012</v>
      </c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7" t="str">
        <f t="shared" si="1"/>
        <v>Built-up :</v>
      </c>
      <c r="AE3134" s="7" t="str">
        <f t="shared" si="2"/>
        <v> sq. ft.</v>
      </c>
      <c r="AF3134">
        <f>IFERROR(__xludf.DUMMYFUNCTION("VALUE(REGEXREPLACE(G3134,""[^[:digit:]]"", """"))"),2767.0)</f>
        <v>2767</v>
      </c>
      <c r="AG3134" s="7"/>
      <c r="AH3134" s="7"/>
      <c r="AI3134" s="7"/>
      <c r="AJ3134" s="7"/>
      <c r="AK3134" s="7"/>
      <c r="AL3134" s="7"/>
      <c r="AM3134" s="7"/>
      <c r="AN3134" s="7"/>
      <c r="AO3134" s="7"/>
      <c r="AP3134" s="7"/>
      <c r="AQ3134" s="7"/>
      <c r="AR3134" s="7"/>
      <c r="AS3134" s="7" t="s">
        <v>27</v>
      </c>
    </row>
    <row r="3135">
      <c r="A3135" s="7" t="s">
        <v>100</v>
      </c>
      <c r="B3135" s="7" t="s">
        <v>1328</v>
      </c>
      <c r="C3135" s="7">
        <f>3</f>
        <v>3</v>
      </c>
      <c r="D3135" s="7">
        <v>2.0</v>
      </c>
      <c r="E3135" s="7">
        <v>1.0</v>
      </c>
      <c r="F3135" s="7" t="s">
        <v>20</v>
      </c>
      <c r="G3135" s="7" t="s">
        <v>2013</v>
      </c>
      <c r="H3135" s="9" t="s">
        <v>2979</v>
      </c>
      <c r="I3135" t="s">
        <v>4056</v>
      </c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  <c r="AB3135" s="7"/>
      <c r="AC3135" s="7"/>
      <c r="AD3135" s="7" t="str">
        <f t="shared" si="1"/>
        <v>Built-up :</v>
      </c>
      <c r="AE3135" s="7" t="str">
        <f t="shared" si="2"/>
        <v> sq. ft.</v>
      </c>
      <c r="AF3135">
        <f>IFERROR(__xludf.DUMMYFUNCTION("VALUE(REGEXREPLACE(G3135,""[^[:digit:]]"", """"))"),953.0)</f>
        <v>953</v>
      </c>
      <c r="AG3135" s="7"/>
      <c r="AH3135" s="7"/>
      <c r="AI3135" s="7"/>
      <c r="AJ3135" s="7"/>
      <c r="AK3135" s="7"/>
      <c r="AL3135" s="7"/>
      <c r="AM3135" s="7"/>
      <c r="AN3135" s="7"/>
      <c r="AO3135" s="7"/>
      <c r="AP3135" s="7"/>
      <c r="AQ3135" s="7"/>
      <c r="AR3135" s="7"/>
    </row>
    <row r="3136">
      <c r="A3136" s="7" t="s">
        <v>267</v>
      </c>
      <c r="B3136" s="7" t="s">
        <v>1423</v>
      </c>
      <c r="C3136" s="7">
        <f>1</f>
        <v>1</v>
      </c>
      <c r="D3136" s="7">
        <v>1.0</v>
      </c>
      <c r="E3136" s="7">
        <v>1.0</v>
      </c>
      <c r="F3136" s="7" t="s">
        <v>20</v>
      </c>
      <c r="G3136" s="7" t="s">
        <v>1207</v>
      </c>
      <c r="H3136" s="9" t="s">
        <v>2979</v>
      </c>
      <c r="I3136" t="s">
        <v>3576</v>
      </c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  <c r="AB3136" s="7"/>
      <c r="AC3136" s="7"/>
      <c r="AD3136" s="7" t="str">
        <f t="shared" si="1"/>
        <v>Built-up :</v>
      </c>
      <c r="AE3136" s="7" t="str">
        <f t="shared" si="2"/>
        <v> sq. ft.</v>
      </c>
      <c r="AF3136">
        <f>IFERROR(__xludf.DUMMYFUNCTION("VALUE(REGEXREPLACE(G3136,""[^[:digit:]]"", """"))"),578.0)</f>
        <v>578</v>
      </c>
      <c r="AG3136" s="7"/>
      <c r="AH3136" s="7"/>
      <c r="AI3136" s="7"/>
      <c r="AJ3136" s="7"/>
      <c r="AK3136" s="7"/>
      <c r="AL3136" s="7"/>
      <c r="AM3136" s="7"/>
      <c r="AN3136" s="7"/>
      <c r="AO3136" s="7"/>
      <c r="AP3136" s="7"/>
      <c r="AQ3136" s="7"/>
      <c r="AR3136" s="7"/>
      <c r="AS3136" s="7" t="s">
        <v>27</v>
      </c>
    </row>
    <row r="3137">
      <c r="A3137" s="7" t="s">
        <v>100</v>
      </c>
      <c r="B3137" s="7" t="s">
        <v>289</v>
      </c>
      <c r="C3137" s="7">
        <f>2</f>
        <v>2</v>
      </c>
      <c r="D3137" s="7">
        <v>2.0</v>
      </c>
      <c r="E3137" s="7">
        <v>1.0</v>
      </c>
      <c r="F3137" s="7" t="s">
        <v>20</v>
      </c>
      <c r="G3137" s="7" t="s">
        <v>198</v>
      </c>
      <c r="H3137" s="9" t="s">
        <v>2979</v>
      </c>
      <c r="I3137" t="s">
        <v>3048</v>
      </c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7" t="str">
        <f t="shared" si="1"/>
        <v>Built-up :</v>
      </c>
      <c r="AE3137" s="7" t="str">
        <f t="shared" si="2"/>
        <v> sq. ft.</v>
      </c>
      <c r="AF3137">
        <f>IFERROR(__xludf.DUMMYFUNCTION("VALUE(REGEXREPLACE(G3137,""[^[:digit:]]"", """"))"),797.0)</f>
        <v>797</v>
      </c>
      <c r="AG3137" s="7"/>
      <c r="AH3137" s="7"/>
      <c r="AI3137" s="7"/>
      <c r="AJ3137" s="7"/>
      <c r="AK3137" s="7"/>
      <c r="AL3137" s="7"/>
      <c r="AM3137" s="7"/>
      <c r="AN3137" s="7"/>
      <c r="AO3137" s="7"/>
      <c r="AP3137" s="7"/>
      <c r="AQ3137" s="7"/>
      <c r="AR3137" s="7"/>
    </row>
    <row r="3138">
      <c r="A3138" s="7" t="s">
        <v>72</v>
      </c>
      <c r="B3138" s="7" t="s">
        <v>599</v>
      </c>
      <c r="C3138" s="7">
        <f t="shared" ref="C3138:C3139" si="423">3</f>
        <v>3</v>
      </c>
      <c r="D3138" s="7">
        <v>3.0</v>
      </c>
      <c r="E3138" s="9">
        <v>2.0</v>
      </c>
      <c r="F3138" s="7" t="s">
        <v>20</v>
      </c>
      <c r="G3138" s="7" t="s">
        <v>471</v>
      </c>
      <c r="H3138" s="9" t="s">
        <v>2979</v>
      </c>
      <c r="I3138" t="s">
        <v>3179</v>
      </c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7" t="str">
        <f t="shared" si="1"/>
        <v>Built-up :</v>
      </c>
      <c r="AE3138" s="7" t="str">
        <f t="shared" si="2"/>
        <v> sq. ft.</v>
      </c>
      <c r="AF3138">
        <f>IFERROR(__xludf.DUMMYFUNCTION("VALUE(REGEXREPLACE(G3138,""[^[:digit:]]"", """"))"),1400.0)</f>
        <v>1400</v>
      </c>
      <c r="AG3138" s="7"/>
      <c r="AH3138" s="7"/>
      <c r="AI3138" s="7"/>
      <c r="AJ3138" s="7"/>
      <c r="AK3138" s="7"/>
      <c r="AL3138" s="7"/>
      <c r="AM3138" s="7"/>
      <c r="AN3138" s="7"/>
      <c r="AO3138" s="7"/>
      <c r="AP3138" s="7"/>
      <c r="AQ3138" s="7"/>
      <c r="AR3138" s="7"/>
      <c r="AS3138" s="7" t="s">
        <v>22</v>
      </c>
    </row>
    <row r="3139">
      <c r="A3139" s="7" t="s">
        <v>371</v>
      </c>
      <c r="B3139" s="7" t="s">
        <v>983</v>
      </c>
      <c r="C3139" s="7">
        <f t="shared" si="423"/>
        <v>3</v>
      </c>
      <c r="D3139" s="7">
        <v>2.0</v>
      </c>
      <c r="E3139" s="7">
        <v>3.0</v>
      </c>
      <c r="F3139" s="7" t="s">
        <v>83</v>
      </c>
      <c r="G3139" s="7" t="s">
        <v>604</v>
      </c>
      <c r="H3139" s="9" t="s">
        <v>2979</v>
      </c>
      <c r="I3139" t="s">
        <v>3244</v>
      </c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7" t="str">
        <f t="shared" si="1"/>
        <v>Built-up :</v>
      </c>
      <c r="AE3139" s="7" t="str">
        <f t="shared" si="2"/>
        <v> sq. ft.</v>
      </c>
      <c r="AF3139">
        <f>IFERROR(__xludf.DUMMYFUNCTION("VALUE(REGEXREPLACE(G3139,""[^[:digit:]]"", """"))"),1150.0)</f>
        <v>1150</v>
      </c>
      <c r="AG3139" s="7"/>
      <c r="AH3139" s="7"/>
      <c r="AI3139" s="7"/>
      <c r="AJ3139" s="7"/>
      <c r="AK3139" s="7"/>
      <c r="AL3139" s="7"/>
      <c r="AM3139" s="7"/>
      <c r="AN3139" s="7"/>
      <c r="AO3139" s="7"/>
      <c r="AP3139" s="7"/>
      <c r="AQ3139" s="7"/>
      <c r="AR3139" s="7"/>
      <c r="AS3139" s="7" t="s">
        <v>27</v>
      </c>
    </row>
    <row r="3140">
      <c r="A3140" s="7" t="s">
        <v>52</v>
      </c>
      <c r="B3140" s="7" t="s">
        <v>229</v>
      </c>
      <c r="C3140" s="7">
        <f>2</f>
        <v>2</v>
      </c>
      <c r="D3140" s="7">
        <v>2.0</v>
      </c>
      <c r="E3140" s="7">
        <v>1.0</v>
      </c>
      <c r="F3140" s="7" t="s">
        <v>82</v>
      </c>
      <c r="G3140" s="7" t="s">
        <v>2192</v>
      </c>
      <c r="H3140" s="9" t="s">
        <v>2981</v>
      </c>
      <c r="I3140" t="s">
        <v>4171</v>
      </c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7" t="str">
        <f t="shared" si="1"/>
        <v>Land area </v>
      </c>
      <c r="AE3140" s="7" t="str">
        <f t="shared" si="2"/>
        <v> sq. ft.</v>
      </c>
      <c r="AF3140">
        <f>IFERROR(__xludf.DUMMYFUNCTION("VALUE(REGEXREPLACE(G3140,""[^[:digit:]]"", """"))"),959.0)</f>
        <v>959</v>
      </c>
      <c r="AG3140" s="7"/>
      <c r="AH3140" s="7"/>
      <c r="AI3140" s="7"/>
      <c r="AJ3140" s="7"/>
      <c r="AK3140" s="7"/>
      <c r="AL3140" s="7"/>
      <c r="AM3140" s="7"/>
      <c r="AN3140" s="7"/>
      <c r="AO3140" s="7"/>
      <c r="AP3140" s="7"/>
      <c r="AQ3140" s="7"/>
      <c r="AR3140" s="7"/>
      <c r="AS3140" s="7" t="s">
        <v>22</v>
      </c>
    </row>
    <row r="3141">
      <c r="A3141" s="7" t="s">
        <v>72</v>
      </c>
      <c r="B3141" s="7" t="s">
        <v>236</v>
      </c>
      <c r="C3141" s="7">
        <f t="shared" ref="C3141:C3142" si="424">4</f>
        <v>4</v>
      </c>
      <c r="D3141" s="7">
        <v>5.0</v>
      </c>
      <c r="E3141" s="7">
        <v>2.0</v>
      </c>
      <c r="F3141" s="7" t="s">
        <v>83</v>
      </c>
      <c r="G3141" s="7" t="s">
        <v>2193</v>
      </c>
      <c r="H3141" s="9" t="s">
        <v>2979</v>
      </c>
      <c r="I3141" t="s">
        <v>4172</v>
      </c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  <c r="AB3141" s="7"/>
      <c r="AC3141" s="7"/>
      <c r="AD3141" s="7" t="str">
        <f t="shared" si="1"/>
        <v>Built-up :</v>
      </c>
      <c r="AE3141" s="7" t="str">
        <f t="shared" si="2"/>
        <v> sq. ft.</v>
      </c>
      <c r="AF3141">
        <f>IFERROR(__xludf.DUMMYFUNCTION("VALUE(REGEXREPLACE(G3141,""[^[:digit:]]"", """"))"),2055.0)</f>
        <v>2055</v>
      </c>
      <c r="AG3141" s="7"/>
      <c r="AH3141" s="7"/>
      <c r="AI3141" s="7"/>
      <c r="AJ3141" s="7"/>
      <c r="AK3141" s="7"/>
      <c r="AL3141" s="7"/>
      <c r="AM3141" s="7"/>
      <c r="AN3141" s="7"/>
      <c r="AO3141" s="7"/>
      <c r="AP3141" s="7"/>
      <c r="AQ3141" s="7"/>
      <c r="AR3141" s="7"/>
      <c r="AS3141" s="7" t="s">
        <v>22</v>
      </c>
    </row>
    <row r="3142">
      <c r="A3142" s="7" t="s">
        <v>72</v>
      </c>
      <c r="B3142" s="7" t="s">
        <v>931</v>
      </c>
      <c r="C3142" s="7">
        <f t="shared" si="424"/>
        <v>4</v>
      </c>
      <c r="D3142" s="7">
        <v>4.0</v>
      </c>
      <c r="E3142" s="7">
        <v>4.0</v>
      </c>
      <c r="F3142" s="7" t="s">
        <v>83</v>
      </c>
      <c r="G3142" s="7" t="s">
        <v>561</v>
      </c>
      <c r="H3142" s="9" t="s">
        <v>2979</v>
      </c>
      <c r="I3142" t="s">
        <v>3226</v>
      </c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  <c r="AB3142" s="7"/>
      <c r="AC3142" s="7"/>
      <c r="AD3142" s="7" t="str">
        <f t="shared" si="1"/>
        <v>Built-up :</v>
      </c>
      <c r="AE3142" s="7" t="str">
        <f t="shared" si="2"/>
        <v> sq. ft.</v>
      </c>
      <c r="AF3142">
        <f>IFERROR(__xludf.DUMMYFUNCTION("VALUE(REGEXREPLACE(G3142,""[^[:digit:]]"", """"))"),2535.0)</f>
        <v>2535</v>
      </c>
      <c r="AG3142" s="7"/>
      <c r="AH3142" s="7"/>
      <c r="AI3142" s="7"/>
      <c r="AJ3142" s="7"/>
      <c r="AK3142" s="7"/>
      <c r="AL3142" s="7"/>
      <c r="AM3142" s="7"/>
      <c r="AN3142" s="7"/>
      <c r="AO3142" s="7"/>
      <c r="AP3142" s="7"/>
      <c r="AQ3142" s="7"/>
      <c r="AR3142" s="7"/>
      <c r="AS3142" s="7" t="s">
        <v>22</v>
      </c>
    </row>
    <row r="3143">
      <c r="A3143" s="7" t="s">
        <v>72</v>
      </c>
      <c r="B3143" s="7" t="s">
        <v>277</v>
      </c>
      <c r="C3143" s="7">
        <f>5</f>
        <v>5</v>
      </c>
      <c r="D3143" s="7">
        <v>4.0</v>
      </c>
      <c r="E3143" s="7">
        <v>2.0</v>
      </c>
      <c r="F3143" s="7" t="s">
        <v>83</v>
      </c>
      <c r="G3143" s="7" t="s">
        <v>74</v>
      </c>
      <c r="H3143" s="9" t="s">
        <v>2979</v>
      </c>
      <c r="I3143" t="s">
        <v>2998</v>
      </c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7" t="str">
        <f t="shared" si="1"/>
        <v>Built-up :</v>
      </c>
      <c r="AE3143" s="7" t="str">
        <f t="shared" si="2"/>
        <v> sq. ft.</v>
      </c>
      <c r="AF3143">
        <f>IFERROR(__xludf.DUMMYFUNCTION("VALUE(REGEXREPLACE(G3143,""[^[:digit:]]"", """"))"),1830.0)</f>
        <v>1830</v>
      </c>
      <c r="AG3143" s="7"/>
      <c r="AH3143" s="7"/>
      <c r="AI3143" s="7"/>
      <c r="AJ3143" s="7"/>
      <c r="AK3143" s="7"/>
      <c r="AL3143" s="7"/>
      <c r="AM3143" s="7"/>
      <c r="AN3143" s="7"/>
      <c r="AO3143" s="7"/>
      <c r="AP3143" s="7"/>
      <c r="AQ3143" s="7"/>
      <c r="AR3143" s="7"/>
      <c r="AS3143" s="7" t="s">
        <v>27</v>
      </c>
    </row>
    <row r="3144">
      <c r="A3144" s="7" t="s">
        <v>177</v>
      </c>
      <c r="B3144" s="7" t="s">
        <v>2194</v>
      </c>
      <c r="C3144" s="7">
        <f>3+1</f>
        <v>4</v>
      </c>
      <c r="D3144" s="7">
        <v>5.0</v>
      </c>
      <c r="E3144" s="9">
        <v>2.0</v>
      </c>
      <c r="F3144" s="7" t="s">
        <v>30</v>
      </c>
      <c r="G3144" s="7" t="s">
        <v>1796</v>
      </c>
      <c r="H3144" s="9" t="s">
        <v>2979</v>
      </c>
      <c r="I3144" t="s">
        <v>3927</v>
      </c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7" t="str">
        <f t="shared" si="1"/>
        <v>Built-up :</v>
      </c>
      <c r="AE3144" s="7" t="str">
        <f t="shared" si="2"/>
        <v> sq. ft.</v>
      </c>
      <c r="AF3144">
        <f>IFERROR(__xludf.DUMMYFUNCTION("VALUE(REGEXREPLACE(G3144,""[^[:digit:]]"", """"))"),3239.0)</f>
        <v>3239</v>
      </c>
      <c r="AG3144" s="7"/>
      <c r="AH3144" s="7"/>
      <c r="AI3144" s="7"/>
      <c r="AJ3144" s="7"/>
      <c r="AK3144" s="7"/>
      <c r="AL3144" s="7"/>
      <c r="AM3144" s="7"/>
      <c r="AN3144" s="7"/>
      <c r="AO3144" s="7"/>
      <c r="AP3144" s="7"/>
      <c r="AQ3144" s="7"/>
      <c r="AR3144" s="7"/>
      <c r="AS3144" s="7" t="s">
        <v>27</v>
      </c>
    </row>
    <row r="3145">
      <c r="A3145" s="7" t="s">
        <v>100</v>
      </c>
      <c r="B3145" s="7" t="s">
        <v>610</v>
      </c>
      <c r="C3145" s="7">
        <f>6</f>
        <v>6</v>
      </c>
      <c r="D3145" s="7">
        <v>3.0</v>
      </c>
      <c r="E3145" s="9">
        <v>2.0</v>
      </c>
      <c r="F3145" s="7" t="s">
        <v>487</v>
      </c>
      <c r="G3145" s="7" t="s">
        <v>2195</v>
      </c>
      <c r="H3145" s="9" t="s">
        <v>2979</v>
      </c>
      <c r="I3145" t="s">
        <v>4173</v>
      </c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 t="str">
        <f t="shared" si="1"/>
        <v>Built-up :</v>
      </c>
      <c r="AE3145" s="7" t="str">
        <f t="shared" si="2"/>
        <v> sq. ft.</v>
      </c>
      <c r="AF3145">
        <f>IFERROR(__xludf.DUMMYFUNCTION("VALUE(REGEXREPLACE(G3145,""[^[:digit:]]"", """"))"),3574.0)</f>
        <v>3574</v>
      </c>
      <c r="AG3145" s="7"/>
      <c r="AH3145" s="7"/>
      <c r="AI3145" s="7"/>
      <c r="AJ3145" s="7"/>
      <c r="AK3145" s="7"/>
      <c r="AL3145" s="7"/>
      <c r="AM3145" s="7"/>
      <c r="AN3145" s="7"/>
      <c r="AO3145" s="7"/>
      <c r="AP3145" s="7"/>
      <c r="AQ3145" s="7"/>
      <c r="AR3145" s="7"/>
      <c r="AS3145" s="7" t="s">
        <v>27</v>
      </c>
    </row>
    <row r="3146">
      <c r="A3146" s="7" t="s">
        <v>23</v>
      </c>
      <c r="B3146" s="7" t="s">
        <v>1140</v>
      </c>
      <c r="C3146" s="7">
        <f>1</f>
        <v>1</v>
      </c>
      <c r="D3146" s="7">
        <v>1.0</v>
      </c>
      <c r="E3146" s="7">
        <v>1.0</v>
      </c>
      <c r="F3146" s="7" t="s">
        <v>82</v>
      </c>
      <c r="H3146" s="9" t="s">
        <v>2984</v>
      </c>
      <c r="I3146" t="s">
        <v>2985</v>
      </c>
      <c r="AD3146" s="7" t="str">
        <f t="shared" si="1"/>
        <v/>
      </c>
      <c r="AE3146" s="7" t="str">
        <f t="shared" si="2"/>
        <v/>
      </c>
      <c r="AF3146">
        <f>IFERROR(__xludf.DUMMYFUNCTION("VALUE(REGEXREPLACE(G3146,""[^[:digit:]]"", """"))"),0.0)</f>
        <v>0</v>
      </c>
      <c r="AS3146" s="7" t="s">
        <v>22</v>
      </c>
    </row>
    <row r="3147">
      <c r="A3147" s="7" t="s">
        <v>33</v>
      </c>
      <c r="B3147" s="7" t="s">
        <v>18</v>
      </c>
      <c r="C3147" s="7">
        <f>6</f>
        <v>6</v>
      </c>
      <c r="D3147" s="7">
        <v>5.0</v>
      </c>
      <c r="E3147" s="7">
        <v>3.0</v>
      </c>
      <c r="F3147" s="7" t="s">
        <v>90</v>
      </c>
      <c r="G3147" s="7" t="s">
        <v>2196</v>
      </c>
      <c r="H3147" s="9" t="s">
        <v>2981</v>
      </c>
      <c r="I3147" t="s">
        <v>3299</v>
      </c>
      <c r="J3147" s="7"/>
      <c r="K3147" s="7"/>
      <c r="L3147" s="7"/>
      <c r="M3147" s="7"/>
      <c r="N3147" s="7"/>
      <c r="O3147" s="7"/>
      <c r="P3147" s="7"/>
      <c r="Q3147" s="7"/>
      <c r="R3147" s="7"/>
      <c r="S3147" s="7" t="s">
        <v>3101</v>
      </c>
      <c r="T3147" s="7"/>
      <c r="U3147" s="7"/>
      <c r="V3147" s="7"/>
      <c r="W3147" s="7"/>
      <c r="X3147" s="7"/>
      <c r="Y3147" s="7"/>
      <c r="Z3147" s="7"/>
      <c r="AA3147" s="7"/>
      <c r="AB3147" s="7"/>
      <c r="AC3147" s="7"/>
      <c r="AD3147" s="7" t="str">
        <f t="shared" si="1"/>
        <v>Land area </v>
      </c>
      <c r="AE3147" s="7" t="str">
        <f t="shared" si="2"/>
        <v> sq. ft.</v>
      </c>
      <c r="AF3147" s="7">
        <v>1870.0</v>
      </c>
      <c r="AG3147" s="7"/>
      <c r="AH3147" s="7"/>
      <c r="AI3147" s="7"/>
      <c r="AJ3147" s="7"/>
      <c r="AK3147" s="7"/>
      <c r="AL3147" s="7"/>
      <c r="AM3147" s="7"/>
      <c r="AN3147" s="7"/>
      <c r="AO3147" s="7"/>
      <c r="AP3147" s="7"/>
      <c r="AQ3147" s="7"/>
      <c r="AR3147" s="7"/>
      <c r="AS3147" s="7" t="s">
        <v>27</v>
      </c>
    </row>
    <row r="3148">
      <c r="A3148" s="7" t="s">
        <v>177</v>
      </c>
      <c r="B3148" s="7" t="s">
        <v>81</v>
      </c>
      <c r="C3148" s="7">
        <f>3</f>
        <v>3</v>
      </c>
      <c r="D3148" s="7">
        <v>3.0</v>
      </c>
      <c r="E3148" s="7">
        <v>2.0</v>
      </c>
      <c r="F3148" s="7" t="s">
        <v>30</v>
      </c>
      <c r="G3148" s="7" t="s">
        <v>194</v>
      </c>
      <c r="H3148" s="9" t="s">
        <v>2979</v>
      </c>
      <c r="I3148" t="s">
        <v>3046</v>
      </c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  <c r="AB3148" s="7"/>
      <c r="AC3148" s="7"/>
      <c r="AD3148" s="7" t="str">
        <f t="shared" si="1"/>
        <v>Built-up :</v>
      </c>
      <c r="AE3148" s="7" t="str">
        <f t="shared" si="2"/>
        <v> sq. ft.</v>
      </c>
      <c r="AF3148">
        <f>IFERROR(__xludf.DUMMYFUNCTION("VALUE(REGEXREPLACE(G3148,""[^[:digit:]]"", """"))"),1905.0)</f>
        <v>1905</v>
      </c>
      <c r="AG3148" s="7"/>
      <c r="AH3148" s="7"/>
      <c r="AI3148" s="7"/>
      <c r="AJ3148" s="7"/>
      <c r="AK3148" s="7"/>
      <c r="AL3148" s="7"/>
      <c r="AM3148" s="7"/>
      <c r="AN3148" s="7"/>
      <c r="AO3148" s="7"/>
      <c r="AP3148" s="7"/>
      <c r="AQ3148" s="7"/>
      <c r="AR3148" s="7"/>
      <c r="AS3148" s="7" t="s">
        <v>27</v>
      </c>
    </row>
    <row r="3149">
      <c r="A3149" s="7" t="s">
        <v>72</v>
      </c>
      <c r="B3149" s="7" t="s">
        <v>98</v>
      </c>
      <c r="C3149" s="7">
        <f>4+1</f>
        <v>5</v>
      </c>
      <c r="D3149" s="7">
        <v>4.0</v>
      </c>
      <c r="E3149" s="9">
        <v>2.0</v>
      </c>
      <c r="F3149" s="7" t="s">
        <v>83</v>
      </c>
      <c r="G3149" s="7" t="s">
        <v>74</v>
      </c>
      <c r="H3149" s="9" t="s">
        <v>2979</v>
      </c>
      <c r="I3149" t="s">
        <v>2998</v>
      </c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7" t="str">
        <f t="shared" si="1"/>
        <v>Built-up :</v>
      </c>
      <c r="AE3149" s="7" t="str">
        <f t="shared" si="2"/>
        <v> sq. ft.</v>
      </c>
      <c r="AF3149">
        <f>IFERROR(__xludf.DUMMYFUNCTION("VALUE(REGEXREPLACE(G3149,""[^[:digit:]]"", """"))"),1830.0)</f>
        <v>1830</v>
      </c>
      <c r="AG3149" s="7"/>
      <c r="AH3149" s="7"/>
      <c r="AI3149" s="7"/>
      <c r="AJ3149" s="7"/>
      <c r="AK3149" s="7"/>
      <c r="AL3149" s="7"/>
      <c r="AM3149" s="7"/>
      <c r="AN3149" s="7"/>
      <c r="AO3149" s="7"/>
      <c r="AP3149" s="7"/>
      <c r="AQ3149" s="7"/>
      <c r="AR3149" s="7"/>
    </row>
    <row r="3150">
      <c r="A3150" s="7" t="s">
        <v>28</v>
      </c>
      <c r="B3150" s="7" t="s">
        <v>407</v>
      </c>
      <c r="C3150" s="7">
        <f>3</f>
        <v>3</v>
      </c>
      <c r="D3150" s="7">
        <v>3.0</v>
      </c>
      <c r="E3150" s="9">
        <v>2.0</v>
      </c>
      <c r="F3150" s="7" t="s">
        <v>83</v>
      </c>
      <c r="G3150" s="7" t="s">
        <v>2197</v>
      </c>
      <c r="H3150" s="9" t="s">
        <v>2979</v>
      </c>
      <c r="I3150" t="s">
        <v>4174</v>
      </c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7" t="str">
        <f t="shared" si="1"/>
        <v>Built-up :</v>
      </c>
      <c r="AE3150" s="7" t="str">
        <f t="shared" si="2"/>
        <v> sq. ft.</v>
      </c>
      <c r="AF3150">
        <f>IFERROR(__xludf.DUMMYFUNCTION("VALUE(REGEXREPLACE(G3150,""[^[:digit:]]"", """"))"),1719.0)</f>
        <v>1719</v>
      </c>
      <c r="AG3150" s="7"/>
      <c r="AH3150" s="7"/>
      <c r="AI3150" s="7"/>
      <c r="AJ3150" s="7"/>
      <c r="AK3150" s="7"/>
      <c r="AL3150" s="7"/>
      <c r="AM3150" s="7"/>
      <c r="AN3150" s="7"/>
      <c r="AO3150" s="7"/>
      <c r="AP3150" s="7"/>
      <c r="AQ3150" s="7"/>
      <c r="AR3150" s="7"/>
    </row>
    <row r="3151">
      <c r="A3151" s="7" t="s">
        <v>72</v>
      </c>
      <c r="B3151" s="7" t="s">
        <v>172</v>
      </c>
      <c r="C3151" s="7">
        <f t="shared" ref="C3151:C3153" si="425">1</f>
        <v>1</v>
      </c>
      <c r="D3151" s="7">
        <v>1.0</v>
      </c>
      <c r="E3151" s="7">
        <v>1.0</v>
      </c>
      <c r="F3151" s="7" t="s">
        <v>1821</v>
      </c>
      <c r="G3151" s="7" t="s">
        <v>685</v>
      </c>
      <c r="H3151" s="9" t="s">
        <v>2979</v>
      </c>
      <c r="I3151" t="s">
        <v>3283</v>
      </c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7" t="str">
        <f t="shared" si="1"/>
        <v>Built-up :</v>
      </c>
      <c r="AE3151" s="7" t="str">
        <f t="shared" si="2"/>
        <v> sq. ft.</v>
      </c>
      <c r="AF3151">
        <f>IFERROR(__xludf.DUMMYFUNCTION("VALUE(REGEXREPLACE(G3151,""[^[:digit:]]"", """"))"),462.0)</f>
        <v>462</v>
      </c>
      <c r="AG3151" s="7"/>
      <c r="AH3151" s="7"/>
      <c r="AI3151" s="7"/>
      <c r="AJ3151" s="7"/>
      <c r="AK3151" s="7"/>
      <c r="AL3151" s="7"/>
      <c r="AM3151" s="7"/>
      <c r="AN3151" s="7"/>
      <c r="AO3151" s="7"/>
      <c r="AP3151" s="7"/>
      <c r="AQ3151" s="7"/>
      <c r="AR3151" s="7"/>
    </row>
    <row r="3152">
      <c r="A3152" s="7" t="s">
        <v>17</v>
      </c>
      <c r="B3152" s="7" t="s">
        <v>2198</v>
      </c>
      <c r="C3152" s="7">
        <f t="shared" si="425"/>
        <v>1</v>
      </c>
      <c r="D3152" s="7">
        <v>1.0</v>
      </c>
      <c r="E3152" s="7">
        <v>1.0</v>
      </c>
      <c r="F3152" s="7" t="s">
        <v>83</v>
      </c>
      <c r="G3152" s="7" t="s">
        <v>392</v>
      </c>
      <c r="H3152" s="9" t="s">
        <v>2979</v>
      </c>
      <c r="I3152" t="s">
        <v>3141</v>
      </c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7" t="str">
        <f t="shared" si="1"/>
        <v>Built-up :</v>
      </c>
      <c r="AE3152" s="7" t="str">
        <f t="shared" si="2"/>
        <v> sq. ft.</v>
      </c>
      <c r="AF3152">
        <f>IFERROR(__xludf.DUMMYFUNCTION("VALUE(REGEXREPLACE(G3152,""[^[:digit:]]"", """"))"),850.0)</f>
        <v>850</v>
      </c>
      <c r="AG3152" s="7"/>
      <c r="AH3152" s="7"/>
      <c r="AI3152" s="7"/>
      <c r="AJ3152" s="7"/>
      <c r="AK3152" s="7"/>
      <c r="AL3152" s="7"/>
      <c r="AM3152" s="7"/>
      <c r="AN3152" s="7"/>
      <c r="AO3152" s="7"/>
      <c r="AP3152" s="7"/>
      <c r="AQ3152" s="7"/>
      <c r="AR3152" s="7"/>
      <c r="AS3152" s="7" t="s">
        <v>22</v>
      </c>
    </row>
    <row r="3153">
      <c r="A3153" s="7" t="s">
        <v>23</v>
      </c>
      <c r="B3153" s="7" t="s">
        <v>349</v>
      </c>
      <c r="C3153" s="7">
        <f t="shared" si="425"/>
        <v>1</v>
      </c>
      <c r="D3153" s="7">
        <v>1.0</v>
      </c>
      <c r="E3153" s="7">
        <v>1.0</v>
      </c>
      <c r="F3153" s="7" t="s">
        <v>20</v>
      </c>
      <c r="G3153" s="7" t="s">
        <v>51</v>
      </c>
      <c r="H3153" s="9" t="s">
        <v>2979</v>
      </c>
      <c r="I3153" t="s">
        <v>2991</v>
      </c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  <c r="AB3153" s="7"/>
      <c r="AC3153" s="7"/>
      <c r="AD3153" s="7" t="str">
        <f t="shared" si="1"/>
        <v>Built-up :</v>
      </c>
      <c r="AE3153" s="7" t="str">
        <f t="shared" si="2"/>
        <v> sq. ft.</v>
      </c>
      <c r="AF3153">
        <f>IFERROR(__xludf.DUMMYFUNCTION("VALUE(REGEXREPLACE(G3153,""[^[:digit:]]"", """"))"),904.0)</f>
        <v>904</v>
      </c>
      <c r="AG3153" s="7"/>
      <c r="AH3153" s="7"/>
      <c r="AI3153" s="7"/>
      <c r="AJ3153" s="7"/>
      <c r="AK3153" s="7"/>
      <c r="AL3153" s="7"/>
      <c r="AM3153" s="7"/>
      <c r="AN3153" s="7"/>
      <c r="AO3153" s="7"/>
      <c r="AP3153" s="7"/>
      <c r="AQ3153" s="7"/>
      <c r="AR3153" s="7"/>
      <c r="AS3153" s="7" t="s">
        <v>22</v>
      </c>
    </row>
    <row r="3154">
      <c r="A3154" s="7" t="s">
        <v>368</v>
      </c>
      <c r="B3154" s="7" t="s">
        <v>677</v>
      </c>
      <c r="C3154" s="7">
        <f>3</f>
        <v>3</v>
      </c>
      <c r="D3154" s="7">
        <v>2.0</v>
      </c>
      <c r="E3154" s="7">
        <v>2.0</v>
      </c>
      <c r="F3154" s="7" t="s">
        <v>82</v>
      </c>
      <c r="G3154" s="7" t="s">
        <v>2187</v>
      </c>
      <c r="H3154" s="9" t="s">
        <v>2979</v>
      </c>
      <c r="I3154" t="s">
        <v>4167</v>
      </c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  <c r="AB3154" s="7"/>
      <c r="AC3154" s="7"/>
      <c r="AD3154" s="7" t="str">
        <f t="shared" si="1"/>
        <v>Built-up :</v>
      </c>
      <c r="AE3154" s="7" t="str">
        <f t="shared" si="2"/>
        <v> sq. ft.</v>
      </c>
      <c r="AF3154">
        <f>IFERROR(__xludf.DUMMYFUNCTION("VALUE(REGEXREPLACE(G3154,""[^[:digit:]]"", """"))"),975.0)</f>
        <v>975</v>
      </c>
      <c r="AG3154" s="7"/>
      <c r="AH3154" s="7"/>
      <c r="AI3154" s="7"/>
      <c r="AJ3154" s="7"/>
      <c r="AK3154" s="7"/>
      <c r="AL3154" s="7"/>
      <c r="AM3154" s="7"/>
      <c r="AN3154" s="7"/>
      <c r="AO3154" s="7"/>
      <c r="AP3154" s="7"/>
      <c r="AQ3154" s="7"/>
      <c r="AR3154" s="7"/>
      <c r="AS3154" s="7" t="s">
        <v>22</v>
      </c>
    </row>
    <row r="3155">
      <c r="A3155" s="7" t="s">
        <v>17</v>
      </c>
      <c r="B3155" s="7" t="s">
        <v>239</v>
      </c>
      <c r="C3155" s="7">
        <f>2+1</f>
        <v>3</v>
      </c>
      <c r="D3155" s="7">
        <v>2.0</v>
      </c>
      <c r="E3155" s="7">
        <v>1.0</v>
      </c>
      <c r="F3155" s="7" t="s">
        <v>121</v>
      </c>
      <c r="G3155" s="7" t="s">
        <v>2199</v>
      </c>
      <c r="H3155" s="9" t="s">
        <v>2981</v>
      </c>
      <c r="I3155" t="s">
        <v>3199</v>
      </c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 t="str">
        <f t="shared" si="1"/>
        <v>Land area </v>
      </c>
      <c r="AE3155" s="7" t="str">
        <f t="shared" si="2"/>
        <v> sq. ft.</v>
      </c>
      <c r="AF3155">
        <f>IFERROR(__xludf.DUMMYFUNCTION("VALUE(REGEXREPLACE(G3155,""[^[:digit:]]"", """"))"),900.0)</f>
        <v>900</v>
      </c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  <c r="AR3155" s="7"/>
      <c r="AS3155" s="7" t="s">
        <v>22</v>
      </c>
    </row>
    <row r="3156">
      <c r="A3156" s="7" t="s">
        <v>100</v>
      </c>
      <c r="B3156" s="7" t="s">
        <v>890</v>
      </c>
      <c r="C3156" s="7">
        <f>3+1</f>
        <v>4</v>
      </c>
      <c r="D3156" s="7">
        <v>2.0</v>
      </c>
      <c r="E3156" s="7">
        <v>1.0</v>
      </c>
      <c r="F3156" s="7" t="s">
        <v>83</v>
      </c>
      <c r="G3156" s="7" t="s">
        <v>2200</v>
      </c>
      <c r="H3156" s="9" t="s">
        <v>2979</v>
      </c>
      <c r="I3156" t="s">
        <v>4175</v>
      </c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7" t="str">
        <f t="shared" si="1"/>
        <v>Built-up :</v>
      </c>
      <c r="AE3156" s="7" t="str">
        <f t="shared" si="2"/>
        <v> sq. ft.</v>
      </c>
      <c r="AF3156">
        <f>IFERROR(__xludf.DUMMYFUNCTION("VALUE(REGEXREPLACE(G3156,""[^[:digit:]]"", """"))"),1201.0)</f>
        <v>1201</v>
      </c>
      <c r="AG3156" s="7"/>
      <c r="AH3156" s="7"/>
      <c r="AI3156" s="7"/>
      <c r="AJ3156" s="7"/>
      <c r="AK3156" s="7"/>
      <c r="AL3156" s="7"/>
      <c r="AM3156" s="7"/>
      <c r="AN3156" s="7"/>
      <c r="AO3156" s="7"/>
      <c r="AP3156" s="7"/>
      <c r="AQ3156" s="7"/>
      <c r="AR3156" s="7"/>
      <c r="AS3156" s="7" t="s">
        <v>22</v>
      </c>
    </row>
    <row r="3157">
      <c r="A3157" s="7" t="s">
        <v>267</v>
      </c>
      <c r="B3157" s="7" t="s">
        <v>1318</v>
      </c>
      <c r="C3157" s="7">
        <f>3</f>
        <v>3</v>
      </c>
      <c r="D3157" s="7">
        <v>2.0</v>
      </c>
      <c r="E3157" s="7">
        <v>1.0</v>
      </c>
      <c r="F3157" s="7" t="s">
        <v>83</v>
      </c>
      <c r="G3157" s="7" t="s">
        <v>2011</v>
      </c>
      <c r="H3157" s="9" t="s">
        <v>2979</v>
      </c>
      <c r="I3157" t="s">
        <v>4054</v>
      </c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7" t="str">
        <f t="shared" si="1"/>
        <v>Built-up :</v>
      </c>
      <c r="AE3157" s="7" t="str">
        <f t="shared" si="2"/>
        <v> sq. ft.</v>
      </c>
      <c r="AF3157">
        <f>IFERROR(__xludf.DUMMYFUNCTION("VALUE(REGEXREPLACE(G3157,""[^[:digit:]]"", """"))"),1210.0)</f>
        <v>1210</v>
      </c>
      <c r="AG3157" s="7"/>
      <c r="AH3157" s="7"/>
      <c r="AI3157" s="7"/>
      <c r="AJ3157" s="7"/>
      <c r="AK3157" s="7"/>
      <c r="AL3157" s="7"/>
      <c r="AM3157" s="7"/>
      <c r="AN3157" s="7"/>
      <c r="AO3157" s="7"/>
      <c r="AP3157" s="7"/>
      <c r="AQ3157" s="7"/>
      <c r="AR3157" s="7"/>
      <c r="AS3157" s="7" t="s">
        <v>22</v>
      </c>
    </row>
    <row r="3158">
      <c r="A3158" s="7" t="s">
        <v>104</v>
      </c>
      <c r="B3158" s="7" t="s">
        <v>322</v>
      </c>
      <c r="C3158" s="7">
        <f>5+1</f>
        <v>6</v>
      </c>
      <c r="D3158" s="7">
        <v>6.0</v>
      </c>
      <c r="E3158" s="9">
        <v>2.0</v>
      </c>
      <c r="F3158" s="7" t="s">
        <v>487</v>
      </c>
      <c r="G3158" s="7" t="s">
        <v>912</v>
      </c>
      <c r="H3158" s="9" t="s">
        <v>2981</v>
      </c>
      <c r="I3158" t="s">
        <v>3183</v>
      </c>
      <c r="J3158" s="7"/>
      <c r="K3158" s="7"/>
      <c r="L3158" s="7"/>
      <c r="M3158" s="7"/>
      <c r="N3158" s="7"/>
      <c r="O3158" s="7"/>
      <c r="P3158" s="7"/>
      <c r="Q3158" s="7"/>
      <c r="R3158" s="7"/>
      <c r="S3158" s="7" t="s">
        <v>2993</v>
      </c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7" t="str">
        <f t="shared" si="1"/>
        <v>Land area </v>
      </c>
      <c r="AE3158" s="7" t="str">
        <f t="shared" si="2"/>
        <v> sq. ft.</v>
      </c>
      <c r="AF3158">
        <f>IFERROR(__xludf.DUMMYFUNCTION("VALUE(REGEXREPLACE(G3158,""[^[:digit:]]"", """"))"),4080.0)</f>
        <v>4080</v>
      </c>
      <c r="AG3158" s="7"/>
      <c r="AH3158" s="7"/>
      <c r="AI3158" s="7"/>
      <c r="AJ3158" s="7"/>
      <c r="AK3158" s="7"/>
      <c r="AL3158" s="7"/>
      <c r="AM3158" s="7"/>
      <c r="AN3158" s="7"/>
      <c r="AO3158" s="7"/>
      <c r="AP3158" s="7"/>
      <c r="AQ3158" s="7"/>
      <c r="AR3158" s="7"/>
      <c r="AS3158" s="7" t="s">
        <v>103</v>
      </c>
    </row>
    <row r="3159">
      <c r="A3159" s="7" t="s">
        <v>1014</v>
      </c>
      <c r="B3159" s="7" t="s">
        <v>2201</v>
      </c>
      <c r="C3159" s="7">
        <f t="shared" ref="C3159:C3162" si="426">3</f>
        <v>3</v>
      </c>
      <c r="D3159" s="7">
        <v>2.0</v>
      </c>
      <c r="E3159" s="7">
        <v>2.0</v>
      </c>
      <c r="F3159" s="7" t="s">
        <v>93</v>
      </c>
      <c r="G3159" s="7" t="s">
        <v>2202</v>
      </c>
      <c r="H3159" s="9" t="s">
        <v>2979</v>
      </c>
      <c r="I3159" t="s">
        <v>4176</v>
      </c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 t="str">
        <f t="shared" si="1"/>
        <v>Built-up :</v>
      </c>
      <c r="AE3159" s="7" t="str">
        <f t="shared" si="2"/>
        <v> sq. ft.</v>
      </c>
      <c r="AF3159">
        <f>IFERROR(__xludf.DUMMYFUNCTION("VALUE(REGEXREPLACE(G3159,""[^[:digit:]]"", """"))"),978.0)</f>
        <v>978</v>
      </c>
      <c r="AG3159" s="7"/>
      <c r="AH3159" s="7"/>
      <c r="AI3159" s="7"/>
      <c r="AJ3159" s="7"/>
      <c r="AK3159" s="7"/>
      <c r="AL3159" s="7"/>
      <c r="AM3159" s="7"/>
      <c r="AN3159" s="7"/>
      <c r="AO3159" s="7"/>
      <c r="AP3159" s="7"/>
      <c r="AQ3159" s="7"/>
      <c r="AR3159" s="7"/>
      <c r="AS3159" s="7" t="s">
        <v>27</v>
      </c>
    </row>
    <row r="3160">
      <c r="A3160" s="7" t="s">
        <v>1014</v>
      </c>
      <c r="B3160" s="7" t="s">
        <v>619</v>
      </c>
      <c r="C3160" s="7">
        <f t="shared" si="426"/>
        <v>3</v>
      </c>
      <c r="D3160" s="7">
        <v>2.0</v>
      </c>
      <c r="E3160" s="7">
        <v>2.0</v>
      </c>
      <c r="F3160" s="7" t="s">
        <v>93</v>
      </c>
      <c r="G3160" s="7" t="s">
        <v>2202</v>
      </c>
      <c r="H3160" s="9" t="s">
        <v>2979</v>
      </c>
      <c r="I3160" t="s">
        <v>4176</v>
      </c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  <c r="AB3160" s="7"/>
      <c r="AC3160" s="7"/>
      <c r="AD3160" s="7" t="str">
        <f t="shared" si="1"/>
        <v>Built-up :</v>
      </c>
      <c r="AE3160" s="7" t="str">
        <f t="shared" si="2"/>
        <v> sq. ft.</v>
      </c>
      <c r="AF3160">
        <f>IFERROR(__xludf.DUMMYFUNCTION("VALUE(REGEXREPLACE(G3160,""[^[:digit:]]"", """"))"),978.0)</f>
        <v>978</v>
      </c>
      <c r="AG3160" s="7"/>
      <c r="AH3160" s="7"/>
      <c r="AI3160" s="7"/>
      <c r="AJ3160" s="7"/>
      <c r="AK3160" s="7"/>
      <c r="AL3160" s="7"/>
      <c r="AM3160" s="7"/>
      <c r="AN3160" s="7"/>
      <c r="AO3160" s="7"/>
      <c r="AP3160" s="7"/>
      <c r="AQ3160" s="7"/>
      <c r="AR3160" s="7"/>
      <c r="AS3160" s="7" t="s">
        <v>27</v>
      </c>
    </row>
    <row r="3161">
      <c r="A3161" s="7" t="s">
        <v>1158</v>
      </c>
      <c r="B3161" s="7" t="s">
        <v>967</v>
      </c>
      <c r="C3161" s="7">
        <f t="shared" si="426"/>
        <v>3</v>
      </c>
      <c r="D3161" s="7">
        <v>2.0</v>
      </c>
      <c r="E3161" s="7">
        <v>1.0</v>
      </c>
      <c r="F3161" s="7" t="s">
        <v>83</v>
      </c>
      <c r="G3161" s="7" t="s">
        <v>604</v>
      </c>
      <c r="H3161" s="9" t="s">
        <v>2979</v>
      </c>
      <c r="I3161" t="s">
        <v>3244</v>
      </c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7" t="str">
        <f t="shared" si="1"/>
        <v>Built-up :</v>
      </c>
      <c r="AE3161" s="7" t="str">
        <f t="shared" si="2"/>
        <v> sq. ft.</v>
      </c>
      <c r="AF3161">
        <f>IFERROR(__xludf.DUMMYFUNCTION("VALUE(REGEXREPLACE(G3161,""[^[:digit:]]"", """"))"),1150.0)</f>
        <v>1150</v>
      </c>
      <c r="AG3161" s="7"/>
      <c r="AH3161" s="7"/>
      <c r="AI3161" s="7"/>
      <c r="AJ3161" s="7"/>
      <c r="AK3161" s="7"/>
      <c r="AL3161" s="7"/>
      <c r="AM3161" s="7"/>
      <c r="AN3161" s="7"/>
      <c r="AO3161" s="7"/>
      <c r="AP3161" s="7"/>
      <c r="AQ3161" s="7"/>
      <c r="AR3161" s="7"/>
      <c r="AS3161" s="7" t="s">
        <v>22</v>
      </c>
    </row>
    <row r="3162">
      <c r="A3162" s="7" t="s">
        <v>86</v>
      </c>
      <c r="B3162" s="7" t="s">
        <v>1517</v>
      </c>
      <c r="C3162" s="7">
        <f t="shared" si="426"/>
        <v>3</v>
      </c>
      <c r="D3162" s="7">
        <v>2.0</v>
      </c>
      <c r="E3162" s="9">
        <v>2.0</v>
      </c>
      <c r="F3162" s="7" t="s">
        <v>82</v>
      </c>
      <c r="G3162" s="7" t="s">
        <v>621</v>
      </c>
      <c r="H3162" s="9" t="s">
        <v>2979</v>
      </c>
      <c r="I3162" t="s">
        <v>3251</v>
      </c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7" t="str">
        <f t="shared" si="1"/>
        <v>Built-up :</v>
      </c>
      <c r="AE3162" s="7" t="str">
        <f t="shared" si="2"/>
        <v> sq. ft.</v>
      </c>
      <c r="AF3162">
        <f>IFERROR(__xludf.DUMMYFUNCTION("VALUE(REGEXREPLACE(G3162,""[^[:digit:]]"", """"))"),1119.0)</f>
        <v>1119</v>
      </c>
      <c r="AG3162" s="7"/>
      <c r="AH3162" s="7"/>
      <c r="AI3162" s="7"/>
      <c r="AJ3162" s="7"/>
      <c r="AK3162" s="7"/>
      <c r="AL3162" s="7"/>
      <c r="AM3162" s="7"/>
      <c r="AN3162" s="7"/>
      <c r="AO3162" s="7"/>
      <c r="AP3162" s="7"/>
      <c r="AQ3162" s="7"/>
      <c r="AR3162" s="7"/>
      <c r="AS3162" s="7" t="s">
        <v>103</v>
      </c>
    </row>
    <row r="3163">
      <c r="A3163" s="7" t="s">
        <v>86</v>
      </c>
      <c r="B3163" s="7" t="s">
        <v>575</v>
      </c>
      <c r="C3163" s="7">
        <f t="shared" ref="C3163:C3165" si="427">2</f>
        <v>2</v>
      </c>
      <c r="D3163" s="7">
        <v>2.0</v>
      </c>
      <c r="E3163" s="7">
        <v>1.0</v>
      </c>
      <c r="F3163" s="7" t="s">
        <v>82</v>
      </c>
      <c r="G3163" s="7" t="s">
        <v>416</v>
      </c>
      <c r="H3163" s="9" t="s">
        <v>2979</v>
      </c>
      <c r="I3163" t="s">
        <v>3153</v>
      </c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7" t="str">
        <f t="shared" si="1"/>
        <v>Built-up :</v>
      </c>
      <c r="AE3163" s="7" t="str">
        <f t="shared" si="2"/>
        <v> sq. ft.</v>
      </c>
      <c r="AF3163">
        <f>IFERROR(__xludf.DUMMYFUNCTION("VALUE(REGEXREPLACE(G3163,""[^[:digit:]]"", """"))"),823.0)</f>
        <v>823</v>
      </c>
      <c r="AG3163" s="7"/>
      <c r="AH3163" s="7"/>
      <c r="AI3163" s="7"/>
      <c r="AJ3163" s="7"/>
      <c r="AK3163" s="7"/>
      <c r="AL3163" s="7"/>
      <c r="AM3163" s="7"/>
      <c r="AN3163" s="7"/>
      <c r="AO3163" s="7"/>
      <c r="AP3163" s="7"/>
      <c r="AQ3163" s="7"/>
      <c r="AR3163" s="7"/>
      <c r="AS3163" s="7" t="s">
        <v>103</v>
      </c>
    </row>
    <row r="3164">
      <c r="A3164" s="7" t="s">
        <v>100</v>
      </c>
      <c r="B3164" s="7" t="s">
        <v>702</v>
      </c>
      <c r="C3164" s="7">
        <f t="shared" si="427"/>
        <v>2</v>
      </c>
      <c r="D3164" s="7">
        <v>2.0</v>
      </c>
      <c r="E3164" s="7">
        <v>1.0</v>
      </c>
      <c r="F3164" s="7" t="s">
        <v>121</v>
      </c>
      <c r="G3164" s="7" t="s">
        <v>2203</v>
      </c>
      <c r="H3164" s="9" t="s">
        <v>2979</v>
      </c>
      <c r="I3164" t="s">
        <v>4177</v>
      </c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7" t="str">
        <f t="shared" si="1"/>
        <v>Built-up :</v>
      </c>
      <c r="AE3164" s="7" t="str">
        <f t="shared" si="2"/>
        <v> sq. ft.</v>
      </c>
      <c r="AF3164">
        <f>IFERROR(__xludf.DUMMYFUNCTION("VALUE(REGEXREPLACE(G3164,""[^[:digit:]]"", """"))"),722.0)</f>
        <v>722</v>
      </c>
      <c r="AG3164" s="7"/>
      <c r="AH3164" s="7"/>
      <c r="AI3164" s="7"/>
      <c r="AJ3164" s="7"/>
      <c r="AK3164" s="7"/>
      <c r="AL3164" s="7"/>
      <c r="AM3164" s="7"/>
      <c r="AN3164" s="7"/>
      <c r="AO3164" s="7"/>
      <c r="AP3164" s="7"/>
      <c r="AQ3164" s="7"/>
      <c r="AR3164" s="7"/>
      <c r="AS3164" s="7" t="s">
        <v>22</v>
      </c>
    </row>
    <row r="3165">
      <c r="A3165" s="7" t="s">
        <v>32</v>
      </c>
      <c r="B3165" s="7" t="s">
        <v>759</v>
      </c>
      <c r="C3165" s="7">
        <f t="shared" si="427"/>
        <v>2</v>
      </c>
      <c r="D3165" s="7">
        <v>2.0</v>
      </c>
      <c r="E3165" s="7">
        <v>1.0</v>
      </c>
      <c r="F3165" s="7" t="s">
        <v>83</v>
      </c>
      <c r="G3165" s="7" t="s">
        <v>2204</v>
      </c>
      <c r="H3165" s="9" t="s">
        <v>2979</v>
      </c>
      <c r="I3165" t="s">
        <v>4178</v>
      </c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  <c r="AC3165" s="7"/>
      <c r="AD3165" s="7" t="str">
        <f t="shared" si="1"/>
        <v>Built-up :</v>
      </c>
      <c r="AE3165" s="7" t="str">
        <f t="shared" si="2"/>
        <v> sq. ft.</v>
      </c>
      <c r="AF3165">
        <f>IFERROR(__xludf.DUMMYFUNCTION("VALUE(REGEXREPLACE(G3165,""[^[:digit:]]"", """"))"),962.0)</f>
        <v>962</v>
      </c>
      <c r="AG3165" s="7"/>
      <c r="AH3165" s="7"/>
      <c r="AI3165" s="7"/>
      <c r="AJ3165" s="7"/>
      <c r="AK3165" s="7"/>
      <c r="AL3165" s="7"/>
      <c r="AM3165" s="7"/>
      <c r="AN3165" s="7"/>
      <c r="AO3165" s="7"/>
      <c r="AP3165" s="7"/>
      <c r="AQ3165" s="7"/>
      <c r="AR3165" s="7"/>
      <c r="AS3165" s="7" t="s">
        <v>27</v>
      </c>
    </row>
    <row r="3166">
      <c r="A3166" s="7" t="s">
        <v>89</v>
      </c>
      <c r="B3166" s="7" t="s">
        <v>243</v>
      </c>
      <c r="C3166" s="7">
        <f>4+1</f>
        <v>5</v>
      </c>
      <c r="D3166" s="7">
        <v>6.0</v>
      </c>
      <c r="E3166" s="7">
        <v>4.0</v>
      </c>
      <c r="F3166" s="7" t="s">
        <v>90</v>
      </c>
      <c r="G3166" s="7" t="s">
        <v>344</v>
      </c>
      <c r="H3166" s="9" t="s">
        <v>2981</v>
      </c>
      <c r="I3166" t="s">
        <v>3118</v>
      </c>
      <c r="J3166" s="7"/>
      <c r="K3166" s="7"/>
      <c r="L3166" s="7"/>
      <c r="M3166" s="7"/>
      <c r="N3166" s="7"/>
      <c r="O3166" s="7"/>
      <c r="P3166" s="7"/>
      <c r="Q3166" s="7"/>
      <c r="R3166" s="7"/>
      <c r="S3166" s="7" t="s">
        <v>2993</v>
      </c>
      <c r="T3166" s="7"/>
      <c r="U3166" s="7"/>
      <c r="V3166" s="7"/>
      <c r="W3166" s="7"/>
      <c r="X3166" s="7"/>
      <c r="Y3166" s="7"/>
      <c r="Z3166" s="7"/>
      <c r="AA3166" s="7"/>
      <c r="AB3166" s="7"/>
      <c r="AC3166" s="7"/>
      <c r="AD3166" s="7" t="str">
        <f t="shared" si="1"/>
        <v>Land area </v>
      </c>
      <c r="AE3166" s="7" t="str">
        <f t="shared" si="2"/>
        <v> sq. ft.</v>
      </c>
      <c r="AF3166">
        <f>IFERROR(__xludf.DUMMYFUNCTION("VALUE(REGEXREPLACE(G3166,""[^[:digit:]]"", """"))"),2480.0)</f>
        <v>2480</v>
      </c>
      <c r="AG3166" s="7"/>
      <c r="AH3166" s="7"/>
      <c r="AI3166" s="7"/>
      <c r="AJ3166" s="7"/>
      <c r="AK3166" s="7"/>
      <c r="AL3166" s="7"/>
      <c r="AM3166" s="7"/>
      <c r="AN3166" s="7"/>
      <c r="AO3166" s="7"/>
      <c r="AP3166" s="7"/>
      <c r="AQ3166" s="7"/>
      <c r="AR3166" s="7"/>
      <c r="AS3166" s="7" t="s">
        <v>27</v>
      </c>
    </row>
    <row r="3167">
      <c r="A3167" s="7" t="s">
        <v>515</v>
      </c>
      <c r="B3167" s="7" t="s">
        <v>1073</v>
      </c>
      <c r="C3167" s="7">
        <f t="shared" ref="C3167:C3168" si="428">3</f>
        <v>3</v>
      </c>
      <c r="D3167" s="7">
        <v>2.0</v>
      </c>
      <c r="E3167" s="7">
        <v>2.0</v>
      </c>
      <c r="F3167" s="7" t="s">
        <v>2002</v>
      </c>
      <c r="G3167" s="7" t="s">
        <v>2205</v>
      </c>
      <c r="H3167" s="9" t="s">
        <v>2981</v>
      </c>
      <c r="I3167" t="s">
        <v>3518</v>
      </c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7" t="str">
        <f t="shared" si="1"/>
        <v>Land area </v>
      </c>
      <c r="AE3167" s="7" t="str">
        <f t="shared" si="2"/>
        <v> sq. ft.</v>
      </c>
      <c r="AF3167">
        <f>IFERROR(__xludf.DUMMYFUNCTION("VALUE(REGEXREPLACE(G3167,""[^[:digit:]]"", """"))"),1540.0)</f>
        <v>1540</v>
      </c>
      <c r="AG3167" s="7"/>
      <c r="AH3167" s="7"/>
      <c r="AI3167" s="7"/>
      <c r="AJ3167" s="7"/>
      <c r="AK3167" s="7"/>
      <c r="AL3167" s="7"/>
      <c r="AM3167" s="7"/>
      <c r="AN3167" s="7"/>
      <c r="AO3167" s="7"/>
      <c r="AP3167" s="7"/>
      <c r="AQ3167" s="7"/>
      <c r="AR3167" s="7"/>
      <c r="AS3167" s="7" t="s">
        <v>27</v>
      </c>
    </row>
    <row r="3168">
      <c r="A3168" s="7" t="s">
        <v>100</v>
      </c>
      <c r="B3168" s="7" t="s">
        <v>967</v>
      </c>
      <c r="C3168" s="7">
        <f t="shared" si="428"/>
        <v>3</v>
      </c>
      <c r="D3168" s="7">
        <v>2.0</v>
      </c>
      <c r="E3168" s="7">
        <v>2.0</v>
      </c>
      <c r="F3168" s="7" t="s">
        <v>83</v>
      </c>
      <c r="G3168" s="7" t="s">
        <v>954</v>
      </c>
      <c r="H3168" s="9" t="s">
        <v>2979</v>
      </c>
      <c r="I3168" t="s">
        <v>3424</v>
      </c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7" t="str">
        <f t="shared" si="1"/>
        <v>Built-up :</v>
      </c>
      <c r="AE3168" s="7" t="str">
        <f t="shared" si="2"/>
        <v> sq. ft.</v>
      </c>
      <c r="AF3168">
        <f>IFERROR(__xludf.DUMMYFUNCTION("VALUE(REGEXREPLACE(G3168,""[^[:digit:]]"", """"))"),935.0)</f>
        <v>935</v>
      </c>
      <c r="AG3168" s="7"/>
      <c r="AH3168" s="7"/>
      <c r="AI3168" s="7"/>
      <c r="AJ3168" s="7"/>
      <c r="AK3168" s="7"/>
      <c r="AL3168" s="7"/>
      <c r="AM3168" s="7"/>
      <c r="AN3168" s="7"/>
      <c r="AO3168" s="7"/>
      <c r="AP3168" s="7"/>
      <c r="AQ3168" s="7"/>
      <c r="AR3168" s="7"/>
      <c r="AS3168" s="7" t="s">
        <v>27</v>
      </c>
    </row>
    <row r="3169">
      <c r="A3169" s="7" t="s">
        <v>33</v>
      </c>
      <c r="B3169" s="7" t="s">
        <v>245</v>
      </c>
      <c r="C3169" s="7">
        <f>2</f>
        <v>2</v>
      </c>
      <c r="D3169" s="7">
        <v>2.0</v>
      </c>
      <c r="E3169" s="9">
        <v>2.0</v>
      </c>
      <c r="F3169" s="7" t="s">
        <v>20</v>
      </c>
      <c r="G3169" s="7" t="s">
        <v>795</v>
      </c>
      <c r="H3169" s="9" t="s">
        <v>2979</v>
      </c>
      <c r="I3169" t="s">
        <v>3344</v>
      </c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7" t="str">
        <f t="shared" si="1"/>
        <v>Built-up :</v>
      </c>
      <c r="AE3169" s="7" t="str">
        <f t="shared" si="2"/>
        <v> sq. ft.</v>
      </c>
      <c r="AF3169">
        <f>IFERROR(__xludf.DUMMYFUNCTION("VALUE(REGEXREPLACE(G3169,""[^[:digit:]]"", """"))"),1170.0)</f>
        <v>1170</v>
      </c>
      <c r="AG3169" s="7"/>
      <c r="AH3169" s="7"/>
      <c r="AI3169" s="7"/>
      <c r="AJ3169" s="7"/>
      <c r="AK3169" s="7"/>
      <c r="AL3169" s="7"/>
      <c r="AM3169" s="7"/>
      <c r="AN3169" s="7"/>
      <c r="AO3169" s="7"/>
      <c r="AP3169" s="7"/>
      <c r="AQ3169" s="7"/>
      <c r="AR3169" s="7"/>
      <c r="AS3169" s="7" t="s">
        <v>22</v>
      </c>
    </row>
    <row r="3170">
      <c r="A3170" s="7" t="s">
        <v>37</v>
      </c>
      <c r="B3170" s="7" t="s">
        <v>671</v>
      </c>
      <c r="C3170" s="7">
        <f>5</f>
        <v>5</v>
      </c>
      <c r="D3170" s="7">
        <v>4.0</v>
      </c>
      <c r="E3170" s="9">
        <v>2.0</v>
      </c>
      <c r="F3170" s="7" t="s">
        <v>64</v>
      </c>
      <c r="G3170" s="7" t="s">
        <v>44</v>
      </c>
      <c r="H3170" s="9" t="s">
        <v>2981</v>
      </c>
      <c r="I3170" t="s">
        <v>2988</v>
      </c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7" t="str">
        <f t="shared" si="1"/>
        <v>Land area </v>
      </c>
      <c r="AE3170" s="7" t="str">
        <f t="shared" si="2"/>
        <v> sq. ft.</v>
      </c>
      <c r="AF3170">
        <f>IFERROR(__xludf.DUMMYFUNCTION("VALUE(REGEXREPLACE(G3170,""[^[:digit:]]"", """"))"),3600.0)</f>
        <v>3600</v>
      </c>
      <c r="AG3170" s="7"/>
      <c r="AH3170" s="7"/>
      <c r="AI3170" s="7"/>
      <c r="AJ3170" s="7"/>
      <c r="AK3170" s="7"/>
      <c r="AL3170" s="7"/>
      <c r="AM3170" s="7"/>
      <c r="AN3170" s="7"/>
      <c r="AO3170" s="7"/>
      <c r="AP3170" s="7"/>
      <c r="AQ3170" s="7"/>
      <c r="AR3170" s="7"/>
      <c r="AS3170" s="7" t="s">
        <v>27</v>
      </c>
    </row>
    <row r="3171">
      <c r="A3171" s="7" t="s">
        <v>37</v>
      </c>
      <c r="B3171" s="7" t="s">
        <v>671</v>
      </c>
      <c r="C3171" s="7">
        <f>4+1</f>
        <v>5</v>
      </c>
      <c r="D3171" s="7">
        <v>3.0</v>
      </c>
      <c r="E3171" s="9">
        <v>2.0</v>
      </c>
      <c r="F3171" s="7" t="s">
        <v>64</v>
      </c>
      <c r="G3171" s="7" t="s">
        <v>44</v>
      </c>
      <c r="H3171" s="9" t="s">
        <v>2981</v>
      </c>
      <c r="I3171" t="s">
        <v>2988</v>
      </c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  <c r="AB3171" s="7"/>
      <c r="AC3171" s="7"/>
      <c r="AD3171" s="7" t="str">
        <f t="shared" si="1"/>
        <v>Land area </v>
      </c>
      <c r="AE3171" s="7" t="str">
        <f t="shared" si="2"/>
        <v> sq. ft.</v>
      </c>
      <c r="AF3171">
        <f>IFERROR(__xludf.DUMMYFUNCTION("VALUE(REGEXREPLACE(G3171,""[^[:digit:]]"", """"))"),3600.0)</f>
        <v>3600</v>
      </c>
      <c r="AG3171" s="7"/>
      <c r="AH3171" s="7"/>
      <c r="AI3171" s="7"/>
      <c r="AJ3171" s="7"/>
      <c r="AK3171" s="7"/>
      <c r="AL3171" s="7"/>
      <c r="AM3171" s="7"/>
      <c r="AN3171" s="7"/>
      <c r="AO3171" s="7"/>
      <c r="AP3171" s="7"/>
      <c r="AQ3171" s="7"/>
      <c r="AR3171" s="7"/>
      <c r="AS3171" s="7" t="s">
        <v>27</v>
      </c>
    </row>
    <row r="3172">
      <c r="A3172" s="7" t="s">
        <v>37</v>
      </c>
      <c r="B3172" s="7" t="s">
        <v>257</v>
      </c>
      <c r="C3172" s="7">
        <f>4+2</f>
        <v>6</v>
      </c>
      <c r="D3172" s="7">
        <v>3.0</v>
      </c>
      <c r="E3172" s="7">
        <v>3.0</v>
      </c>
      <c r="F3172" s="7" t="s">
        <v>64</v>
      </c>
      <c r="G3172" s="7" t="s">
        <v>2206</v>
      </c>
      <c r="H3172" s="9" t="s">
        <v>2981</v>
      </c>
      <c r="I3172" t="s">
        <v>4179</v>
      </c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  <c r="AB3172" s="7"/>
      <c r="AC3172" s="7"/>
      <c r="AD3172" s="7" t="str">
        <f t="shared" si="1"/>
        <v>Land area </v>
      </c>
      <c r="AE3172" s="7" t="str">
        <f t="shared" si="2"/>
        <v> sq. ft.</v>
      </c>
      <c r="AF3172">
        <f>IFERROR(__xludf.DUMMYFUNCTION("VALUE(REGEXREPLACE(G3172,""[^[:digit:]]"", """"))"),3995.0)</f>
        <v>3995</v>
      </c>
      <c r="AG3172" s="7"/>
      <c r="AH3172" s="7"/>
      <c r="AI3172" s="7"/>
      <c r="AJ3172" s="7"/>
      <c r="AK3172" s="7"/>
      <c r="AL3172" s="7"/>
      <c r="AM3172" s="7"/>
      <c r="AN3172" s="7"/>
      <c r="AO3172" s="7"/>
      <c r="AP3172" s="7"/>
      <c r="AQ3172" s="7"/>
      <c r="AR3172" s="7"/>
      <c r="AS3172" s="7" t="s">
        <v>27</v>
      </c>
    </row>
    <row r="3173">
      <c r="A3173" s="7" t="s">
        <v>37</v>
      </c>
      <c r="B3173" s="7" t="s">
        <v>183</v>
      </c>
      <c r="C3173" s="7">
        <f>4+1</f>
        <v>5</v>
      </c>
      <c r="D3173" s="7">
        <v>4.0</v>
      </c>
      <c r="E3173" s="7">
        <v>3.0</v>
      </c>
      <c r="F3173" s="7" t="s">
        <v>64</v>
      </c>
      <c r="G3173" s="7" t="s">
        <v>44</v>
      </c>
      <c r="H3173" s="9" t="s">
        <v>2981</v>
      </c>
      <c r="I3173" t="s">
        <v>2988</v>
      </c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7" t="str">
        <f t="shared" si="1"/>
        <v>Land area </v>
      </c>
      <c r="AE3173" s="7" t="str">
        <f t="shared" si="2"/>
        <v> sq. ft.</v>
      </c>
      <c r="AF3173">
        <f>IFERROR(__xludf.DUMMYFUNCTION("VALUE(REGEXREPLACE(G3173,""[^[:digit:]]"", """"))"),3600.0)</f>
        <v>3600</v>
      </c>
      <c r="AG3173" s="7"/>
      <c r="AH3173" s="7"/>
      <c r="AI3173" s="7"/>
      <c r="AJ3173" s="7"/>
      <c r="AK3173" s="7"/>
      <c r="AL3173" s="7"/>
      <c r="AM3173" s="7"/>
      <c r="AN3173" s="7"/>
      <c r="AO3173" s="7"/>
      <c r="AP3173" s="7"/>
      <c r="AQ3173" s="7"/>
      <c r="AR3173" s="7"/>
      <c r="AS3173" s="7" t="s">
        <v>27</v>
      </c>
    </row>
    <row r="3174">
      <c r="A3174" s="7" t="s">
        <v>37</v>
      </c>
      <c r="B3174" s="7" t="s">
        <v>525</v>
      </c>
      <c r="C3174" s="7">
        <f t="shared" ref="C3174:C3175" si="429">3</f>
        <v>3</v>
      </c>
      <c r="D3174" s="7">
        <v>2.0</v>
      </c>
      <c r="E3174" s="9">
        <v>2.0</v>
      </c>
      <c r="F3174" s="7" t="s">
        <v>343</v>
      </c>
      <c r="G3174" s="7" t="s">
        <v>344</v>
      </c>
      <c r="H3174" s="9" t="s">
        <v>2981</v>
      </c>
      <c r="I3174" t="s">
        <v>3118</v>
      </c>
      <c r="J3174" s="7"/>
      <c r="K3174" s="7"/>
      <c r="L3174" s="7"/>
      <c r="M3174" s="7"/>
      <c r="N3174" s="7"/>
      <c r="O3174" s="7"/>
      <c r="P3174" s="7"/>
      <c r="Q3174" s="7"/>
      <c r="R3174" s="7"/>
      <c r="S3174" s="7" t="s">
        <v>2993</v>
      </c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7" t="str">
        <f t="shared" si="1"/>
        <v>Land area </v>
      </c>
      <c r="AE3174" s="7" t="str">
        <f t="shared" si="2"/>
        <v> sq. ft.</v>
      </c>
      <c r="AF3174">
        <f>IFERROR(__xludf.DUMMYFUNCTION("VALUE(REGEXREPLACE(G3174,""[^[:digit:]]"", """"))"),2480.0)</f>
        <v>2480</v>
      </c>
      <c r="AG3174" s="7"/>
      <c r="AH3174" s="7"/>
      <c r="AI3174" s="7"/>
      <c r="AJ3174" s="7"/>
      <c r="AK3174" s="7"/>
      <c r="AL3174" s="7"/>
      <c r="AM3174" s="7"/>
      <c r="AN3174" s="7"/>
      <c r="AO3174" s="7"/>
      <c r="AP3174" s="7"/>
      <c r="AQ3174" s="7"/>
      <c r="AR3174" s="7"/>
      <c r="AS3174" s="7" t="s">
        <v>103</v>
      </c>
    </row>
    <row r="3175">
      <c r="A3175" s="7" t="s">
        <v>77</v>
      </c>
      <c r="B3175" s="7" t="s">
        <v>98</v>
      </c>
      <c r="C3175" s="7">
        <f t="shared" si="429"/>
        <v>3</v>
      </c>
      <c r="D3175" s="7">
        <v>2.0</v>
      </c>
      <c r="E3175" s="7">
        <v>2.0</v>
      </c>
      <c r="F3175" s="7" t="s">
        <v>93</v>
      </c>
      <c r="G3175" s="7" t="s">
        <v>471</v>
      </c>
      <c r="H3175" s="9" t="s">
        <v>2979</v>
      </c>
      <c r="I3175" t="s">
        <v>3179</v>
      </c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7" t="str">
        <f t="shared" si="1"/>
        <v>Built-up :</v>
      </c>
      <c r="AE3175" s="7" t="str">
        <f t="shared" si="2"/>
        <v> sq. ft.</v>
      </c>
      <c r="AF3175">
        <f>IFERROR(__xludf.DUMMYFUNCTION("VALUE(REGEXREPLACE(G3175,""[^[:digit:]]"", """"))"),1400.0)</f>
        <v>1400</v>
      </c>
      <c r="AG3175" s="7"/>
      <c r="AH3175" s="7"/>
      <c r="AI3175" s="7"/>
      <c r="AJ3175" s="7"/>
      <c r="AK3175" s="7"/>
      <c r="AL3175" s="7"/>
      <c r="AM3175" s="7"/>
      <c r="AN3175" s="7"/>
      <c r="AO3175" s="7"/>
      <c r="AP3175" s="7"/>
      <c r="AQ3175" s="7"/>
      <c r="AR3175" s="7"/>
      <c r="AS3175" s="7" t="s">
        <v>22</v>
      </c>
    </row>
    <row r="3176">
      <c r="A3176" s="7" t="s">
        <v>23</v>
      </c>
      <c r="B3176" s="7" t="s">
        <v>679</v>
      </c>
      <c r="C3176" s="7">
        <f>5+1</f>
        <v>6</v>
      </c>
      <c r="D3176" s="7">
        <v>6.0</v>
      </c>
      <c r="E3176" s="9">
        <v>2.0</v>
      </c>
      <c r="F3176" s="7" t="s">
        <v>25</v>
      </c>
      <c r="G3176" s="7" t="s">
        <v>2207</v>
      </c>
      <c r="H3176" s="9" t="s">
        <v>2981</v>
      </c>
      <c r="I3176" t="s">
        <v>4180</v>
      </c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7" t="str">
        <f t="shared" si="1"/>
        <v>Land area </v>
      </c>
      <c r="AE3176" s="7" t="str">
        <f t="shared" si="2"/>
        <v> sq. ft.</v>
      </c>
      <c r="AF3176">
        <f>IFERROR(__xludf.DUMMYFUNCTION("VALUE(REGEXREPLACE(G3176,""[^[:digit:]]"", """"))"),9200.0)</f>
        <v>9200</v>
      </c>
      <c r="AG3176" s="7"/>
      <c r="AH3176" s="7"/>
      <c r="AI3176" s="7"/>
      <c r="AJ3176" s="7"/>
      <c r="AK3176" s="7"/>
      <c r="AL3176" s="7"/>
      <c r="AM3176" s="7"/>
      <c r="AN3176" s="7"/>
      <c r="AO3176" s="7"/>
      <c r="AP3176" s="7"/>
      <c r="AQ3176" s="7"/>
      <c r="AR3176" s="7"/>
    </row>
    <row r="3177">
      <c r="A3177" s="7" t="s">
        <v>37</v>
      </c>
      <c r="B3177" s="7" t="s">
        <v>284</v>
      </c>
      <c r="C3177" s="7">
        <f t="shared" ref="C3177:C3178" si="430">3</f>
        <v>3</v>
      </c>
      <c r="D3177" s="7">
        <v>2.0</v>
      </c>
      <c r="E3177" s="9">
        <v>2.0</v>
      </c>
      <c r="F3177" s="7" t="s">
        <v>343</v>
      </c>
      <c r="G3177" s="7" t="s">
        <v>344</v>
      </c>
      <c r="H3177" s="9" t="s">
        <v>2981</v>
      </c>
      <c r="I3177" t="s">
        <v>3118</v>
      </c>
      <c r="J3177" s="7"/>
      <c r="K3177" s="7"/>
      <c r="L3177" s="7"/>
      <c r="M3177" s="7"/>
      <c r="N3177" s="7"/>
      <c r="O3177" s="7"/>
      <c r="P3177" s="7"/>
      <c r="Q3177" s="7"/>
      <c r="R3177" s="7"/>
      <c r="S3177" s="7" t="s">
        <v>2993</v>
      </c>
      <c r="T3177" s="7"/>
      <c r="U3177" s="7"/>
      <c r="V3177" s="7"/>
      <c r="W3177" s="7"/>
      <c r="X3177" s="7"/>
      <c r="Y3177" s="7"/>
      <c r="Z3177" s="7"/>
      <c r="AA3177" s="7"/>
      <c r="AB3177" s="7"/>
      <c r="AC3177" s="7"/>
      <c r="AD3177" s="7" t="str">
        <f t="shared" si="1"/>
        <v>Land area </v>
      </c>
      <c r="AE3177" s="7" t="str">
        <f t="shared" si="2"/>
        <v> sq. ft.</v>
      </c>
      <c r="AF3177">
        <f>IFERROR(__xludf.DUMMYFUNCTION("VALUE(REGEXREPLACE(G3177,""[^[:digit:]]"", """"))"),2480.0)</f>
        <v>2480</v>
      </c>
      <c r="AG3177" s="7"/>
      <c r="AH3177" s="7"/>
      <c r="AI3177" s="7"/>
      <c r="AJ3177" s="7"/>
      <c r="AK3177" s="7"/>
      <c r="AL3177" s="7"/>
      <c r="AM3177" s="7"/>
      <c r="AN3177" s="7"/>
      <c r="AO3177" s="7"/>
      <c r="AP3177" s="7"/>
      <c r="AQ3177" s="7"/>
      <c r="AR3177" s="7"/>
      <c r="AS3177" s="7" t="s">
        <v>103</v>
      </c>
    </row>
    <row r="3178">
      <c r="A3178" s="7" t="s">
        <v>37</v>
      </c>
      <c r="B3178" s="7" t="s">
        <v>132</v>
      </c>
      <c r="C3178" s="7">
        <f t="shared" si="430"/>
        <v>3</v>
      </c>
      <c r="D3178" s="7">
        <v>2.0</v>
      </c>
      <c r="E3178" s="7">
        <v>2.0</v>
      </c>
      <c r="F3178" s="7" t="s">
        <v>343</v>
      </c>
      <c r="G3178" s="7" t="s">
        <v>344</v>
      </c>
      <c r="H3178" s="9" t="s">
        <v>2981</v>
      </c>
      <c r="I3178" t="s">
        <v>3118</v>
      </c>
      <c r="J3178" s="7"/>
      <c r="K3178" s="7"/>
      <c r="L3178" s="7"/>
      <c r="M3178" s="7"/>
      <c r="N3178" s="7"/>
      <c r="O3178" s="7"/>
      <c r="P3178" s="7"/>
      <c r="Q3178" s="7"/>
      <c r="R3178" s="7"/>
      <c r="S3178" s="7" t="s">
        <v>2993</v>
      </c>
      <c r="T3178" s="7"/>
      <c r="U3178" s="7"/>
      <c r="V3178" s="7"/>
      <c r="W3178" s="7"/>
      <c r="X3178" s="7"/>
      <c r="Y3178" s="7"/>
      <c r="Z3178" s="7"/>
      <c r="AA3178" s="7"/>
      <c r="AB3178" s="7"/>
      <c r="AC3178" s="7"/>
      <c r="AD3178" s="7" t="str">
        <f t="shared" si="1"/>
        <v>Land area </v>
      </c>
      <c r="AE3178" s="7" t="str">
        <f t="shared" si="2"/>
        <v> sq. ft.</v>
      </c>
      <c r="AF3178">
        <f>IFERROR(__xludf.DUMMYFUNCTION("VALUE(REGEXREPLACE(G3178,""[^[:digit:]]"", """"))"),2480.0)</f>
        <v>2480</v>
      </c>
      <c r="AG3178" s="7"/>
      <c r="AH3178" s="7"/>
      <c r="AI3178" s="7"/>
      <c r="AJ3178" s="7"/>
      <c r="AK3178" s="7"/>
      <c r="AL3178" s="7"/>
      <c r="AM3178" s="7"/>
      <c r="AN3178" s="7"/>
      <c r="AO3178" s="7"/>
      <c r="AP3178" s="7"/>
      <c r="AQ3178" s="7"/>
      <c r="AR3178" s="7"/>
      <c r="AS3178" s="7" t="s">
        <v>103</v>
      </c>
    </row>
    <row r="3179">
      <c r="A3179" s="7" t="s">
        <v>28</v>
      </c>
      <c r="B3179" s="7" t="s">
        <v>201</v>
      </c>
      <c r="C3179" s="7">
        <f>3+2</f>
        <v>5</v>
      </c>
      <c r="D3179" s="7">
        <v>5.0</v>
      </c>
      <c r="E3179" s="7">
        <v>2.0</v>
      </c>
      <c r="F3179" s="7" t="s">
        <v>30</v>
      </c>
      <c r="G3179" s="7" t="s">
        <v>2208</v>
      </c>
      <c r="H3179" s="9" t="s">
        <v>2979</v>
      </c>
      <c r="I3179" t="s">
        <v>4181</v>
      </c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 t="str">
        <f t="shared" si="1"/>
        <v>Built-up :</v>
      </c>
      <c r="AE3179" s="7" t="str">
        <f t="shared" si="2"/>
        <v> sq. ft.</v>
      </c>
      <c r="AF3179">
        <f>IFERROR(__xludf.DUMMYFUNCTION("VALUE(REGEXREPLACE(G3179,""[^[:digit:]]"", """"))"),1706.0)</f>
        <v>1706</v>
      </c>
      <c r="AG3179" s="7"/>
      <c r="AH3179" s="7"/>
      <c r="AI3179" s="7"/>
      <c r="AJ3179" s="7"/>
      <c r="AK3179" s="7"/>
      <c r="AL3179" s="7"/>
      <c r="AM3179" s="7"/>
      <c r="AN3179" s="7"/>
      <c r="AO3179" s="7"/>
      <c r="AP3179" s="7"/>
      <c r="AQ3179" s="7"/>
      <c r="AR3179" s="7"/>
    </row>
    <row r="3180">
      <c r="A3180" s="7" t="s">
        <v>86</v>
      </c>
      <c r="B3180" s="7" t="s">
        <v>403</v>
      </c>
      <c r="C3180" s="7">
        <f>3</f>
        <v>3</v>
      </c>
      <c r="D3180" s="7">
        <v>3.0</v>
      </c>
      <c r="E3180" s="9">
        <v>2.0</v>
      </c>
      <c r="F3180" s="7" t="s">
        <v>83</v>
      </c>
      <c r="G3180" s="7" t="s">
        <v>2053</v>
      </c>
      <c r="H3180" s="9" t="s">
        <v>2979</v>
      </c>
      <c r="I3180" t="s">
        <v>4079</v>
      </c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7" t="str">
        <f t="shared" si="1"/>
        <v>Built-up :</v>
      </c>
      <c r="AE3180" s="7" t="str">
        <f t="shared" si="2"/>
        <v> sq. ft.</v>
      </c>
      <c r="AF3180">
        <f>IFERROR(__xludf.DUMMYFUNCTION("VALUE(REGEXREPLACE(G3180,""[^[:digit:]]"", """"))"),2068.0)</f>
        <v>2068</v>
      </c>
      <c r="AG3180" s="7"/>
      <c r="AH3180" s="7"/>
      <c r="AI3180" s="7"/>
      <c r="AJ3180" s="7"/>
      <c r="AK3180" s="7"/>
      <c r="AL3180" s="7"/>
      <c r="AM3180" s="7"/>
      <c r="AN3180" s="7"/>
      <c r="AO3180" s="7"/>
      <c r="AP3180" s="7"/>
      <c r="AQ3180" s="7"/>
      <c r="AR3180" s="7"/>
      <c r="AS3180" s="7" t="s">
        <v>22</v>
      </c>
    </row>
    <row r="3181">
      <c r="A3181" s="7" t="s">
        <v>155</v>
      </c>
      <c r="B3181" s="7" t="s">
        <v>214</v>
      </c>
      <c r="C3181" s="7">
        <f>4+1</f>
        <v>5</v>
      </c>
      <c r="D3181" s="7">
        <v>4.0</v>
      </c>
      <c r="E3181" s="7">
        <v>3.0</v>
      </c>
      <c r="F3181" s="7" t="s">
        <v>793</v>
      </c>
      <c r="G3181" s="7" t="s">
        <v>2209</v>
      </c>
      <c r="H3181" s="9" t="s">
        <v>2979</v>
      </c>
      <c r="I3181" t="s">
        <v>4182</v>
      </c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7" t="str">
        <f t="shared" si="1"/>
        <v>Built-up :</v>
      </c>
      <c r="AE3181" s="7" t="str">
        <f t="shared" si="2"/>
        <v> sq. ft.</v>
      </c>
      <c r="AF3181">
        <f>IFERROR(__xludf.DUMMYFUNCTION("VALUE(REGEXREPLACE(G3181,""[^[:digit:]]"", """"))"),2258.0)</f>
        <v>2258</v>
      </c>
      <c r="AG3181" s="7"/>
      <c r="AH3181" s="7"/>
      <c r="AI3181" s="7"/>
      <c r="AJ3181" s="7"/>
      <c r="AK3181" s="7"/>
      <c r="AL3181" s="7"/>
      <c r="AM3181" s="7"/>
      <c r="AN3181" s="7"/>
      <c r="AO3181" s="7"/>
      <c r="AP3181" s="7"/>
      <c r="AQ3181" s="7"/>
      <c r="AR3181" s="7"/>
      <c r="AS3181" s="7" t="s">
        <v>22</v>
      </c>
    </row>
    <row r="3182">
      <c r="A3182" s="7" t="s">
        <v>109</v>
      </c>
      <c r="B3182" s="7" t="s">
        <v>620</v>
      </c>
      <c r="C3182" s="7">
        <f>3+1</f>
        <v>4</v>
      </c>
      <c r="D3182" s="7">
        <v>4.0</v>
      </c>
      <c r="E3182" s="7">
        <v>2.0</v>
      </c>
      <c r="F3182" s="7" t="s">
        <v>30</v>
      </c>
      <c r="G3182" s="7" t="s">
        <v>1029</v>
      </c>
      <c r="H3182" s="9" t="s">
        <v>2979</v>
      </c>
      <c r="I3182" t="s">
        <v>3465</v>
      </c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7" t="str">
        <f t="shared" si="1"/>
        <v>Built-up :</v>
      </c>
      <c r="AE3182" s="7" t="str">
        <f t="shared" si="2"/>
        <v> sq. ft.</v>
      </c>
      <c r="AF3182">
        <f>IFERROR(__xludf.DUMMYFUNCTION("VALUE(REGEXREPLACE(G3182,""[^[:digit:]]"", """"))"),1800.0)</f>
        <v>1800</v>
      </c>
      <c r="AG3182" s="7"/>
      <c r="AH3182" s="7"/>
      <c r="AI3182" s="7"/>
      <c r="AJ3182" s="7"/>
      <c r="AK3182" s="7"/>
      <c r="AL3182" s="7"/>
      <c r="AM3182" s="7"/>
      <c r="AN3182" s="7"/>
      <c r="AO3182" s="7"/>
      <c r="AP3182" s="7"/>
      <c r="AQ3182" s="7"/>
      <c r="AR3182" s="7"/>
      <c r="AS3182" s="7" t="s">
        <v>27</v>
      </c>
    </row>
    <row r="3183">
      <c r="A3183" s="7" t="s">
        <v>371</v>
      </c>
      <c r="B3183" s="7" t="s">
        <v>969</v>
      </c>
      <c r="C3183" s="7">
        <f>4</f>
        <v>4</v>
      </c>
      <c r="D3183" s="7">
        <v>2.0</v>
      </c>
      <c r="E3183" s="7">
        <v>1.0</v>
      </c>
      <c r="F3183" s="7" t="s">
        <v>503</v>
      </c>
      <c r="G3183" s="7" t="s">
        <v>2210</v>
      </c>
      <c r="H3183" s="9" t="s">
        <v>2981</v>
      </c>
      <c r="I3183" t="s">
        <v>4183</v>
      </c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 t="str">
        <f t="shared" si="1"/>
        <v>Land area </v>
      </c>
      <c r="AE3183" s="7" t="str">
        <f t="shared" si="2"/>
        <v> sq. ft.</v>
      </c>
      <c r="AF3183">
        <f>IFERROR(__xludf.DUMMYFUNCTION("VALUE(REGEXREPLACE(G3183,""[^[:digit:]]"", """"))"),1173.0)</f>
        <v>1173</v>
      </c>
      <c r="AG3183" s="7"/>
      <c r="AH3183" s="7"/>
      <c r="AI3183" s="7"/>
      <c r="AJ3183" s="7"/>
      <c r="AK3183" s="7"/>
      <c r="AL3183" s="7"/>
      <c r="AM3183" s="7"/>
      <c r="AN3183" s="7"/>
      <c r="AO3183" s="7"/>
      <c r="AP3183" s="7"/>
      <c r="AQ3183" s="7"/>
      <c r="AR3183" s="7"/>
      <c r="AS3183" s="7" t="s">
        <v>27</v>
      </c>
    </row>
    <row r="3184">
      <c r="A3184" s="7" t="s">
        <v>72</v>
      </c>
      <c r="B3184" s="7" t="s">
        <v>1344</v>
      </c>
      <c r="C3184" s="7" t="s">
        <v>325</v>
      </c>
      <c r="D3184" s="7">
        <v>1.0</v>
      </c>
      <c r="E3184" s="7">
        <v>1.0</v>
      </c>
      <c r="F3184" s="7" t="s">
        <v>20</v>
      </c>
      <c r="G3184" s="7" t="s">
        <v>2211</v>
      </c>
      <c r="H3184" s="9" t="s">
        <v>2981</v>
      </c>
      <c r="I3184" t="s">
        <v>3417</v>
      </c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  <c r="AB3184" s="7"/>
      <c r="AC3184" s="7"/>
      <c r="AD3184" s="7" t="str">
        <f t="shared" si="1"/>
        <v>Land area </v>
      </c>
      <c r="AE3184" s="7" t="str">
        <f t="shared" si="2"/>
        <v> sq. ft.</v>
      </c>
      <c r="AF3184">
        <f>IFERROR(__xludf.DUMMYFUNCTION("VALUE(REGEXREPLACE(G3184,""[^[:digit:]]"", """"))"),496.0)</f>
        <v>496</v>
      </c>
      <c r="AG3184" s="7"/>
      <c r="AH3184" s="7"/>
      <c r="AI3184" s="7"/>
      <c r="AJ3184" s="7"/>
      <c r="AK3184" s="7"/>
      <c r="AL3184" s="7"/>
      <c r="AM3184" s="7"/>
      <c r="AN3184" s="7"/>
      <c r="AO3184" s="7"/>
      <c r="AP3184" s="7"/>
      <c r="AQ3184" s="7"/>
      <c r="AR3184" s="7"/>
      <c r="AS3184" s="7" t="s">
        <v>22</v>
      </c>
    </row>
    <row r="3185">
      <c r="A3185" s="7" t="s">
        <v>32</v>
      </c>
      <c r="B3185" s="7" t="s">
        <v>2212</v>
      </c>
      <c r="C3185" s="7">
        <f>5+1</f>
        <v>6</v>
      </c>
      <c r="D3185" s="7">
        <v>6.0</v>
      </c>
      <c r="E3185" s="7">
        <v>6.0</v>
      </c>
      <c r="F3185" s="7" t="s">
        <v>64</v>
      </c>
      <c r="G3185" s="7" t="s">
        <v>2213</v>
      </c>
      <c r="H3185" s="9" t="s">
        <v>2981</v>
      </c>
      <c r="I3185" t="s">
        <v>4152</v>
      </c>
      <c r="J3185" s="7"/>
      <c r="K3185" s="7"/>
      <c r="L3185" s="7"/>
      <c r="M3185" s="7"/>
      <c r="N3185" s="7"/>
      <c r="O3185" s="7"/>
      <c r="P3185" s="7"/>
      <c r="Q3185" s="7"/>
      <c r="R3185" s="7"/>
      <c r="S3185" s="7" t="s">
        <v>4184</v>
      </c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7" t="str">
        <f t="shared" si="1"/>
        <v>Land area </v>
      </c>
      <c r="AE3185" s="7" t="str">
        <f t="shared" si="2"/>
        <v> sq. ft.</v>
      </c>
      <c r="AF3185">
        <f>IFERROR(__xludf.DUMMYFUNCTION("VALUE(REGEXREPLACE(G3185,""[^[:digit:]]"", """"))"),4.011044E8)</f>
        <v>401104400</v>
      </c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  <c r="AR3185" s="7"/>
      <c r="AS3185" s="7" t="s">
        <v>103</v>
      </c>
    </row>
    <row r="3186">
      <c r="A3186" s="7" t="s">
        <v>100</v>
      </c>
      <c r="B3186" s="7" t="s">
        <v>641</v>
      </c>
      <c r="C3186" s="7">
        <f>3+1</f>
        <v>4</v>
      </c>
      <c r="D3186" s="7">
        <v>3.0</v>
      </c>
      <c r="E3186" s="9">
        <v>2.0</v>
      </c>
      <c r="F3186" s="7" t="s">
        <v>54</v>
      </c>
      <c r="G3186" s="7" t="s">
        <v>1195</v>
      </c>
      <c r="H3186" s="9" t="s">
        <v>2981</v>
      </c>
      <c r="I3186" t="s">
        <v>3020</v>
      </c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7" t="str">
        <f t="shared" si="1"/>
        <v>Land area </v>
      </c>
      <c r="AE3186" s="7" t="str">
        <f t="shared" si="2"/>
        <v> sq. ft.</v>
      </c>
      <c r="AF3186">
        <f>IFERROR(__xludf.DUMMYFUNCTION("VALUE(REGEXREPLACE(G3186,""[^[:digit:]]"", """"))"),1600.0)</f>
        <v>1600</v>
      </c>
      <c r="AG3186" s="7"/>
      <c r="AH3186" s="7"/>
      <c r="AI3186" s="7"/>
      <c r="AJ3186" s="7"/>
      <c r="AK3186" s="7"/>
      <c r="AL3186" s="7"/>
      <c r="AM3186" s="7"/>
      <c r="AN3186" s="7"/>
      <c r="AO3186" s="7"/>
      <c r="AP3186" s="7"/>
      <c r="AQ3186" s="7"/>
      <c r="AR3186" s="7"/>
      <c r="AS3186" s="7" t="s">
        <v>103</v>
      </c>
    </row>
    <row r="3187">
      <c r="A3187" s="7" t="s">
        <v>33</v>
      </c>
      <c r="B3187" s="7" t="s">
        <v>346</v>
      </c>
      <c r="C3187" s="7">
        <f>3</f>
        <v>3</v>
      </c>
      <c r="D3187" s="7">
        <v>2.0</v>
      </c>
      <c r="E3187" s="9">
        <v>2.0</v>
      </c>
      <c r="F3187" s="7" t="s">
        <v>93</v>
      </c>
      <c r="G3187" s="7" t="s">
        <v>1196</v>
      </c>
      <c r="H3187" s="9" t="s">
        <v>2979</v>
      </c>
      <c r="I3187" t="s">
        <v>3572</v>
      </c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7" t="str">
        <f t="shared" si="1"/>
        <v>Built-up :</v>
      </c>
      <c r="AE3187" s="7" t="str">
        <f t="shared" si="2"/>
        <v> sq. ft.</v>
      </c>
      <c r="AF3187">
        <f>IFERROR(__xludf.DUMMYFUNCTION("VALUE(REGEXREPLACE(G3187,""[^[:digit:]]"", """"))"),1212.0)</f>
        <v>1212</v>
      </c>
      <c r="AG3187" s="7"/>
      <c r="AH3187" s="7"/>
      <c r="AI3187" s="7"/>
      <c r="AJ3187" s="7"/>
      <c r="AK3187" s="7"/>
      <c r="AL3187" s="7"/>
      <c r="AM3187" s="7"/>
      <c r="AN3187" s="7"/>
      <c r="AO3187" s="7"/>
      <c r="AP3187" s="7"/>
      <c r="AQ3187" s="7"/>
      <c r="AR3187" s="7"/>
      <c r="AS3187" s="7" t="s">
        <v>27</v>
      </c>
    </row>
    <row r="3188">
      <c r="A3188" s="7" t="s">
        <v>515</v>
      </c>
      <c r="B3188" s="7" t="s">
        <v>45</v>
      </c>
      <c r="C3188" s="7">
        <f>5</f>
        <v>5</v>
      </c>
      <c r="D3188" s="7">
        <v>3.0</v>
      </c>
      <c r="E3188" s="9">
        <v>2.0</v>
      </c>
      <c r="F3188" s="7" t="s">
        <v>43</v>
      </c>
      <c r="G3188" s="7" t="s">
        <v>2214</v>
      </c>
      <c r="H3188" s="9" t="s">
        <v>2981</v>
      </c>
      <c r="I3188" t="s">
        <v>4185</v>
      </c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7" t="str">
        <f t="shared" si="1"/>
        <v>Land area </v>
      </c>
      <c r="AE3188" s="7" t="str">
        <f t="shared" si="2"/>
        <v> sq. ft.</v>
      </c>
      <c r="AF3188">
        <f>IFERROR(__xludf.DUMMYFUNCTION("VALUE(REGEXREPLACE(G3188,""[^[:digit:]]"", """"))"),4100.0)</f>
        <v>4100</v>
      </c>
      <c r="AG3188" s="7"/>
      <c r="AH3188" s="7"/>
      <c r="AI3188" s="7"/>
      <c r="AJ3188" s="7"/>
      <c r="AK3188" s="7"/>
      <c r="AL3188" s="7"/>
      <c r="AM3188" s="7"/>
      <c r="AN3188" s="7"/>
      <c r="AO3188" s="7"/>
      <c r="AP3188" s="7"/>
      <c r="AQ3188" s="7"/>
      <c r="AR3188" s="7"/>
      <c r="AS3188" s="7" t="s">
        <v>27</v>
      </c>
    </row>
    <row r="3189">
      <c r="A3189" s="7" t="s">
        <v>1241</v>
      </c>
      <c r="B3189" s="7" t="s">
        <v>657</v>
      </c>
      <c r="C3189" s="7">
        <f>2</f>
        <v>2</v>
      </c>
      <c r="D3189" s="7">
        <v>2.0</v>
      </c>
      <c r="E3189" s="7">
        <v>2.0</v>
      </c>
      <c r="F3189" s="7" t="s">
        <v>82</v>
      </c>
      <c r="G3189" s="7" t="s">
        <v>1243</v>
      </c>
      <c r="H3189" s="9" t="s">
        <v>2979</v>
      </c>
      <c r="I3189" t="s">
        <v>3601</v>
      </c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  <c r="AB3189" s="7"/>
      <c r="AC3189" s="7"/>
      <c r="AD3189" s="7" t="str">
        <f t="shared" si="1"/>
        <v>Built-up :</v>
      </c>
      <c r="AE3189" s="7" t="str">
        <f t="shared" si="2"/>
        <v> sq. ft.</v>
      </c>
      <c r="AF3189">
        <f>IFERROR(__xludf.DUMMYFUNCTION("VALUE(REGEXREPLACE(G3189,""[^[:digit:]]"", """"))"),1410.0)</f>
        <v>1410</v>
      </c>
      <c r="AG3189" s="7"/>
      <c r="AH3189" s="7"/>
      <c r="AI3189" s="7"/>
      <c r="AJ3189" s="7"/>
      <c r="AK3189" s="7"/>
      <c r="AL3189" s="7"/>
      <c r="AM3189" s="7"/>
      <c r="AN3189" s="7"/>
      <c r="AO3189" s="7"/>
      <c r="AP3189" s="7"/>
      <c r="AQ3189" s="7"/>
      <c r="AR3189" s="7"/>
      <c r="AS3189" s="7" t="s">
        <v>27</v>
      </c>
    </row>
    <row r="3190">
      <c r="A3190" s="7" t="s">
        <v>241</v>
      </c>
      <c r="B3190" s="7" t="s">
        <v>507</v>
      </c>
      <c r="C3190" s="7">
        <f>3</f>
        <v>3</v>
      </c>
      <c r="D3190" s="7">
        <v>2.0</v>
      </c>
      <c r="E3190" s="7">
        <v>2.0</v>
      </c>
      <c r="F3190" s="7" t="s">
        <v>83</v>
      </c>
      <c r="G3190" s="7" t="s">
        <v>2215</v>
      </c>
      <c r="H3190" s="9" t="s">
        <v>2979</v>
      </c>
      <c r="I3190" t="s">
        <v>4186</v>
      </c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  <c r="AB3190" s="7"/>
      <c r="AC3190" s="7"/>
      <c r="AD3190" s="7" t="str">
        <f t="shared" si="1"/>
        <v>Built-up :</v>
      </c>
      <c r="AE3190" s="7" t="str">
        <f t="shared" si="2"/>
        <v> sq. ft.</v>
      </c>
      <c r="AF3190">
        <f>IFERROR(__xludf.DUMMYFUNCTION("VALUE(REGEXREPLACE(G3190,""[^[:digit:]]"", """"))"),986.0)</f>
        <v>986</v>
      </c>
      <c r="AG3190" s="7"/>
      <c r="AH3190" s="7"/>
      <c r="AI3190" s="7"/>
      <c r="AJ3190" s="7"/>
      <c r="AK3190" s="7"/>
      <c r="AL3190" s="7"/>
      <c r="AM3190" s="7"/>
      <c r="AN3190" s="7"/>
      <c r="AO3190" s="7"/>
      <c r="AP3190" s="7"/>
      <c r="AQ3190" s="7"/>
      <c r="AR3190" s="7"/>
      <c r="AS3190" s="7" t="s">
        <v>22</v>
      </c>
    </row>
    <row r="3191">
      <c r="A3191" s="7" t="s">
        <v>1241</v>
      </c>
      <c r="B3191" s="7" t="s">
        <v>1166</v>
      </c>
      <c r="C3191" s="7">
        <f>2</f>
        <v>2</v>
      </c>
      <c r="D3191" s="7">
        <v>2.0</v>
      </c>
      <c r="E3191" s="7">
        <v>2.0</v>
      </c>
      <c r="F3191" s="7" t="s">
        <v>82</v>
      </c>
      <c r="G3191" s="7" t="s">
        <v>342</v>
      </c>
      <c r="H3191" s="9" t="s">
        <v>2979</v>
      </c>
      <c r="I3191" t="s">
        <v>3117</v>
      </c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7" t="str">
        <f t="shared" si="1"/>
        <v>Built-up :</v>
      </c>
      <c r="AE3191" s="7" t="str">
        <f t="shared" si="2"/>
        <v> sq. ft.</v>
      </c>
      <c r="AF3191">
        <f>IFERROR(__xludf.DUMMYFUNCTION("VALUE(REGEXREPLACE(G3191,""[^[:digit:]]"", """"))"),1076.0)</f>
        <v>1076</v>
      </c>
      <c r="AG3191" s="7"/>
      <c r="AH3191" s="7"/>
      <c r="AI3191" s="7"/>
      <c r="AJ3191" s="7"/>
      <c r="AK3191" s="7"/>
      <c r="AL3191" s="7"/>
      <c r="AM3191" s="7"/>
      <c r="AN3191" s="7"/>
      <c r="AO3191" s="7"/>
      <c r="AP3191" s="7"/>
      <c r="AQ3191" s="7"/>
      <c r="AR3191" s="7"/>
      <c r="AS3191" s="7" t="s">
        <v>27</v>
      </c>
    </row>
    <row r="3192">
      <c r="A3192" s="7" t="s">
        <v>72</v>
      </c>
      <c r="B3192" s="7" t="s">
        <v>221</v>
      </c>
      <c r="C3192" s="7" t="s">
        <v>325</v>
      </c>
      <c r="E3192" s="7">
        <v>1.0</v>
      </c>
      <c r="F3192" s="7" t="s">
        <v>20</v>
      </c>
      <c r="G3192" s="7" t="s">
        <v>685</v>
      </c>
      <c r="H3192" s="9" t="s">
        <v>2979</v>
      </c>
      <c r="I3192" t="s">
        <v>3283</v>
      </c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 t="str">
        <f t="shared" si="1"/>
        <v>Built-up :</v>
      </c>
      <c r="AE3192" s="7" t="str">
        <f t="shared" si="2"/>
        <v> sq. ft.</v>
      </c>
      <c r="AF3192">
        <f>IFERROR(__xludf.DUMMYFUNCTION("VALUE(REGEXREPLACE(G3192,""[^[:digit:]]"", """"))"),462.0)</f>
        <v>462</v>
      </c>
      <c r="AG3192" s="7"/>
      <c r="AH3192" s="7"/>
      <c r="AI3192" s="7"/>
      <c r="AJ3192" s="7"/>
      <c r="AK3192" s="7"/>
      <c r="AL3192" s="7"/>
      <c r="AM3192" s="7"/>
      <c r="AN3192" s="7"/>
      <c r="AO3192" s="7"/>
      <c r="AP3192" s="7"/>
      <c r="AQ3192" s="7"/>
      <c r="AR3192" s="7"/>
      <c r="AS3192" s="7" t="s">
        <v>22</v>
      </c>
    </row>
    <row r="3193">
      <c r="A3193" s="7" t="s">
        <v>28</v>
      </c>
      <c r="B3193" s="7" t="s">
        <v>635</v>
      </c>
      <c r="C3193" s="7">
        <f t="shared" ref="C3193:C3194" si="431">1</f>
        <v>1</v>
      </c>
      <c r="D3193" s="7">
        <v>1.0</v>
      </c>
      <c r="E3193" s="9">
        <v>2.0</v>
      </c>
      <c r="F3193" s="7" t="s">
        <v>20</v>
      </c>
      <c r="G3193" s="7" t="s">
        <v>1127</v>
      </c>
      <c r="H3193" s="9" t="s">
        <v>2979</v>
      </c>
      <c r="I3193" t="s">
        <v>3521</v>
      </c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7" t="str">
        <f t="shared" si="1"/>
        <v>Built-up :</v>
      </c>
      <c r="AE3193" s="7" t="str">
        <f t="shared" si="2"/>
        <v> sq. ft.</v>
      </c>
      <c r="AF3193">
        <f>IFERROR(__xludf.DUMMYFUNCTION("VALUE(REGEXREPLACE(G3193,""[^[:digit:]]"", """"))"),672.0)</f>
        <v>672</v>
      </c>
      <c r="AG3193" s="7"/>
      <c r="AH3193" s="7"/>
      <c r="AI3193" s="7"/>
      <c r="AJ3193" s="7"/>
      <c r="AK3193" s="7"/>
      <c r="AL3193" s="7"/>
      <c r="AM3193" s="7"/>
      <c r="AN3193" s="7"/>
      <c r="AO3193" s="7"/>
      <c r="AP3193" s="7"/>
      <c r="AQ3193" s="7"/>
      <c r="AR3193" s="7"/>
      <c r="AS3193" s="7" t="s">
        <v>22</v>
      </c>
    </row>
    <row r="3194">
      <c r="A3194" s="7" t="s">
        <v>28</v>
      </c>
      <c r="B3194" s="7" t="s">
        <v>168</v>
      </c>
      <c r="C3194" s="7">
        <f t="shared" si="431"/>
        <v>1</v>
      </c>
      <c r="D3194" s="7">
        <v>1.0</v>
      </c>
      <c r="E3194" s="9">
        <v>2.0</v>
      </c>
      <c r="F3194" s="7" t="s">
        <v>20</v>
      </c>
      <c r="G3194" s="7" t="s">
        <v>1127</v>
      </c>
      <c r="H3194" s="9" t="s">
        <v>2979</v>
      </c>
      <c r="I3194" t="s">
        <v>3521</v>
      </c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7" t="str">
        <f t="shared" si="1"/>
        <v>Built-up :</v>
      </c>
      <c r="AE3194" s="7" t="str">
        <f t="shared" si="2"/>
        <v> sq. ft.</v>
      </c>
      <c r="AF3194">
        <f>IFERROR(__xludf.DUMMYFUNCTION("VALUE(REGEXREPLACE(G3194,""[^[:digit:]]"", """"))"),672.0)</f>
        <v>672</v>
      </c>
      <c r="AG3194" s="7"/>
      <c r="AH3194" s="7"/>
      <c r="AI3194" s="7"/>
      <c r="AJ3194" s="7"/>
      <c r="AK3194" s="7"/>
      <c r="AL3194" s="7"/>
      <c r="AM3194" s="7"/>
      <c r="AN3194" s="7"/>
      <c r="AO3194" s="7"/>
      <c r="AP3194" s="7"/>
      <c r="AQ3194" s="7"/>
      <c r="AR3194" s="7"/>
      <c r="AS3194" s="7" t="s">
        <v>22</v>
      </c>
    </row>
    <row r="3195">
      <c r="A3195" s="7" t="s">
        <v>72</v>
      </c>
      <c r="B3195" s="7" t="s">
        <v>448</v>
      </c>
      <c r="C3195" s="7">
        <f>3+1</f>
        <v>4</v>
      </c>
      <c r="E3195" s="9">
        <v>2.0</v>
      </c>
      <c r="F3195" s="7" t="s">
        <v>83</v>
      </c>
      <c r="G3195" s="7" t="s">
        <v>334</v>
      </c>
      <c r="H3195" s="9" t="s">
        <v>2979</v>
      </c>
      <c r="I3195" t="s">
        <v>3112</v>
      </c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 t="str">
        <f t="shared" si="1"/>
        <v>Built-up :</v>
      </c>
      <c r="AE3195" s="7" t="str">
        <f t="shared" si="2"/>
        <v> sq. ft.</v>
      </c>
      <c r="AF3195">
        <f>IFERROR(__xludf.DUMMYFUNCTION("VALUE(REGEXREPLACE(G3195,""[^[:digit:]]"", """"))"),1496.0)</f>
        <v>1496</v>
      </c>
      <c r="AG3195" s="7"/>
      <c r="AH3195" s="7"/>
      <c r="AI3195" s="7"/>
      <c r="AJ3195" s="7"/>
      <c r="AK3195" s="7"/>
      <c r="AL3195" s="7"/>
      <c r="AM3195" s="7"/>
      <c r="AN3195" s="7"/>
      <c r="AO3195" s="7"/>
      <c r="AP3195" s="7"/>
      <c r="AQ3195" s="7"/>
      <c r="AR3195" s="7"/>
    </row>
    <row r="3196">
      <c r="A3196" s="7" t="s">
        <v>33</v>
      </c>
      <c r="B3196" s="7" t="s">
        <v>361</v>
      </c>
      <c r="C3196" s="7">
        <f>3</f>
        <v>3</v>
      </c>
      <c r="D3196" s="7">
        <v>3.0</v>
      </c>
      <c r="E3196" s="7">
        <v>2.0</v>
      </c>
      <c r="F3196" s="7" t="s">
        <v>93</v>
      </c>
      <c r="G3196" s="7" t="s">
        <v>1156</v>
      </c>
      <c r="H3196" s="9" t="s">
        <v>2979</v>
      </c>
      <c r="I3196" t="s">
        <v>3545</v>
      </c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 t="str">
        <f t="shared" si="1"/>
        <v>Built-up :</v>
      </c>
      <c r="AE3196" s="7" t="str">
        <f t="shared" si="2"/>
        <v> sq. ft.</v>
      </c>
      <c r="AF3196">
        <f>IFERROR(__xludf.DUMMYFUNCTION("VALUE(REGEXREPLACE(G3196,""[^[:digit:]]"", """"))"),1003.0)</f>
        <v>1003</v>
      </c>
      <c r="AG3196" s="7"/>
      <c r="AH3196" s="7"/>
      <c r="AI3196" s="7"/>
      <c r="AJ3196" s="7"/>
      <c r="AK3196" s="7"/>
      <c r="AL3196" s="7"/>
      <c r="AM3196" s="7"/>
      <c r="AN3196" s="7"/>
      <c r="AO3196" s="7"/>
      <c r="AP3196" s="7"/>
      <c r="AQ3196" s="7"/>
      <c r="AR3196" s="7"/>
      <c r="AS3196" s="7" t="s">
        <v>103</v>
      </c>
    </row>
    <row r="3197">
      <c r="A3197" s="7" t="s">
        <v>267</v>
      </c>
      <c r="B3197" s="7" t="s">
        <v>107</v>
      </c>
      <c r="C3197" s="7">
        <f>1</f>
        <v>1</v>
      </c>
      <c r="D3197" s="7">
        <v>1.0</v>
      </c>
      <c r="E3197" s="7">
        <v>1.0</v>
      </c>
      <c r="F3197" s="7" t="s">
        <v>20</v>
      </c>
      <c r="G3197" s="7" t="s">
        <v>2216</v>
      </c>
      <c r="H3197" s="9" t="s">
        <v>2981</v>
      </c>
      <c r="I3197" t="s">
        <v>3576</v>
      </c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 t="str">
        <f t="shared" si="1"/>
        <v>Land area </v>
      </c>
      <c r="AE3197" s="7" t="str">
        <f t="shared" si="2"/>
        <v> sq. ft.</v>
      </c>
      <c r="AF3197">
        <f>IFERROR(__xludf.DUMMYFUNCTION("VALUE(REGEXREPLACE(G3197,""[^[:digit:]]"", """"))"),578.0)</f>
        <v>578</v>
      </c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  <c r="AR3197" s="7"/>
      <c r="AS3197" s="7" t="s">
        <v>22</v>
      </c>
    </row>
    <row r="3198">
      <c r="A3198" s="7" t="s">
        <v>104</v>
      </c>
      <c r="B3198" s="7" t="s">
        <v>53</v>
      </c>
      <c r="C3198" s="7">
        <f>6</f>
        <v>6</v>
      </c>
      <c r="D3198" s="7">
        <v>4.0</v>
      </c>
      <c r="E3198" s="9">
        <v>2.0</v>
      </c>
      <c r="F3198" s="7" t="s">
        <v>184</v>
      </c>
      <c r="G3198" s="7" t="s">
        <v>638</v>
      </c>
      <c r="H3198" s="9" t="s">
        <v>2981</v>
      </c>
      <c r="I3198" t="s">
        <v>3261</v>
      </c>
      <c r="J3198" s="7"/>
      <c r="K3198" s="7"/>
      <c r="L3198" s="7"/>
      <c r="M3198" s="7"/>
      <c r="N3198" s="7"/>
      <c r="O3198" s="7"/>
      <c r="P3198" s="7"/>
      <c r="Q3198" s="7"/>
      <c r="R3198" s="7"/>
      <c r="S3198" s="7" t="s">
        <v>3101</v>
      </c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7" t="str">
        <f t="shared" si="1"/>
        <v>Land area </v>
      </c>
      <c r="AE3198" s="7" t="str">
        <f t="shared" si="2"/>
        <v> sq. ft.</v>
      </c>
      <c r="AF3198">
        <f>IFERROR(__xludf.DUMMYFUNCTION("VALUE(REGEXREPLACE(G3198,""[^[:digit:]]"", """"))"),4885.0)</f>
        <v>4885</v>
      </c>
      <c r="AG3198" s="7"/>
      <c r="AH3198" s="7"/>
      <c r="AI3198" s="7"/>
      <c r="AJ3198" s="7"/>
      <c r="AK3198" s="7"/>
      <c r="AL3198" s="7"/>
      <c r="AM3198" s="7"/>
      <c r="AN3198" s="7"/>
      <c r="AO3198" s="7"/>
      <c r="AP3198" s="7"/>
      <c r="AQ3198" s="7"/>
      <c r="AR3198" s="7"/>
      <c r="AS3198" s="7" t="s">
        <v>27</v>
      </c>
    </row>
    <row r="3199">
      <c r="A3199" s="7" t="s">
        <v>104</v>
      </c>
      <c r="B3199" s="7" t="s">
        <v>221</v>
      </c>
      <c r="C3199" s="7">
        <f>4</f>
        <v>4</v>
      </c>
      <c r="D3199" s="7">
        <v>2.0</v>
      </c>
      <c r="E3199" s="9">
        <v>2.0</v>
      </c>
      <c r="F3199" s="7" t="s">
        <v>54</v>
      </c>
      <c r="G3199" s="7" t="s">
        <v>2020</v>
      </c>
      <c r="H3199" s="9" t="s">
        <v>2981</v>
      </c>
      <c r="I3199" t="s">
        <v>3294</v>
      </c>
      <c r="J3199" s="7"/>
      <c r="K3199" s="7"/>
      <c r="L3199" s="7"/>
      <c r="M3199" s="7"/>
      <c r="N3199" s="7"/>
      <c r="O3199" s="7"/>
      <c r="P3199" s="7"/>
      <c r="Q3199" s="7"/>
      <c r="R3199" s="7"/>
      <c r="S3199" s="7" t="s">
        <v>3372</v>
      </c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7" t="str">
        <f t="shared" si="1"/>
        <v>Land area </v>
      </c>
      <c r="AE3199" s="7" t="str">
        <f t="shared" si="2"/>
        <v> sq. ft.</v>
      </c>
      <c r="AF3199">
        <f>IFERROR(__xludf.DUMMYFUNCTION("VALUE(REGEXREPLACE(G3199,""[^[:digit:]]"", """"))"),2060.0)</f>
        <v>2060</v>
      </c>
      <c r="AG3199" s="7"/>
      <c r="AH3199" s="7"/>
      <c r="AI3199" s="7"/>
      <c r="AJ3199" s="7"/>
      <c r="AK3199" s="7"/>
      <c r="AL3199" s="7"/>
      <c r="AM3199" s="7"/>
      <c r="AN3199" s="7"/>
      <c r="AO3199" s="7"/>
      <c r="AP3199" s="7"/>
      <c r="AQ3199" s="7"/>
      <c r="AR3199" s="7"/>
      <c r="AS3199" s="7" t="s">
        <v>27</v>
      </c>
    </row>
    <row r="3200">
      <c r="A3200" s="7" t="s">
        <v>104</v>
      </c>
      <c r="B3200" s="7" t="s">
        <v>543</v>
      </c>
      <c r="C3200" s="7">
        <f>3</f>
        <v>3</v>
      </c>
      <c r="D3200" s="7">
        <v>2.0</v>
      </c>
      <c r="E3200" s="7">
        <v>1.0</v>
      </c>
      <c r="F3200" s="7" t="s">
        <v>82</v>
      </c>
      <c r="G3200" s="7" t="s">
        <v>2217</v>
      </c>
      <c r="H3200" s="9" t="s">
        <v>2979</v>
      </c>
      <c r="I3200" t="s">
        <v>4187</v>
      </c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7" t="str">
        <f t="shared" si="1"/>
        <v>Built-up :</v>
      </c>
      <c r="AE3200" s="7" t="str">
        <f t="shared" si="2"/>
        <v> sq. ft.</v>
      </c>
      <c r="AF3200">
        <f>IFERROR(__xludf.DUMMYFUNCTION("VALUE(REGEXREPLACE(G3200,""[^[:digit:]]"", """"))"),1137.0)</f>
        <v>1137</v>
      </c>
      <c r="AG3200" s="7"/>
      <c r="AH3200" s="7"/>
      <c r="AI3200" s="7"/>
      <c r="AJ3200" s="7"/>
      <c r="AK3200" s="7"/>
      <c r="AL3200" s="7"/>
      <c r="AM3200" s="7"/>
      <c r="AN3200" s="7"/>
      <c r="AO3200" s="7"/>
      <c r="AP3200" s="7"/>
      <c r="AQ3200" s="7"/>
      <c r="AR3200" s="7"/>
      <c r="AS3200" s="7" t="s">
        <v>103</v>
      </c>
    </row>
    <row r="3201">
      <c r="A3201" s="7" t="s">
        <v>72</v>
      </c>
      <c r="B3201" s="7" t="s">
        <v>277</v>
      </c>
      <c r="C3201" s="7">
        <f>4+1</f>
        <v>5</v>
      </c>
      <c r="D3201" s="7">
        <v>5.0</v>
      </c>
      <c r="E3201" s="7">
        <v>3.0</v>
      </c>
      <c r="F3201" s="7" t="s">
        <v>83</v>
      </c>
      <c r="G3201" s="7" t="s">
        <v>1174</v>
      </c>
      <c r="H3201" s="9" t="s">
        <v>2979</v>
      </c>
      <c r="I3201" t="s">
        <v>3559</v>
      </c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  <c r="AB3201" s="7"/>
      <c r="AC3201" s="7"/>
      <c r="AD3201" s="7" t="str">
        <f t="shared" si="1"/>
        <v>Built-up :</v>
      </c>
      <c r="AE3201" s="7" t="str">
        <f t="shared" si="2"/>
        <v> sq. ft.</v>
      </c>
      <c r="AF3201">
        <f>IFERROR(__xludf.DUMMYFUNCTION("VALUE(REGEXREPLACE(G3201,""[^[:digit:]]"", """"))"),3800.0)</f>
        <v>3800</v>
      </c>
      <c r="AG3201" s="7"/>
      <c r="AH3201" s="7"/>
      <c r="AI3201" s="7"/>
      <c r="AJ3201" s="7"/>
      <c r="AK3201" s="7"/>
      <c r="AL3201" s="7"/>
      <c r="AM3201" s="7"/>
      <c r="AN3201" s="7"/>
      <c r="AO3201" s="7"/>
      <c r="AP3201" s="7"/>
      <c r="AQ3201" s="7"/>
      <c r="AR3201" s="7"/>
      <c r="AS3201" s="7" t="s">
        <v>27</v>
      </c>
    </row>
    <row r="3202">
      <c r="A3202" s="7" t="s">
        <v>100</v>
      </c>
      <c r="B3202" s="7" t="s">
        <v>329</v>
      </c>
      <c r="C3202" s="7">
        <f t="shared" ref="C3202:C3203" si="432">3+1</f>
        <v>4</v>
      </c>
      <c r="D3202" s="7">
        <v>3.0</v>
      </c>
      <c r="E3202" s="7">
        <v>2.0</v>
      </c>
      <c r="F3202" s="7" t="s">
        <v>93</v>
      </c>
      <c r="G3202" s="7" t="s">
        <v>31</v>
      </c>
      <c r="H3202" s="9" t="s">
        <v>2979</v>
      </c>
      <c r="I3202" t="s">
        <v>2983</v>
      </c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  <c r="AB3202" s="7"/>
      <c r="AC3202" s="7"/>
      <c r="AD3202" s="7" t="str">
        <f t="shared" si="1"/>
        <v>Built-up :</v>
      </c>
      <c r="AE3202" s="7" t="str">
        <f t="shared" si="2"/>
        <v> sq. ft.</v>
      </c>
      <c r="AF3202">
        <f>IFERROR(__xludf.DUMMYFUNCTION("VALUE(REGEXREPLACE(G3202,""[^[:digit:]]"", """"))"),1875.0)</f>
        <v>1875</v>
      </c>
      <c r="AG3202" s="7"/>
      <c r="AH3202" s="7"/>
      <c r="AI3202" s="7"/>
      <c r="AJ3202" s="7"/>
      <c r="AK3202" s="7"/>
      <c r="AL3202" s="7"/>
      <c r="AM3202" s="7"/>
      <c r="AN3202" s="7"/>
      <c r="AO3202" s="7"/>
      <c r="AP3202" s="7"/>
      <c r="AQ3202" s="7"/>
      <c r="AR3202" s="7"/>
      <c r="AS3202" s="7" t="s">
        <v>22</v>
      </c>
    </row>
    <row r="3203">
      <c r="A3203" s="7" t="s">
        <v>72</v>
      </c>
      <c r="B3203" s="7" t="s">
        <v>322</v>
      </c>
      <c r="C3203" s="7">
        <f t="shared" si="432"/>
        <v>4</v>
      </c>
      <c r="D3203" s="7">
        <v>4.0</v>
      </c>
      <c r="E3203" s="7">
        <v>3.0</v>
      </c>
      <c r="F3203" s="7" t="s">
        <v>83</v>
      </c>
      <c r="G3203" s="7" t="s">
        <v>1599</v>
      </c>
      <c r="H3203" s="9" t="s">
        <v>2979</v>
      </c>
      <c r="I3203" t="s">
        <v>3803</v>
      </c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7" t="str">
        <f t="shared" si="1"/>
        <v>Built-up :</v>
      </c>
      <c r="AE3203" s="7" t="str">
        <f t="shared" si="2"/>
        <v> sq. ft.</v>
      </c>
      <c r="AF3203">
        <f>IFERROR(__xludf.DUMMYFUNCTION("VALUE(REGEXREPLACE(G3203,""[^[:digit:]]"", """"))"),2691.0)</f>
        <v>2691</v>
      </c>
      <c r="AG3203" s="7"/>
      <c r="AH3203" s="7"/>
      <c r="AI3203" s="7"/>
      <c r="AJ3203" s="7"/>
      <c r="AK3203" s="7"/>
      <c r="AL3203" s="7"/>
      <c r="AM3203" s="7"/>
      <c r="AN3203" s="7"/>
      <c r="AO3203" s="7"/>
      <c r="AP3203" s="7"/>
      <c r="AQ3203" s="7"/>
      <c r="AR3203" s="7"/>
    </row>
    <row r="3204">
      <c r="A3204" s="7" t="s">
        <v>148</v>
      </c>
      <c r="B3204" s="7" t="s">
        <v>484</v>
      </c>
      <c r="C3204" s="7">
        <f>5+1</f>
        <v>6</v>
      </c>
      <c r="D3204" s="7">
        <v>6.0</v>
      </c>
      <c r="E3204" s="7">
        <v>6.0</v>
      </c>
      <c r="F3204" s="7" t="s">
        <v>61</v>
      </c>
      <c r="G3204" s="7" t="s">
        <v>2218</v>
      </c>
      <c r="H3204" s="9" t="s">
        <v>2981</v>
      </c>
      <c r="I3204" t="s">
        <v>4188</v>
      </c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7" t="str">
        <f t="shared" si="1"/>
        <v>Land area </v>
      </c>
      <c r="AE3204" s="7" t="str">
        <f t="shared" si="2"/>
        <v> sq. ft.</v>
      </c>
      <c r="AF3204">
        <f>IFERROR(__xludf.DUMMYFUNCTION("VALUE(REGEXREPLACE(G3204,""[^[:digit:]]"", """"))"),5694.0)</f>
        <v>5694</v>
      </c>
      <c r="AG3204" s="7"/>
      <c r="AH3204" s="7"/>
      <c r="AI3204" s="7"/>
      <c r="AJ3204" s="7"/>
      <c r="AK3204" s="7"/>
      <c r="AL3204" s="7"/>
      <c r="AM3204" s="7"/>
      <c r="AN3204" s="7"/>
      <c r="AO3204" s="7"/>
      <c r="AP3204" s="7"/>
      <c r="AQ3204" s="7"/>
      <c r="AR3204" s="7"/>
      <c r="AS3204" s="7" t="s">
        <v>27</v>
      </c>
    </row>
    <row r="3205">
      <c r="A3205" s="7" t="s">
        <v>171</v>
      </c>
      <c r="B3205" s="7" t="s">
        <v>563</v>
      </c>
      <c r="C3205" s="7">
        <f>3</f>
        <v>3</v>
      </c>
      <c r="D3205" s="7">
        <v>1.0</v>
      </c>
      <c r="E3205" s="9">
        <v>2.0</v>
      </c>
      <c r="F3205" s="7" t="s">
        <v>343</v>
      </c>
      <c r="G3205" s="7" t="s">
        <v>718</v>
      </c>
      <c r="H3205" s="9" t="s">
        <v>2981</v>
      </c>
      <c r="I3205" t="s">
        <v>3297</v>
      </c>
      <c r="J3205" s="7"/>
      <c r="K3205" s="7"/>
      <c r="L3205" s="7"/>
      <c r="M3205" s="7"/>
      <c r="N3205" s="7"/>
      <c r="O3205" s="7"/>
      <c r="P3205" s="7"/>
      <c r="Q3205" s="7"/>
      <c r="R3205" s="7"/>
      <c r="S3205" s="7" t="s">
        <v>3298</v>
      </c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7" t="str">
        <f t="shared" si="1"/>
        <v>Land area </v>
      </c>
      <c r="AE3205" s="7" t="str">
        <f t="shared" si="2"/>
        <v> sq. ft.</v>
      </c>
      <c r="AF3205">
        <f>IFERROR(__xludf.DUMMYFUNCTION("VALUE(REGEXREPLACE(G3205,""[^[:digit:]]"", """"))"),2065.0)</f>
        <v>2065</v>
      </c>
      <c r="AG3205" s="7"/>
      <c r="AH3205" s="7"/>
      <c r="AI3205" s="7"/>
      <c r="AJ3205" s="7"/>
      <c r="AK3205" s="7"/>
      <c r="AL3205" s="7"/>
      <c r="AM3205" s="7"/>
      <c r="AN3205" s="7"/>
      <c r="AO3205" s="7"/>
      <c r="AP3205" s="7"/>
      <c r="AQ3205" s="7"/>
      <c r="AR3205" s="7"/>
      <c r="AS3205" s="7" t="s">
        <v>103</v>
      </c>
    </row>
    <row r="3206">
      <c r="A3206" s="7" t="s">
        <v>17</v>
      </c>
      <c r="B3206" s="7" t="s">
        <v>1513</v>
      </c>
      <c r="C3206" s="7">
        <f>2</f>
        <v>2</v>
      </c>
      <c r="D3206" s="7">
        <v>2.0</v>
      </c>
      <c r="E3206" s="7">
        <v>1.0</v>
      </c>
      <c r="F3206" s="7" t="s">
        <v>83</v>
      </c>
      <c r="G3206" s="7" t="s">
        <v>1505</v>
      </c>
      <c r="H3206" s="9" t="s">
        <v>2979</v>
      </c>
      <c r="I3206" t="s">
        <v>3750</v>
      </c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7" t="str">
        <f t="shared" si="1"/>
        <v>Built-up :</v>
      </c>
      <c r="AE3206" s="7" t="str">
        <f t="shared" si="2"/>
        <v> sq. ft.</v>
      </c>
      <c r="AF3206">
        <f>IFERROR(__xludf.DUMMYFUNCTION("VALUE(REGEXREPLACE(G3206,""[^[:digit:]]"", """"))"),1281.0)</f>
        <v>1281</v>
      </c>
      <c r="AG3206" s="7"/>
      <c r="AH3206" s="7"/>
      <c r="AI3206" s="7"/>
      <c r="AJ3206" s="7"/>
      <c r="AK3206" s="7"/>
      <c r="AL3206" s="7"/>
      <c r="AM3206" s="7"/>
      <c r="AN3206" s="7"/>
      <c r="AO3206" s="7"/>
      <c r="AP3206" s="7"/>
      <c r="AQ3206" s="7"/>
      <c r="AR3206" s="7"/>
      <c r="AS3206" s="7" t="s">
        <v>22</v>
      </c>
    </row>
    <row r="3207">
      <c r="A3207" s="7" t="s">
        <v>432</v>
      </c>
      <c r="B3207" s="7" t="s">
        <v>63</v>
      </c>
      <c r="C3207" s="7">
        <f>4+1</f>
        <v>5</v>
      </c>
      <c r="D3207" s="7">
        <v>6.0</v>
      </c>
      <c r="E3207" s="7">
        <v>3.0</v>
      </c>
      <c r="F3207" s="7" t="s">
        <v>378</v>
      </c>
      <c r="G3207" s="7" t="s">
        <v>1626</v>
      </c>
      <c r="H3207" s="9" t="s">
        <v>2979</v>
      </c>
      <c r="I3207" t="s">
        <v>3819</v>
      </c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  <c r="AB3207" s="7"/>
      <c r="AC3207" s="7"/>
      <c r="AD3207" s="7" t="str">
        <f t="shared" si="1"/>
        <v>Built-up :</v>
      </c>
      <c r="AE3207" s="7" t="str">
        <f t="shared" si="2"/>
        <v> sq. ft.</v>
      </c>
      <c r="AF3207">
        <f>IFERROR(__xludf.DUMMYFUNCTION("VALUE(REGEXREPLACE(G3207,""[^[:digit:]]"", """"))"),3983.0)</f>
        <v>3983</v>
      </c>
      <c r="AG3207" s="7"/>
      <c r="AH3207" s="7"/>
      <c r="AI3207" s="7"/>
      <c r="AJ3207" s="7"/>
      <c r="AK3207" s="7"/>
      <c r="AL3207" s="7"/>
      <c r="AM3207" s="7"/>
      <c r="AN3207" s="7"/>
      <c r="AO3207" s="7"/>
      <c r="AP3207" s="7"/>
      <c r="AQ3207" s="7"/>
      <c r="AR3207" s="7"/>
      <c r="AS3207" s="7" t="s">
        <v>22</v>
      </c>
    </row>
    <row r="3208">
      <c r="A3208" s="7" t="s">
        <v>148</v>
      </c>
      <c r="B3208" s="7" t="s">
        <v>2219</v>
      </c>
      <c r="C3208" s="7">
        <f>3+1</f>
        <v>4</v>
      </c>
      <c r="D3208" s="7">
        <v>4.0</v>
      </c>
      <c r="E3208" s="9">
        <v>2.0</v>
      </c>
      <c r="F3208" s="7" t="s">
        <v>43</v>
      </c>
      <c r="H3208" s="9" t="s">
        <v>2984</v>
      </c>
      <c r="I3208" t="s">
        <v>2985</v>
      </c>
      <c r="AD3208" s="7" t="str">
        <f t="shared" si="1"/>
        <v/>
      </c>
      <c r="AE3208" s="7" t="str">
        <f t="shared" si="2"/>
        <v/>
      </c>
      <c r="AF3208">
        <f>IFERROR(__xludf.DUMMYFUNCTION("VALUE(REGEXREPLACE(G3208,""[^[:digit:]]"", """"))"),0.0)</f>
        <v>0</v>
      </c>
    </row>
    <row r="3209">
      <c r="A3209" s="7" t="s">
        <v>32</v>
      </c>
      <c r="B3209" s="7" t="s">
        <v>407</v>
      </c>
      <c r="C3209" s="7">
        <f>4+1</f>
        <v>5</v>
      </c>
      <c r="D3209" s="7">
        <v>4.0</v>
      </c>
      <c r="E3209" s="9">
        <v>2.0</v>
      </c>
      <c r="F3209" s="7" t="s">
        <v>46</v>
      </c>
      <c r="G3209" s="7" t="s">
        <v>2220</v>
      </c>
      <c r="H3209" s="9" t="s">
        <v>2981</v>
      </c>
      <c r="I3209" t="s">
        <v>4189</v>
      </c>
      <c r="J3209" s="7"/>
      <c r="K3209" s="7"/>
      <c r="L3209" s="7"/>
      <c r="M3209" s="7"/>
      <c r="N3209" s="7"/>
      <c r="O3209" s="7"/>
      <c r="P3209" s="7"/>
      <c r="Q3209" s="7"/>
      <c r="R3209" s="7"/>
      <c r="S3209" s="7" t="s">
        <v>3298</v>
      </c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7" t="str">
        <f t="shared" si="1"/>
        <v>Land area </v>
      </c>
      <c r="AE3209" s="7" t="str">
        <f t="shared" si="2"/>
        <v> sq. ft.</v>
      </c>
      <c r="AF3209">
        <f>IFERROR(__xludf.DUMMYFUNCTION("VALUE(REGEXREPLACE(G3209,""[^[:digit:]]"", """"))"),2865.0)</f>
        <v>2865</v>
      </c>
      <c r="AG3209" s="7"/>
      <c r="AH3209" s="7"/>
      <c r="AI3209" s="7"/>
      <c r="AJ3209" s="7"/>
      <c r="AK3209" s="7"/>
      <c r="AL3209" s="7"/>
      <c r="AM3209" s="7"/>
      <c r="AN3209" s="7"/>
      <c r="AO3209" s="7"/>
      <c r="AP3209" s="7"/>
      <c r="AQ3209" s="7"/>
      <c r="AR3209" s="7"/>
      <c r="AS3209" s="7" t="s">
        <v>27</v>
      </c>
    </row>
    <row r="3210">
      <c r="A3210" s="7" t="s">
        <v>17</v>
      </c>
      <c r="B3210" s="7" t="s">
        <v>329</v>
      </c>
      <c r="C3210" s="7">
        <f>2</f>
        <v>2</v>
      </c>
      <c r="D3210" s="7">
        <v>2.0</v>
      </c>
      <c r="E3210" s="9">
        <v>2.0</v>
      </c>
      <c r="F3210" s="7" t="s">
        <v>20</v>
      </c>
      <c r="H3210" s="9" t="s">
        <v>2984</v>
      </c>
      <c r="I3210" t="s">
        <v>2985</v>
      </c>
      <c r="AD3210" s="7" t="str">
        <f t="shared" si="1"/>
        <v/>
      </c>
      <c r="AE3210" s="7" t="str">
        <f t="shared" si="2"/>
        <v/>
      </c>
      <c r="AF3210">
        <f>IFERROR(__xludf.DUMMYFUNCTION("VALUE(REGEXREPLACE(G3210,""[^[:digit:]]"", """"))"),0.0)</f>
        <v>0</v>
      </c>
    </row>
    <row r="3211">
      <c r="A3211" s="7" t="s">
        <v>72</v>
      </c>
      <c r="B3211" s="7" t="s">
        <v>411</v>
      </c>
      <c r="C3211" s="7">
        <f t="shared" ref="C3211:C3212" si="433">3+1</f>
        <v>4</v>
      </c>
      <c r="D3211" s="7">
        <v>5.0</v>
      </c>
      <c r="E3211" s="9">
        <v>2.0</v>
      </c>
      <c r="F3211" s="7" t="s">
        <v>83</v>
      </c>
      <c r="G3211" s="7" t="s">
        <v>561</v>
      </c>
      <c r="H3211" s="9" t="s">
        <v>2979</v>
      </c>
      <c r="I3211" t="s">
        <v>3226</v>
      </c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7" t="str">
        <f t="shared" si="1"/>
        <v>Built-up :</v>
      </c>
      <c r="AE3211" s="7" t="str">
        <f t="shared" si="2"/>
        <v> sq. ft.</v>
      </c>
      <c r="AF3211">
        <f>IFERROR(__xludf.DUMMYFUNCTION("VALUE(REGEXREPLACE(G3211,""[^[:digit:]]"", """"))"),2535.0)</f>
        <v>2535</v>
      </c>
      <c r="AG3211" s="7"/>
      <c r="AH3211" s="7"/>
      <c r="AI3211" s="7"/>
      <c r="AJ3211" s="7"/>
      <c r="AK3211" s="7"/>
      <c r="AL3211" s="7"/>
      <c r="AM3211" s="7"/>
      <c r="AN3211" s="7"/>
      <c r="AO3211" s="7"/>
      <c r="AP3211" s="7"/>
      <c r="AQ3211" s="7"/>
      <c r="AR3211" s="7"/>
      <c r="AS3211" s="7" t="s">
        <v>22</v>
      </c>
    </row>
    <row r="3212">
      <c r="A3212" s="7" t="s">
        <v>72</v>
      </c>
      <c r="B3212" s="7" t="s">
        <v>411</v>
      </c>
      <c r="C3212" s="7">
        <f t="shared" si="433"/>
        <v>4</v>
      </c>
      <c r="D3212" s="7">
        <v>5.0</v>
      </c>
      <c r="E3212" s="9">
        <v>2.0</v>
      </c>
      <c r="F3212" s="7" t="s">
        <v>83</v>
      </c>
      <c r="G3212" s="7" t="s">
        <v>561</v>
      </c>
      <c r="H3212" s="9" t="s">
        <v>2979</v>
      </c>
      <c r="I3212" t="s">
        <v>3226</v>
      </c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 t="str">
        <f t="shared" si="1"/>
        <v>Built-up :</v>
      </c>
      <c r="AE3212" s="7" t="str">
        <f t="shared" si="2"/>
        <v> sq. ft.</v>
      </c>
      <c r="AF3212">
        <f>IFERROR(__xludf.DUMMYFUNCTION("VALUE(REGEXREPLACE(G3212,""[^[:digit:]]"", """"))"),2535.0)</f>
        <v>2535</v>
      </c>
      <c r="AG3212" s="7"/>
      <c r="AH3212" s="7"/>
      <c r="AI3212" s="7"/>
      <c r="AJ3212" s="7"/>
      <c r="AK3212" s="7"/>
      <c r="AL3212" s="7"/>
      <c r="AM3212" s="7"/>
      <c r="AN3212" s="7"/>
      <c r="AO3212" s="7"/>
      <c r="AP3212" s="7"/>
      <c r="AQ3212" s="7"/>
      <c r="AR3212" s="7"/>
      <c r="AS3212" s="7" t="s">
        <v>22</v>
      </c>
    </row>
    <row r="3213">
      <c r="A3213" s="7" t="s">
        <v>72</v>
      </c>
      <c r="B3213" s="7" t="s">
        <v>110</v>
      </c>
      <c r="C3213" s="7">
        <f>4+1</f>
        <v>5</v>
      </c>
      <c r="D3213" s="7">
        <v>6.0</v>
      </c>
      <c r="E3213" s="9">
        <v>2.0</v>
      </c>
      <c r="F3213" s="7" t="s">
        <v>83</v>
      </c>
      <c r="G3213" s="7" t="s">
        <v>176</v>
      </c>
      <c r="H3213" s="9" t="s">
        <v>2979</v>
      </c>
      <c r="I3213" t="s">
        <v>3039</v>
      </c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  <c r="AB3213" s="7"/>
      <c r="AC3213" s="7"/>
      <c r="AD3213" s="7" t="str">
        <f t="shared" si="1"/>
        <v>Built-up :</v>
      </c>
      <c r="AE3213" s="7" t="str">
        <f t="shared" si="2"/>
        <v> sq. ft.</v>
      </c>
      <c r="AF3213">
        <f>IFERROR(__xludf.DUMMYFUNCTION("VALUE(REGEXREPLACE(G3213,""[^[:digit:]]"", """"))"),3000.0)</f>
        <v>3000</v>
      </c>
      <c r="AG3213" s="7"/>
      <c r="AH3213" s="7"/>
      <c r="AI3213" s="7"/>
      <c r="AJ3213" s="7"/>
      <c r="AK3213" s="7"/>
      <c r="AL3213" s="7"/>
      <c r="AM3213" s="7"/>
      <c r="AN3213" s="7"/>
      <c r="AO3213" s="7"/>
      <c r="AP3213" s="7"/>
      <c r="AQ3213" s="7"/>
      <c r="AR3213" s="7"/>
      <c r="AS3213" s="7" t="s">
        <v>22</v>
      </c>
    </row>
    <row r="3214">
      <c r="A3214" s="7" t="s">
        <v>72</v>
      </c>
      <c r="B3214" s="7" t="s">
        <v>193</v>
      </c>
      <c r="C3214" s="7">
        <f>2+1</f>
        <v>3</v>
      </c>
      <c r="D3214" s="7">
        <v>4.0</v>
      </c>
      <c r="E3214" s="7">
        <v>2.0</v>
      </c>
      <c r="F3214" s="7" t="s">
        <v>83</v>
      </c>
      <c r="G3214" s="7" t="s">
        <v>1057</v>
      </c>
      <c r="H3214" s="9" t="s">
        <v>2979</v>
      </c>
      <c r="I3214" t="s">
        <v>3481</v>
      </c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  <c r="AB3214" s="7"/>
      <c r="AC3214" s="7"/>
      <c r="AD3214" s="7" t="str">
        <f t="shared" si="1"/>
        <v>Built-up :</v>
      </c>
      <c r="AE3214" s="7" t="str">
        <f t="shared" si="2"/>
        <v> sq. ft.</v>
      </c>
      <c r="AF3214">
        <f>IFERROR(__xludf.DUMMYFUNCTION("VALUE(REGEXREPLACE(G3214,""[^[:digit:]]"", """"))"),2110.0)</f>
        <v>2110</v>
      </c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  <c r="AR3214" s="7"/>
    </row>
    <row r="3215">
      <c r="A3215" s="7" t="s">
        <v>72</v>
      </c>
      <c r="B3215" s="7" t="s">
        <v>658</v>
      </c>
      <c r="C3215" s="7">
        <f>4+1</f>
        <v>5</v>
      </c>
      <c r="D3215" s="7">
        <v>6.0</v>
      </c>
      <c r="E3215" s="9">
        <v>2.0</v>
      </c>
      <c r="F3215" s="7" t="s">
        <v>83</v>
      </c>
      <c r="G3215" s="7" t="s">
        <v>933</v>
      </c>
      <c r="H3215" s="9" t="s">
        <v>2979</v>
      </c>
      <c r="I3215" t="s">
        <v>3414</v>
      </c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 t="str">
        <f t="shared" si="1"/>
        <v>Built-up :</v>
      </c>
      <c r="AE3215" s="7" t="str">
        <f t="shared" si="2"/>
        <v> sq. ft.</v>
      </c>
      <c r="AF3215">
        <f>IFERROR(__xludf.DUMMYFUNCTION("VALUE(REGEXREPLACE(G3215,""[^[:digit:]]"", """"))"),3541.0)</f>
        <v>3541</v>
      </c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  <c r="AR3215" s="7"/>
    </row>
    <row r="3216">
      <c r="A3216" s="7" t="s">
        <v>177</v>
      </c>
      <c r="B3216" s="7" t="s">
        <v>655</v>
      </c>
      <c r="C3216" s="7">
        <f>4</f>
        <v>4</v>
      </c>
      <c r="D3216" s="7">
        <v>4.0</v>
      </c>
      <c r="E3216" s="9">
        <v>2.0</v>
      </c>
      <c r="F3216" s="7" t="s">
        <v>54</v>
      </c>
      <c r="G3216" s="7" t="s">
        <v>2066</v>
      </c>
      <c r="H3216" s="9" t="s">
        <v>2981</v>
      </c>
      <c r="I3216" t="s">
        <v>4090</v>
      </c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7" t="str">
        <f t="shared" si="1"/>
        <v>Land area </v>
      </c>
      <c r="AE3216" s="7" t="str">
        <f t="shared" si="2"/>
        <v> sq. ft.</v>
      </c>
      <c r="AF3216">
        <f>IFERROR(__xludf.DUMMYFUNCTION("VALUE(REGEXREPLACE(G3216,""[^[:digit:]]"", """"))"),2500.0)</f>
        <v>2500</v>
      </c>
      <c r="AG3216" s="7"/>
      <c r="AH3216" s="7"/>
      <c r="AI3216" s="7"/>
      <c r="AJ3216" s="7"/>
      <c r="AK3216" s="7"/>
      <c r="AL3216" s="7"/>
      <c r="AM3216" s="7"/>
      <c r="AN3216" s="7"/>
      <c r="AO3216" s="7"/>
      <c r="AP3216" s="7"/>
      <c r="AQ3216" s="7"/>
      <c r="AR3216" s="7"/>
      <c r="AS3216" s="7" t="s">
        <v>27</v>
      </c>
    </row>
    <row r="3217">
      <c r="A3217" s="7" t="s">
        <v>428</v>
      </c>
      <c r="B3217" s="7" t="s">
        <v>1348</v>
      </c>
      <c r="C3217" s="7">
        <f>1</f>
        <v>1</v>
      </c>
      <c r="D3217" s="7">
        <v>1.0</v>
      </c>
      <c r="E3217" s="7">
        <v>1.0</v>
      </c>
      <c r="F3217" s="7" t="s">
        <v>20</v>
      </c>
      <c r="G3217" s="7" t="s">
        <v>1964</v>
      </c>
      <c r="H3217" s="9" t="s">
        <v>2979</v>
      </c>
      <c r="I3217" t="s">
        <v>4024</v>
      </c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7" t="str">
        <f t="shared" si="1"/>
        <v>Built-up :</v>
      </c>
      <c r="AE3217" s="7" t="str">
        <f t="shared" si="2"/>
        <v> sq. ft.</v>
      </c>
      <c r="AF3217">
        <f>IFERROR(__xludf.DUMMYFUNCTION("VALUE(REGEXREPLACE(G3217,""[^[:digit:]]"", """"))"),705.0)</f>
        <v>705</v>
      </c>
      <c r="AG3217" s="7"/>
      <c r="AH3217" s="7"/>
      <c r="AI3217" s="7"/>
      <c r="AJ3217" s="7"/>
      <c r="AK3217" s="7"/>
      <c r="AL3217" s="7"/>
      <c r="AM3217" s="7"/>
      <c r="AN3217" s="7"/>
      <c r="AO3217" s="7"/>
      <c r="AP3217" s="7"/>
      <c r="AQ3217" s="7"/>
      <c r="AR3217" s="7"/>
      <c r="AS3217" s="7" t="s">
        <v>27</v>
      </c>
    </row>
    <row r="3218">
      <c r="A3218" s="7" t="s">
        <v>33</v>
      </c>
      <c r="B3218" s="7" t="s">
        <v>984</v>
      </c>
      <c r="C3218" s="7">
        <f>5+1</f>
        <v>6</v>
      </c>
      <c r="D3218" s="7">
        <v>4.0</v>
      </c>
      <c r="E3218" s="9">
        <v>2.0</v>
      </c>
      <c r="F3218" s="7" t="s">
        <v>562</v>
      </c>
      <c r="G3218" s="7" t="s">
        <v>1121</v>
      </c>
      <c r="H3218" s="9" t="s">
        <v>2981</v>
      </c>
      <c r="I3218" t="s">
        <v>3518</v>
      </c>
      <c r="J3218" s="7"/>
      <c r="K3218" s="7"/>
      <c r="L3218" s="7"/>
      <c r="M3218" s="7"/>
      <c r="N3218" s="7"/>
      <c r="O3218" s="7"/>
      <c r="P3218" s="7"/>
      <c r="Q3218" s="7"/>
      <c r="R3218" s="7"/>
      <c r="S3218" s="7" t="s">
        <v>3121</v>
      </c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7" t="str">
        <f t="shared" si="1"/>
        <v>Land area </v>
      </c>
      <c r="AE3218" s="7" t="str">
        <f t="shared" si="2"/>
        <v> sq. ft.</v>
      </c>
      <c r="AF3218">
        <f>IFERROR(__xludf.DUMMYFUNCTION("VALUE(REGEXREPLACE(G3218,""[^[:digit:]]"", """"))"),2270.0)</f>
        <v>2270</v>
      </c>
      <c r="AG3218" s="7"/>
      <c r="AH3218" s="7"/>
      <c r="AI3218" s="7"/>
      <c r="AJ3218" s="7"/>
      <c r="AK3218" s="7"/>
      <c r="AL3218" s="7"/>
      <c r="AM3218" s="7"/>
      <c r="AN3218" s="7"/>
      <c r="AO3218" s="7"/>
      <c r="AP3218" s="7"/>
      <c r="AQ3218" s="7"/>
      <c r="AR3218" s="7"/>
      <c r="AS3218" s="7" t="s">
        <v>27</v>
      </c>
    </row>
    <row r="3219">
      <c r="A3219" s="7" t="s">
        <v>72</v>
      </c>
      <c r="B3219" s="7" t="s">
        <v>18</v>
      </c>
      <c r="C3219" s="7">
        <f>3+1</f>
        <v>4</v>
      </c>
      <c r="D3219" s="7">
        <v>4.0</v>
      </c>
      <c r="E3219" s="7">
        <v>2.0</v>
      </c>
      <c r="F3219" s="7" t="s">
        <v>83</v>
      </c>
      <c r="G3219" s="7" t="s">
        <v>1034</v>
      </c>
      <c r="H3219" s="9" t="s">
        <v>2979</v>
      </c>
      <c r="I3219" t="s">
        <v>3468</v>
      </c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  <c r="AB3219" s="7"/>
      <c r="AC3219" s="7"/>
      <c r="AD3219" s="7" t="str">
        <f t="shared" si="1"/>
        <v>Built-up :</v>
      </c>
      <c r="AE3219" s="7" t="str">
        <f t="shared" si="2"/>
        <v> sq. ft.</v>
      </c>
      <c r="AF3219">
        <f>IFERROR(__xludf.DUMMYFUNCTION("VALUE(REGEXREPLACE(G3219,""[^[:digit:]]"", """"))"),1448.0)</f>
        <v>1448</v>
      </c>
      <c r="AG3219" s="7"/>
      <c r="AH3219" s="7"/>
      <c r="AI3219" s="7"/>
      <c r="AJ3219" s="7"/>
      <c r="AK3219" s="7"/>
      <c r="AL3219" s="7"/>
      <c r="AM3219" s="7"/>
      <c r="AN3219" s="7"/>
      <c r="AO3219" s="7"/>
      <c r="AP3219" s="7"/>
      <c r="AQ3219" s="7"/>
      <c r="AR3219" s="7"/>
      <c r="AS3219" s="7" t="s">
        <v>22</v>
      </c>
    </row>
    <row r="3220">
      <c r="A3220" s="7" t="s">
        <v>72</v>
      </c>
      <c r="B3220" s="7" t="s">
        <v>56</v>
      </c>
      <c r="C3220" s="7">
        <f t="shared" ref="C3220:C3221" si="434">4+1</f>
        <v>5</v>
      </c>
      <c r="D3220" s="7">
        <v>5.0</v>
      </c>
      <c r="E3220" s="9">
        <v>2.0</v>
      </c>
      <c r="F3220" s="7" t="s">
        <v>83</v>
      </c>
      <c r="G3220" s="7" t="s">
        <v>1143</v>
      </c>
      <c r="H3220" s="9" t="s">
        <v>2979</v>
      </c>
      <c r="I3220" t="s">
        <v>3534</v>
      </c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  <c r="AB3220" s="7"/>
      <c r="AC3220" s="7"/>
      <c r="AD3220" s="7" t="str">
        <f t="shared" si="1"/>
        <v>Built-up :</v>
      </c>
      <c r="AE3220" s="7" t="str">
        <f t="shared" si="2"/>
        <v> sq. ft.</v>
      </c>
      <c r="AF3220">
        <f>IFERROR(__xludf.DUMMYFUNCTION("VALUE(REGEXREPLACE(G3220,""[^[:digit:]]"", """"))"),2552.0)</f>
        <v>2552</v>
      </c>
      <c r="AG3220" s="7"/>
      <c r="AH3220" s="7"/>
      <c r="AI3220" s="7"/>
      <c r="AJ3220" s="7"/>
      <c r="AK3220" s="7"/>
      <c r="AL3220" s="7"/>
      <c r="AM3220" s="7"/>
      <c r="AN3220" s="7"/>
      <c r="AO3220" s="7"/>
      <c r="AP3220" s="7"/>
      <c r="AQ3220" s="7"/>
      <c r="AR3220" s="7"/>
      <c r="AS3220" s="7" t="s">
        <v>27</v>
      </c>
    </row>
    <row r="3221">
      <c r="A3221" s="7" t="s">
        <v>72</v>
      </c>
      <c r="B3221" s="7" t="s">
        <v>69</v>
      </c>
      <c r="C3221" s="7">
        <f t="shared" si="434"/>
        <v>5</v>
      </c>
      <c r="D3221" s="7">
        <v>6.0</v>
      </c>
      <c r="E3221" s="7">
        <v>7.0</v>
      </c>
      <c r="F3221" s="7" t="s">
        <v>83</v>
      </c>
      <c r="G3221" s="7" t="s">
        <v>2221</v>
      </c>
      <c r="H3221" s="9" t="s">
        <v>2979</v>
      </c>
      <c r="I3221" t="s">
        <v>4190</v>
      </c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7" t="str">
        <f t="shared" si="1"/>
        <v>Built-up :</v>
      </c>
      <c r="AE3221" s="7" t="str">
        <f t="shared" si="2"/>
        <v> sq. ft.</v>
      </c>
      <c r="AF3221">
        <f>IFERROR(__xludf.DUMMYFUNCTION("VALUE(REGEXREPLACE(G3221,""[^[:digit:]]"", """"))"),7266.0)</f>
        <v>7266</v>
      </c>
      <c r="AG3221" s="7"/>
      <c r="AH3221" s="7"/>
      <c r="AI3221" s="7"/>
      <c r="AJ3221" s="7"/>
      <c r="AK3221" s="7"/>
      <c r="AL3221" s="7"/>
      <c r="AM3221" s="7"/>
      <c r="AN3221" s="7"/>
      <c r="AO3221" s="7"/>
      <c r="AP3221" s="7"/>
      <c r="AQ3221" s="7"/>
      <c r="AR3221" s="7"/>
      <c r="AS3221" s="7" t="s">
        <v>22</v>
      </c>
    </row>
    <row r="3222">
      <c r="A3222" s="7" t="s">
        <v>72</v>
      </c>
      <c r="B3222" s="7" t="s">
        <v>125</v>
      </c>
      <c r="C3222" s="7">
        <f t="shared" ref="C3222:C3223" si="435">3+1</f>
        <v>4</v>
      </c>
      <c r="D3222" s="7">
        <v>5.0</v>
      </c>
      <c r="E3222" s="9">
        <v>2.0</v>
      </c>
      <c r="F3222" s="7" t="s">
        <v>83</v>
      </c>
      <c r="G3222" s="7" t="s">
        <v>412</v>
      </c>
      <c r="H3222" s="9" t="s">
        <v>2979</v>
      </c>
      <c r="I3222" t="s">
        <v>3151</v>
      </c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7" t="str">
        <f t="shared" si="1"/>
        <v>Built-up :</v>
      </c>
      <c r="AE3222" s="7" t="str">
        <f t="shared" si="2"/>
        <v> sq. ft.</v>
      </c>
      <c r="AF3222">
        <f>IFERROR(__xludf.DUMMYFUNCTION("VALUE(REGEXREPLACE(G3222,""[^[:digit:]]"", """"))"),2700.0)</f>
        <v>2700</v>
      </c>
      <c r="AG3222" s="7"/>
      <c r="AH3222" s="7"/>
      <c r="AI3222" s="7"/>
      <c r="AJ3222" s="7"/>
      <c r="AK3222" s="7"/>
      <c r="AL3222" s="7"/>
      <c r="AM3222" s="7"/>
      <c r="AN3222" s="7"/>
      <c r="AO3222" s="7"/>
      <c r="AP3222" s="7"/>
      <c r="AQ3222" s="7"/>
      <c r="AR3222" s="7"/>
      <c r="AS3222" s="7" t="s">
        <v>27</v>
      </c>
    </row>
    <row r="3223">
      <c r="A3223" s="7" t="s">
        <v>72</v>
      </c>
      <c r="B3223" s="7" t="s">
        <v>931</v>
      </c>
      <c r="C3223" s="7">
        <f t="shared" si="435"/>
        <v>4</v>
      </c>
      <c r="D3223" s="7">
        <v>5.0</v>
      </c>
      <c r="E3223" s="7">
        <v>4.0</v>
      </c>
      <c r="F3223" s="7" t="s">
        <v>83</v>
      </c>
      <c r="G3223" s="7" t="s">
        <v>561</v>
      </c>
      <c r="H3223" s="9" t="s">
        <v>2979</v>
      </c>
      <c r="I3223" t="s">
        <v>3226</v>
      </c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7" t="str">
        <f t="shared" si="1"/>
        <v>Built-up :</v>
      </c>
      <c r="AE3223" s="7" t="str">
        <f t="shared" si="2"/>
        <v> sq. ft.</v>
      </c>
      <c r="AF3223">
        <f>IFERROR(__xludf.DUMMYFUNCTION("VALUE(REGEXREPLACE(G3223,""[^[:digit:]]"", """"))"),2535.0)</f>
        <v>2535</v>
      </c>
      <c r="AG3223" s="7"/>
      <c r="AH3223" s="7"/>
      <c r="AI3223" s="7"/>
      <c r="AJ3223" s="7"/>
      <c r="AK3223" s="7"/>
      <c r="AL3223" s="7"/>
      <c r="AM3223" s="7"/>
      <c r="AN3223" s="7"/>
      <c r="AO3223" s="7"/>
      <c r="AP3223" s="7"/>
      <c r="AQ3223" s="7"/>
      <c r="AR3223" s="7"/>
      <c r="AS3223" s="7" t="s">
        <v>22</v>
      </c>
    </row>
    <row r="3224">
      <c r="A3224" s="7" t="s">
        <v>72</v>
      </c>
      <c r="B3224" s="7" t="s">
        <v>1760</v>
      </c>
      <c r="C3224" s="7">
        <f>1+1</f>
        <v>2</v>
      </c>
      <c r="D3224" s="7">
        <v>1.0</v>
      </c>
      <c r="E3224" s="7">
        <v>4.0</v>
      </c>
      <c r="F3224" s="7" t="s">
        <v>30</v>
      </c>
      <c r="G3224" s="7" t="s">
        <v>2222</v>
      </c>
      <c r="H3224" s="9" t="s">
        <v>2979</v>
      </c>
      <c r="I3224" t="s">
        <v>4191</v>
      </c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7" t="str">
        <f t="shared" si="1"/>
        <v>Built-up :</v>
      </c>
      <c r="AE3224" s="7" t="str">
        <f t="shared" si="2"/>
        <v> sq. ft.</v>
      </c>
      <c r="AF3224">
        <f>IFERROR(__xludf.DUMMYFUNCTION("VALUE(REGEXREPLACE(G3224,""[^[:digit:]]"", """"))"),1514.0)</f>
        <v>1514</v>
      </c>
      <c r="AG3224" s="7"/>
      <c r="AH3224" s="7"/>
      <c r="AI3224" s="7"/>
      <c r="AJ3224" s="7"/>
      <c r="AK3224" s="7"/>
      <c r="AL3224" s="7"/>
      <c r="AM3224" s="7"/>
      <c r="AN3224" s="7"/>
      <c r="AO3224" s="7"/>
      <c r="AP3224" s="7"/>
      <c r="AQ3224" s="7"/>
      <c r="AR3224" s="7"/>
      <c r="AS3224" s="7" t="s">
        <v>22</v>
      </c>
    </row>
    <row r="3225">
      <c r="A3225" s="7" t="s">
        <v>72</v>
      </c>
      <c r="B3225" s="7" t="s">
        <v>130</v>
      </c>
      <c r="C3225" s="7">
        <f>4+1</f>
        <v>5</v>
      </c>
      <c r="D3225" s="7">
        <v>6.0</v>
      </c>
      <c r="E3225" s="7">
        <v>5.0</v>
      </c>
      <c r="F3225" s="7" t="s">
        <v>83</v>
      </c>
      <c r="G3225" s="7" t="s">
        <v>176</v>
      </c>
      <c r="H3225" s="9" t="s">
        <v>2979</v>
      </c>
      <c r="I3225" t="s">
        <v>3039</v>
      </c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  <c r="AB3225" s="7"/>
      <c r="AC3225" s="7"/>
      <c r="AD3225" s="7" t="str">
        <f t="shared" si="1"/>
        <v>Built-up :</v>
      </c>
      <c r="AE3225" s="7" t="str">
        <f t="shared" si="2"/>
        <v> sq. ft.</v>
      </c>
      <c r="AF3225">
        <f>IFERROR(__xludf.DUMMYFUNCTION("VALUE(REGEXREPLACE(G3225,""[^[:digit:]]"", """"))"),3000.0)</f>
        <v>3000</v>
      </c>
      <c r="AG3225" s="7"/>
      <c r="AH3225" s="7"/>
      <c r="AI3225" s="7"/>
      <c r="AJ3225" s="7"/>
      <c r="AK3225" s="7"/>
      <c r="AL3225" s="7"/>
      <c r="AM3225" s="7"/>
      <c r="AN3225" s="7"/>
      <c r="AO3225" s="7"/>
      <c r="AP3225" s="7"/>
      <c r="AQ3225" s="7"/>
      <c r="AR3225" s="7"/>
      <c r="AS3225" s="7" t="s">
        <v>27</v>
      </c>
    </row>
    <row r="3226">
      <c r="A3226" s="7" t="s">
        <v>72</v>
      </c>
      <c r="B3226" s="7" t="s">
        <v>125</v>
      </c>
      <c r="C3226" s="7">
        <f t="shared" ref="C3226:C3228" si="436">3+1</f>
        <v>4</v>
      </c>
      <c r="D3226" s="7">
        <v>5.0</v>
      </c>
      <c r="E3226" s="9">
        <v>2.0</v>
      </c>
      <c r="F3226" s="7" t="s">
        <v>83</v>
      </c>
      <c r="G3226" s="7" t="s">
        <v>412</v>
      </c>
      <c r="H3226" s="9" t="s">
        <v>2979</v>
      </c>
      <c r="I3226" t="s">
        <v>3151</v>
      </c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  <c r="AB3226" s="7"/>
      <c r="AC3226" s="7"/>
      <c r="AD3226" s="7" t="str">
        <f t="shared" si="1"/>
        <v>Built-up :</v>
      </c>
      <c r="AE3226" s="7" t="str">
        <f t="shared" si="2"/>
        <v> sq. ft.</v>
      </c>
      <c r="AF3226">
        <f>IFERROR(__xludf.DUMMYFUNCTION("VALUE(REGEXREPLACE(G3226,""[^[:digit:]]"", """"))"),2700.0)</f>
        <v>2700</v>
      </c>
      <c r="AG3226" s="7"/>
      <c r="AH3226" s="7"/>
      <c r="AI3226" s="7"/>
      <c r="AJ3226" s="7"/>
      <c r="AK3226" s="7"/>
      <c r="AL3226" s="7"/>
      <c r="AM3226" s="7"/>
      <c r="AN3226" s="7"/>
      <c r="AO3226" s="7"/>
      <c r="AP3226" s="7"/>
      <c r="AQ3226" s="7"/>
      <c r="AR3226" s="7"/>
      <c r="AS3226" s="7" t="s">
        <v>27</v>
      </c>
    </row>
    <row r="3227">
      <c r="A3227" s="7" t="s">
        <v>72</v>
      </c>
      <c r="B3227" s="7" t="s">
        <v>2223</v>
      </c>
      <c r="C3227" s="7">
        <f t="shared" si="436"/>
        <v>4</v>
      </c>
      <c r="D3227" s="7">
        <v>5.0</v>
      </c>
      <c r="E3227" s="9">
        <v>2.0</v>
      </c>
      <c r="F3227" s="7" t="s">
        <v>83</v>
      </c>
      <c r="G3227" s="7" t="s">
        <v>412</v>
      </c>
      <c r="H3227" s="9" t="s">
        <v>2979</v>
      </c>
      <c r="I3227" t="s">
        <v>3151</v>
      </c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7" t="str">
        <f t="shared" si="1"/>
        <v>Built-up :</v>
      </c>
      <c r="AE3227" s="7" t="str">
        <f t="shared" si="2"/>
        <v> sq. ft.</v>
      </c>
      <c r="AF3227">
        <f>IFERROR(__xludf.DUMMYFUNCTION("VALUE(REGEXREPLACE(G3227,""[^[:digit:]]"", """"))"),2700.0)</f>
        <v>2700</v>
      </c>
      <c r="AG3227" s="7"/>
      <c r="AH3227" s="7"/>
      <c r="AI3227" s="7"/>
      <c r="AJ3227" s="7"/>
      <c r="AK3227" s="7"/>
      <c r="AL3227" s="7"/>
      <c r="AM3227" s="7"/>
      <c r="AN3227" s="7"/>
      <c r="AO3227" s="7"/>
      <c r="AP3227" s="7"/>
      <c r="AQ3227" s="7"/>
      <c r="AR3227" s="7"/>
      <c r="AS3227" s="7" t="s">
        <v>22</v>
      </c>
    </row>
    <row r="3228">
      <c r="A3228" s="7" t="s">
        <v>72</v>
      </c>
      <c r="B3228" s="7" t="s">
        <v>247</v>
      </c>
      <c r="C3228" s="7">
        <f t="shared" si="436"/>
        <v>4</v>
      </c>
      <c r="D3228" s="7">
        <v>4.0</v>
      </c>
      <c r="E3228" s="7">
        <v>3.0</v>
      </c>
      <c r="F3228" s="7" t="s">
        <v>83</v>
      </c>
      <c r="G3228" s="7" t="s">
        <v>561</v>
      </c>
      <c r="H3228" s="9" t="s">
        <v>2979</v>
      </c>
      <c r="I3228" t="s">
        <v>3226</v>
      </c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7" t="str">
        <f t="shared" si="1"/>
        <v>Built-up :</v>
      </c>
      <c r="AE3228" s="7" t="str">
        <f t="shared" si="2"/>
        <v> sq. ft.</v>
      </c>
      <c r="AF3228">
        <f>IFERROR(__xludf.DUMMYFUNCTION("VALUE(REGEXREPLACE(G3228,""[^[:digit:]]"", """"))"),2535.0)</f>
        <v>2535</v>
      </c>
      <c r="AG3228" s="7"/>
      <c r="AH3228" s="7"/>
      <c r="AI3228" s="7"/>
      <c r="AJ3228" s="7"/>
      <c r="AK3228" s="7"/>
      <c r="AL3228" s="7"/>
      <c r="AM3228" s="7"/>
      <c r="AN3228" s="7"/>
      <c r="AO3228" s="7"/>
      <c r="AP3228" s="7"/>
      <c r="AQ3228" s="7"/>
      <c r="AR3228" s="7"/>
      <c r="AS3228" s="7" t="s">
        <v>27</v>
      </c>
    </row>
    <row r="3229">
      <c r="A3229" s="7" t="s">
        <v>32</v>
      </c>
      <c r="B3229" s="7" t="s">
        <v>1981</v>
      </c>
      <c r="C3229" s="7">
        <f>2</f>
        <v>2</v>
      </c>
      <c r="D3229" s="7">
        <v>1.0</v>
      </c>
      <c r="E3229" s="7">
        <v>1.0</v>
      </c>
      <c r="F3229" s="7" t="s">
        <v>82</v>
      </c>
      <c r="G3229" s="7" t="s">
        <v>2224</v>
      </c>
      <c r="H3229" s="9" t="s">
        <v>2979</v>
      </c>
      <c r="I3229" t="s">
        <v>4192</v>
      </c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7" t="str">
        <f t="shared" si="1"/>
        <v>Built-up :</v>
      </c>
      <c r="AE3229" s="7" t="str">
        <f t="shared" si="2"/>
        <v> sq. ft.</v>
      </c>
      <c r="AF3229">
        <f>IFERROR(__xludf.DUMMYFUNCTION("VALUE(REGEXREPLACE(G3229,""[^[:digit:]]"", """"))"),695.0)</f>
        <v>695</v>
      </c>
      <c r="AG3229" s="7"/>
      <c r="AH3229" s="7"/>
      <c r="AI3229" s="7"/>
      <c r="AJ3229" s="7"/>
      <c r="AK3229" s="7"/>
      <c r="AL3229" s="7"/>
      <c r="AM3229" s="7"/>
      <c r="AN3229" s="7"/>
      <c r="AO3229" s="7"/>
      <c r="AP3229" s="7"/>
      <c r="AQ3229" s="7"/>
      <c r="AR3229" s="7"/>
      <c r="AS3229" s="7" t="s">
        <v>22</v>
      </c>
    </row>
    <row r="3230">
      <c r="A3230" s="7" t="s">
        <v>72</v>
      </c>
      <c r="B3230" s="7" t="s">
        <v>110</v>
      </c>
      <c r="C3230" s="7">
        <f>4+1</f>
        <v>5</v>
      </c>
      <c r="D3230" s="7">
        <v>6.0</v>
      </c>
      <c r="E3230" s="9">
        <v>2.0</v>
      </c>
      <c r="F3230" s="7" t="s">
        <v>83</v>
      </c>
      <c r="G3230" s="7" t="s">
        <v>176</v>
      </c>
      <c r="H3230" s="9" t="s">
        <v>2979</v>
      </c>
      <c r="I3230" t="s">
        <v>3039</v>
      </c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7" t="str">
        <f t="shared" si="1"/>
        <v>Built-up :</v>
      </c>
      <c r="AE3230" s="7" t="str">
        <f t="shared" si="2"/>
        <v> sq. ft.</v>
      </c>
      <c r="AF3230">
        <f>IFERROR(__xludf.DUMMYFUNCTION("VALUE(REGEXREPLACE(G3230,""[^[:digit:]]"", """"))"),3000.0)</f>
        <v>3000</v>
      </c>
      <c r="AG3230" s="7"/>
      <c r="AH3230" s="7"/>
      <c r="AI3230" s="7"/>
      <c r="AJ3230" s="7"/>
      <c r="AK3230" s="7"/>
      <c r="AL3230" s="7"/>
      <c r="AM3230" s="7"/>
      <c r="AN3230" s="7"/>
      <c r="AO3230" s="7"/>
      <c r="AP3230" s="7"/>
      <c r="AQ3230" s="7"/>
      <c r="AR3230" s="7"/>
      <c r="AS3230" s="7" t="s">
        <v>22</v>
      </c>
    </row>
    <row r="3231">
      <c r="A3231" s="7" t="s">
        <v>72</v>
      </c>
      <c r="B3231" s="7" t="s">
        <v>134</v>
      </c>
      <c r="C3231" s="7">
        <f>3+1</f>
        <v>4</v>
      </c>
      <c r="D3231" s="7">
        <v>3.0</v>
      </c>
      <c r="E3231" s="9">
        <v>2.0</v>
      </c>
      <c r="F3231" s="7" t="s">
        <v>83</v>
      </c>
      <c r="G3231" s="7" t="s">
        <v>404</v>
      </c>
      <c r="H3231" s="9" t="s">
        <v>2979</v>
      </c>
      <c r="I3231" t="s">
        <v>3147</v>
      </c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  <c r="AB3231" s="7"/>
      <c r="AC3231" s="7"/>
      <c r="AD3231" s="7" t="str">
        <f t="shared" si="1"/>
        <v>Built-up :</v>
      </c>
      <c r="AE3231" s="7" t="str">
        <f t="shared" si="2"/>
        <v> sq. ft.</v>
      </c>
      <c r="AF3231">
        <f>IFERROR(__xludf.DUMMYFUNCTION("VALUE(REGEXREPLACE(G3231,""[^[:digit:]]"", """"))"),1878.0)</f>
        <v>1878</v>
      </c>
      <c r="AG3231" s="7"/>
      <c r="AH3231" s="7"/>
      <c r="AI3231" s="7"/>
      <c r="AJ3231" s="7"/>
      <c r="AK3231" s="7"/>
      <c r="AL3231" s="7"/>
      <c r="AM3231" s="7"/>
      <c r="AN3231" s="7"/>
      <c r="AO3231" s="7"/>
      <c r="AP3231" s="7"/>
      <c r="AQ3231" s="7"/>
      <c r="AR3231" s="7"/>
      <c r="AS3231" s="7" t="s">
        <v>22</v>
      </c>
    </row>
    <row r="3232">
      <c r="A3232" s="7" t="s">
        <v>72</v>
      </c>
      <c r="B3232" s="7" t="s">
        <v>1079</v>
      </c>
      <c r="C3232" s="7">
        <f>4+1</f>
        <v>5</v>
      </c>
      <c r="D3232" s="7">
        <v>6.0</v>
      </c>
      <c r="E3232" s="9">
        <v>2.0</v>
      </c>
      <c r="F3232" s="7" t="s">
        <v>83</v>
      </c>
      <c r="G3232" s="7" t="s">
        <v>431</v>
      </c>
      <c r="H3232" s="9" t="s">
        <v>2979</v>
      </c>
      <c r="I3232" t="s">
        <v>3159</v>
      </c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  <c r="AB3232" s="7"/>
      <c r="AC3232" s="7"/>
      <c r="AD3232" s="7" t="str">
        <f t="shared" si="1"/>
        <v>Built-up :</v>
      </c>
      <c r="AE3232" s="7" t="str">
        <f t="shared" si="2"/>
        <v> sq. ft.</v>
      </c>
      <c r="AF3232">
        <f>IFERROR(__xludf.DUMMYFUNCTION("VALUE(REGEXREPLACE(G3232,""[^[:digit:]]"", """"))"),2906.0)</f>
        <v>2906</v>
      </c>
      <c r="AG3232" s="7"/>
      <c r="AH3232" s="7"/>
      <c r="AI3232" s="7"/>
      <c r="AJ3232" s="7"/>
      <c r="AK3232" s="7"/>
      <c r="AL3232" s="7"/>
      <c r="AM3232" s="7"/>
      <c r="AN3232" s="7"/>
      <c r="AO3232" s="7"/>
      <c r="AP3232" s="7"/>
      <c r="AQ3232" s="7"/>
      <c r="AR3232" s="7"/>
      <c r="AS3232" s="7" t="s">
        <v>22</v>
      </c>
    </row>
    <row r="3233">
      <c r="A3233" s="7" t="s">
        <v>72</v>
      </c>
      <c r="B3233" s="7" t="s">
        <v>411</v>
      </c>
      <c r="C3233" s="7">
        <f t="shared" ref="C3233:C3236" si="437">3+1</f>
        <v>4</v>
      </c>
      <c r="D3233" s="7">
        <v>5.0</v>
      </c>
      <c r="E3233" s="9">
        <v>2.0</v>
      </c>
      <c r="F3233" s="7" t="s">
        <v>83</v>
      </c>
      <c r="G3233" s="7" t="s">
        <v>654</v>
      </c>
      <c r="H3233" s="9" t="s">
        <v>2979</v>
      </c>
      <c r="I3233" t="s">
        <v>3268</v>
      </c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7" t="str">
        <f t="shared" si="1"/>
        <v>Built-up :</v>
      </c>
      <c r="AE3233" s="7" t="str">
        <f t="shared" si="2"/>
        <v> sq. ft.</v>
      </c>
      <c r="AF3233">
        <f>IFERROR(__xludf.DUMMYFUNCTION("VALUE(REGEXREPLACE(G3233,""[^[:digit:]]"", """"))"),2707.0)</f>
        <v>2707</v>
      </c>
      <c r="AG3233" s="7"/>
      <c r="AH3233" s="7"/>
      <c r="AI3233" s="7"/>
      <c r="AJ3233" s="7"/>
      <c r="AK3233" s="7"/>
      <c r="AL3233" s="7"/>
      <c r="AM3233" s="7"/>
      <c r="AN3233" s="7"/>
      <c r="AO3233" s="7"/>
      <c r="AP3233" s="7"/>
      <c r="AQ3233" s="7"/>
      <c r="AR3233" s="7"/>
      <c r="AS3233" s="7" t="s">
        <v>22</v>
      </c>
    </row>
    <row r="3234">
      <c r="A3234" s="7" t="s">
        <v>72</v>
      </c>
      <c r="B3234" s="7" t="s">
        <v>411</v>
      </c>
      <c r="C3234" s="7">
        <f t="shared" si="437"/>
        <v>4</v>
      </c>
      <c r="D3234" s="7">
        <v>4.0</v>
      </c>
      <c r="E3234" s="9">
        <v>2.0</v>
      </c>
      <c r="F3234" s="7" t="s">
        <v>83</v>
      </c>
      <c r="G3234" s="7" t="s">
        <v>561</v>
      </c>
      <c r="H3234" s="9" t="s">
        <v>2979</v>
      </c>
      <c r="I3234" t="s">
        <v>3226</v>
      </c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7" t="str">
        <f t="shared" si="1"/>
        <v>Built-up :</v>
      </c>
      <c r="AE3234" s="7" t="str">
        <f t="shared" si="2"/>
        <v> sq. ft.</v>
      </c>
      <c r="AF3234">
        <f>IFERROR(__xludf.DUMMYFUNCTION("VALUE(REGEXREPLACE(G3234,""[^[:digit:]]"", """"))"),2535.0)</f>
        <v>2535</v>
      </c>
      <c r="AG3234" s="7"/>
      <c r="AH3234" s="7"/>
      <c r="AI3234" s="7"/>
      <c r="AJ3234" s="7"/>
      <c r="AK3234" s="7"/>
      <c r="AL3234" s="7"/>
      <c r="AM3234" s="7"/>
      <c r="AN3234" s="7"/>
      <c r="AO3234" s="7"/>
      <c r="AP3234" s="7"/>
      <c r="AQ3234" s="7"/>
      <c r="AR3234" s="7"/>
      <c r="AS3234" s="7" t="s">
        <v>22</v>
      </c>
    </row>
    <row r="3235">
      <c r="A3235" s="7" t="s">
        <v>72</v>
      </c>
      <c r="B3235" s="7" t="s">
        <v>110</v>
      </c>
      <c r="C3235" s="7">
        <f t="shared" si="437"/>
        <v>4</v>
      </c>
      <c r="D3235" s="7">
        <v>4.0</v>
      </c>
      <c r="E3235" s="9">
        <v>2.0</v>
      </c>
      <c r="F3235" s="7" t="s">
        <v>83</v>
      </c>
      <c r="G3235" s="7" t="s">
        <v>412</v>
      </c>
      <c r="H3235" s="9" t="s">
        <v>2979</v>
      </c>
      <c r="I3235" t="s">
        <v>3151</v>
      </c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7" t="str">
        <f t="shared" si="1"/>
        <v>Built-up :</v>
      </c>
      <c r="AE3235" s="7" t="str">
        <f t="shared" si="2"/>
        <v> sq. ft.</v>
      </c>
      <c r="AF3235">
        <f>IFERROR(__xludf.DUMMYFUNCTION("VALUE(REGEXREPLACE(G3235,""[^[:digit:]]"", """"))"),2700.0)</f>
        <v>2700</v>
      </c>
      <c r="AG3235" s="7"/>
      <c r="AH3235" s="7"/>
      <c r="AI3235" s="7"/>
      <c r="AJ3235" s="7"/>
      <c r="AK3235" s="7"/>
      <c r="AL3235" s="7"/>
      <c r="AM3235" s="7"/>
      <c r="AN3235" s="7"/>
      <c r="AO3235" s="7"/>
      <c r="AP3235" s="7"/>
      <c r="AQ3235" s="7"/>
      <c r="AR3235" s="7"/>
    </row>
    <row r="3236">
      <c r="A3236" s="7" t="s">
        <v>72</v>
      </c>
      <c r="B3236" s="7" t="s">
        <v>110</v>
      </c>
      <c r="C3236" s="7">
        <f t="shared" si="437"/>
        <v>4</v>
      </c>
      <c r="D3236" s="7">
        <v>5.0</v>
      </c>
      <c r="E3236" s="9">
        <v>2.0</v>
      </c>
      <c r="F3236" s="7" t="s">
        <v>83</v>
      </c>
      <c r="G3236" s="7" t="s">
        <v>412</v>
      </c>
      <c r="H3236" s="9" t="s">
        <v>2979</v>
      </c>
      <c r="I3236" t="s">
        <v>3151</v>
      </c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7" t="str">
        <f t="shared" si="1"/>
        <v>Built-up :</v>
      </c>
      <c r="AE3236" s="7" t="str">
        <f t="shared" si="2"/>
        <v> sq. ft.</v>
      </c>
      <c r="AF3236">
        <f>IFERROR(__xludf.DUMMYFUNCTION("VALUE(REGEXREPLACE(G3236,""[^[:digit:]]"", """"))"),2700.0)</f>
        <v>2700</v>
      </c>
      <c r="AG3236" s="7"/>
      <c r="AH3236" s="7"/>
      <c r="AI3236" s="7"/>
      <c r="AJ3236" s="7"/>
      <c r="AK3236" s="7"/>
      <c r="AL3236" s="7"/>
      <c r="AM3236" s="7"/>
      <c r="AN3236" s="7"/>
      <c r="AO3236" s="7"/>
      <c r="AP3236" s="7"/>
      <c r="AQ3236" s="7"/>
      <c r="AR3236" s="7"/>
      <c r="AS3236" s="7" t="s">
        <v>27</v>
      </c>
    </row>
    <row r="3237">
      <c r="A3237" s="7" t="s">
        <v>72</v>
      </c>
      <c r="B3237" s="7" t="s">
        <v>144</v>
      </c>
      <c r="C3237" s="7">
        <f>4+1</f>
        <v>5</v>
      </c>
      <c r="D3237" s="7">
        <v>5.0</v>
      </c>
      <c r="E3237" s="7">
        <v>2.0</v>
      </c>
      <c r="F3237" s="7" t="s">
        <v>793</v>
      </c>
      <c r="G3237" s="7" t="s">
        <v>152</v>
      </c>
      <c r="H3237" s="9" t="s">
        <v>2979</v>
      </c>
      <c r="I3237" t="s">
        <v>3029</v>
      </c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  <c r="AB3237" s="7"/>
      <c r="AC3237" s="7"/>
      <c r="AD3237" s="7" t="str">
        <f t="shared" si="1"/>
        <v>Built-up :</v>
      </c>
      <c r="AE3237" s="7" t="str">
        <f t="shared" si="2"/>
        <v> sq. ft.</v>
      </c>
      <c r="AF3237">
        <f>IFERROR(__xludf.DUMMYFUNCTION("VALUE(REGEXREPLACE(G3237,""[^[:digit:]]"", """"))"),4300.0)</f>
        <v>4300</v>
      </c>
      <c r="AG3237" s="7"/>
      <c r="AH3237" s="7"/>
      <c r="AI3237" s="7"/>
      <c r="AJ3237" s="7"/>
      <c r="AK3237" s="7"/>
      <c r="AL3237" s="7"/>
      <c r="AM3237" s="7"/>
      <c r="AN3237" s="7"/>
      <c r="AO3237" s="7"/>
      <c r="AP3237" s="7"/>
      <c r="AQ3237" s="7"/>
      <c r="AR3237" s="7"/>
      <c r="AS3237" s="7" t="s">
        <v>27</v>
      </c>
    </row>
    <row r="3238">
      <c r="A3238" s="7" t="s">
        <v>65</v>
      </c>
      <c r="B3238" s="7" t="s">
        <v>356</v>
      </c>
      <c r="C3238" s="7">
        <f>3+1</f>
        <v>4</v>
      </c>
      <c r="D3238" s="7">
        <v>5.0</v>
      </c>
      <c r="E3238" s="7">
        <v>2.0</v>
      </c>
      <c r="F3238" s="7" t="s">
        <v>83</v>
      </c>
      <c r="G3238" s="7" t="s">
        <v>2225</v>
      </c>
      <c r="H3238" s="9" t="s">
        <v>2979</v>
      </c>
      <c r="I3238" t="s">
        <v>4193</v>
      </c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  <c r="AB3238" s="7"/>
      <c r="AC3238" s="7"/>
      <c r="AD3238" s="7" t="str">
        <f t="shared" si="1"/>
        <v>Built-up :</v>
      </c>
      <c r="AE3238" s="7" t="str">
        <f t="shared" si="2"/>
        <v> sq. ft.</v>
      </c>
      <c r="AF3238">
        <f>IFERROR(__xludf.DUMMYFUNCTION("VALUE(REGEXREPLACE(G3238,""[^[:digit:]]"", """"))"),2207.0)</f>
        <v>2207</v>
      </c>
      <c r="AG3238" s="7"/>
      <c r="AH3238" s="7"/>
      <c r="AI3238" s="7"/>
      <c r="AJ3238" s="7"/>
      <c r="AK3238" s="7"/>
      <c r="AL3238" s="7"/>
      <c r="AM3238" s="7"/>
      <c r="AN3238" s="7"/>
      <c r="AO3238" s="7"/>
      <c r="AP3238" s="7"/>
      <c r="AQ3238" s="7"/>
      <c r="AR3238" s="7"/>
      <c r="AS3238" s="7" t="s">
        <v>27</v>
      </c>
    </row>
    <row r="3239">
      <c r="A3239" s="7" t="s">
        <v>72</v>
      </c>
      <c r="B3239" s="7" t="s">
        <v>277</v>
      </c>
      <c r="C3239" s="7">
        <f>4+1</f>
        <v>5</v>
      </c>
      <c r="D3239" s="7">
        <v>6.0</v>
      </c>
      <c r="E3239" s="9">
        <v>2.0</v>
      </c>
      <c r="F3239" s="7" t="s">
        <v>83</v>
      </c>
      <c r="G3239" s="7" t="s">
        <v>176</v>
      </c>
      <c r="H3239" s="9" t="s">
        <v>2979</v>
      </c>
      <c r="I3239" t="s">
        <v>3039</v>
      </c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7" t="str">
        <f t="shared" si="1"/>
        <v>Built-up :</v>
      </c>
      <c r="AE3239" s="7" t="str">
        <f t="shared" si="2"/>
        <v> sq. ft.</v>
      </c>
      <c r="AF3239">
        <f>IFERROR(__xludf.DUMMYFUNCTION("VALUE(REGEXREPLACE(G3239,""[^[:digit:]]"", """"))"),3000.0)</f>
        <v>3000</v>
      </c>
      <c r="AG3239" s="7"/>
      <c r="AH3239" s="7"/>
      <c r="AI3239" s="7"/>
      <c r="AJ3239" s="7"/>
      <c r="AK3239" s="7"/>
      <c r="AL3239" s="7"/>
      <c r="AM3239" s="7"/>
      <c r="AN3239" s="7"/>
      <c r="AO3239" s="7"/>
      <c r="AP3239" s="7"/>
      <c r="AQ3239" s="7"/>
      <c r="AR3239" s="7"/>
      <c r="AS3239" s="7" t="s">
        <v>27</v>
      </c>
    </row>
    <row r="3240">
      <c r="A3240" s="7" t="s">
        <v>72</v>
      </c>
      <c r="B3240" s="7" t="s">
        <v>125</v>
      </c>
      <c r="C3240" s="7">
        <f>3+1</f>
        <v>4</v>
      </c>
      <c r="D3240" s="7">
        <v>5.0</v>
      </c>
      <c r="E3240" s="7">
        <v>2.0</v>
      </c>
      <c r="F3240" s="7" t="s">
        <v>83</v>
      </c>
      <c r="G3240" s="7" t="s">
        <v>654</v>
      </c>
      <c r="H3240" s="9" t="s">
        <v>2979</v>
      </c>
      <c r="I3240" t="s">
        <v>3268</v>
      </c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7" t="str">
        <f t="shared" si="1"/>
        <v>Built-up :</v>
      </c>
      <c r="AE3240" s="7" t="str">
        <f t="shared" si="2"/>
        <v> sq. ft.</v>
      </c>
      <c r="AF3240">
        <f>IFERROR(__xludf.DUMMYFUNCTION("VALUE(REGEXREPLACE(G3240,""[^[:digit:]]"", """"))"),2707.0)</f>
        <v>2707</v>
      </c>
      <c r="AG3240" s="7"/>
      <c r="AH3240" s="7"/>
      <c r="AI3240" s="7"/>
      <c r="AJ3240" s="7"/>
      <c r="AK3240" s="7"/>
      <c r="AL3240" s="7"/>
      <c r="AM3240" s="7"/>
      <c r="AN3240" s="7"/>
      <c r="AO3240" s="7"/>
      <c r="AP3240" s="7"/>
      <c r="AQ3240" s="7"/>
      <c r="AR3240" s="7"/>
      <c r="AS3240" s="7" t="s">
        <v>27</v>
      </c>
    </row>
    <row r="3241">
      <c r="A3241" s="7" t="s">
        <v>72</v>
      </c>
      <c r="B3241" s="7" t="s">
        <v>322</v>
      </c>
      <c r="C3241" s="7">
        <f>4+1</f>
        <v>5</v>
      </c>
      <c r="D3241" s="7">
        <v>5.0</v>
      </c>
      <c r="E3241" s="9">
        <v>2.0</v>
      </c>
      <c r="F3241" s="7" t="s">
        <v>83</v>
      </c>
      <c r="G3241" s="7" t="s">
        <v>1143</v>
      </c>
      <c r="H3241" s="9" t="s">
        <v>2979</v>
      </c>
      <c r="I3241" t="s">
        <v>3534</v>
      </c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7" t="str">
        <f t="shared" si="1"/>
        <v>Built-up :</v>
      </c>
      <c r="AE3241" s="7" t="str">
        <f t="shared" si="2"/>
        <v> sq. ft.</v>
      </c>
      <c r="AF3241">
        <f>IFERROR(__xludf.DUMMYFUNCTION("VALUE(REGEXREPLACE(G3241,""[^[:digit:]]"", """"))"),2552.0)</f>
        <v>2552</v>
      </c>
      <c r="AG3241" s="7"/>
      <c r="AH3241" s="7"/>
      <c r="AI3241" s="7"/>
      <c r="AJ3241" s="7"/>
      <c r="AK3241" s="7"/>
      <c r="AL3241" s="7"/>
      <c r="AM3241" s="7"/>
      <c r="AN3241" s="7"/>
      <c r="AO3241" s="7"/>
      <c r="AP3241" s="7"/>
      <c r="AQ3241" s="7"/>
      <c r="AR3241" s="7"/>
      <c r="AS3241" s="7" t="s">
        <v>22</v>
      </c>
    </row>
    <row r="3242">
      <c r="A3242" s="7" t="s">
        <v>72</v>
      </c>
      <c r="B3242" s="7" t="s">
        <v>411</v>
      </c>
      <c r="C3242" s="7">
        <f>3+1</f>
        <v>4</v>
      </c>
      <c r="D3242" s="7">
        <v>4.0</v>
      </c>
      <c r="E3242" s="9">
        <v>2.0</v>
      </c>
      <c r="F3242" s="7" t="s">
        <v>83</v>
      </c>
      <c r="G3242" s="7" t="s">
        <v>561</v>
      </c>
      <c r="H3242" s="9" t="s">
        <v>2979</v>
      </c>
      <c r="I3242" t="s">
        <v>3226</v>
      </c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7" t="str">
        <f t="shared" si="1"/>
        <v>Built-up :</v>
      </c>
      <c r="AE3242" s="7" t="str">
        <f t="shared" si="2"/>
        <v> sq. ft.</v>
      </c>
      <c r="AF3242">
        <f>IFERROR(__xludf.DUMMYFUNCTION("VALUE(REGEXREPLACE(G3242,""[^[:digit:]]"", """"))"),2535.0)</f>
        <v>2535</v>
      </c>
      <c r="AG3242" s="7"/>
      <c r="AH3242" s="7"/>
      <c r="AI3242" s="7"/>
      <c r="AJ3242" s="7"/>
      <c r="AK3242" s="7"/>
      <c r="AL3242" s="7"/>
      <c r="AM3242" s="7"/>
      <c r="AN3242" s="7"/>
      <c r="AO3242" s="7"/>
      <c r="AP3242" s="7"/>
      <c r="AQ3242" s="7"/>
      <c r="AR3242" s="7"/>
      <c r="AS3242" s="7" t="s">
        <v>22</v>
      </c>
    </row>
    <row r="3243">
      <c r="A3243" s="7" t="s">
        <v>72</v>
      </c>
      <c r="B3243" s="7" t="s">
        <v>227</v>
      </c>
      <c r="C3243" s="7">
        <f>4+1</f>
        <v>5</v>
      </c>
      <c r="D3243" s="7">
        <v>6.0</v>
      </c>
      <c r="E3243" s="9">
        <v>2.0</v>
      </c>
      <c r="F3243" s="7" t="s">
        <v>83</v>
      </c>
      <c r="G3243" s="7" t="s">
        <v>1284</v>
      </c>
      <c r="H3243" s="9" t="s">
        <v>2979</v>
      </c>
      <c r="I3243" t="s">
        <v>3623</v>
      </c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  <c r="AB3243" s="7"/>
      <c r="AC3243" s="7"/>
      <c r="AD3243" s="7" t="str">
        <f t="shared" si="1"/>
        <v>Built-up :</v>
      </c>
      <c r="AE3243" s="7" t="str">
        <f t="shared" si="2"/>
        <v> sq. ft.</v>
      </c>
      <c r="AF3243">
        <f>IFERROR(__xludf.DUMMYFUNCTION("VALUE(REGEXREPLACE(G3243,""[^[:digit:]]"", """"))"),3169.0)</f>
        <v>3169</v>
      </c>
      <c r="AG3243" s="7"/>
      <c r="AH3243" s="7"/>
      <c r="AI3243" s="7"/>
      <c r="AJ3243" s="7"/>
      <c r="AK3243" s="7"/>
      <c r="AL3243" s="7"/>
      <c r="AM3243" s="7"/>
      <c r="AN3243" s="7"/>
      <c r="AO3243" s="7"/>
      <c r="AP3243" s="7"/>
      <c r="AQ3243" s="7"/>
      <c r="AR3243" s="7"/>
      <c r="AS3243" s="7" t="s">
        <v>27</v>
      </c>
    </row>
    <row r="3244">
      <c r="A3244" s="7" t="s">
        <v>72</v>
      </c>
      <c r="B3244" s="7" t="s">
        <v>193</v>
      </c>
      <c r="C3244" s="7">
        <f>2+1</f>
        <v>3</v>
      </c>
      <c r="D3244" s="7">
        <v>4.0</v>
      </c>
      <c r="E3244" s="7">
        <v>2.0</v>
      </c>
      <c r="F3244" s="7" t="s">
        <v>83</v>
      </c>
      <c r="G3244" s="7" t="s">
        <v>1057</v>
      </c>
      <c r="H3244" s="9" t="s">
        <v>2979</v>
      </c>
      <c r="I3244" t="s">
        <v>3481</v>
      </c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  <c r="AB3244" s="7"/>
      <c r="AC3244" s="7"/>
      <c r="AD3244" s="7" t="str">
        <f t="shared" si="1"/>
        <v>Built-up :</v>
      </c>
      <c r="AE3244" s="7" t="str">
        <f t="shared" si="2"/>
        <v> sq. ft.</v>
      </c>
      <c r="AF3244">
        <f>IFERROR(__xludf.DUMMYFUNCTION("VALUE(REGEXREPLACE(G3244,""[^[:digit:]]"", """"))"),2110.0)</f>
        <v>2110</v>
      </c>
      <c r="AG3244" s="7"/>
      <c r="AH3244" s="7"/>
      <c r="AI3244" s="7"/>
      <c r="AJ3244" s="7"/>
      <c r="AK3244" s="7"/>
      <c r="AL3244" s="7"/>
      <c r="AM3244" s="7"/>
      <c r="AN3244" s="7"/>
      <c r="AO3244" s="7"/>
      <c r="AP3244" s="7"/>
      <c r="AQ3244" s="7"/>
      <c r="AR3244" s="7"/>
    </row>
    <row r="3245">
      <c r="A3245" s="7" t="s">
        <v>72</v>
      </c>
      <c r="B3245" s="7" t="s">
        <v>311</v>
      </c>
      <c r="C3245" s="7">
        <f t="shared" ref="C3245:C3246" si="438">3+1</f>
        <v>4</v>
      </c>
      <c r="D3245" s="7">
        <v>4.0</v>
      </c>
      <c r="E3245" s="9">
        <v>2.0</v>
      </c>
      <c r="F3245" s="7" t="s">
        <v>83</v>
      </c>
      <c r="G3245" s="7" t="s">
        <v>2226</v>
      </c>
      <c r="H3245" s="9" t="s">
        <v>2979</v>
      </c>
      <c r="I3245" t="s">
        <v>4194</v>
      </c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7" t="str">
        <f t="shared" si="1"/>
        <v>Built-up :</v>
      </c>
      <c r="AE3245" s="7" t="str">
        <f t="shared" si="2"/>
        <v> sq. ft.</v>
      </c>
      <c r="AF3245">
        <f>IFERROR(__xludf.DUMMYFUNCTION("VALUE(REGEXREPLACE(G3245,""[^[:digit:]]"", """"))"),2036.0)</f>
        <v>2036</v>
      </c>
      <c r="AG3245" s="7"/>
      <c r="AH3245" s="7"/>
      <c r="AI3245" s="7"/>
      <c r="AJ3245" s="7"/>
      <c r="AK3245" s="7"/>
      <c r="AL3245" s="7"/>
      <c r="AM3245" s="7"/>
      <c r="AN3245" s="7"/>
      <c r="AO3245" s="7"/>
      <c r="AP3245" s="7"/>
      <c r="AQ3245" s="7"/>
      <c r="AR3245" s="7"/>
      <c r="AS3245" s="7" t="s">
        <v>22</v>
      </c>
    </row>
    <row r="3246">
      <c r="A3246" s="7" t="s">
        <v>72</v>
      </c>
      <c r="B3246" s="7" t="s">
        <v>349</v>
      </c>
      <c r="C3246" s="7">
        <f t="shared" si="438"/>
        <v>4</v>
      </c>
      <c r="D3246" s="7">
        <v>3.0</v>
      </c>
      <c r="E3246" s="9">
        <v>2.0</v>
      </c>
      <c r="F3246" s="7" t="s">
        <v>83</v>
      </c>
      <c r="G3246" s="7" t="s">
        <v>1947</v>
      </c>
      <c r="H3246" s="9" t="s">
        <v>2979</v>
      </c>
      <c r="I3246" t="s">
        <v>4014</v>
      </c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7" t="str">
        <f t="shared" si="1"/>
        <v>Built-up :</v>
      </c>
      <c r="AE3246" s="7" t="str">
        <f t="shared" si="2"/>
        <v> sq. ft.</v>
      </c>
      <c r="AF3246">
        <f>IFERROR(__xludf.DUMMYFUNCTION("VALUE(REGEXREPLACE(G3246,""[^[:digit:]]"", """"))"),1722.0)</f>
        <v>1722</v>
      </c>
      <c r="AG3246" s="7"/>
      <c r="AH3246" s="7"/>
      <c r="AI3246" s="7"/>
      <c r="AJ3246" s="7"/>
      <c r="AK3246" s="7"/>
      <c r="AL3246" s="7"/>
      <c r="AM3246" s="7"/>
      <c r="AN3246" s="7"/>
      <c r="AO3246" s="7"/>
      <c r="AP3246" s="7"/>
      <c r="AQ3246" s="7"/>
      <c r="AR3246" s="7"/>
      <c r="AS3246" s="7" t="s">
        <v>27</v>
      </c>
    </row>
    <row r="3247">
      <c r="A3247" s="7" t="s">
        <v>72</v>
      </c>
      <c r="B3247" s="7" t="s">
        <v>165</v>
      </c>
      <c r="C3247" s="7">
        <f t="shared" ref="C3247:C3248" si="439">4+1</f>
        <v>5</v>
      </c>
      <c r="D3247" s="7">
        <v>6.0</v>
      </c>
      <c r="E3247" s="9">
        <v>2.0</v>
      </c>
      <c r="F3247" s="7" t="s">
        <v>83</v>
      </c>
      <c r="G3247" s="7" t="s">
        <v>76</v>
      </c>
      <c r="H3247" s="9" t="s">
        <v>2979</v>
      </c>
      <c r="I3247" t="s">
        <v>2999</v>
      </c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7" t="str">
        <f t="shared" si="1"/>
        <v>Built-up :</v>
      </c>
      <c r="AE3247" s="7" t="str">
        <f t="shared" si="2"/>
        <v> sq. ft.</v>
      </c>
      <c r="AF3247">
        <f>IFERROR(__xludf.DUMMYFUNCTION("VALUE(REGEXREPLACE(G3247,""[^[:digit:]]"", """"))"),3720.0)</f>
        <v>3720</v>
      </c>
      <c r="AG3247" s="7"/>
      <c r="AH3247" s="7"/>
      <c r="AI3247" s="7"/>
      <c r="AJ3247" s="7"/>
      <c r="AK3247" s="7"/>
      <c r="AL3247" s="7"/>
      <c r="AM3247" s="7"/>
      <c r="AN3247" s="7"/>
      <c r="AO3247" s="7"/>
      <c r="AP3247" s="7"/>
      <c r="AQ3247" s="7"/>
      <c r="AR3247" s="7"/>
      <c r="AS3247" s="7" t="s">
        <v>22</v>
      </c>
    </row>
    <row r="3248">
      <c r="A3248" s="7" t="s">
        <v>72</v>
      </c>
      <c r="B3248" s="7" t="s">
        <v>484</v>
      </c>
      <c r="C3248" s="7">
        <f t="shared" si="439"/>
        <v>5</v>
      </c>
      <c r="D3248" s="7">
        <v>4.0</v>
      </c>
      <c r="E3248" s="7">
        <v>3.0</v>
      </c>
      <c r="F3248" s="7" t="s">
        <v>83</v>
      </c>
      <c r="G3248" s="7" t="s">
        <v>622</v>
      </c>
      <c r="H3248" s="9" t="s">
        <v>2979</v>
      </c>
      <c r="I3248" t="s">
        <v>3252</v>
      </c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7" t="str">
        <f t="shared" si="1"/>
        <v>Built-up :</v>
      </c>
      <c r="AE3248" s="7" t="str">
        <f t="shared" si="2"/>
        <v> sq. ft.</v>
      </c>
      <c r="AF3248">
        <f>IFERROR(__xludf.DUMMYFUNCTION("VALUE(REGEXREPLACE(G3248,""[^[:digit:]]"", """"))"),3478.0)</f>
        <v>3478</v>
      </c>
      <c r="AG3248" s="7"/>
      <c r="AH3248" s="7"/>
      <c r="AI3248" s="7"/>
      <c r="AJ3248" s="7"/>
      <c r="AK3248" s="7"/>
      <c r="AL3248" s="7"/>
      <c r="AM3248" s="7"/>
      <c r="AN3248" s="7"/>
      <c r="AO3248" s="7"/>
      <c r="AP3248" s="7"/>
      <c r="AQ3248" s="7"/>
      <c r="AR3248" s="7"/>
      <c r="AS3248" s="7" t="s">
        <v>22</v>
      </c>
    </row>
    <row r="3249">
      <c r="A3249" s="7" t="s">
        <v>72</v>
      </c>
      <c r="B3249" s="7" t="s">
        <v>18</v>
      </c>
      <c r="C3249" s="7">
        <f t="shared" ref="C3249:C3250" si="440">3+1</f>
        <v>4</v>
      </c>
      <c r="D3249" s="7">
        <v>4.0</v>
      </c>
      <c r="E3249" s="9">
        <v>2.0</v>
      </c>
      <c r="F3249" s="7" t="s">
        <v>83</v>
      </c>
      <c r="G3249" s="7" t="s">
        <v>2227</v>
      </c>
      <c r="H3249" s="9" t="s">
        <v>2979</v>
      </c>
      <c r="I3249" t="s">
        <v>4195</v>
      </c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  <c r="AB3249" s="7"/>
      <c r="AC3249" s="7"/>
      <c r="AD3249" s="7" t="str">
        <f t="shared" si="1"/>
        <v>Built-up :</v>
      </c>
      <c r="AE3249" s="7" t="str">
        <f t="shared" si="2"/>
        <v> sq. ft.</v>
      </c>
      <c r="AF3249">
        <f>IFERROR(__xludf.DUMMYFUNCTION("VALUE(REGEXREPLACE(G3249,""[^[:digit:]]"", """"))"),1997.0)</f>
        <v>1997</v>
      </c>
      <c r="AG3249" s="7"/>
      <c r="AH3249" s="7"/>
      <c r="AI3249" s="7"/>
      <c r="AJ3249" s="7"/>
      <c r="AK3249" s="7"/>
      <c r="AL3249" s="7"/>
      <c r="AM3249" s="7"/>
      <c r="AN3249" s="7"/>
      <c r="AO3249" s="7"/>
      <c r="AP3249" s="7"/>
      <c r="AQ3249" s="7"/>
      <c r="AR3249" s="7"/>
      <c r="AS3249" s="7" t="s">
        <v>22</v>
      </c>
    </row>
    <row r="3250">
      <c r="A3250" s="7" t="s">
        <v>72</v>
      </c>
      <c r="B3250" s="7" t="s">
        <v>134</v>
      </c>
      <c r="C3250" s="7">
        <f t="shared" si="440"/>
        <v>4</v>
      </c>
      <c r="D3250" s="7">
        <v>4.0</v>
      </c>
      <c r="E3250" s="9">
        <v>2.0</v>
      </c>
      <c r="F3250" s="7" t="s">
        <v>83</v>
      </c>
      <c r="G3250" s="7" t="s">
        <v>2226</v>
      </c>
      <c r="H3250" s="9" t="s">
        <v>2979</v>
      </c>
      <c r="I3250" t="s">
        <v>4194</v>
      </c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  <c r="AB3250" s="7"/>
      <c r="AC3250" s="7"/>
      <c r="AD3250" s="7" t="str">
        <f t="shared" si="1"/>
        <v>Built-up :</v>
      </c>
      <c r="AE3250" s="7" t="str">
        <f t="shared" si="2"/>
        <v> sq. ft.</v>
      </c>
      <c r="AF3250">
        <f>IFERROR(__xludf.DUMMYFUNCTION("VALUE(REGEXREPLACE(G3250,""[^[:digit:]]"", """"))"),2036.0)</f>
        <v>2036</v>
      </c>
      <c r="AG3250" s="7"/>
      <c r="AH3250" s="7"/>
      <c r="AI3250" s="7"/>
      <c r="AJ3250" s="7"/>
      <c r="AK3250" s="7"/>
      <c r="AL3250" s="7"/>
      <c r="AM3250" s="7"/>
      <c r="AN3250" s="7"/>
      <c r="AO3250" s="7"/>
      <c r="AP3250" s="7"/>
      <c r="AQ3250" s="7"/>
      <c r="AR3250" s="7"/>
      <c r="AS3250" s="7" t="s">
        <v>22</v>
      </c>
    </row>
    <row r="3251">
      <c r="A3251" s="7" t="s">
        <v>72</v>
      </c>
      <c r="B3251" s="7" t="s">
        <v>484</v>
      </c>
      <c r="C3251" s="7">
        <f>4+1</f>
        <v>5</v>
      </c>
      <c r="D3251" s="7">
        <v>6.0</v>
      </c>
      <c r="E3251" s="9">
        <v>2.0</v>
      </c>
      <c r="F3251" s="7" t="s">
        <v>83</v>
      </c>
      <c r="G3251" s="7" t="s">
        <v>994</v>
      </c>
      <c r="H3251" s="9" t="s">
        <v>2979</v>
      </c>
      <c r="I3251" t="s">
        <v>3441</v>
      </c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7" t="str">
        <f t="shared" si="1"/>
        <v>Built-up :</v>
      </c>
      <c r="AE3251" s="7" t="str">
        <f t="shared" si="2"/>
        <v> sq. ft.</v>
      </c>
      <c r="AF3251">
        <f>IFERROR(__xludf.DUMMYFUNCTION("VALUE(REGEXREPLACE(G3251,""[^[:digit:]]"", """"))"),3668.0)</f>
        <v>3668</v>
      </c>
      <c r="AG3251" s="7"/>
      <c r="AH3251" s="7"/>
      <c r="AI3251" s="7"/>
      <c r="AJ3251" s="7"/>
      <c r="AK3251" s="7"/>
      <c r="AL3251" s="7"/>
      <c r="AM3251" s="7"/>
      <c r="AN3251" s="7"/>
      <c r="AO3251" s="7"/>
      <c r="AP3251" s="7"/>
      <c r="AQ3251" s="7"/>
      <c r="AR3251" s="7"/>
    </row>
    <row r="3252">
      <c r="A3252" s="7" t="s">
        <v>432</v>
      </c>
      <c r="B3252" s="7" t="s">
        <v>281</v>
      </c>
      <c r="C3252" s="7">
        <f>3+1</f>
        <v>4</v>
      </c>
      <c r="D3252" s="7">
        <v>5.0</v>
      </c>
      <c r="E3252" s="9">
        <v>2.0</v>
      </c>
      <c r="F3252" s="7" t="s">
        <v>83</v>
      </c>
      <c r="G3252" s="7" t="s">
        <v>1627</v>
      </c>
      <c r="H3252" s="9" t="s">
        <v>2979</v>
      </c>
      <c r="I3252" t="s">
        <v>3820</v>
      </c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7" t="str">
        <f t="shared" si="1"/>
        <v>Built-up :</v>
      </c>
      <c r="AE3252" s="7" t="str">
        <f t="shared" si="2"/>
        <v> sq. ft.</v>
      </c>
      <c r="AF3252">
        <f>IFERROR(__xludf.DUMMYFUNCTION("VALUE(REGEXREPLACE(G3252,""[^[:digit:]]"", """"))"),2573.0)</f>
        <v>2573</v>
      </c>
      <c r="AG3252" s="7"/>
      <c r="AH3252" s="7"/>
      <c r="AI3252" s="7"/>
      <c r="AJ3252" s="7"/>
      <c r="AK3252" s="7"/>
      <c r="AL3252" s="7"/>
      <c r="AM3252" s="7"/>
      <c r="AN3252" s="7"/>
      <c r="AO3252" s="7"/>
      <c r="AP3252" s="7"/>
      <c r="AQ3252" s="7"/>
      <c r="AR3252" s="7"/>
      <c r="AS3252" s="7" t="s">
        <v>22</v>
      </c>
    </row>
    <row r="3253">
      <c r="A3253" s="7" t="s">
        <v>72</v>
      </c>
      <c r="B3253" s="7" t="s">
        <v>401</v>
      </c>
      <c r="C3253" s="7">
        <f t="shared" ref="C3253:C3254" si="441">4+1</f>
        <v>5</v>
      </c>
      <c r="D3253" s="7">
        <v>6.0</v>
      </c>
      <c r="E3253" s="9">
        <v>2.0</v>
      </c>
      <c r="F3253" s="7" t="s">
        <v>83</v>
      </c>
      <c r="G3253" s="7" t="s">
        <v>1230</v>
      </c>
      <c r="H3253" s="9" t="s">
        <v>2979</v>
      </c>
      <c r="I3253" t="s">
        <v>3593</v>
      </c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7" t="str">
        <f t="shared" si="1"/>
        <v>Built-up :</v>
      </c>
      <c r="AE3253" s="7" t="str">
        <f t="shared" si="2"/>
        <v> sq. ft.</v>
      </c>
      <c r="AF3253">
        <f>IFERROR(__xludf.DUMMYFUNCTION("VALUE(REGEXREPLACE(G3253,""[^[:digit:]]"", """"))"),3317.0)</f>
        <v>3317</v>
      </c>
      <c r="AG3253" s="7"/>
      <c r="AH3253" s="7"/>
      <c r="AI3253" s="7"/>
      <c r="AJ3253" s="7"/>
      <c r="AK3253" s="7"/>
      <c r="AL3253" s="7"/>
      <c r="AM3253" s="7"/>
      <c r="AN3253" s="7"/>
      <c r="AO3253" s="7"/>
      <c r="AP3253" s="7"/>
      <c r="AQ3253" s="7"/>
      <c r="AR3253" s="7"/>
      <c r="AS3253" s="7" t="s">
        <v>22</v>
      </c>
    </row>
    <row r="3254">
      <c r="A3254" s="7" t="s">
        <v>72</v>
      </c>
      <c r="B3254" s="7" t="s">
        <v>704</v>
      </c>
      <c r="C3254" s="7">
        <f t="shared" si="441"/>
        <v>5</v>
      </c>
      <c r="D3254" s="7">
        <v>5.0</v>
      </c>
      <c r="E3254" s="9">
        <v>2.0</v>
      </c>
      <c r="F3254" s="7" t="s">
        <v>83</v>
      </c>
      <c r="G3254" s="7" t="s">
        <v>989</v>
      </c>
      <c r="H3254" s="9" t="s">
        <v>2979</v>
      </c>
      <c r="I3254" t="s">
        <v>3438</v>
      </c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7" t="str">
        <f t="shared" si="1"/>
        <v>Built-up :</v>
      </c>
      <c r="AE3254" s="7" t="str">
        <f t="shared" si="2"/>
        <v> sq. ft.</v>
      </c>
      <c r="AF3254">
        <f>IFERROR(__xludf.DUMMYFUNCTION("VALUE(REGEXREPLACE(G3254,""[^[:digit:]]"", """"))"),3729.0)</f>
        <v>3729</v>
      </c>
      <c r="AG3254" s="7"/>
      <c r="AH3254" s="7"/>
      <c r="AI3254" s="7"/>
      <c r="AJ3254" s="7"/>
      <c r="AK3254" s="7"/>
      <c r="AL3254" s="7"/>
      <c r="AM3254" s="7"/>
      <c r="AN3254" s="7"/>
      <c r="AO3254" s="7"/>
      <c r="AP3254" s="7"/>
      <c r="AQ3254" s="7"/>
      <c r="AR3254" s="7"/>
      <c r="AS3254" s="7" t="s">
        <v>22</v>
      </c>
    </row>
    <row r="3255">
      <c r="A3255" s="7" t="s">
        <v>72</v>
      </c>
      <c r="B3255" s="7" t="s">
        <v>78</v>
      </c>
      <c r="C3255" s="7">
        <f>3+1</f>
        <v>4</v>
      </c>
      <c r="D3255" s="7">
        <v>4.0</v>
      </c>
      <c r="E3255" s="9">
        <v>2.0</v>
      </c>
      <c r="F3255" s="7" t="s">
        <v>83</v>
      </c>
      <c r="G3255" s="7" t="s">
        <v>84</v>
      </c>
      <c r="H3255" s="9" t="s">
        <v>2979</v>
      </c>
      <c r="I3255" t="s">
        <v>3001</v>
      </c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  <c r="AB3255" s="7"/>
      <c r="AC3255" s="7"/>
      <c r="AD3255" s="7" t="str">
        <f t="shared" si="1"/>
        <v>Built-up :</v>
      </c>
      <c r="AE3255" s="7" t="str">
        <f t="shared" si="2"/>
        <v> sq. ft.</v>
      </c>
      <c r="AF3255">
        <f>IFERROR(__xludf.DUMMYFUNCTION("VALUE(REGEXREPLACE(G3255,""[^[:digit:]]"", """"))"),2163.0)</f>
        <v>2163</v>
      </c>
      <c r="AG3255" s="7"/>
      <c r="AH3255" s="7"/>
      <c r="AI3255" s="7"/>
      <c r="AJ3255" s="7"/>
      <c r="AK3255" s="7"/>
      <c r="AL3255" s="7"/>
      <c r="AM3255" s="7"/>
      <c r="AN3255" s="7"/>
      <c r="AO3255" s="7"/>
      <c r="AP3255" s="7"/>
      <c r="AQ3255" s="7"/>
      <c r="AR3255" s="7"/>
      <c r="AS3255" s="7" t="s">
        <v>22</v>
      </c>
    </row>
    <row r="3256">
      <c r="A3256" s="7" t="s">
        <v>72</v>
      </c>
      <c r="B3256" s="7" t="s">
        <v>475</v>
      </c>
      <c r="C3256" s="7">
        <f t="shared" ref="C3256:C3259" si="442">4+1</f>
        <v>5</v>
      </c>
      <c r="D3256" s="7">
        <v>6.0</v>
      </c>
      <c r="E3256" s="9">
        <v>2.0</v>
      </c>
      <c r="F3256" s="7" t="s">
        <v>83</v>
      </c>
      <c r="G3256" s="7" t="s">
        <v>1230</v>
      </c>
      <c r="H3256" s="9" t="s">
        <v>2979</v>
      </c>
      <c r="I3256" t="s">
        <v>3593</v>
      </c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  <c r="AB3256" s="7"/>
      <c r="AC3256" s="7"/>
      <c r="AD3256" s="7" t="str">
        <f t="shared" si="1"/>
        <v>Built-up :</v>
      </c>
      <c r="AE3256" s="7" t="str">
        <f t="shared" si="2"/>
        <v> sq. ft.</v>
      </c>
      <c r="AF3256">
        <f>IFERROR(__xludf.DUMMYFUNCTION("VALUE(REGEXREPLACE(G3256,""[^[:digit:]]"", """"))"),3317.0)</f>
        <v>3317</v>
      </c>
      <c r="AG3256" s="7"/>
      <c r="AH3256" s="7"/>
      <c r="AI3256" s="7"/>
      <c r="AJ3256" s="7"/>
      <c r="AK3256" s="7"/>
      <c r="AL3256" s="7"/>
      <c r="AM3256" s="7"/>
      <c r="AN3256" s="7"/>
      <c r="AO3256" s="7"/>
      <c r="AP3256" s="7"/>
      <c r="AQ3256" s="7"/>
      <c r="AR3256" s="7"/>
      <c r="AS3256" s="7" t="s">
        <v>27</v>
      </c>
    </row>
    <row r="3257">
      <c r="A3257" s="7" t="s">
        <v>72</v>
      </c>
      <c r="B3257" s="7" t="s">
        <v>2052</v>
      </c>
      <c r="C3257" s="7">
        <f t="shared" si="442"/>
        <v>5</v>
      </c>
      <c r="D3257" s="7">
        <v>4.0</v>
      </c>
      <c r="E3257" s="7">
        <v>3.0</v>
      </c>
      <c r="F3257" s="7" t="s">
        <v>83</v>
      </c>
      <c r="G3257" s="7" t="s">
        <v>622</v>
      </c>
      <c r="H3257" s="9" t="s">
        <v>2979</v>
      </c>
      <c r="I3257" t="s">
        <v>3252</v>
      </c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7" t="str">
        <f t="shared" si="1"/>
        <v>Built-up :</v>
      </c>
      <c r="AE3257" s="7" t="str">
        <f t="shared" si="2"/>
        <v> sq. ft.</v>
      </c>
      <c r="AF3257">
        <f>IFERROR(__xludf.DUMMYFUNCTION("VALUE(REGEXREPLACE(G3257,""[^[:digit:]]"", """"))"),3478.0)</f>
        <v>3478</v>
      </c>
      <c r="AG3257" s="7"/>
      <c r="AH3257" s="7"/>
      <c r="AI3257" s="7"/>
      <c r="AJ3257" s="7"/>
      <c r="AK3257" s="7"/>
      <c r="AL3257" s="7"/>
      <c r="AM3257" s="7"/>
      <c r="AN3257" s="7"/>
      <c r="AO3257" s="7"/>
      <c r="AP3257" s="7"/>
      <c r="AQ3257" s="7"/>
      <c r="AR3257" s="7"/>
      <c r="AS3257" s="7" t="s">
        <v>22</v>
      </c>
    </row>
    <row r="3258">
      <c r="A3258" s="7" t="s">
        <v>72</v>
      </c>
      <c r="B3258" s="7" t="s">
        <v>1094</v>
      </c>
      <c r="C3258" s="7">
        <f t="shared" si="442"/>
        <v>5</v>
      </c>
      <c r="D3258" s="7">
        <v>6.0</v>
      </c>
      <c r="E3258" s="7">
        <v>3.0</v>
      </c>
      <c r="F3258" s="7" t="s">
        <v>83</v>
      </c>
      <c r="G3258" s="7" t="s">
        <v>992</v>
      </c>
      <c r="H3258" s="9" t="s">
        <v>2979</v>
      </c>
      <c r="I3258" t="s">
        <v>3440</v>
      </c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7" t="str">
        <f t="shared" si="1"/>
        <v>Built-up :</v>
      </c>
      <c r="AE3258" s="7" t="str">
        <f t="shared" si="2"/>
        <v> sq. ft.</v>
      </c>
      <c r="AF3258">
        <f>IFERROR(__xludf.DUMMYFUNCTION("VALUE(REGEXREPLACE(G3258,""[^[:digit:]]"", """"))"),4723.0)</f>
        <v>4723</v>
      </c>
      <c r="AG3258" s="7"/>
      <c r="AH3258" s="7"/>
      <c r="AI3258" s="7"/>
      <c r="AJ3258" s="7"/>
      <c r="AK3258" s="7"/>
      <c r="AL3258" s="7"/>
      <c r="AM3258" s="7"/>
      <c r="AN3258" s="7"/>
      <c r="AO3258" s="7"/>
      <c r="AP3258" s="7"/>
      <c r="AQ3258" s="7"/>
      <c r="AR3258" s="7"/>
      <c r="AS3258" s="7" t="s">
        <v>27</v>
      </c>
    </row>
    <row r="3259">
      <c r="A3259" s="7" t="s">
        <v>72</v>
      </c>
      <c r="B3259" s="7" t="s">
        <v>101</v>
      </c>
      <c r="C3259" s="7">
        <f t="shared" si="442"/>
        <v>5</v>
      </c>
      <c r="D3259" s="7">
        <v>5.0</v>
      </c>
      <c r="E3259" s="9">
        <v>2.0</v>
      </c>
      <c r="F3259" s="7" t="s">
        <v>83</v>
      </c>
      <c r="G3259" s="7" t="s">
        <v>1230</v>
      </c>
      <c r="H3259" s="9" t="s">
        <v>2979</v>
      </c>
      <c r="I3259" t="s">
        <v>3593</v>
      </c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7" t="str">
        <f t="shared" si="1"/>
        <v>Built-up :</v>
      </c>
      <c r="AE3259" s="7" t="str">
        <f t="shared" si="2"/>
        <v> sq. ft.</v>
      </c>
      <c r="AF3259">
        <f>IFERROR(__xludf.DUMMYFUNCTION("VALUE(REGEXREPLACE(G3259,""[^[:digit:]]"", """"))"),3317.0)</f>
        <v>3317</v>
      </c>
      <c r="AG3259" s="7"/>
      <c r="AH3259" s="7"/>
      <c r="AI3259" s="7"/>
      <c r="AJ3259" s="7"/>
      <c r="AK3259" s="7"/>
      <c r="AL3259" s="7"/>
      <c r="AM3259" s="7"/>
      <c r="AN3259" s="7"/>
      <c r="AO3259" s="7"/>
      <c r="AP3259" s="7"/>
      <c r="AQ3259" s="7"/>
      <c r="AR3259" s="7"/>
      <c r="AS3259" s="7" t="s">
        <v>27</v>
      </c>
    </row>
    <row r="3260">
      <c r="A3260" s="7" t="s">
        <v>72</v>
      </c>
      <c r="B3260" s="7" t="s">
        <v>349</v>
      </c>
      <c r="C3260" s="7">
        <f t="shared" ref="C3260:C3261" si="443">3+1</f>
        <v>4</v>
      </c>
      <c r="D3260" s="7">
        <v>4.0</v>
      </c>
      <c r="E3260" s="9">
        <v>2.0</v>
      </c>
      <c r="F3260" s="7" t="s">
        <v>83</v>
      </c>
      <c r="G3260" s="7" t="s">
        <v>99</v>
      </c>
      <c r="H3260" s="9" t="s">
        <v>2979</v>
      </c>
      <c r="I3260" t="s">
        <v>3006</v>
      </c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7" t="str">
        <f t="shared" si="1"/>
        <v>Built-up :</v>
      </c>
      <c r="AE3260" s="7" t="str">
        <f t="shared" si="2"/>
        <v> sq. ft.</v>
      </c>
      <c r="AF3260">
        <f>IFERROR(__xludf.DUMMYFUNCTION("VALUE(REGEXREPLACE(G3260,""[^[:digit:]]"", """"))"),1668.0)</f>
        <v>1668</v>
      </c>
      <c r="AG3260" s="7"/>
      <c r="AH3260" s="7"/>
      <c r="AI3260" s="7"/>
      <c r="AJ3260" s="7"/>
      <c r="AK3260" s="7"/>
      <c r="AL3260" s="7"/>
      <c r="AM3260" s="7"/>
      <c r="AN3260" s="7"/>
      <c r="AO3260" s="7"/>
      <c r="AP3260" s="7"/>
      <c r="AQ3260" s="7"/>
      <c r="AR3260" s="7"/>
      <c r="AS3260" s="7" t="s">
        <v>22</v>
      </c>
    </row>
    <row r="3261">
      <c r="A3261" s="7" t="s">
        <v>72</v>
      </c>
      <c r="B3261" s="7" t="s">
        <v>56</v>
      </c>
      <c r="C3261" s="7">
        <f t="shared" si="443"/>
        <v>4</v>
      </c>
      <c r="D3261" s="7">
        <v>4.0</v>
      </c>
      <c r="E3261" s="9">
        <v>2.0</v>
      </c>
      <c r="F3261" s="7" t="s">
        <v>83</v>
      </c>
      <c r="G3261" s="7" t="s">
        <v>555</v>
      </c>
      <c r="H3261" s="9" t="s">
        <v>2979</v>
      </c>
      <c r="I3261" t="s">
        <v>3222</v>
      </c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  <c r="AB3261" s="7"/>
      <c r="AC3261" s="7"/>
      <c r="AD3261" s="7" t="str">
        <f t="shared" si="1"/>
        <v>Built-up :</v>
      </c>
      <c r="AE3261" s="7" t="str">
        <f t="shared" si="2"/>
        <v> sq. ft.</v>
      </c>
      <c r="AF3261">
        <f>IFERROR(__xludf.DUMMYFUNCTION("VALUE(REGEXREPLACE(G3261,""[^[:digit:]]"", """"))"),2648.0)</f>
        <v>2648</v>
      </c>
      <c r="AG3261" s="7"/>
      <c r="AH3261" s="7"/>
      <c r="AI3261" s="7"/>
      <c r="AJ3261" s="7"/>
      <c r="AK3261" s="7"/>
      <c r="AL3261" s="7"/>
      <c r="AM3261" s="7"/>
      <c r="AN3261" s="7"/>
      <c r="AO3261" s="7"/>
      <c r="AP3261" s="7"/>
      <c r="AQ3261" s="7"/>
      <c r="AR3261" s="7"/>
      <c r="AS3261" s="7" t="s">
        <v>27</v>
      </c>
    </row>
    <row r="3262">
      <c r="A3262" s="7" t="s">
        <v>72</v>
      </c>
      <c r="B3262" s="7" t="s">
        <v>292</v>
      </c>
      <c r="C3262" s="7">
        <f t="shared" ref="C3262:C3263" si="444">4+1</f>
        <v>5</v>
      </c>
      <c r="D3262" s="7">
        <v>6.0</v>
      </c>
      <c r="E3262" s="9">
        <v>2.0</v>
      </c>
      <c r="F3262" s="7" t="s">
        <v>83</v>
      </c>
      <c r="G3262" s="7" t="s">
        <v>2228</v>
      </c>
      <c r="H3262" s="9" t="s">
        <v>2979</v>
      </c>
      <c r="I3262" t="s">
        <v>4196</v>
      </c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  <c r="AB3262" s="7"/>
      <c r="AC3262" s="7"/>
      <c r="AD3262" s="7" t="str">
        <f t="shared" si="1"/>
        <v>Built-up :</v>
      </c>
      <c r="AE3262" s="7" t="str">
        <f t="shared" si="2"/>
        <v> sq. ft.</v>
      </c>
      <c r="AF3262">
        <f>IFERROR(__xludf.DUMMYFUNCTION("VALUE(REGEXREPLACE(G3262,""[^[:digit:]]"", """"))"),3732.0)</f>
        <v>3732</v>
      </c>
      <c r="AG3262" s="7"/>
      <c r="AH3262" s="7"/>
      <c r="AI3262" s="7"/>
      <c r="AJ3262" s="7"/>
      <c r="AK3262" s="7"/>
      <c r="AL3262" s="7"/>
      <c r="AM3262" s="7"/>
      <c r="AN3262" s="7"/>
      <c r="AO3262" s="7"/>
      <c r="AP3262" s="7"/>
      <c r="AQ3262" s="7"/>
      <c r="AR3262" s="7"/>
      <c r="AS3262" s="7" t="s">
        <v>27</v>
      </c>
    </row>
    <row r="3263">
      <c r="A3263" s="7" t="s">
        <v>72</v>
      </c>
      <c r="B3263" s="7" t="s">
        <v>165</v>
      </c>
      <c r="C3263" s="7">
        <f t="shared" si="444"/>
        <v>5</v>
      </c>
      <c r="D3263" s="7">
        <v>6.0</v>
      </c>
      <c r="E3263" s="7">
        <v>3.0</v>
      </c>
      <c r="F3263" s="7" t="s">
        <v>83</v>
      </c>
      <c r="G3263" s="7" t="s">
        <v>1283</v>
      </c>
      <c r="H3263" s="9" t="s">
        <v>2979</v>
      </c>
      <c r="I3263" t="s">
        <v>3622</v>
      </c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7" t="str">
        <f t="shared" si="1"/>
        <v>Built-up :</v>
      </c>
      <c r="AE3263" s="7" t="str">
        <f t="shared" si="2"/>
        <v> sq. ft.</v>
      </c>
      <c r="AF3263">
        <f>IFERROR(__xludf.DUMMYFUNCTION("VALUE(REGEXREPLACE(G3263,""[^[:digit:]]"", """"))"),3632.0)</f>
        <v>3632</v>
      </c>
      <c r="AG3263" s="7"/>
      <c r="AH3263" s="7"/>
      <c r="AI3263" s="7"/>
      <c r="AJ3263" s="7"/>
      <c r="AK3263" s="7"/>
      <c r="AL3263" s="7"/>
      <c r="AM3263" s="7"/>
      <c r="AN3263" s="7"/>
      <c r="AO3263" s="7"/>
      <c r="AP3263" s="7"/>
      <c r="AQ3263" s="7"/>
      <c r="AR3263" s="7"/>
      <c r="AS3263" s="7" t="s">
        <v>27</v>
      </c>
    </row>
    <row r="3264">
      <c r="A3264" s="7" t="s">
        <v>72</v>
      </c>
      <c r="B3264" s="7" t="s">
        <v>193</v>
      </c>
      <c r="C3264" s="7">
        <f t="shared" ref="C3264:C3266" si="445">3+1</f>
        <v>4</v>
      </c>
      <c r="D3264" s="7">
        <v>4.0</v>
      </c>
      <c r="E3264" s="9">
        <v>2.0</v>
      </c>
      <c r="F3264" s="7" t="s">
        <v>83</v>
      </c>
      <c r="G3264" s="7" t="s">
        <v>555</v>
      </c>
      <c r="H3264" s="9" t="s">
        <v>2979</v>
      </c>
      <c r="I3264" t="s">
        <v>3222</v>
      </c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7" t="str">
        <f t="shared" si="1"/>
        <v>Built-up :</v>
      </c>
      <c r="AE3264" s="7" t="str">
        <f t="shared" si="2"/>
        <v> sq. ft.</v>
      </c>
      <c r="AF3264">
        <f>IFERROR(__xludf.DUMMYFUNCTION("VALUE(REGEXREPLACE(G3264,""[^[:digit:]]"", """"))"),2648.0)</f>
        <v>2648</v>
      </c>
      <c r="AG3264" s="7"/>
      <c r="AH3264" s="7"/>
      <c r="AI3264" s="7"/>
      <c r="AJ3264" s="7"/>
      <c r="AK3264" s="7"/>
      <c r="AL3264" s="7"/>
      <c r="AM3264" s="7"/>
      <c r="AN3264" s="7"/>
      <c r="AO3264" s="7"/>
      <c r="AP3264" s="7"/>
      <c r="AQ3264" s="7"/>
      <c r="AR3264" s="7"/>
      <c r="AS3264" s="7" t="s">
        <v>22</v>
      </c>
    </row>
    <row r="3265">
      <c r="A3265" s="7" t="s">
        <v>432</v>
      </c>
      <c r="B3265" s="7" t="s">
        <v>411</v>
      </c>
      <c r="C3265" s="7">
        <f t="shared" si="445"/>
        <v>4</v>
      </c>
      <c r="D3265" s="7">
        <v>3.0</v>
      </c>
      <c r="E3265" s="9">
        <v>2.0</v>
      </c>
      <c r="F3265" s="7" t="s">
        <v>83</v>
      </c>
      <c r="G3265" s="7" t="s">
        <v>1627</v>
      </c>
      <c r="H3265" s="9" t="s">
        <v>2979</v>
      </c>
      <c r="I3265" t="s">
        <v>3820</v>
      </c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7" t="str">
        <f t="shared" si="1"/>
        <v>Built-up :</v>
      </c>
      <c r="AE3265" s="7" t="str">
        <f t="shared" si="2"/>
        <v> sq. ft.</v>
      </c>
      <c r="AF3265">
        <f>IFERROR(__xludf.DUMMYFUNCTION("VALUE(REGEXREPLACE(G3265,""[^[:digit:]]"", """"))"),2573.0)</f>
        <v>2573</v>
      </c>
      <c r="AG3265" s="7"/>
      <c r="AH3265" s="7"/>
      <c r="AI3265" s="7"/>
      <c r="AJ3265" s="7"/>
      <c r="AK3265" s="7"/>
      <c r="AL3265" s="7"/>
      <c r="AM3265" s="7"/>
      <c r="AN3265" s="7"/>
      <c r="AO3265" s="7"/>
      <c r="AP3265" s="7"/>
      <c r="AQ3265" s="7"/>
      <c r="AR3265" s="7"/>
      <c r="AS3265" s="7" t="s">
        <v>22</v>
      </c>
    </row>
    <row r="3266">
      <c r="A3266" s="7" t="s">
        <v>72</v>
      </c>
      <c r="B3266" s="7" t="s">
        <v>193</v>
      </c>
      <c r="C3266" s="7">
        <f t="shared" si="445"/>
        <v>4</v>
      </c>
      <c r="D3266" s="7">
        <v>4.0</v>
      </c>
      <c r="E3266" s="9">
        <v>2.0</v>
      </c>
      <c r="F3266" s="7" t="s">
        <v>83</v>
      </c>
      <c r="G3266" s="7" t="s">
        <v>555</v>
      </c>
      <c r="H3266" s="9" t="s">
        <v>2979</v>
      </c>
      <c r="I3266" t="s">
        <v>3222</v>
      </c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7" t="str">
        <f t="shared" si="1"/>
        <v>Built-up :</v>
      </c>
      <c r="AE3266" s="7" t="str">
        <f t="shared" si="2"/>
        <v> sq. ft.</v>
      </c>
      <c r="AF3266">
        <f>IFERROR(__xludf.DUMMYFUNCTION("VALUE(REGEXREPLACE(G3266,""[^[:digit:]]"", """"))"),2648.0)</f>
        <v>2648</v>
      </c>
      <c r="AG3266" s="7"/>
      <c r="AH3266" s="7"/>
      <c r="AI3266" s="7"/>
      <c r="AJ3266" s="7"/>
      <c r="AK3266" s="7"/>
      <c r="AL3266" s="7"/>
      <c r="AM3266" s="7"/>
      <c r="AN3266" s="7"/>
      <c r="AO3266" s="7"/>
      <c r="AP3266" s="7"/>
      <c r="AQ3266" s="7"/>
      <c r="AR3266" s="7"/>
      <c r="AS3266" s="7" t="s">
        <v>27</v>
      </c>
    </row>
    <row r="3267">
      <c r="A3267" s="7" t="s">
        <v>432</v>
      </c>
      <c r="B3267" s="7" t="s">
        <v>475</v>
      </c>
      <c r="C3267" s="7">
        <f t="shared" ref="C3267:C3269" si="446">4+1</f>
        <v>5</v>
      </c>
      <c r="D3267" s="7">
        <v>6.0</v>
      </c>
      <c r="E3267" s="9">
        <v>2.0</v>
      </c>
      <c r="F3267" s="7" t="s">
        <v>83</v>
      </c>
      <c r="G3267" s="7" t="s">
        <v>1495</v>
      </c>
      <c r="H3267" s="9" t="s">
        <v>2979</v>
      </c>
      <c r="I3267" t="s">
        <v>3743</v>
      </c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  <c r="AB3267" s="7"/>
      <c r="AC3267" s="7"/>
      <c r="AD3267" s="7" t="str">
        <f t="shared" si="1"/>
        <v>Built-up :</v>
      </c>
      <c r="AE3267" s="7" t="str">
        <f t="shared" si="2"/>
        <v> sq. ft.</v>
      </c>
      <c r="AF3267">
        <f>IFERROR(__xludf.DUMMYFUNCTION("VALUE(REGEXREPLACE(G3267,""[^[:digit:]]"", """"))"),3466.0)</f>
        <v>3466</v>
      </c>
      <c r="AG3267" s="7"/>
      <c r="AH3267" s="7"/>
      <c r="AI3267" s="7"/>
      <c r="AJ3267" s="7"/>
      <c r="AK3267" s="7"/>
      <c r="AL3267" s="7"/>
      <c r="AM3267" s="7"/>
      <c r="AN3267" s="7"/>
      <c r="AO3267" s="7"/>
      <c r="AP3267" s="7"/>
      <c r="AQ3267" s="7"/>
      <c r="AR3267" s="7"/>
      <c r="AS3267" s="7" t="s">
        <v>27</v>
      </c>
    </row>
    <row r="3268">
      <c r="A3268" s="7" t="s">
        <v>72</v>
      </c>
      <c r="B3268" s="7" t="s">
        <v>351</v>
      </c>
      <c r="C3268" s="7">
        <f t="shared" si="446"/>
        <v>5</v>
      </c>
      <c r="D3268" s="7">
        <v>6.0</v>
      </c>
      <c r="E3268" s="9">
        <v>2.0</v>
      </c>
      <c r="F3268" s="7" t="s">
        <v>83</v>
      </c>
      <c r="G3268" s="7" t="s">
        <v>147</v>
      </c>
      <c r="H3268" s="9" t="s">
        <v>2979</v>
      </c>
      <c r="I3268" t="s">
        <v>3027</v>
      </c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/>
      <c r="AD3268" s="7" t="str">
        <f t="shared" si="1"/>
        <v>Built-up :</v>
      </c>
      <c r="AE3268" s="7" t="str">
        <f t="shared" si="2"/>
        <v> sq. ft.</v>
      </c>
      <c r="AF3268">
        <f>IFERROR(__xludf.DUMMYFUNCTION("VALUE(REGEXREPLACE(G3268,""[^[:digit:]]"", """"))"),4090.0)</f>
        <v>4090</v>
      </c>
      <c r="AG3268" s="7"/>
      <c r="AH3268" s="7"/>
      <c r="AI3268" s="7"/>
      <c r="AJ3268" s="7"/>
      <c r="AK3268" s="7"/>
      <c r="AL3268" s="7"/>
      <c r="AM3268" s="7"/>
      <c r="AN3268" s="7"/>
      <c r="AO3268" s="7"/>
      <c r="AP3268" s="7"/>
      <c r="AQ3268" s="7"/>
      <c r="AR3268" s="7"/>
      <c r="AS3268" s="7" t="s">
        <v>27</v>
      </c>
    </row>
    <row r="3269">
      <c r="A3269" s="7" t="s">
        <v>72</v>
      </c>
      <c r="B3269" s="7" t="s">
        <v>313</v>
      </c>
      <c r="C3269" s="7">
        <f t="shared" si="446"/>
        <v>5</v>
      </c>
      <c r="D3269" s="7">
        <v>5.0</v>
      </c>
      <c r="E3269" s="9">
        <v>2.0</v>
      </c>
      <c r="F3269" s="7" t="s">
        <v>83</v>
      </c>
      <c r="G3269" s="7" t="s">
        <v>989</v>
      </c>
      <c r="H3269" s="9" t="s">
        <v>2979</v>
      </c>
      <c r="I3269" t="s">
        <v>3438</v>
      </c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7" t="str">
        <f t="shared" si="1"/>
        <v>Built-up :</v>
      </c>
      <c r="AE3269" s="7" t="str">
        <f t="shared" si="2"/>
        <v> sq. ft.</v>
      </c>
      <c r="AF3269">
        <f>IFERROR(__xludf.DUMMYFUNCTION("VALUE(REGEXREPLACE(G3269,""[^[:digit:]]"", """"))"),3729.0)</f>
        <v>3729</v>
      </c>
      <c r="AG3269" s="7"/>
      <c r="AH3269" s="7"/>
      <c r="AI3269" s="7"/>
      <c r="AJ3269" s="7"/>
      <c r="AK3269" s="7"/>
      <c r="AL3269" s="7"/>
      <c r="AM3269" s="7"/>
      <c r="AN3269" s="7"/>
      <c r="AO3269" s="7"/>
      <c r="AP3269" s="7"/>
      <c r="AQ3269" s="7"/>
      <c r="AR3269" s="7"/>
    </row>
    <row r="3270">
      <c r="A3270" s="7" t="s">
        <v>72</v>
      </c>
      <c r="B3270" s="7" t="s">
        <v>2229</v>
      </c>
      <c r="C3270" s="7">
        <f>3</f>
        <v>3</v>
      </c>
      <c r="D3270" s="7">
        <v>3.0</v>
      </c>
      <c r="E3270" s="9">
        <v>2.0</v>
      </c>
      <c r="F3270" s="7" t="s">
        <v>20</v>
      </c>
      <c r="G3270" s="7" t="s">
        <v>2230</v>
      </c>
      <c r="H3270" s="9" t="s">
        <v>2979</v>
      </c>
      <c r="I3270" t="s">
        <v>4197</v>
      </c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7" t="str">
        <f t="shared" si="1"/>
        <v>Built-up :</v>
      </c>
      <c r="AE3270" s="7" t="str">
        <f t="shared" si="2"/>
        <v> sq. ft.</v>
      </c>
      <c r="AF3270">
        <f>IFERROR(__xludf.DUMMYFUNCTION("VALUE(REGEXREPLACE(G3270,""[^[:digit:]]"", """"))"),2291.0)</f>
        <v>2291</v>
      </c>
      <c r="AG3270" s="7"/>
      <c r="AH3270" s="7"/>
      <c r="AI3270" s="7"/>
      <c r="AJ3270" s="7"/>
      <c r="AK3270" s="7"/>
      <c r="AL3270" s="7"/>
      <c r="AM3270" s="7"/>
      <c r="AN3270" s="7"/>
      <c r="AO3270" s="7"/>
      <c r="AP3270" s="7"/>
      <c r="AQ3270" s="7"/>
      <c r="AR3270" s="7"/>
      <c r="AS3270" s="7" t="s">
        <v>27</v>
      </c>
    </row>
    <row r="3271">
      <c r="A3271" s="7" t="s">
        <v>72</v>
      </c>
      <c r="B3271" s="7" t="s">
        <v>174</v>
      </c>
      <c r="C3271" s="7">
        <f>3+1</f>
        <v>4</v>
      </c>
      <c r="D3271" s="7">
        <v>5.0</v>
      </c>
      <c r="E3271" s="9">
        <v>2.0</v>
      </c>
      <c r="F3271" s="7" t="s">
        <v>312</v>
      </c>
      <c r="G3271" s="7" t="s">
        <v>2231</v>
      </c>
      <c r="H3271" s="9" t="s">
        <v>2979</v>
      </c>
      <c r="I3271" t="s">
        <v>4198</v>
      </c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7" t="str">
        <f t="shared" si="1"/>
        <v>Built-up :</v>
      </c>
      <c r="AE3271" s="7" t="str">
        <f t="shared" si="2"/>
        <v> sq. ft.</v>
      </c>
      <c r="AF3271">
        <f>IFERROR(__xludf.DUMMYFUNCTION("VALUE(REGEXREPLACE(G3271,""[^[:digit:]]"", """"))"),3857.0)</f>
        <v>3857</v>
      </c>
      <c r="AG3271" s="7"/>
      <c r="AH3271" s="7"/>
      <c r="AI3271" s="7"/>
      <c r="AJ3271" s="7"/>
      <c r="AK3271" s="7"/>
      <c r="AL3271" s="7"/>
      <c r="AM3271" s="7"/>
      <c r="AN3271" s="7"/>
      <c r="AO3271" s="7"/>
      <c r="AP3271" s="7"/>
      <c r="AQ3271" s="7"/>
      <c r="AR3271" s="7"/>
      <c r="AS3271" s="7" t="s">
        <v>27</v>
      </c>
    </row>
    <row r="3272">
      <c r="A3272" s="7" t="s">
        <v>72</v>
      </c>
      <c r="B3272" s="7" t="s">
        <v>2232</v>
      </c>
      <c r="C3272" s="7">
        <f>3</f>
        <v>3</v>
      </c>
      <c r="D3272" s="7">
        <v>3.0</v>
      </c>
      <c r="E3272" s="9">
        <v>2.0</v>
      </c>
      <c r="F3272" s="7" t="s">
        <v>20</v>
      </c>
      <c r="G3272" s="7" t="s">
        <v>1923</v>
      </c>
      <c r="H3272" s="9" t="s">
        <v>2979</v>
      </c>
      <c r="I3272" t="s">
        <v>4001</v>
      </c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7" t="str">
        <f t="shared" si="1"/>
        <v>Built-up :</v>
      </c>
      <c r="AE3272" s="7" t="str">
        <f t="shared" si="2"/>
        <v> sq. ft.</v>
      </c>
      <c r="AF3272">
        <f>IFERROR(__xludf.DUMMYFUNCTION("VALUE(REGEXREPLACE(G3272,""[^[:digit:]]"", """"))"),2470.0)</f>
        <v>2470</v>
      </c>
      <c r="AG3272" s="7"/>
      <c r="AH3272" s="7"/>
      <c r="AI3272" s="7"/>
      <c r="AJ3272" s="7"/>
      <c r="AK3272" s="7"/>
      <c r="AL3272" s="7"/>
      <c r="AM3272" s="7"/>
      <c r="AN3272" s="7"/>
      <c r="AO3272" s="7"/>
      <c r="AP3272" s="7"/>
      <c r="AQ3272" s="7"/>
      <c r="AR3272" s="7"/>
      <c r="AS3272" s="7" t="s">
        <v>27</v>
      </c>
    </row>
    <row r="3273">
      <c r="A3273" s="7" t="s">
        <v>72</v>
      </c>
      <c r="B3273" s="7" t="s">
        <v>327</v>
      </c>
      <c r="C3273" s="7">
        <f t="shared" ref="C3273:C3274" si="447">2</f>
        <v>2</v>
      </c>
      <c r="D3273" s="7">
        <v>2.0</v>
      </c>
      <c r="E3273" s="9">
        <v>2.0</v>
      </c>
      <c r="F3273" s="7" t="s">
        <v>20</v>
      </c>
      <c r="G3273" s="7" t="s">
        <v>2233</v>
      </c>
      <c r="H3273" s="9" t="s">
        <v>2979</v>
      </c>
      <c r="I3273" t="s">
        <v>3737</v>
      </c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  <c r="AB3273" s="7"/>
      <c r="AC3273" s="7"/>
      <c r="AD3273" s="7" t="str">
        <f t="shared" si="1"/>
        <v>Built-up :</v>
      </c>
      <c r="AE3273" s="7" t="str">
        <f t="shared" si="2"/>
        <v> sq. ft.</v>
      </c>
      <c r="AF3273">
        <f>IFERROR(__xludf.DUMMYFUNCTION("VALUE(REGEXREPLACE(G3273,""[^[:digit:]]"", """"))"),917.0)</f>
        <v>917</v>
      </c>
      <c r="AG3273" s="7"/>
      <c r="AH3273" s="7"/>
      <c r="AI3273" s="7"/>
      <c r="AJ3273" s="7"/>
      <c r="AK3273" s="7"/>
      <c r="AL3273" s="7"/>
      <c r="AM3273" s="7"/>
      <c r="AN3273" s="7"/>
      <c r="AO3273" s="7"/>
      <c r="AP3273" s="7"/>
      <c r="AQ3273" s="7"/>
      <c r="AR3273" s="7"/>
      <c r="AS3273" s="7" t="s">
        <v>22</v>
      </c>
    </row>
    <row r="3274">
      <c r="A3274" s="7" t="s">
        <v>72</v>
      </c>
      <c r="B3274" s="7" t="s">
        <v>214</v>
      </c>
      <c r="C3274" s="7">
        <f t="shared" si="447"/>
        <v>2</v>
      </c>
      <c r="D3274" s="7">
        <v>2.0</v>
      </c>
      <c r="E3274" s="9">
        <v>2.0</v>
      </c>
      <c r="F3274" s="7" t="s">
        <v>20</v>
      </c>
      <c r="G3274" s="7" t="s">
        <v>2234</v>
      </c>
      <c r="H3274" s="9" t="s">
        <v>2979</v>
      </c>
      <c r="I3274" t="s">
        <v>4199</v>
      </c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  <c r="AB3274" s="7"/>
      <c r="AC3274" s="7"/>
      <c r="AD3274" s="7" t="str">
        <f t="shared" si="1"/>
        <v>Built-up :</v>
      </c>
      <c r="AE3274" s="7" t="str">
        <f t="shared" si="2"/>
        <v> sq. ft.</v>
      </c>
      <c r="AF3274">
        <f>IFERROR(__xludf.DUMMYFUNCTION("VALUE(REGEXREPLACE(G3274,""[^[:digit:]]"", """"))"),1043.0)</f>
        <v>1043</v>
      </c>
      <c r="AG3274" s="7"/>
      <c r="AH3274" s="7"/>
      <c r="AI3274" s="7"/>
      <c r="AJ3274" s="7"/>
      <c r="AK3274" s="7"/>
      <c r="AL3274" s="7"/>
      <c r="AM3274" s="7"/>
      <c r="AN3274" s="7"/>
      <c r="AO3274" s="7"/>
      <c r="AP3274" s="7"/>
      <c r="AQ3274" s="7"/>
      <c r="AR3274" s="7"/>
      <c r="AS3274" s="7" t="s">
        <v>27</v>
      </c>
    </row>
    <row r="3275">
      <c r="A3275" s="7" t="s">
        <v>515</v>
      </c>
      <c r="B3275" s="7" t="s">
        <v>2235</v>
      </c>
      <c r="C3275" s="7">
        <f>6+1</f>
        <v>7</v>
      </c>
      <c r="D3275" s="7">
        <v>5.0</v>
      </c>
      <c r="E3275" s="9">
        <v>2.0</v>
      </c>
      <c r="F3275" s="7" t="s">
        <v>43</v>
      </c>
      <c r="G3275" s="7" t="s">
        <v>860</v>
      </c>
      <c r="H3275" s="9" t="s">
        <v>2981</v>
      </c>
      <c r="I3275" t="s">
        <v>3376</v>
      </c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7" t="str">
        <f t="shared" si="1"/>
        <v>Land area </v>
      </c>
      <c r="AE3275" s="7" t="str">
        <f t="shared" si="2"/>
        <v> sq. ft.</v>
      </c>
      <c r="AF3275">
        <f>IFERROR(__xludf.DUMMYFUNCTION("VALUE(REGEXREPLACE(G3275,""[^[:digit:]]"", """"))"),4000.0)</f>
        <v>4000</v>
      </c>
      <c r="AG3275" s="7"/>
      <c r="AH3275" s="7"/>
      <c r="AI3275" s="7"/>
      <c r="AJ3275" s="7"/>
      <c r="AK3275" s="7"/>
      <c r="AL3275" s="7"/>
      <c r="AM3275" s="7"/>
      <c r="AN3275" s="7"/>
      <c r="AO3275" s="7"/>
      <c r="AP3275" s="7"/>
      <c r="AQ3275" s="7"/>
      <c r="AR3275" s="7"/>
      <c r="AS3275" s="7" t="s">
        <v>27</v>
      </c>
    </row>
    <row r="3276">
      <c r="A3276" s="7" t="s">
        <v>104</v>
      </c>
      <c r="B3276" s="7" t="s">
        <v>641</v>
      </c>
      <c r="C3276" s="7">
        <f>4</f>
        <v>4</v>
      </c>
      <c r="D3276" s="7">
        <v>3.0</v>
      </c>
      <c r="E3276" s="9">
        <v>2.0</v>
      </c>
      <c r="F3276" s="7" t="s">
        <v>54</v>
      </c>
      <c r="G3276" s="7" t="s">
        <v>2236</v>
      </c>
      <c r="H3276" s="9" t="s">
        <v>2981</v>
      </c>
      <c r="I3276" t="s">
        <v>3299</v>
      </c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7" t="str">
        <f t="shared" si="1"/>
        <v>Land area </v>
      </c>
      <c r="AE3276" s="7" t="str">
        <f t="shared" si="2"/>
        <v> sq. ft.</v>
      </c>
      <c r="AF3276" s="7">
        <v>1870.0</v>
      </c>
      <c r="AG3276" s="7"/>
      <c r="AH3276" s="7"/>
      <c r="AI3276" s="7"/>
      <c r="AJ3276" s="7"/>
      <c r="AK3276" s="7"/>
      <c r="AL3276" s="7"/>
      <c r="AM3276" s="7"/>
      <c r="AN3276" s="7"/>
      <c r="AO3276" s="7"/>
      <c r="AP3276" s="7"/>
      <c r="AQ3276" s="7"/>
      <c r="AR3276" s="7"/>
      <c r="AS3276" s="7" t="s">
        <v>27</v>
      </c>
    </row>
    <row r="3277">
      <c r="A3277" s="7" t="s">
        <v>2237</v>
      </c>
      <c r="B3277" s="7" t="s">
        <v>1869</v>
      </c>
      <c r="C3277" s="7">
        <f>3</f>
        <v>3</v>
      </c>
      <c r="D3277" s="7">
        <v>3.0</v>
      </c>
      <c r="E3277" s="9">
        <v>2.0</v>
      </c>
      <c r="F3277" s="7" t="s">
        <v>20</v>
      </c>
      <c r="G3277" s="7" t="s">
        <v>254</v>
      </c>
      <c r="H3277" s="9" t="s">
        <v>2979</v>
      </c>
      <c r="I3277" t="s">
        <v>3078</v>
      </c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7" t="str">
        <f t="shared" si="1"/>
        <v>Built-up :</v>
      </c>
      <c r="AE3277" s="7" t="str">
        <f t="shared" si="2"/>
        <v> sq. ft.</v>
      </c>
      <c r="AF3277">
        <f>IFERROR(__xludf.DUMMYFUNCTION("VALUE(REGEXREPLACE(G3277,""[^[:digit:]]"", """"))"),1045.0)</f>
        <v>1045</v>
      </c>
      <c r="AG3277" s="7"/>
      <c r="AH3277" s="7"/>
      <c r="AI3277" s="7"/>
      <c r="AJ3277" s="7"/>
      <c r="AK3277" s="7"/>
      <c r="AL3277" s="7"/>
      <c r="AM3277" s="7"/>
      <c r="AN3277" s="7"/>
      <c r="AO3277" s="7"/>
      <c r="AP3277" s="7"/>
      <c r="AQ3277" s="7"/>
      <c r="AR3277" s="7"/>
      <c r="AS3277" s="7" t="s">
        <v>22</v>
      </c>
    </row>
    <row r="3278">
      <c r="A3278" s="7" t="s">
        <v>41</v>
      </c>
      <c r="B3278" s="7" t="s">
        <v>281</v>
      </c>
      <c r="C3278" s="7">
        <f>6</f>
        <v>6</v>
      </c>
      <c r="D3278" s="7">
        <v>5.0</v>
      </c>
      <c r="E3278" s="7">
        <v>6.0</v>
      </c>
      <c r="F3278" s="7" t="s">
        <v>67</v>
      </c>
      <c r="G3278" s="7" t="s">
        <v>2238</v>
      </c>
      <c r="H3278" s="9" t="s">
        <v>2981</v>
      </c>
      <c r="I3278" t="s">
        <v>4200</v>
      </c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7" t="str">
        <f t="shared" si="1"/>
        <v>Land area </v>
      </c>
      <c r="AE3278" s="7" t="str">
        <f t="shared" si="2"/>
        <v> sq. ft.</v>
      </c>
      <c r="AF3278">
        <f>IFERROR(__xludf.DUMMYFUNCTION("VALUE(REGEXREPLACE(G3278,""[^[:digit:]]"", """"))"),7720.0)</f>
        <v>7720</v>
      </c>
      <c r="AG3278" s="7"/>
      <c r="AH3278" s="7"/>
      <c r="AI3278" s="7"/>
      <c r="AJ3278" s="7"/>
      <c r="AK3278" s="7"/>
      <c r="AL3278" s="7"/>
      <c r="AM3278" s="7"/>
      <c r="AN3278" s="7"/>
      <c r="AO3278" s="7"/>
      <c r="AP3278" s="7"/>
      <c r="AQ3278" s="7"/>
      <c r="AR3278" s="7"/>
      <c r="AS3278" s="7" t="s">
        <v>103</v>
      </c>
    </row>
    <row r="3279">
      <c r="A3279" s="7" t="s">
        <v>2022</v>
      </c>
      <c r="B3279" s="7" t="s">
        <v>563</v>
      </c>
      <c r="C3279" s="7">
        <f>3</f>
        <v>3</v>
      </c>
      <c r="D3279" s="7">
        <v>2.0</v>
      </c>
      <c r="E3279" s="9">
        <v>2.0</v>
      </c>
      <c r="F3279" s="7" t="s">
        <v>1185</v>
      </c>
      <c r="G3279" s="7" t="s">
        <v>2239</v>
      </c>
      <c r="H3279" s="9" t="s">
        <v>2981</v>
      </c>
      <c r="I3279" t="s">
        <v>3516</v>
      </c>
      <c r="J3279" s="7"/>
      <c r="K3279" s="7"/>
      <c r="L3279" s="7"/>
      <c r="M3279" s="7"/>
      <c r="N3279" s="7"/>
      <c r="O3279" s="7"/>
      <c r="P3279" s="7"/>
      <c r="Q3279" s="7"/>
      <c r="R3279" s="7"/>
      <c r="S3279" s="7" t="s">
        <v>3121</v>
      </c>
      <c r="T3279" s="7"/>
      <c r="U3279" s="7"/>
      <c r="V3279" s="7"/>
      <c r="W3279" s="7"/>
      <c r="X3279" s="7"/>
      <c r="Y3279" s="7"/>
      <c r="Z3279" s="7"/>
      <c r="AA3279" s="7"/>
      <c r="AB3279" s="7"/>
      <c r="AC3279" s="7"/>
      <c r="AD3279" s="7" t="str">
        <f t="shared" si="1"/>
        <v>Land area </v>
      </c>
      <c r="AE3279" s="7" t="str">
        <f t="shared" si="2"/>
        <v> sq. ft.</v>
      </c>
      <c r="AF3279" s="7">
        <v>1400.0</v>
      </c>
      <c r="AG3279" s="7"/>
      <c r="AH3279" s="7"/>
      <c r="AI3279" s="7"/>
      <c r="AJ3279" s="7"/>
      <c r="AK3279" s="7"/>
      <c r="AL3279" s="7"/>
      <c r="AM3279" s="7"/>
      <c r="AN3279" s="7"/>
      <c r="AO3279" s="7"/>
      <c r="AP3279" s="7"/>
      <c r="AQ3279" s="7"/>
      <c r="AR3279" s="7"/>
      <c r="AS3279" s="7" t="s">
        <v>27</v>
      </c>
    </row>
    <row r="3280">
      <c r="A3280" s="7" t="s">
        <v>1979</v>
      </c>
      <c r="B3280" s="7" t="s">
        <v>953</v>
      </c>
      <c r="C3280" s="7">
        <f>3+1</f>
        <v>4</v>
      </c>
      <c r="D3280" s="7">
        <v>2.0</v>
      </c>
      <c r="E3280" s="9">
        <v>2.0</v>
      </c>
      <c r="F3280" s="7" t="s">
        <v>169</v>
      </c>
      <c r="G3280" s="7" t="s">
        <v>2240</v>
      </c>
      <c r="H3280" s="9" t="s">
        <v>2981</v>
      </c>
      <c r="I3280" t="s">
        <v>3516</v>
      </c>
      <c r="J3280" s="7"/>
      <c r="K3280" s="7"/>
      <c r="L3280" s="7"/>
      <c r="M3280" s="7"/>
      <c r="N3280" s="7"/>
      <c r="O3280" s="7"/>
      <c r="P3280" s="7"/>
      <c r="Q3280" s="7"/>
      <c r="R3280" s="7"/>
      <c r="S3280" s="7" t="s">
        <v>3121</v>
      </c>
      <c r="T3280" s="7"/>
      <c r="U3280" s="7"/>
      <c r="V3280" s="7"/>
      <c r="W3280" s="7"/>
      <c r="X3280" s="7"/>
      <c r="Y3280" s="7"/>
      <c r="Z3280" s="7"/>
      <c r="AA3280" s="7"/>
      <c r="AB3280" s="7"/>
      <c r="AC3280" s="7"/>
      <c r="AD3280" s="7" t="str">
        <f t="shared" si="1"/>
        <v>Land area </v>
      </c>
      <c r="AE3280" s="7" t="str">
        <f t="shared" si="2"/>
        <v> sq. ft.</v>
      </c>
      <c r="AF3280" s="7">
        <v>1400.0</v>
      </c>
      <c r="AG3280" s="7"/>
      <c r="AH3280" s="7"/>
      <c r="AI3280" s="7"/>
      <c r="AJ3280" s="7"/>
      <c r="AK3280" s="7"/>
      <c r="AL3280" s="7"/>
      <c r="AM3280" s="7"/>
      <c r="AN3280" s="7"/>
      <c r="AO3280" s="7"/>
      <c r="AP3280" s="7"/>
      <c r="AQ3280" s="7"/>
      <c r="AR3280" s="7"/>
      <c r="AS3280" s="7" t="s">
        <v>27</v>
      </c>
    </row>
    <row r="3281">
      <c r="A3281" s="7" t="s">
        <v>104</v>
      </c>
      <c r="B3281" s="7" t="s">
        <v>1908</v>
      </c>
      <c r="C3281" s="7">
        <f t="shared" ref="C3281:C3282" si="448">3</f>
        <v>3</v>
      </c>
      <c r="D3281" s="7">
        <v>2.0</v>
      </c>
      <c r="E3281" s="9">
        <v>2.0</v>
      </c>
      <c r="F3281" s="7" t="s">
        <v>1497</v>
      </c>
      <c r="G3281" s="7" t="s">
        <v>1121</v>
      </c>
      <c r="H3281" s="9" t="s">
        <v>2981</v>
      </c>
      <c r="I3281" t="s">
        <v>3518</v>
      </c>
      <c r="J3281" s="7"/>
      <c r="K3281" s="7"/>
      <c r="L3281" s="7"/>
      <c r="M3281" s="7"/>
      <c r="N3281" s="7"/>
      <c r="O3281" s="7"/>
      <c r="P3281" s="7"/>
      <c r="Q3281" s="7"/>
      <c r="R3281" s="7"/>
      <c r="S3281" s="7" t="s">
        <v>3121</v>
      </c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7" t="str">
        <f t="shared" si="1"/>
        <v>Land area </v>
      </c>
      <c r="AE3281" s="7" t="str">
        <f t="shared" si="2"/>
        <v> sq. ft.</v>
      </c>
      <c r="AF3281">
        <f>IFERROR(__xludf.DUMMYFUNCTION("VALUE(REGEXREPLACE(G3281,""[^[:digit:]]"", """"))"),2270.0)</f>
        <v>2270</v>
      </c>
      <c r="AG3281" s="7"/>
      <c r="AH3281" s="7"/>
      <c r="AI3281" s="7"/>
      <c r="AJ3281" s="7"/>
      <c r="AK3281" s="7"/>
      <c r="AL3281" s="7"/>
      <c r="AM3281" s="7"/>
      <c r="AN3281" s="7"/>
      <c r="AO3281" s="7"/>
      <c r="AP3281" s="7"/>
      <c r="AQ3281" s="7"/>
      <c r="AR3281" s="7"/>
      <c r="AS3281" s="7" t="s">
        <v>27</v>
      </c>
    </row>
    <row r="3282">
      <c r="A3282" s="7" t="s">
        <v>104</v>
      </c>
      <c r="B3282" s="7" t="s">
        <v>1328</v>
      </c>
      <c r="C3282" s="7">
        <f t="shared" si="448"/>
        <v>3</v>
      </c>
      <c r="D3282" s="7">
        <v>2.0</v>
      </c>
      <c r="E3282" s="9">
        <v>2.0</v>
      </c>
      <c r="F3282" s="7" t="s">
        <v>343</v>
      </c>
      <c r="G3282" s="7" t="s">
        <v>211</v>
      </c>
      <c r="H3282" s="9" t="s">
        <v>2981</v>
      </c>
      <c r="I3282" t="s">
        <v>2992</v>
      </c>
      <c r="J3282" s="7"/>
      <c r="K3282" s="7"/>
      <c r="L3282" s="7"/>
      <c r="M3282" s="7"/>
      <c r="N3282" s="7"/>
      <c r="O3282" s="7"/>
      <c r="P3282" s="7"/>
      <c r="Q3282" s="7"/>
      <c r="R3282" s="7"/>
      <c r="S3282" s="7" t="s">
        <v>2993</v>
      </c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7" t="str">
        <f t="shared" si="1"/>
        <v>Land area </v>
      </c>
      <c r="AE3282" s="7" t="str">
        <f t="shared" si="2"/>
        <v> sq. ft.</v>
      </c>
      <c r="AF3282">
        <f>IFERROR(__xludf.DUMMYFUNCTION("VALUE(REGEXREPLACE(G3282,""[^[:digit:]]"", """"))"),2280.0)</f>
        <v>2280</v>
      </c>
      <c r="AG3282" s="7"/>
      <c r="AH3282" s="7"/>
      <c r="AI3282" s="7"/>
      <c r="AJ3282" s="7"/>
      <c r="AK3282" s="7"/>
      <c r="AL3282" s="7"/>
      <c r="AM3282" s="7"/>
      <c r="AN3282" s="7"/>
      <c r="AO3282" s="7"/>
      <c r="AP3282" s="7"/>
      <c r="AQ3282" s="7"/>
      <c r="AR3282" s="7"/>
      <c r="AS3282" s="7" t="s">
        <v>27</v>
      </c>
    </row>
    <row r="3283">
      <c r="A3283" s="7" t="s">
        <v>33</v>
      </c>
      <c r="B3283" s="7" t="s">
        <v>1433</v>
      </c>
      <c r="C3283" s="7">
        <f>3+1</f>
        <v>4</v>
      </c>
      <c r="D3283" s="7">
        <v>3.0</v>
      </c>
      <c r="E3283" s="7">
        <v>2.0</v>
      </c>
      <c r="F3283" s="7" t="s">
        <v>83</v>
      </c>
      <c r="G3283" s="7" t="s">
        <v>21</v>
      </c>
      <c r="H3283" s="9" t="s">
        <v>2979</v>
      </c>
      <c r="I3283" t="s">
        <v>2980</v>
      </c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7" t="str">
        <f t="shared" si="1"/>
        <v>Built-up :</v>
      </c>
      <c r="AE3283" s="7" t="str">
        <f t="shared" si="2"/>
        <v> sq. ft.</v>
      </c>
      <c r="AF3283">
        <f>IFERROR(__xludf.DUMMYFUNCTION("VALUE(REGEXREPLACE(G3283,""[^[:digit:]]"", """"))"),1335.0)</f>
        <v>1335</v>
      </c>
      <c r="AG3283" s="7"/>
      <c r="AH3283" s="7"/>
      <c r="AI3283" s="7"/>
      <c r="AJ3283" s="7"/>
      <c r="AK3283" s="7"/>
      <c r="AL3283" s="7"/>
      <c r="AM3283" s="7"/>
      <c r="AN3283" s="7"/>
      <c r="AO3283" s="7"/>
      <c r="AP3283" s="7"/>
      <c r="AQ3283" s="7"/>
      <c r="AR3283" s="7"/>
      <c r="AS3283" s="7" t="s">
        <v>27</v>
      </c>
    </row>
    <row r="3284">
      <c r="A3284" s="7" t="s">
        <v>100</v>
      </c>
      <c r="B3284" s="7" t="s">
        <v>172</v>
      </c>
      <c r="C3284" s="7">
        <f>2</f>
        <v>2</v>
      </c>
      <c r="D3284" s="7">
        <v>2.0</v>
      </c>
      <c r="E3284" s="9">
        <v>2.0</v>
      </c>
      <c r="F3284" s="7" t="s">
        <v>20</v>
      </c>
      <c r="G3284" s="7" t="s">
        <v>2085</v>
      </c>
      <c r="H3284" s="9" t="s">
        <v>2979</v>
      </c>
      <c r="I3284" t="s">
        <v>4102</v>
      </c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7" t="str">
        <f t="shared" si="1"/>
        <v>Built-up :</v>
      </c>
      <c r="AE3284" s="7" t="str">
        <f t="shared" si="2"/>
        <v> sq. ft.</v>
      </c>
      <c r="AF3284">
        <f>IFERROR(__xludf.DUMMYFUNCTION("VALUE(REGEXREPLACE(G3284,""[^[:digit:]]"", """"))"),852.0)</f>
        <v>852</v>
      </c>
      <c r="AG3284" s="7"/>
      <c r="AH3284" s="7"/>
      <c r="AI3284" s="7"/>
      <c r="AJ3284" s="7"/>
      <c r="AK3284" s="7"/>
      <c r="AL3284" s="7"/>
      <c r="AM3284" s="7"/>
      <c r="AN3284" s="7"/>
      <c r="AO3284" s="7"/>
      <c r="AP3284" s="7"/>
      <c r="AQ3284" s="7"/>
      <c r="AR3284" s="7"/>
      <c r="AS3284" s="7" t="s">
        <v>27</v>
      </c>
    </row>
    <row r="3285">
      <c r="A3285" s="7" t="s">
        <v>100</v>
      </c>
      <c r="B3285" s="7" t="s">
        <v>575</v>
      </c>
      <c r="C3285" s="7">
        <f>3+1</f>
        <v>4</v>
      </c>
      <c r="D3285" s="7">
        <v>2.0</v>
      </c>
      <c r="E3285" s="9">
        <v>2.0</v>
      </c>
      <c r="F3285" s="7" t="s">
        <v>20</v>
      </c>
      <c r="G3285" s="7" t="s">
        <v>2241</v>
      </c>
      <c r="H3285" s="9" t="s">
        <v>2979</v>
      </c>
      <c r="I3285" t="s">
        <v>4201</v>
      </c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  <c r="AB3285" s="7"/>
      <c r="AC3285" s="7"/>
      <c r="AD3285" s="7" t="str">
        <f t="shared" si="1"/>
        <v>Built-up :</v>
      </c>
      <c r="AE3285" s="7" t="str">
        <f t="shared" si="2"/>
        <v> sq. ft.</v>
      </c>
      <c r="AF3285">
        <f>IFERROR(__xludf.DUMMYFUNCTION("VALUE(REGEXREPLACE(G3285,""[^[:digit:]]"", """"))"),1096.0)</f>
        <v>1096</v>
      </c>
      <c r="AG3285" s="7"/>
      <c r="AH3285" s="7"/>
      <c r="AI3285" s="7"/>
      <c r="AJ3285" s="7"/>
      <c r="AK3285" s="7"/>
      <c r="AL3285" s="7"/>
      <c r="AM3285" s="7"/>
      <c r="AN3285" s="7"/>
      <c r="AO3285" s="7"/>
      <c r="AP3285" s="7"/>
      <c r="AQ3285" s="7"/>
      <c r="AR3285" s="7"/>
      <c r="AS3285" s="7" t="s">
        <v>27</v>
      </c>
    </row>
    <row r="3286">
      <c r="A3286" s="7" t="s">
        <v>89</v>
      </c>
      <c r="B3286" s="7" t="s">
        <v>332</v>
      </c>
      <c r="C3286" s="7">
        <f>4+1</f>
        <v>5</v>
      </c>
      <c r="D3286" s="7">
        <v>4.0</v>
      </c>
      <c r="E3286" s="7">
        <v>2.0</v>
      </c>
      <c r="F3286" s="7" t="s">
        <v>90</v>
      </c>
      <c r="H3286" s="9" t="s">
        <v>2984</v>
      </c>
      <c r="I3286" t="s">
        <v>2985</v>
      </c>
      <c r="AD3286" s="7" t="str">
        <f t="shared" si="1"/>
        <v/>
      </c>
      <c r="AE3286" s="7" t="str">
        <f t="shared" si="2"/>
        <v/>
      </c>
      <c r="AF3286">
        <f>IFERROR(__xludf.DUMMYFUNCTION("VALUE(REGEXREPLACE(G3286,""[^[:digit:]]"", """"))"),0.0)</f>
        <v>0</v>
      </c>
      <c r="AS3286" s="7" t="s">
        <v>27</v>
      </c>
    </row>
    <row r="3287">
      <c r="A3287" s="7" t="s">
        <v>267</v>
      </c>
      <c r="B3287" s="7" t="s">
        <v>1267</v>
      </c>
      <c r="C3287" s="7">
        <f t="shared" ref="C3287:C3289" si="449">3</f>
        <v>3</v>
      </c>
      <c r="D3287" s="7">
        <v>2.0</v>
      </c>
      <c r="E3287" s="7">
        <v>2.0</v>
      </c>
      <c r="F3287" s="7" t="s">
        <v>82</v>
      </c>
      <c r="G3287" s="7" t="s">
        <v>2242</v>
      </c>
      <c r="H3287" s="9" t="s">
        <v>2981</v>
      </c>
      <c r="I3287" t="s">
        <v>3864</v>
      </c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7" t="str">
        <f t="shared" si="1"/>
        <v>Land area </v>
      </c>
      <c r="AE3287" s="7" t="str">
        <f t="shared" si="2"/>
        <v> sq. ft.</v>
      </c>
      <c r="AF3287">
        <f>IFERROR(__xludf.DUMMYFUNCTION("VALUE(REGEXREPLACE(G3287,""[^[:digit:]]"", """"))"),936.0)</f>
        <v>936</v>
      </c>
      <c r="AG3287" s="7"/>
      <c r="AH3287" s="7"/>
      <c r="AI3287" s="7"/>
      <c r="AJ3287" s="7"/>
      <c r="AK3287" s="7"/>
      <c r="AL3287" s="7"/>
      <c r="AM3287" s="7"/>
      <c r="AN3287" s="7"/>
      <c r="AO3287" s="7"/>
      <c r="AP3287" s="7"/>
      <c r="AQ3287" s="7"/>
      <c r="AR3287" s="7"/>
      <c r="AS3287" s="7" t="s">
        <v>27</v>
      </c>
    </row>
    <row r="3288">
      <c r="A3288" s="7" t="s">
        <v>241</v>
      </c>
      <c r="B3288" s="7" t="s">
        <v>87</v>
      </c>
      <c r="C3288" s="7">
        <f t="shared" si="449"/>
        <v>3</v>
      </c>
      <c r="D3288" s="7">
        <v>2.0</v>
      </c>
      <c r="E3288" s="7">
        <v>2.0</v>
      </c>
      <c r="F3288" s="7" t="s">
        <v>82</v>
      </c>
      <c r="G3288" s="7" t="s">
        <v>2243</v>
      </c>
      <c r="H3288" s="9" t="s">
        <v>2981</v>
      </c>
      <c r="I3288" t="s">
        <v>3424</v>
      </c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7" t="str">
        <f t="shared" si="1"/>
        <v>Land area </v>
      </c>
      <c r="AE3288" s="7" t="str">
        <f t="shared" si="2"/>
        <v> sq. ft.</v>
      </c>
      <c r="AF3288">
        <f>IFERROR(__xludf.DUMMYFUNCTION("VALUE(REGEXREPLACE(G3288,""[^[:digit:]]"", """"))"),935.0)</f>
        <v>935</v>
      </c>
      <c r="AG3288" s="7"/>
      <c r="AH3288" s="7"/>
      <c r="AI3288" s="7"/>
      <c r="AJ3288" s="7"/>
      <c r="AK3288" s="7"/>
      <c r="AL3288" s="7"/>
      <c r="AM3288" s="7"/>
      <c r="AN3288" s="7"/>
      <c r="AO3288" s="7"/>
      <c r="AP3288" s="7"/>
      <c r="AQ3288" s="7"/>
      <c r="AR3288" s="7"/>
      <c r="AS3288" s="7" t="s">
        <v>22</v>
      </c>
    </row>
    <row r="3289">
      <c r="A3289" s="7" t="s">
        <v>100</v>
      </c>
      <c r="B3289" s="7" t="s">
        <v>715</v>
      </c>
      <c r="C3289" s="7">
        <f t="shared" si="449"/>
        <v>3</v>
      </c>
      <c r="D3289" s="7">
        <v>2.0</v>
      </c>
      <c r="E3289" s="7">
        <v>1.0</v>
      </c>
      <c r="F3289" s="7" t="s">
        <v>93</v>
      </c>
      <c r="G3289" s="7" t="s">
        <v>2244</v>
      </c>
      <c r="H3289" s="9" t="s">
        <v>2979</v>
      </c>
      <c r="I3289" t="s">
        <v>4202</v>
      </c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7" t="str">
        <f t="shared" si="1"/>
        <v>Built-up :</v>
      </c>
      <c r="AE3289" s="7" t="str">
        <f t="shared" si="2"/>
        <v> sq. ft.</v>
      </c>
      <c r="AF3289">
        <f>IFERROR(__xludf.DUMMYFUNCTION("VALUE(REGEXREPLACE(G3289,""[^[:digit:]]"", """"))"),1130.0)</f>
        <v>1130</v>
      </c>
      <c r="AG3289" s="7"/>
      <c r="AH3289" s="7"/>
      <c r="AI3289" s="7"/>
      <c r="AJ3289" s="7"/>
      <c r="AK3289" s="7"/>
      <c r="AL3289" s="7"/>
      <c r="AM3289" s="7"/>
      <c r="AN3289" s="7"/>
      <c r="AO3289" s="7"/>
      <c r="AP3289" s="7"/>
      <c r="AQ3289" s="7"/>
      <c r="AR3289" s="7"/>
      <c r="AS3289" s="7" t="s">
        <v>27</v>
      </c>
    </row>
    <row r="3290">
      <c r="A3290" s="7" t="s">
        <v>1456</v>
      </c>
      <c r="B3290" s="7" t="s">
        <v>489</v>
      </c>
      <c r="C3290" s="7">
        <f>6</f>
        <v>6</v>
      </c>
      <c r="D3290" s="7">
        <v>4.0</v>
      </c>
      <c r="E3290" s="7">
        <v>4.0</v>
      </c>
      <c r="F3290" s="7" t="s">
        <v>470</v>
      </c>
      <c r="G3290" s="7" t="s">
        <v>2245</v>
      </c>
      <c r="H3290" s="9" t="s">
        <v>2981</v>
      </c>
      <c r="I3290" t="s">
        <v>4203</v>
      </c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7" t="str">
        <f t="shared" si="1"/>
        <v>Land area </v>
      </c>
      <c r="AE3290" s="7" t="str">
        <f t="shared" si="2"/>
        <v> sq. ft.</v>
      </c>
      <c r="AF3290">
        <f>IFERROR(__xludf.DUMMYFUNCTION("VALUE(REGEXREPLACE(G3290,""[^[:digit:]]"", """"))"),4900.0)</f>
        <v>4900</v>
      </c>
      <c r="AG3290" s="7"/>
      <c r="AH3290" s="7"/>
      <c r="AI3290" s="7"/>
      <c r="AJ3290" s="7"/>
      <c r="AK3290" s="7"/>
      <c r="AL3290" s="7"/>
      <c r="AM3290" s="7"/>
      <c r="AN3290" s="7"/>
      <c r="AO3290" s="7"/>
      <c r="AP3290" s="7"/>
      <c r="AQ3290" s="7"/>
      <c r="AR3290" s="7"/>
      <c r="AS3290" s="7" t="s">
        <v>27</v>
      </c>
    </row>
    <row r="3291">
      <c r="A3291" s="7" t="s">
        <v>432</v>
      </c>
      <c r="B3291" s="7" t="s">
        <v>165</v>
      </c>
      <c r="C3291" s="7">
        <f>4+1</f>
        <v>5</v>
      </c>
      <c r="D3291" s="7">
        <v>5.0</v>
      </c>
      <c r="E3291" s="7">
        <v>3.0</v>
      </c>
      <c r="F3291" s="7" t="s">
        <v>43</v>
      </c>
      <c r="G3291" s="7" t="s">
        <v>2246</v>
      </c>
      <c r="H3291" s="9" t="s">
        <v>2981</v>
      </c>
      <c r="I3291" t="s">
        <v>4204</v>
      </c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  <c r="AB3291" s="7"/>
      <c r="AC3291" s="7"/>
      <c r="AD3291" s="7" t="str">
        <f t="shared" si="1"/>
        <v>Land area </v>
      </c>
      <c r="AE3291" s="7" t="str">
        <f t="shared" si="2"/>
        <v> sq. ft.</v>
      </c>
      <c r="AF3291">
        <f>IFERROR(__xludf.DUMMYFUNCTION("VALUE(REGEXREPLACE(G3291,""[^[:digit:]]"", """"))"),3874.0)</f>
        <v>3874</v>
      </c>
      <c r="AG3291" s="7"/>
      <c r="AH3291" s="7"/>
      <c r="AI3291" s="7"/>
      <c r="AJ3291" s="7"/>
      <c r="AK3291" s="7"/>
      <c r="AL3291" s="7"/>
      <c r="AM3291" s="7"/>
      <c r="AN3291" s="7"/>
      <c r="AO3291" s="7"/>
      <c r="AP3291" s="7"/>
      <c r="AQ3291" s="7"/>
      <c r="AR3291" s="7"/>
      <c r="AS3291" s="7" t="s">
        <v>27</v>
      </c>
    </row>
    <row r="3292">
      <c r="A3292" s="7" t="s">
        <v>89</v>
      </c>
      <c r="B3292" s="7" t="s">
        <v>890</v>
      </c>
      <c r="C3292" s="7">
        <f>2+1</f>
        <v>3</v>
      </c>
      <c r="D3292" s="7">
        <v>3.0</v>
      </c>
      <c r="E3292" s="7">
        <v>1.0</v>
      </c>
      <c r="F3292" s="7" t="s">
        <v>93</v>
      </c>
      <c r="G3292" s="7" t="s">
        <v>2247</v>
      </c>
      <c r="H3292" s="9" t="s">
        <v>2979</v>
      </c>
      <c r="I3292" t="s">
        <v>4205</v>
      </c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  <c r="AB3292" s="7"/>
      <c r="AC3292" s="7"/>
      <c r="AD3292" s="7" t="str">
        <f t="shared" si="1"/>
        <v>Built-up :</v>
      </c>
      <c r="AE3292" s="7" t="str">
        <f t="shared" si="2"/>
        <v> sq. ft.</v>
      </c>
      <c r="AF3292">
        <f>IFERROR(__xludf.DUMMYFUNCTION("VALUE(REGEXREPLACE(G3292,""[^[:digit:]]"", """"))"),1042.0)</f>
        <v>1042</v>
      </c>
      <c r="AG3292" s="7"/>
      <c r="AH3292" s="7"/>
      <c r="AI3292" s="7"/>
      <c r="AJ3292" s="7"/>
      <c r="AK3292" s="7"/>
      <c r="AL3292" s="7"/>
      <c r="AM3292" s="7"/>
      <c r="AN3292" s="7"/>
      <c r="AO3292" s="7"/>
      <c r="AP3292" s="7"/>
      <c r="AQ3292" s="7"/>
      <c r="AR3292" s="7"/>
      <c r="AS3292" s="7" t="s">
        <v>27</v>
      </c>
    </row>
    <row r="3293">
      <c r="A3293" s="7" t="s">
        <v>188</v>
      </c>
      <c r="B3293" s="7" t="s">
        <v>969</v>
      </c>
      <c r="C3293" s="7">
        <f>3</f>
        <v>3</v>
      </c>
      <c r="D3293" s="7">
        <v>2.0</v>
      </c>
      <c r="E3293" s="9">
        <v>2.0</v>
      </c>
      <c r="F3293" s="7" t="s">
        <v>50</v>
      </c>
      <c r="G3293" s="7" t="s">
        <v>491</v>
      </c>
      <c r="H3293" s="9" t="s">
        <v>2979</v>
      </c>
      <c r="I3293" t="s">
        <v>3190</v>
      </c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7" t="str">
        <f t="shared" si="1"/>
        <v>Built-up :</v>
      </c>
      <c r="AE3293" s="7" t="str">
        <f t="shared" si="2"/>
        <v> sq. ft.</v>
      </c>
      <c r="AF3293">
        <f>IFERROR(__xludf.DUMMYFUNCTION("VALUE(REGEXREPLACE(G3293,""[^[:digit:]]"", """"))"),950.0)</f>
        <v>950</v>
      </c>
      <c r="AG3293" s="7"/>
      <c r="AH3293" s="7"/>
      <c r="AI3293" s="7"/>
      <c r="AJ3293" s="7"/>
      <c r="AK3293" s="7"/>
      <c r="AL3293" s="7"/>
      <c r="AM3293" s="7"/>
      <c r="AN3293" s="7"/>
      <c r="AO3293" s="7"/>
      <c r="AP3293" s="7"/>
      <c r="AQ3293" s="7"/>
      <c r="AR3293" s="7"/>
      <c r="AS3293" s="7" t="s">
        <v>27</v>
      </c>
    </row>
    <row r="3294">
      <c r="A3294" s="7" t="s">
        <v>72</v>
      </c>
      <c r="B3294" s="7" t="s">
        <v>351</v>
      </c>
      <c r="C3294" s="7">
        <f t="shared" ref="C3294:C3295" si="450">5</f>
        <v>5</v>
      </c>
      <c r="D3294" s="7">
        <v>4.0</v>
      </c>
      <c r="E3294" s="7">
        <v>4.0</v>
      </c>
      <c r="F3294" s="7" t="s">
        <v>43</v>
      </c>
      <c r="G3294" s="7" t="s">
        <v>498</v>
      </c>
      <c r="H3294" s="9" t="s">
        <v>2979</v>
      </c>
      <c r="I3294" t="s">
        <v>3196</v>
      </c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7" t="str">
        <f t="shared" si="1"/>
        <v>Built-up :</v>
      </c>
      <c r="AE3294" s="7" t="str">
        <f t="shared" si="2"/>
        <v> sq. ft.</v>
      </c>
      <c r="AF3294">
        <f>IFERROR(__xludf.DUMMYFUNCTION("VALUE(REGEXREPLACE(G3294,""[^[:digit:]]"", """"))"),4000.0)</f>
        <v>4000</v>
      </c>
      <c r="AG3294" s="7"/>
      <c r="AH3294" s="7"/>
      <c r="AI3294" s="7"/>
      <c r="AJ3294" s="7"/>
      <c r="AK3294" s="7"/>
      <c r="AL3294" s="7"/>
      <c r="AM3294" s="7"/>
      <c r="AN3294" s="7"/>
      <c r="AO3294" s="7"/>
      <c r="AP3294" s="7"/>
      <c r="AQ3294" s="7"/>
      <c r="AR3294" s="7"/>
      <c r="AS3294" s="7" t="s">
        <v>27</v>
      </c>
    </row>
    <row r="3295">
      <c r="A3295" s="7" t="s">
        <v>48</v>
      </c>
      <c r="B3295" s="7" t="s">
        <v>657</v>
      </c>
      <c r="C3295" s="7">
        <f t="shared" si="450"/>
        <v>5</v>
      </c>
      <c r="D3295" s="7">
        <v>4.0</v>
      </c>
      <c r="E3295" s="9">
        <v>2.0</v>
      </c>
      <c r="F3295" s="7" t="s">
        <v>203</v>
      </c>
      <c r="G3295" s="7" t="s">
        <v>55</v>
      </c>
      <c r="H3295" s="9" t="s">
        <v>2981</v>
      </c>
      <c r="I3295" t="s">
        <v>2992</v>
      </c>
      <c r="J3295" s="7"/>
      <c r="K3295" s="7"/>
      <c r="L3295" s="7"/>
      <c r="M3295" s="7"/>
      <c r="N3295" s="7"/>
      <c r="O3295" s="7"/>
      <c r="P3295" s="7"/>
      <c r="Q3295" s="7"/>
      <c r="R3295" s="7"/>
      <c r="S3295" s="7" t="s">
        <v>2993</v>
      </c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7" t="str">
        <f t="shared" si="1"/>
        <v>Land area </v>
      </c>
      <c r="AE3295" s="7" t="str">
        <f t="shared" si="2"/>
        <v> sq. ft.</v>
      </c>
      <c r="AF3295" s="7">
        <v>1760.0</v>
      </c>
      <c r="AG3295" s="7"/>
      <c r="AH3295" s="7"/>
      <c r="AI3295" s="7"/>
      <c r="AJ3295" s="7"/>
      <c r="AK3295" s="7"/>
      <c r="AL3295" s="7"/>
      <c r="AM3295" s="7"/>
      <c r="AN3295" s="7"/>
      <c r="AO3295" s="7"/>
      <c r="AP3295" s="7"/>
      <c r="AQ3295" s="7"/>
      <c r="AR3295" s="7"/>
      <c r="AS3295" s="7" t="s">
        <v>103</v>
      </c>
    </row>
    <row r="3296">
      <c r="A3296" s="7" t="s">
        <v>100</v>
      </c>
      <c r="B3296" s="7" t="s">
        <v>314</v>
      </c>
      <c r="C3296" s="7">
        <f>3</f>
        <v>3</v>
      </c>
      <c r="D3296" s="7">
        <v>2.0</v>
      </c>
      <c r="E3296" s="7">
        <v>2.0</v>
      </c>
      <c r="F3296" s="7" t="s">
        <v>20</v>
      </c>
      <c r="G3296" s="7" t="s">
        <v>505</v>
      </c>
      <c r="H3296" s="9" t="s">
        <v>2979</v>
      </c>
      <c r="I3296" t="s">
        <v>3199</v>
      </c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7" t="str">
        <f t="shared" si="1"/>
        <v>Built-up :</v>
      </c>
      <c r="AE3296" s="7" t="str">
        <f t="shared" si="2"/>
        <v> sq. ft.</v>
      </c>
      <c r="AF3296">
        <f>IFERROR(__xludf.DUMMYFUNCTION("VALUE(REGEXREPLACE(G3296,""[^[:digit:]]"", """"))"),900.0)</f>
        <v>900</v>
      </c>
      <c r="AG3296" s="7"/>
      <c r="AH3296" s="7"/>
      <c r="AI3296" s="7"/>
      <c r="AJ3296" s="7"/>
      <c r="AK3296" s="7"/>
      <c r="AL3296" s="7"/>
      <c r="AM3296" s="7"/>
      <c r="AN3296" s="7"/>
      <c r="AO3296" s="7"/>
      <c r="AP3296" s="7"/>
      <c r="AQ3296" s="7"/>
      <c r="AR3296" s="7"/>
      <c r="AS3296" s="7" t="s">
        <v>27</v>
      </c>
    </row>
    <row r="3297">
      <c r="A3297" s="7" t="s">
        <v>177</v>
      </c>
      <c r="B3297" s="7" t="s">
        <v>350</v>
      </c>
      <c r="C3297" s="7">
        <f>4</f>
        <v>4</v>
      </c>
      <c r="D3297" s="7">
        <v>4.0</v>
      </c>
      <c r="E3297" s="9">
        <v>2.0</v>
      </c>
      <c r="F3297" s="7" t="s">
        <v>25</v>
      </c>
      <c r="G3297" s="7" t="s">
        <v>843</v>
      </c>
      <c r="H3297" s="9" t="s">
        <v>2981</v>
      </c>
      <c r="I3297" t="s">
        <v>3366</v>
      </c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  <c r="AB3297" s="7"/>
      <c r="AC3297" s="7"/>
      <c r="AD3297" s="7" t="str">
        <f t="shared" si="1"/>
        <v>Land area </v>
      </c>
      <c r="AE3297" s="7" t="str">
        <f t="shared" si="2"/>
        <v> sq. ft.</v>
      </c>
      <c r="AF3297">
        <f>IFERROR(__xludf.DUMMYFUNCTION("VALUE(REGEXREPLACE(G3297,""[^[:digit:]]"", """"))"),6600.0)</f>
        <v>6600</v>
      </c>
      <c r="AG3297" s="7"/>
      <c r="AH3297" s="7"/>
      <c r="AI3297" s="7"/>
      <c r="AJ3297" s="7"/>
      <c r="AK3297" s="7"/>
      <c r="AL3297" s="7"/>
      <c r="AM3297" s="7"/>
      <c r="AN3297" s="7"/>
      <c r="AO3297" s="7"/>
      <c r="AP3297" s="7"/>
      <c r="AQ3297" s="7"/>
      <c r="AR3297" s="7"/>
      <c r="AS3297" s="7" t="s">
        <v>22</v>
      </c>
    </row>
    <row r="3298">
      <c r="A3298" s="7" t="s">
        <v>72</v>
      </c>
      <c r="B3298" s="7" t="s">
        <v>1338</v>
      </c>
      <c r="C3298" s="7">
        <f>3</f>
        <v>3</v>
      </c>
      <c r="D3298" s="7">
        <v>3.0</v>
      </c>
      <c r="E3298" s="7">
        <v>2.0</v>
      </c>
      <c r="F3298" s="7" t="s">
        <v>20</v>
      </c>
      <c r="G3298" s="7" t="s">
        <v>2248</v>
      </c>
      <c r="H3298" s="9" t="s">
        <v>2979</v>
      </c>
      <c r="I3298" t="s">
        <v>4206</v>
      </c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  <c r="AB3298" s="7"/>
      <c r="AC3298" s="7"/>
      <c r="AD3298" s="7" t="str">
        <f t="shared" si="1"/>
        <v>Built-up :</v>
      </c>
      <c r="AE3298" s="7" t="str">
        <f t="shared" si="2"/>
        <v> sq. ft.</v>
      </c>
      <c r="AF3298">
        <f>IFERROR(__xludf.DUMMYFUNCTION("VALUE(REGEXREPLACE(G3298,""[^[:digit:]]"", """"))"),1134.0)</f>
        <v>1134</v>
      </c>
      <c r="AG3298" s="7"/>
      <c r="AH3298" s="7"/>
      <c r="AI3298" s="7"/>
      <c r="AJ3298" s="7"/>
      <c r="AK3298" s="7"/>
      <c r="AL3298" s="7"/>
      <c r="AM3298" s="7"/>
      <c r="AN3298" s="7"/>
      <c r="AO3298" s="7"/>
      <c r="AP3298" s="7"/>
      <c r="AQ3298" s="7"/>
      <c r="AR3298" s="7"/>
    </row>
    <row r="3299">
      <c r="A3299" s="7" t="s">
        <v>17</v>
      </c>
      <c r="B3299" s="7" t="s">
        <v>277</v>
      </c>
      <c r="C3299" s="7">
        <f>2</f>
        <v>2</v>
      </c>
      <c r="D3299" s="7">
        <v>2.0</v>
      </c>
      <c r="E3299" s="7">
        <v>2.0</v>
      </c>
      <c r="F3299" s="7" t="s">
        <v>20</v>
      </c>
      <c r="G3299" s="7" t="s">
        <v>930</v>
      </c>
      <c r="H3299" s="9" t="s">
        <v>2979</v>
      </c>
      <c r="I3299" t="s">
        <v>3412</v>
      </c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7" t="str">
        <f t="shared" si="1"/>
        <v>Built-up :</v>
      </c>
      <c r="AE3299" s="7" t="str">
        <f t="shared" si="2"/>
        <v> sq. ft.</v>
      </c>
      <c r="AF3299">
        <f>IFERROR(__xludf.DUMMYFUNCTION("VALUE(REGEXREPLACE(G3299,""[^[:digit:]]"", """"))"),1270.0)</f>
        <v>1270</v>
      </c>
      <c r="AG3299" s="7"/>
      <c r="AH3299" s="7"/>
      <c r="AI3299" s="7"/>
      <c r="AJ3299" s="7"/>
      <c r="AK3299" s="7"/>
      <c r="AL3299" s="7"/>
      <c r="AM3299" s="7"/>
      <c r="AN3299" s="7"/>
      <c r="AO3299" s="7"/>
      <c r="AP3299" s="7"/>
      <c r="AQ3299" s="7"/>
      <c r="AR3299" s="7"/>
      <c r="AS3299" s="7" t="s">
        <v>27</v>
      </c>
    </row>
    <row r="3300">
      <c r="A3300" s="7" t="s">
        <v>104</v>
      </c>
      <c r="B3300" s="7" t="s">
        <v>42</v>
      </c>
      <c r="C3300" s="7">
        <f>5+1</f>
        <v>6</v>
      </c>
      <c r="D3300" s="7">
        <v>6.0</v>
      </c>
      <c r="E3300" s="9">
        <v>2.0</v>
      </c>
      <c r="F3300" s="7" t="s">
        <v>487</v>
      </c>
      <c r="G3300" s="7" t="s">
        <v>2249</v>
      </c>
      <c r="H3300" s="9" t="s">
        <v>2981</v>
      </c>
      <c r="I3300" t="s">
        <v>3317</v>
      </c>
      <c r="J3300" s="7"/>
      <c r="K3300" s="7"/>
      <c r="L3300" s="7"/>
      <c r="M3300" s="7"/>
      <c r="N3300" s="7"/>
      <c r="O3300" s="7"/>
      <c r="P3300" s="7"/>
      <c r="Q3300" s="7"/>
      <c r="R3300" s="7"/>
      <c r="S3300" s="7" t="s">
        <v>2993</v>
      </c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7" t="str">
        <f t="shared" si="1"/>
        <v>Land area </v>
      </c>
      <c r="AE3300" s="7" t="str">
        <f t="shared" si="2"/>
        <v> sq. ft.</v>
      </c>
      <c r="AF3300">
        <f>IFERROR(__xludf.DUMMYFUNCTION("VALUE(REGEXREPLACE(G3300,""[^[:digit:]]"", """"))"),6580.0)</f>
        <v>6580</v>
      </c>
      <c r="AG3300" s="7"/>
      <c r="AH3300" s="7"/>
      <c r="AI3300" s="7"/>
      <c r="AJ3300" s="7"/>
      <c r="AK3300" s="7"/>
      <c r="AL3300" s="7"/>
      <c r="AM3300" s="7"/>
      <c r="AN3300" s="7"/>
      <c r="AO3300" s="7"/>
      <c r="AP3300" s="7"/>
      <c r="AQ3300" s="7"/>
      <c r="AR3300" s="7"/>
      <c r="AS3300" s="7" t="s">
        <v>103</v>
      </c>
    </row>
    <row r="3301">
      <c r="A3301" s="7" t="s">
        <v>32</v>
      </c>
      <c r="B3301" s="7" t="s">
        <v>1908</v>
      </c>
      <c r="C3301" s="7">
        <f>4</f>
        <v>4</v>
      </c>
      <c r="D3301" s="7">
        <v>3.0</v>
      </c>
      <c r="E3301" s="7">
        <v>2.0</v>
      </c>
      <c r="F3301" s="7" t="s">
        <v>54</v>
      </c>
      <c r="G3301" s="7" t="s">
        <v>2250</v>
      </c>
      <c r="H3301" s="9" t="s">
        <v>2981</v>
      </c>
      <c r="I3301" t="s">
        <v>3091</v>
      </c>
      <c r="J3301" s="7"/>
      <c r="K3301" s="7"/>
      <c r="L3301" s="7"/>
      <c r="M3301" s="7"/>
      <c r="N3301" s="7"/>
      <c r="O3301" s="7"/>
      <c r="P3301" s="7"/>
      <c r="Q3301" s="7"/>
      <c r="R3301" s="7"/>
      <c r="S3301" s="7" t="s">
        <v>2990</v>
      </c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7" t="str">
        <f t="shared" si="1"/>
        <v>Land area </v>
      </c>
      <c r="AE3301" s="7" t="str">
        <f t="shared" si="2"/>
        <v> sq. ft.</v>
      </c>
      <c r="AF3301" s="7">
        <v>1650.0</v>
      </c>
      <c r="AG3301" s="7"/>
      <c r="AH3301" s="7"/>
      <c r="AI3301" s="7"/>
      <c r="AJ3301" s="7"/>
      <c r="AK3301" s="7"/>
      <c r="AL3301" s="7"/>
      <c r="AM3301" s="7"/>
      <c r="AN3301" s="7"/>
      <c r="AO3301" s="7"/>
      <c r="AP3301" s="7"/>
      <c r="AQ3301" s="7"/>
      <c r="AR3301" s="7"/>
      <c r="AS3301" s="7" t="s">
        <v>103</v>
      </c>
    </row>
    <row r="3302">
      <c r="A3302" s="7" t="s">
        <v>89</v>
      </c>
      <c r="B3302" s="7" t="s">
        <v>1915</v>
      </c>
      <c r="C3302" s="7">
        <f t="shared" ref="C3302:C3303" si="451">3</f>
        <v>3</v>
      </c>
      <c r="D3302" s="7">
        <v>2.0</v>
      </c>
      <c r="E3302" s="7">
        <v>3.0</v>
      </c>
      <c r="F3302" s="7" t="s">
        <v>83</v>
      </c>
      <c r="H3302" s="9" t="s">
        <v>2984</v>
      </c>
      <c r="I3302" t="s">
        <v>2985</v>
      </c>
      <c r="AD3302" s="7" t="str">
        <f t="shared" si="1"/>
        <v/>
      </c>
      <c r="AE3302" s="7" t="str">
        <f t="shared" si="2"/>
        <v/>
      </c>
      <c r="AF3302">
        <f>IFERROR(__xludf.DUMMYFUNCTION("VALUE(REGEXREPLACE(G3302,""[^[:digit:]]"", """"))"),0.0)</f>
        <v>0</v>
      </c>
      <c r="AS3302" s="7" t="s">
        <v>22</v>
      </c>
    </row>
    <row r="3303">
      <c r="A3303" s="7" t="s">
        <v>368</v>
      </c>
      <c r="B3303" s="7" t="s">
        <v>886</v>
      </c>
      <c r="C3303" s="7">
        <f t="shared" si="451"/>
        <v>3</v>
      </c>
      <c r="D3303" s="7">
        <v>2.0</v>
      </c>
      <c r="E3303" s="7">
        <v>2.0</v>
      </c>
      <c r="F3303" s="7" t="s">
        <v>20</v>
      </c>
      <c r="G3303" s="7" t="s">
        <v>2034</v>
      </c>
      <c r="H3303" s="9" t="s">
        <v>2979</v>
      </c>
      <c r="I3303" t="s">
        <v>4069</v>
      </c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  <c r="AB3303" s="7"/>
      <c r="AC3303" s="7"/>
      <c r="AD3303" s="7" t="str">
        <f t="shared" si="1"/>
        <v>Built-up :</v>
      </c>
      <c r="AE3303" s="7" t="str">
        <f t="shared" si="2"/>
        <v> sq. ft.</v>
      </c>
      <c r="AF3303">
        <f>IFERROR(__xludf.DUMMYFUNCTION("VALUE(REGEXREPLACE(G3303,""[^[:digit:]]"", """"))"),1109.0)</f>
        <v>1109</v>
      </c>
      <c r="AG3303" s="7"/>
      <c r="AH3303" s="7"/>
      <c r="AI3303" s="7"/>
      <c r="AJ3303" s="7"/>
      <c r="AK3303" s="7"/>
      <c r="AL3303" s="7"/>
      <c r="AM3303" s="7"/>
      <c r="AN3303" s="7"/>
      <c r="AO3303" s="7"/>
      <c r="AP3303" s="7"/>
      <c r="AQ3303" s="7"/>
      <c r="AR3303" s="7"/>
    </row>
    <row r="3304">
      <c r="A3304" s="7" t="s">
        <v>17</v>
      </c>
      <c r="B3304" s="7" t="s">
        <v>1348</v>
      </c>
      <c r="C3304" s="7">
        <f>1</f>
        <v>1</v>
      </c>
      <c r="D3304" s="7">
        <v>1.0</v>
      </c>
      <c r="E3304" s="9">
        <v>2.0</v>
      </c>
      <c r="F3304" s="7" t="s">
        <v>20</v>
      </c>
      <c r="G3304" s="7" t="s">
        <v>2251</v>
      </c>
      <c r="H3304" s="9" t="s">
        <v>2979</v>
      </c>
      <c r="I3304" t="s">
        <v>4207</v>
      </c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  <c r="AB3304" s="7"/>
      <c r="AC3304" s="7"/>
      <c r="AD3304" s="7" t="str">
        <f t="shared" si="1"/>
        <v>Built-up :</v>
      </c>
      <c r="AE3304" s="7" t="str">
        <f t="shared" si="2"/>
        <v> sq. ft.</v>
      </c>
      <c r="AF3304">
        <f>IFERROR(__xludf.DUMMYFUNCTION("VALUE(REGEXREPLACE(G3304,""[^[:digit:]]"", """"))"),454.0)</f>
        <v>454</v>
      </c>
      <c r="AG3304" s="7"/>
      <c r="AH3304" s="7"/>
      <c r="AI3304" s="7"/>
      <c r="AJ3304" s="7"/>
      <c r="AK3304" s="7"/>
      <c r="AL3304" s="7"/>
      <c r="AM3304" s="7"/>
      <c r="AN3304" s="7"/>
      <c r="AO3304" s="7"/>
      <c r="AP3304" s="7"/>
      <c r="AQ3304" s="7"/>
      <c r="AR3304" s="7"/>
      <c r="AS3304" s="7" t="s">
        <v>27</v>
      </c>
    </row>
    <row r="3305">
      <c r="A3305" s="7" t="s">
        <v>17</v>
      </c>
      <c r="B3305" s="7" t="s">
        <v>475</v>
      </c>
      <c r="C3305" s="7">
        <f>4+1</f>
        <v>5</v>
      </c>
      <c r="D3305" s="7">
        <v>5.0</v>
      </c>
      <c r="E3305" s="7">
        <v>3.0</v>
      </c>
      <c r="F3305" s="7" t="s">
        <v>20</v>
      </c>
      <c r="G3305" s="7" t="s">
        <v>729</v>
      </c>
      <c r="H3305" s="9" t="s">
        <v>2981</v>
      </c>
      <c r="I3305" t="s">
        <v>3306</v>
      </c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7" t="str">
        <f t="shared" si="1"/>
        <v>Land area </v>
      </c>
      <c r="AE3305" s="7" t="str">
        <f t="shared" si="2"/>
        <v> sq. ft.</v>
      </c>
      <c r="AF3305">
        <f>IFERROR(__xludf.DUMMYFUNCTION("VALUE(REGEXREPLACE(G3305,""[^[:digit:]]"", """"))"),0.0)</f>
        <v>0</v>
      </c>
      <c r="AG3305" s="7"/>
      <c r="AH3305" s="7"/>
      <c r="AI3305" s="7"/>
      <c r="AJ3305" s="7"/>
      <c r="AK3305" s="7"/>
      <c r="AL3305" s="7"/>
      <c r="AM3305" s="7"/>
      <c r="AN3305" s="7"/>
      <c r="AO3305" s="7"/>
      <c r="AP3305" s="7"/>
      <c r="AQ3305" s="7"/>
      <c r="AR3305" s="7"/>
      <c r="AS3305" s="7" t="s">
        <v>22</v>
      </c>
    </row>
    <row r="3306">
      <c r="A3306" s="7" t="s">
        <v>37</v>
      </c>
      <c r="B3306" s="7" t="s">
        <v>844</v>
      </c>
      <c r="C3306" s="7">
        <f t="shared" ref="C3306:C3307" si="452">3+1</f>
        <v>4</v>
      </c>
      <c r="D3306" s="7">
        <v>3.0</v>
      </c>
      <c r="E3306" s="9">
        <v>2.0</v>
      </c>
      <c r="F3306" s="7" t="s">
        <v>54</v>
      </c>
      <c r="G3306" s="7" t="s">
        <v>614</v>
      </c>
      <c r="H3306" s="9" t="s">
        <v>2981</v>
      </c>
      <c r="I3306" t="s">
        <v>2994</v>
      </c>
      <c r="J3306" s="7"/>
      <c r="K3306" s="7"/>
      <c r="L3306" s="7"/>
      <c r="M3306" s="7"/>
      <c r="N3306" s="7"/>
      <c r="O3306" s="7"/>
      <c r="P3306" s="7"/>
      <c r="Q3306" s="7"/>
      <c r="R3306" s="7"/>
      <c r="S3306" s="7" t="s">
        <v>3125</v>
      </c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7" t="str">
        <f t="shared" si="1"/>
        <v>Land area </v>
      </c>
      <c r="AE3306" s="7" t="str">
        <f t="shared" si="2"/>
        <v> sq. ft.</v>
      </c>
      <c r="AF3306">
        <f>IFERROR(__xludf.DUMMYFUNCTION("VALUE(REGEXREPLACE(G3306,""[^[:digit:]]"", """"))"),2095.0)</f>
        <v>2095</v>
      </c>
      <c r="AG3306" s="7"/>
      <c r="AH3306" s="7"/>
      <c r="AI3306" s="7"/>
      <c r="AJ3306" s="7"/>
      <c r="AK3306" s="7"/>
      <c r="AL3306" s="7"/>
      <c r="AM3306" s="7"/>
      <c r="AN3306" s="7"/>
      <c r="AO3306" s="7"/>
      <c r="AP3306" s="7"/>
      <c r="AQ3306" s="7"/>
      <c r="AR3306" s="7"/>
      <c r="AS3306" s="7" t="s">
        <v>27</v>
      </c>
    </row>
    <row r="3307">
      <c r="A3307" s="7" t="s">
        <v>33</v>
      </c>
      <c r="B3307" s="7" t="s">
        <v>210</v>
      </c>
      <c r="C3307" s="7">
        <f t="shared" si="452"/>
        <v>4</v>
      </c>
      <c r="D3307" s="7">
        <v>4.0</v>
      </c>
      <c r="E3307" s="9">
        <v>2.0</v>
      </c>
      <c r="F3307" s="7" t="s">
        <v>83</v>
      </c>
      <c r="G3307" s="7" t="s">
        <v>2252</v>
      </c>
      <c r="H3307" s="9" t="s">
        <v>2979</v>
      </c>
      <c r="I3307" t="s">
        <v>4208</v>
      </c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7" t="str">
        <f t="shared" si="1"/>
        <v>Built-up :</v>
      </c>
      <c r="AE3307" s="7" t="str">
        <f t="shared" si="2"/>
        <v> sq. ft.</v>
      </c>
      <c r="AF3307">
        <f>IFERROR(__xludf.DUMMYFUNCTION("VALUE(REGEXREPLACE(G3307,""[^[:digit:]]"", """"))"),2021.0)</f>
        <v>2021</v>
      </c>
      <c r="AG3307" s="7"/>
      <c r="AH3307" s="7"/>
      <c r="AI3307" s="7"/>
      <c r="AJ3307" s="7"/>
      <c r="AK3307" s="7"/>
      <c r="AL3307" s="7"/>
      <c r="AM3307" s="7"/>
      <c r="AN3307" s="7"/>
      <c r="AO3307" s="7"/>
      <c r="AP3307" s="7"/>
      <c r="AQ3307" s="7"/>
      <c r="AR3307" s="7"/>
      <c r="AS3307" s="7" t="s">
        <v>22</v>
      </c>
    </row>
    <row r="3308">
      <c r="A3308" s="7" t="s">
        <v>32</v>
      </c>
      <c r="B3308" s="7" t="s">
        <v>1659</v>
      </c>
      <c r="C3308" s="7">
        <f t="shared" ref="C3308:C3310" si="453">3</f>
        <v>3</v>
      </c>
      <c r="D3308" s="7">
        <v>2.0</v>
      </c>
      <c r="E3308" s="7">
        <v>1.0</v>
      </c>
      <c r="F3308" s="7" t="s">
        <v>30</v>
      </c>
      <c r="G3308" s="7" t="s">
        <v>1746</v>
      </c>
      <c r="H3308" s="9" t="s">
        <v>2979</v>
      </c>
      <c r="I3308" t="s">
        <v>3899</v>
      </c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7" t="str">
        <f t="shared" si="1"/>
        <v>Built-up :</v>
      </c>
      <c r="AE3308" s="7" t="str">
        <f t="shared" si="2"/>
        <v> sq. ft.</v>
      </c>
      <c r="AF3308">
        <f>IFERROR(__xludf.DUMMYFUNCTION("VALUE(REGEXREPLACE(G3308,""[^[:digit:]]"", """"))"),1051.0)</f>
        <v>1051</v>
      </c>
      <c r="AG3308" s="7"/>
      <c r="AH3308" s="7"/>
      <c r="AI3308" s="7"/>
      <c r="AJ3308" s="7"/>
      <c r="AK3308" s="7"/>
      <c r="AL3308" s="7"/>
      <c r="AM3308" s="7"/>
      <c r="AN3308" s="7"/>
      <c r="AO3308" s="7"/>
      <c r="AP3308" s="7"/>
      <c r="AQ3308" s="7"/>
      <c r="AR3308" s="7"/>
      <c r="AS3308" s="7" t="s">
        <v>27</v>
      </c>
    </row>
    <row r="3309">
      <c r="A3309" s="7" t="s">
        <v>28</v>
      </c>
      <c r="B3309" s="7" t="s">
        <v>2253</v>
      </c>
      <c r="C3309" s="7">
        <f t="shared" si="453"/>
        <v>3</v>
      </c>
      <c r="D3309" s="7">
        <v>2.0</v>
      </c>
      <c r="E3309" s="7">
        <v>2.0</v>
      </c>
      <c r="F3309" s="7" t="s">
        <v>20</v>
      </c>
      <c r="G3309" s="7" t="s">
        <v>1395</v>
      </c>
      <c r="H3309" s="9" t="s">
        <v>2979</v>
      </c>
      <c r="I3309" t="s">
        <v>3687</v>
      </c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  <c r="AB3309" s="7"/>
      <c r="AC3309" s="7"/>
      <c r="AD3309" s="7" t="str">
        <f t="shared" si="1"/>
        <v>Built-up :</v>
      </c>
      <c r="AE3309" s="7" t="str">
        <f t="shared" si="2"/>
        <v> sq. ft.</v>
      </c>
      <c r="AF3309">
        <f>IFERROR(__xludf.DUMMYFUNCTION("VALUE(REGEXREPLACE(G3309,""[^[:digit:]]"", """"))"),1033.0)</f>
        <v>1033</v>
      </c>
      <c r="AG3309" s="7"/>
      <c r="AH3309" s="7"/>
      <c r="AI3309" s="7"/>
      <c r="AJ3309" s="7"/>
      <c r="AK3309" s="7"/>
      <c r="AL3309" s="7"/>
      <c r="AM3309" s="7"/>
      <c r="AN3309" s="7"/>
      <c r="AO3309" s="7"/>
      <c r="AP3309" s="7"/>
      <c r="AQ3309" s="7"/>
      <c r="AR3309" s="7"/>
      <c r="AS3309" s="7" t="s">
        <v>27</v>
      </c>
    </row>
    <row r="3310">
      <c r="A3310" s="7" t="s">
        <v>72</v>
      </c>
      <c r="B3310" s="7" t="s">
        <v>221</v>
      </c>
      <c r="C3310" s="7">
        <f t="shared" si="453"/>
        <v>3</v>
      </c>
      <c r="D3310" s="7">
        <v>2.0</v>
      </c>
      <c r="E3310" s="7">
        <v>2.0</v>
      </c>
      <c r="F3310" s="7" t="s">
        <v>83</v>
      </c>
      <c r="G3310" s="7" t="s">
        <v>2254</v>
      </c>
      <c r="H3310" s="9" t="s">
        <v>2981</v>
      </c>
      <c r="I3310" t="s">
        <v>4209</v>
      </c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  <c r="AB3310" s="7"/>
      <c r="AC3310" s="7"/>
      <c r="AD3310" s="7" t="str">
        <f t="shared" si="1"/>
        <v>Land area </v>
      </c>
      <c r="AE3310" s="7" t="str">
        <f t="shared" si="2"/>
        <v> 3 acres</v>
      </c>
      <c r="AF3310">
        <f>IFERROR(__xludf.DUMMYFUNCTION("VALUE(REGEXREPLACE(G3310,""[^[:digit:]]"", """"))"),3.0)</f>
        <v>3</v>
      </c>
      <c r="AG3310" s="7"/>
      <c r="AH3310" s="7"/>
      <c r="AI3310" s="7"/>
      <c r="AJ3310" s="7"/>
      <c r="AK3310" s="7"/>
      <c r="AL3310" s="7"/>
      <c r="AM3310" s="7"/>
      <c r="AN3310" s="7"/>
      <c r="AO3310" s="7"/>
      <c r="AP3310" s="7"/>
      <c r="AQ3310" s="7"/>
      <c r="AR3310" s="7"/>
    </row>
    <row r="3311">
      <c r="A3311" s="7" t="s">
        <v>171</v>
      </c>
      <c r="B3311" s="7" t="s">
        <v>1880</v>
      </c>
      <c r="C3311" s="7">
        <f>4</f>
        <v>4</v>
      </c>
      <c r="D3311" s="7">
        <v>2.0</v>
      </c>
      <c r="E3311" s="7">
        <v>2.0</v>
      </c>
      <c r="F3311" s="7" t="s">
        <v>93</v>
      </c>
      <c r="G3311" s="7" t="s">
        <v>192</v>
      </c>
      <c r="H3311" s="9" t="s">
        <v>2979</v>
      </c>
      <c r="I3311" t="s">
        <v>3045</v>
      </c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7" t="str">
        <f t="shared" si="1"/>
        <v>Built-up :</v>
      </c>
      <c r="AE3311" s="7" t="str">
        <f t="shared" si="2"/>
        <v> sq. ft.</v>
      </c>
      <c r="AF3311">
        <f>IFERROR(__xludf.DUMMYFUNCTION("VALUE(REGEXREPLACE(G3311,""[^[:digit:]]"", """"))"),1313.0)</f>
        <v>1313</v>
      </c>
      <c r="AG3311" s="7"/>
      <c r="AH3311" s="7"/>
      <c r="AI3311" s="7"/>
      <c r="AJ3311" s="7"/>
      <c r="AK3311" s="7"/>
      <c r="AL3311" s="7"/>
      <c r="AM3311" s="7"/>
      <c r="AN3311" s="7"/>
      <c r="AO3311" s="7"/>
      <c r="AP3311" s="7"/>
      <c r="AQ3311" s="7"/>
      <c r="AR3311" s="7"/>
      <c r="AS3311" s="7" t="s">
        <v>27</v>
      </c>
    </row>
    <row r="3312">
      <c r="A3312" s="7" t="s">
        <v>32</v>
      </c>
      <c r="B3312" s="7" t="s">
        <v>221</v>
      </c>
      <c r="C3312" s="7">
        <f>3</f>
        <v>3</v>
      </c>
      <c r="D3312" s="7">
        <v>2.0</v>
      </c>
      <c r="E3312" s="9">
        <v>2.0</v>
      </c>
      <c r="F3312" s="7" t="s">
        <v>20</v>
      </c>
      <c r="G3312" s="7" t="s">
        <v>1973</v>
      </c>
      <c r="H3312" s="9" t="s">
        <v>2979</v>
      </c>
      <c r="I3312" t="s">
        <v>4030</v>
      </c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7" t="str">
        <f t="shared" si="1"/>
        <v>Built-up :</v>
      </c>
      <c r="AE3312" s="7" t="str">
        <f t="shared" si="2"/>
        <v> sq. ft.</v>
      </c>
      <c r="AF3312">
        <f>IFERROR(__xludf.DUMMYFUNCTION("VALUE(REGEXREPLACE(G3312,""[^[:digit:]]"", """"))"),1304.0)</f>
        <v>1304</v>
      </c>
      <c r="AG3312" s="7"/>
      <c r="AH3312" s="7"/>
      <c r="AI3312" s="7"/>
      <c r="AJ3312" s="7"/>
      <c r="AK3312" s="7"/>
      <c r="AL3312" s="7"/>
      <c r="AM3312" s="7"/>
      <c r="AN3312" s="7"/>
      <c r="AO3312" s="7"/>
      <c r="AP3312" s="7"/>
      <c r="AQ3312" s="7"/>
      <c r="AR3312" s="7"/>
      <c r="AS3312" s="7" t="s">
        <v>22</v>
      </c>
    </row>
    <row r="3313">
      <c r="A3313" s="7" t="s">
        <v>23</v>
      </c>
      <c r="B3313" s="7" t="s">
        <v>407</v>
      </c>
      <c r="C3313" s="7">
        <f>2+1</f>
        <v>3</v>
      </c>
      <c r="D3313" s="7">
        <v>3.0</v>
      </c>
      <c r="E3313" s="7">
        <v>1.0</v>
      </c>
      <c r="F3313" s="7" t="s">
        <v>83</v>
      </c>
      <c r="G3313" s="7" t="s">
        <v>2255</v>
      </c>
      <c r="H3313" s="9" t="s">
        <v>2979</v>
      </c>
      <c r="I3313" t="s">
        <v>4210</v>
      </c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7" t="str">
        <f t="shared" si="1"/>
        <v>Built-up :</v>
      </c>
      <c r="AE3313" s="7" t="str">
        <f t="shared" si="2"/>
        <v> sq. ft.</v>
      </c>
      <c r="AF3313">
        <f>IFERROR(__xludf.DUMMYFUNCTION("VALUE(REGEXREPLACE(G3313,""[^[:digit:]]"", """"))"),1516.0)</f>
        <v>1516</v>
      </c>
      <c r="AG3313" s="7"/>
      <c r="AH3313" s="7"/>
      <c r="AI3313" s="7"/>
      <c r="AJ3313" s="7"/>
      <c r="AK3313" s="7"/>
      <c r="AL3313" s="7"/>
      <c r="AM3313" s="7"/>
      <c r="AN3313" s="7"/>
      <c r="AO3313" s="7"/>
      <c r="AP3313" s="7"/>
      <c r="AQ3313" s="7"/>
      <c r="AR3313" s="7"/>
      <c r="AS3313" s="7" t="s">
        <v>22</v>
      </c>
    </row>
    <row r="3314">
      <c r="A3314" s="7" t="s">
        <v>33</v>
      </c>
      <c r="B3314" s="7" t="s">
        <v>2256</v>
      </c>
      <c r="C3314" s="7">
        <f>3</f>
        <v>3</v>
      </c>
      <c r="D3314" s="7">
        <v>2.0</v>
      </c>
      <c r="E3314" s="7">
        <v>1.0</v>
      </c>
      <c r="F3314" s="7" t="s">
        <v>93</v>
      </c>
      <c r="G3314" s="7" t="s">
        <v>2010</v>
      </c>
      <c r="H3314" s="9" t="s">
        <v>2979</v>
      </c>
      <c r="I3314" t="s">
        <v>4053</v>
      </c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7" t="str">
        <f t="shared" si="1"/>
        <v>Built-up :</v>
      </c>
      <c r="AE3314" s="7" t="str">
        <f t="shared" si="2"/>
        <v> sq. ft.</v>
      </c>
      <c r="AF3314">
        <f>IFERROR(__xludf.DUMMYFUNCTION("VALUE(REGEXREPLACE(G3314,""[^[:digit:]]"", """"))"),1222.0)</f>
        <v>1222</v>
      </c>
      <c r="AG3314" s="7"/>
      <c r="AH3314" s="7"/>
      <c r="AI3314" s="7"/>
      <c r="AJ3314" s="7"/>
      <c r="AK3314" s="7"/>
      <c r="AL3314" s="7"/>
      <c r="AM3314" s="7"/>
      <c r="AN3314" s="7"/>
      <c r="AO3314" s="7"/>
      <c r="AP3314" s="7"/>
      <c r="AQ3314" s="7"/>
      <c r="AR3314" s="7"/>
      <c r="AS3314" s="7" t="s">
        <v>27</v>
      </c>
    </row>
    <row r="3315">
      <c r="A3315" s="7" t="s">
        <v>2257</v>
      </c>
      <c r="B3315" s="7" t="s">
        <v>165</v>
      </c>
      <c r="C3315" s="7">
        <f>6+1</f>
        <v>7</v>
      </c>
      <c r="D3315" s="7">
        <v>5.0</v>
      </c>
      <c r="E3315" s="9">
        <v>2.0</v>
      </c>
      <c r="F3315" s="7" t="s">
        <v>25</v>
      </c>
      <c r="G3315" s="7" t="s">
        <v>2258</v>
      </c>
      <c r="H3315" s="9" t="s">
        <v>2981</v>
      </c>
      <c r="I3315" t="s">
        <v>4211</v>
      </c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  <c r="AB3315" s="7"/>
      <c r="AC3315" s="7"/>
      <c r="AD3315" s="7" t="str">
        <f t="shared" si="1"/>
        <v>Land area </v>
      </c>
      <c r="AE3315" s="7" t="str">
        <f t="shared" si="2"/>
        <v> sq. ft.</v>
      </c>
      <c r="AF3315">
        <f>IFERROR(__xludf.DUMMYFUNCTION("VALUE(REGEXREPLACE(G3315,""[^[:digit:]]"", """"))"),7980.0)</f>
        <v>7980</v>
      </c>
      <c r="AG3315" s="7"/>
      <c r="AH3315" s="7"/>
      <c r="AI3315" s="7"/>
      <c r="AJ3315" s="7"/>
      <c r="AK3315" s="7"/>
      <c r="AL3315" s="7"/>
      <c r="AM3315" s="7"/>
      <c r="AN3315" s="7"/>
      <c r="AO3315" s="7"/>
      <c r="AP3315" s="7"/>
      <c r="AQ3315" s="7"/>
      <c r="AR3315" s="7"/>
      <c r="AS3315" s="7" t="s">
        <v>103</v>
      </c>
    </row>
    <row r="3316">
      <c r="A3316" s="7" t="s">
        <v>17</v>
      </c>
      <c r="B3316" s="7" t="s">
        <v>81</v>
      </c>
      <c r="C3316" s="7">
        <f>3+1</f>
        <v>4</v>
      </c>
      <c r="D3316" s="7">
        <v>5.0</v>
      </c>
      <c r="E3316" s="7">
        <v>2.0</v>
      </c>
      <c r="F3316" s="7" t="s">
        <v>93</v>
      </c>
      <c r="G3316" s="7" t="s">
        <v>1090</v>
      </c>
      <c r="H3316" s="9" t="s">
        <v>2979</v>
      </c>
      <c r="I3316" t="s">
        <v>3498</v>
      </c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  <c r="AB3316" s="7"/>
      <c r="AC3316" s="7"/>
      <c r="AD3316" s="7" t="str">
        <f t="shared" si="1"/>
        <v>Built-up :</v>
      </c>
      <c r="AE3316" s="7" t="str">
        <f t="shared" si="2"/>
        <v> sq. ft.</v>
      </c>
      <c r="AF3316">
        <f>IFERROR(__xludf.DUMMYFUNCTION("VALUE(REGEXREPLACE(G3316,""[^[:digit:]]"", """"))"),2098.0)</f>
        <v>2098</v>
      </c>
      <c r="AG3316" s="7"/>
      <c r="AH3316" s="7"/>
      <c r="AI3316" s="7"/>
      <c r="AJ3316" s="7"/>
      <c r="AK3316" s="7"/>
      <c r="AL3316" s="7"/>
      <c r="AM3316" s="7"/>
      <c r="AN3316" s="7"/>
      <c r="AO3316" s="7"/>
      <c r="AP3316" s="7"/>
      <c r="AQ3316" s="7"/>
      <c r="AR3316" s="7"/>
      <c r="AS3316" s="7" t="s">
        <v>22</v>
      </c>
    </row>
    <row r="3317">
      <c r="A3317" s="7" t="s">
        <v>371</v>
      </c>
      <c r="B3317" s="7" t="s">
        <v>2259</v>
      </c>
      <c r="C3317" s="7">
        <f>4+1</f>
        <v>5</v>
      </c>
      <c r="D3317" s="7">
        <v>3.0</v>
      </c>
      <c r="E3317" s="9">
        <v>2.0</v>
      </c>
      <c r="F3317" s="7" t="s">
        <v>487</v>
      </c>
      <c r="G3317" s="7" t="s">
        <v>631</v>
      </c>
      <c r="H3317" s="9" t="s">
        <v>2981</v>
      </c>
      <c r="I3317" t="s">
        <v>3258</v>
      </c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7" t="str">
        <f t="shared" si="1"/>
        <v>Land area </v>
      </c>
      <c r="AE3317" s="7" t="str">
        <f t="shared" si="2"/>
        <v> sq. ft.</v>
      </c>
      <c r="AF3317">
        <f>IFERROR(__xludf.DUMMYFUNCTION("VALUE(REGEXREPLACE(G3317,""[^[:digit:]]"", """"))"),5000.0)</f>
        <v>5000</v>
      </c>
      <c r="AG3317" s="7"/>
      <c r="AH3317" s="7"/>
      <c r="AI3317" s="7"/>
      <c r="AJ3317" s="7"/>
      <c r="AK3317" s="7"/>
      <c r="AL3317" s="7"/>
      <c r="AM3317" s="7"/>
      <c r="AN3317" s="7"/>
      <c r="AO3317" s="7"/>
      <c r="AP3317" s="7"/>
      <c r="AQ3317" s="7"/>
      <c r="AR3317" s="7"/>
      <c r="AS3317" s="7" t="s">
        <v>27</v>
      </c>
    </row>
    <row r="3318">
      <c r="A3318" s="7" t="s">
        <v>32</v>
      </c>
      <c r="B3318" s="7" t="s">
        <v>353</v>
      </c>
      <c r="C3318" s="7">
        <f>3</f>
        <v>3</v>
      </c>
      <c r="D3318" s="7">
        <v>2.0</v>
      </c>
      <c r="E3318" s="9">
        <v>2.0</v>
      </c>
      <c r="F3318" s="7" t="s">
        <v>83</v>
      </c>
      <c r="G3318" s="7" t="s">
        <v>948</v>
      </c>
      <c r="H3318" s="9" t="s">
        <v>2979</v>
      </c>
      <c r="I3318" t="s">
        <v>3421</v>
      </c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7" t="str">
        <f t="shared" si="1"/>
        <v>Built-up :</v>
      </c>
      <c r="AE3318" s="7" t="str">
        <f t="shared" si="2"/>
        <v> sq. ft.</v>
      </c>
      <c r="AF3318">
        <f>IFERROR(__xludf.DUMMYFUNCTION("VALUE(REGEXREPLACE(G3318,""[^[:digit:]]"", """"))"),960.0)</f>
        <v>960</v>
      </c>
      <c r="AG3318" s="7"/>
      <c r="AH3318" s="7"/>
      <c r="AI3318" s="7"/>
      <c r="AJ3318" s="7"/>
      <c r="AK3318" s="7"/>
      <c r="AL3318" s="7"/>
      <c r="AM3318" s="7"/>
      <c r="AN3318" s="7"/>
      <c r="AO3318" s="7"/>
      <c r="AP3318" s="7"/>
      <c r="AQ3318" s="7"/>
      <c r="AR3318" s="7"/>
      <c r="AS3318" s="7" t="s">
        <v>103</v>
      </c>
    </row>
    <row r="3319">
      <c r="A3319" s="7" t="s">
        <v>41</v>
      </c>
      <c r="B3319" s="7" t="s">
        <v>2260</v>
      </c>
      <c r="E3319" s="9">
        <v>2.0</v>
      </c>
      <c r="F3319" s="7" t="s">
        <v>667</v>
      </c>
      <c r="G3319" s="7" t="s">
        <v>2261</v>
      </c>
      <c r="H3319" s="9" t="s">
        <v>2981</v>
      </c>
      <c r="I3319" t="s">
        <v>4212</v>
      </c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7" t="str">
        <f t="shared" si="1"/>
        <v>Land area </v>
      </c>
      <c r="AE3319" s="7" t="str">
        <f t="shared" si="2"/>
        <v>57 acres</v>
      </c>
      <c r="AF3319">
        <f>IFERROR(__xludf.DUMMYFUNCTION("VALUE(REGEXREPLACE(G3319,""[^[:digit:]]"", """"))"),2357.0)</f>
        <v>2357</v>
      </c>
      <c r="AG3319" s="7"/>
      <c r="AH3319" s="7"/>
      <c r="AI3319" s="7"/>
      <c r="AJ3319" s="7"/>
      <c r="AK3319" s="7"/>
      <c r="AL3319" s="7"/>
      <c r="AM3319" s="7"/>
      <c r="AN3319" s="7"/>
      <c r="AO3319" s="7"/>
      <c r="AP3319" s="7"/>
      <c r="AQ3319" s="7"/>
      <c r="AR3319" s="7"/>
    </row>
    <row r="3320">
      <c r="A3320" s="7" t="s">
        <v>17</v>
      </c>
      <c r="B3320" s="7" t="s">
        <v>422</v>
      </c>
      <c r="C3320" s="7">
        <f>2</f>
        <v>2</v>
      </c>
      <c r="D3320" s="7">
        <v>2.0</v>
      </c>
      <c r="E3320" s="9">
        <v>2.0</v>
      </c>
      <c r="F3320" s="7" t="s">
        <v>121</v>
      </c>
      <c r="G3320" s="7" t="s">
        <v>2262</v>
      </c>
      <c r="H3320" s="9" t="s">
        <v>2979</v>
      </c>
      <c r="I3320" t="s">
        <v>4213</v>
      </c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7" t="str">
        <f t="shared" si="1"/>
        <v>Built-up :</v>
      </c>
      <c r="AE3320" s="7" t="str">
        <f t="shared" si="2"/>
        <v> sq. ft.</v>
      </c>
      <c r="AF3320">
        <f>IFERROR(__xludf.DUMMYFUNCTION("VALUE(REGEXREPLACE(G3320,""[^[:digit:]]"", """"))"),894.0)</f>
        <v>894</v>
      </c>
      <c r="AG3320" s="7"/>
      <c r="AH3320" s="7"/>
      <c r="AI3320" s="7"/>
      <c r="AJ3320" s="7"/>
      <c r="AK3320" s="7"/>
      <c r="AL3320" s="7"/>
      <c r="AM3320" s="7"/>
      <c r="AN3320" s="7"/>
      <c r="AO3320" s="7"/>
      <c r="AP3320" s="7"/>
      <c r="AQ3320" s="7"/>
      <c r="AR3320" s="7"/>
      <c r="AS3320" s="7" t="s">
        <v>27</v>
      </c>
    </row>
    <row r="3321">
      <c r="A3321" s="7" t="s">
        <v>17</v>
      </c>
      <c r="B3321" s="7" t="s">
        <v>349</v>
      </c>
      <c r="C3321" s="7" t="s">
        <v>325</v>
      </c>
      <c r="D3321" s="7">
        <v>1.0</v>
      </c>
      <c r="E3321" s="9">
        <v>2.0</v>
      </c>
      <c r="F3321" s="7" t="s">
        <v>82</v>
      </c>
      <c r="G3321" s="7" t="s">
        <v>2263</v>
      </c>
      <c r="H3321" s="9" t="s">
        <v>2981</v>
      </c>
      <c r="I3321" t="s">
        <v>3306</v>
      </c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  <c r="AC3321" s="7"/>
      <c r="AD3321" s="7" t="str">
        <f t="shared" si="1"/>
        <v>Land area </v>
      </c>
      <c r="AE3321" s="7" t="str">
        <f t="shared" si="2"/>
        <v> sq. ft.</v>
      </c>
      <c r="AF3321">
        <f>IFERROR(__xludf.DUMMYFUNCTION("VALUE(REGEXREPLACE(G3321,""[^[:digit:]]"", """"))"),0.0)</f>
        <v>0</v>
      </c>
      <c r="AG3321" s="7"/>
      <c r="AH3321" s="7"/>
      <c r="AI3321" s="7"/>
      <c r="AJ3321" s="7"/>
      <c r="AK3321" s="7"/>
      <c r="AL3321" s="7"/>
      <c r="AM3321" s="7"/>
      <c r="AN3321" s="7"/>
      <c r="AO3321" s="7"/>
      <c r="AP3321" s="7"/>
      <c r="AQ3321" s="7"/>
      <c r="AR3321" s="7"/>
      <c r="AS3321" s="7" t="s">
        <v>27</v>
      </c>
    </row>
    <row r="3322">
      <c r="A3322" s="7" t="s">
        <v>32</v>
      </c>
      <c r="B3322" s="7" t="s">
        <v>2184</v>
      </c>
      <c r="C3322" s="7" t="s">
        <v>325</v>
      </c>
      <c r="D3322" s="7">
        <v>1.0</v>
      </c>
      <c r="E3322" s="9">
        <v>2.0</v>
      </c>
      <c r="F3322" s="7" t="s">
        <v>20</v>
      </c>
      <c r="G3322" s="7" t="s">
        <v>1350</v>
      </c>
      <c r="H3322" s="9" t="s">
        <v>2979</v>
      </c>
      <c r="I3322" t="s">
        <v>3661</v>
      </c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  <c r="AB3322" s="7"/>
      <c r="AC3322" s="7"/>
      <c r="AD3322" s="7" t="str">
        <f t="shared" si="1"/>
        <v>Built-up :</v>
      </c>
      <c r="AE3322" s="7" t="str">
        <f t="shared" si="2"/>
        <v> sq. ft.</v>
      </c>
      <c r="AF3322">
        <f>IFERROR(__xludf.DUMMYFUNCTION("VALUE(REGEXREPLACE(G3322,""[^[:digit:]]"", """"))"),610.0)</f>
        <v>610</v>
      </c>
      <c r="AG3322" s="7"/>
      <c r="AH3322" s="7"/>
      <c r="AI3322" s="7"/>
      <c r="AJ3322" s="7"/>
      <c r="AK3322" s="7"/>
      <c r="AL3322" s="7"/>
      <c r="AM3322" s="7"/>
      <c r="AN3322" s="7"/>
      <c r="AO3322" s="7"/>
      <c r="AP3322" s="7"/>
      <c r="AQ3322" s="7"/>
      <c r="AR3322" s="7"/>
    </row>
    <row r="3323">
      <c r="A3323" s="7" t="s">
        <v>100</v>
      </c>
      <c r="B3323" s="7" t="s">
        <v>92</v>
      </c>
      <c r="C3323" s="7">
        <f>3+1</f>
        <v>4</v>
      </c>
      <c r="D3323" s="7">
        <v>4.0</v>
      </c>
      <c r="E3323" s="7">
        <v>1.0</v>
      </c>
      <c r="F3323" s="7" t="s">
        <v>30</v>
      </c>
      <c r="G3323" s="7" t="s">
        <v>2264</v>
      </c>
      <c r="H3323" s="9" t="s">
        <v>2979</v>
      </c>
      <c r="I3323" t="s">
        <v>4214</v>
      </c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7" t="str">
        <f t="shared" si="1"/>
        <v>Built-up :</v>
      </c>
      <c r="AE3323" s="7" t="str">
        <f t="shared" si="2"/>
        <v> sq. ft.</v>
      </c>
      <c r="AF3323">
        <f>IFERROR(__xludf.DUMMYFUNCTION("VALUE(REGEXREPLACE(G3323,""[^[:digit:]]"", """"))"),1331.0)</f>
        <v>1331</v>
      </c>
      <c r="AG3323" s="7"/>
      <c r="AH3323" s="7"/>
      <c r="AI3323" s="7"/>
      <c r="AJ3323" s="7"/>
      <c r="AK3323" s="7"/>
      <c r="AL3323" s="7"/>
      <c r="AM3323" s="7"/>
      <c r="AN3323" s="7"/>
      <c r="AO3323" s="7"/>
      <c r="AP3323" s="7"/>
      <c r="AQ3323" s="7"/>
      <c r="AR3323" s="7"/>
      <c r="AS3323" s="7" t="s">
        <v>22</v>
      </c>
    </row>
    <row r="3324">
      <c r="A3324" s="7" t="s">
        <v>32</v>
      </c>
      <c r="B3324" s="7" t="s">
        <v>2265</v>
      </c>
      <c r="C3324" s="7">
        <f>5</f>
        <v>5</v>
      </c>
      <c r="D3324" s="7">
        <v>3.0</v>
      </c>
      <c r="E3324" s="9">
        <v>2.0</v>
      </c>
      <c r="F3324" s="7" t="s">
        <v>54</v>
      </c>
      <c r="G3324" s="7" t="s">
        <v>2266</v>
      </c>
      <c r="H3324" s="9" t="s">
        <v>2981</v>
      </c>
      <c r="I3324" t="s">
        <v>3518</v>
      </c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7" t="str">
        <f t="shared" si="1"/>
        <v>Land area </v>
      </c>
      <c r="AE3324" s="7" t="str">
        <f t="shared" si="2"/>
        <v> sq. ft.</v>
      </c>
      <c r="AF3324" s="7">
        <v>1540.0</v>
      </c>
      <c r="AG3324" s="7"/>
      <c r="AH3324" s="7"/>
      <c r="AI3324" s="7"/>
      <c r="AJ3324" s="7"/>
      <c r="AK3324" s="7"/>
      <c r="AL3324" s="7"/>
      <c r="AM3324" s="7"/>
      <c r="AN3324" s="7"/>
      <c r="AO3324" s="7"/>
      <c r="AP3324" s="7"/>
      <c r="AQ3324" s="7"/>
      <c r="AR3324" s="7"/>
      <c r="AS3324" s="7" t="s">
        <v>27</v>
      </c>
    </row>
    <row r="3325">
      <c r="A3325" s="7" t="s">
        <v>155</v>
      </c>
      <c r="B3325" s="7" t="s">
        <v>243</v>
      </c>
      <c r="C3325" s="7">
        <f>3+1</f>
        <v>4</v>
      </c>
      <c r="D3325" s="7">
        <v>3.0</v>
      </c>
      <c r="E3325" s="7">
        <v>2.0</v>
      </c>
      <c r="F3325" s="7" t="s">
        <v>30</v>
      </c>
      <c r="G3325" s="7" t="s">
        <v>2267</v>
      </c>
      <c r="H3325" s="9" t="s">
        <v>2979</v>
      </c>
      <c r="I3325" t="s">
        <v>4215</v>
      </c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7" t="str">
        <f t="shared" si="1"/>
        <v>Built-up :</v>
      </c>
      <c r="AE3325" s="7" t="str">
        <f t="shared" si="2"/>
        <v>7 sq. m.</v>
      </c>
      <c r="AF3325">
        <f>IFERROR(__xludf.DUMMYFUNCTION("VALUE(REGEXREPLACE(G3325,""[^[:digit:]]"", """"))"),1707.0)</f>
        <v>1707</v>
      </c>
      <c r="AG3325" s="7"/>
      <c r="AH3325" s="7"/>
      <c r="AI3325" s="7"/>
      <c r="AJ3325" s="7"/>
      <c r="AK3325" s="7"/>
      <c r="AL3325" s="7"/>
      <c r="AM3325" s="7"/>
      <c r="AN3325" s="7"/>
      <c r="AO3325" s="7"/>
      <c r="AP3325" s="7"/>
      <c r="AQ3325" s="7"/>
      <c r="AR3325" s="7"/>
      <c r="AS3325" s="7" t="s">
        <v>27</v>
      </c>
    </row>
    <row r="3326">
      <c r="A3326" s="7" t="s">
        <v>32</v>
      </c>
      <c r="B3326" s="7" t="s">
        <v>2268</v>
      </c>
      <c r="C3326" s="7">
        <f>3</f>
        <v>3</v>
      </c>
      <c r="D3326" s="7">
        <v>2.0</v>
      </c>
      <c r="E3326" s="7">
        <v>1.0</v>
      </c>
      <c r="F3326" s="7" t="s">
        <v>50</v>
      </c>
      <c r="G3326" s="7" t="s">
        <v>1270</v>
      </c>
      <c r="H3326" s="9" t="s">
        <v>2979</v>
      </c>
      <c r="I3326" t="s">
        <v>3613</v>
      </c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7" t="str">
        <f t="shared" si="1"/>
        <v>Built-up :</v>
      </c>
      <c r="AE3326" s="7" t="str">
        <f t="shared" si="2"/>
        <v> sq. ft.</v>
      </c>
      <c r="AF3326">
        <f>IFERROR(__xludf.DUMMYFUNCTION("VALUE(REGEXREPLACE(G3326,""[^[:digit:]]"", """"))"),780.0)</f>
        <v>780</v>
      </c>
      <c r="AG3326" s="7"/>
      <c r="AH3326" s="7"/>
      <c r="AI3326" s="7"/>
      <c r="AJ3326" s="7"/>
      <c r="AK3326" s="7"/>
      <c r="AL3326" s="7"/>
      <c r="AM3326" s="7"/>
      <c r="AN3326" s="7"/>
      <c r="AO3326" s="7"/>
      <c r="AP3326" s="7"/>
      <c r="AQ3326" s="7"/>
      <c r="AR3326" s="7"/>
      <c r="AS3326" s="7" t="s">
        <v>27</v>
      </c>
    </row>
    <row r="3327">
      <c r="A3327" s="7" t="s">
        <v>32</v>
      </c>
      <c r="B3327" s="7" t="s">
        <v>967</v>
      </c>
      <c r="C3327" s="7">
        <f>3+1</f>
        <v>4</v>
      </c>
      <c r="D3327" s="7">
        <v>3.0</v>
      </c>
      <c r="E3327" s="9">
        <v>2.0</v>
      </c>
      <c r="F3327" s="7" t="s">
        <v>494</v>
      </c>
      <c r="G3327" s="7" t="s">
        <v>2269</v>
      </c>
      <c r="H3327" s="9" t="s">
        <v>2981</v>
      </c>
      <c r="I3327" t="s">
        <v>4216</v>
      </c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  <c r="AB3327" s="7"/>
      <c r="AC3327" s="7"/>
      <c r="AD3327" s="7" t="str">
        <f t="shared" si="1"/>
        <v>Land area </v>
      </c>
      <c r="AE3327" s="7" t="str">
        <f t="shared" si="2"/>
        <v> sq. ft.</v>
      </c>
      <c r="AF3327">
        <f>IFERROR(__xludf.DUMMYFUNCTION("VALUE(REGEXREPLACE(G3327,""[^[:digit:]]"", """"))"),2464.0)</f>
        <v>2464</v>
      </c>
      <c r="AG3327" s="7"/>
      <c r="AH3327" s="7"/>
      <c r="AI3327" s="7"/>
      <c r="AJ3327" s="7"/>
      <c r="AK3327" s="7"/>
      <c r="AL3327" s="7"/>
      <c r="AM3327" s="7"/>
      <c r="AN3327" s="7"/>
      <c r="AO3327" s="7"/>
      <c r="AP3327" s="7"/>
      <c r="AQ3327" s="7"/>
      <c r="AR3327" s="7"/>
      <c r="AS3327" s="7" t="s">
        <v>27</v>
      </c>
    </row>
    <row r="3328">
      <c r="A3328" s="7" t="s">
        <v>32</v>
      </c>
      <c r="B3328" s="7" t="s">
        <v>78</v>
      </c>
      <c r="C3328" s="7">
        <v>6.0</v>
      </c>
      <c r="D3328" s="7">
        <v>7.0</v>
      </c>
      <c r="E3328" s="9">
        <v>2.0</v>
      </c>
      <c r="F3328" s="7" t="s">
        <v>64</v>
      </c>
      <c r="G3328" s="7" t="s">
        <v>2270</v>
      </c>
      <c r="H3328" s="9" t="s">
        <v>2981</v>
      </c>
      <c r="I3328" t="s">
        <v>4217</v>
      </c>
      <c r="J3328" s="7"/>
      <c r="K3328" s="7"/>
      <c r="L3328" s="7"/>
      <c r="M3328" s="7"/>
      <c r="N3328" s="7"/>
      <c r="O3328" s="7"/>
      <c r="P3328" s="7"/>
      <c r="Q3328" s="7"/>
      <c r="R3328" s="7"/>
      <c r="S3328" s="7" t="s">
        <v>3088</v>
      </c>
      <c r="T3328" s="7"/>
      <c r="U3328" s="7"/>
      <c r="V3328" s="7"/>
      <c r="W3328" s="7"/>
      <c r="X3328" s="7"/>
      <c r="Y3328" s="7"/>
      <c r="Z3328" s="7"/>
      <c r="AA3328" s="7"/>
      <c r="AB3328" s="7"/>
      <c r="AC3328" s="7"/>
      <c r="AD3328" s="7" t="str">
        <f t="shared" si="1"/>
        <v>Land area </v>
      </c>
      <c r="AE3328" s="7" t="str">
        <f t="shared" si="2"/>
        <v> sq. ft.</v>
      </c>
      <c r="AF3328">
        <f>IFERROR(__xludf.DUMMYFUNCTION("VALUE(REGEXREPLACE(G3328,""[^[:digit:]]"", """"))"),3683.0)</f>
        <v>3683</v>
      </c>
      <c r="AG3328" s="7"/>
      <c r="AH3328" s="7"/>
      <c r="AI3328" s="7"/>
      <c r="AJ3328" s="7"/>
      <c r="AK3328" s="7"/>
      <c r="AL3328" s="7"/>
      <c r="AM3328" s="7"/>
      <c r="AN3328" s="7"/>
      <c r="AO3328" s="7"/>
      <c r="AP3328" s="7"/>
      <c r="AQ3328" s="7"/>
      <c r="AR3328" s="7"/>
      <c r="AS3328" s="7" t="s">
        <v>27</v>
      </c>
    </row>
    <row r="3329">
      <c r="A3329" s="7" t="s">
        <v>155</v>
      </c>
      <c r="B3329" s="7" t="s">
        <v>134</v>
      </c>
      <c r="C3329" s="7">
        <f t="shared" ref="C3329:C3330" si="454">3+1</f>
        <v>4</v>
      </c>
      <c r="D3329" s="7">
        <v>3.0</v>
      </c>
      <c r="E3329" s="7">
        <v>2.0</v>
      </c>
      <c r="F3329" s="7" t="s">
        <v>30</v>
      </c>
      <c r="G3329" s="7" t="s">
        <v>2181</v>
      </c>
      <c r="H3329" s="9" t="s">
        <v>2979</v>
      </c>
      <c r="I3329" t="s">
        <v>4164</v>
      </c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7" t="str">
        <f t="shared" si="1"/>
        <v>Built-up :</v>
      </c>
      <c r="AE3329" s="7" t="str">
        <f t="shared" si="2"/>
        <v> sq. ft.</v>
      </c>
      <c r="AF3329">
        <f>IFERROR(__xludf.DUMMYFUNCTION("VALUE(REGEXREPLACE(G3329,""[^[:digit:]]"", """"))"),1757.0)</f>
        <v>1757</v>
      </c>
      <c r="AG3329" s="7"/>
      <c r="AH3329" s="7"/>
      <c r="AI3329" s="7"/>
      <c r="AJ3329" s="7"/>
      <c r="AK3329" s="7"/>
      <c r="AL3329" s="7"/>
      <c r="AM3329" s="7"/>
      <c r="AN3329" s="7"/>
      <c r="AO3329" s="7"/>
      <c r="AP3329" s="7"/>
      <c r="AQ3329" s="7"/>
      <c r="AR3329" s="7"/>
      <c r="AS3329" s="7" t="s">
        <v>27</v>
      </c>
    </row>
    <row r="3330">
      <c r="A3330" s="7" t="s">
        <v>32</v>
      </c>
      <c r="B3330" s="7" t="s">
        <v>372</v>
      </c>
      <c r="C3330" s="7">
        <f t="shared" si="454"/>
        <v>4</v>
      </c>
      <c r="D3330" s="7">
        <v>3.0</v>
      </c>
      <c r="E3330" s="7">
        <v>2.0</v>
      </c>
      <c r="F3330" s="7" t="s">
        <v>494</v>
      </c>
      <c r="G3330" s="7" t="s">
        <v>2271</v>
      </c>
      <c r="H3330" s="9" t="s">
        <v>2979</v>
      </c>
      <c r="I3330" t="s">
        <v>4218</v>
      </c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  <c r="AC3330" s="7"/>
      <c r="AD3330" s="7" t="str">
        <f t="shared" si="1"/>
        <v>Built-up :</v>
      </c>
      <c r="AE3330" s="7" t="str">
        <f t="shared" si="2"/>
        <v> sq. ft.</v>
      </c>
      <c r="AF3330">
        <f>IFERROR(__xludf.DUMMYFUNCTION("VALUE(REGEXREPLACE(G3330,""[^[:digit:]]"", """"))"),1657.0)</f>
        <v>1657</v>
      </c>
      <c r="AG3330" s="7"/>
      <c r="AH3330" s="7"/>
      <c r="AI3330" s="7"/>
      <c r="AJ3330" s="7"/>
      <c r="AK3330" s="7"/>
      <c r="AL3330" s="7"/>
      <c r="AM3330" s="7"/>
      <c r="AN3330" s="7"/>
      <c r="AO3330" s="7"/>
      <c r="AP3330" s="7"/>
      <c r="AQ3330" s="7"/>
      <c r="AR3330" s="7"/>
      <c r="AS3330" s="7" t="s">
        <v>27</v>
      </c>
    </row>
    <row r="3331">
      <c r="A3331" s="7" t="s">
        <v>171</v>
      </c>
      <c r="B3331" s="7" t="s">
        <v>761</v>
      </c>
      <c r="C3331" s="7">
        <f>1</f>
        <v>1</v>
      </c>
      <c r="D3331" s="7">
        <v>1.0</v>
      </c>
      <c r="E3331" s="7">
        <v>5.0</v>
      </c>
      <c r="F3331" s="7" t="s">
        <v>121</v>
      </c>
      <c r="G3331" s="7" t="s">
        <v>2272</v>
      </c>
      <c r="H3331" s="9" t="s">
        <v>2979</v>
      </c>
      <c r="I3331" t="s">
        <v>4219</v>
      </c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7" t="str">
        <f t="shared" si="1"/>
        <v>Built-up :</v>
      </c>
      <c r="AE3331" s="7" t="str">
        <f t="shared" si="2"/>
        <v> sq. ft.</v>
      </c>
      <c r="AF3331">
        <f>IFERROR(__xludf.DUMMYFUNCTION("VALUE(REGEXREPLACE(G3331,""[^[:digit:]]"", """"))"),769.0)</f>
        <v>769</v>
      </c>
      <c r="AG3331" s="7"/>
      <c r="AH3331" s="7"/>
      <c r="AI3331" s="7"/>
      <c r="AJ3331" s="7"/>
      <c r="AK3331" s="7"/>
      <c r="AL3331" s="7"/>
      <c r="AM3331" s="7"/>
      <c r="AN3331" s="7"/>
      <c r="AO3331" s="7"/>
      <c r="AP3331" s="7"/>
      <c r="AQ3331" s="7"/>
      <c r="AR3331" s="7"/>
      <c r="AS3331" s="7" t="s">
        <v>27</v>
      </c>
    </row>
    <row r="3332">
      <c r="A3332" s="7" t="s">
        <v>104</v>
      </c>
      <c r="B3332" s="7" t="s">
        <v>603</v>
      </c>
      <c r="C3332" s="7">
        <f t="shared" ref="C3332:C3334" si="455">3</f>
        <v>3</v>
      </c>
      <c r="D3332" s="7">
        <v>2.0</v>
      </c>
      <c r="E3332" s="7">
        <v>2.0</v>
      </c>
      <c r="F3332" s="7" t="s">
        <v>1185</v>
      </c>
      <c r="G3332" s="7" t="s">
        <v>1132</v>
      </c>
      <c r="H3332" s="9" t="s">
        <v>2979</v>
      </c>
      <c r="I3332" t="s">
        <v>3525</v>
      </c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  <c r="AC3332" s="7"/>
      <c r="AD3332" s="7" t="str">
        <f t="shared" si="1"/>
        <v>Built-up :</v>
      </c>
      <c r="AE3332" s="7" t="str">
        <f t="shared" si="2"/>
        <v> sq. ft.</v>
      </c>
      <c r="AF3332">
        <f>IFERROR(__xludf.DUMMYFUNCTION("VALUE(REGEXREPLACE(G3332,""[^[:digit:]]"", """"))"),1600.0)</f>
        <v>1600</v>
      </c>
      <c r="AG3332" s="7"/>
      <c r="AH3332" s="7"/>
      <c r="AI3332" s="7"/>
      <c r="AJ3332" s="7"/>
      <c r="AK3332" s="7"/>
      <c r="AL3332" s="7"/>
      <c r="AM3332" s="7"/>
      <c r="AN3332" s="7"/>
      <c r="AO3332" s="7"/>
      <c r="AP3332" s="7"/>
      <c r="AQ3332" s="7"/>
      <c r="AR3332" s="7"/>
    </row>
    <row r="3333">
      <c r="A3333" s="7" t="s">
        <v>171</v>
      </c>
      <c r="B3333" s="7" t="s">
        <v>268</v>
      </c>
      <c r="C3333" s="7">
        <f t="shared" si="455"/>
        <v>3</v>
      </c>
      <c r="D3333" s="7">
        <v>2.0</v>
      </c>
      <c r="E3333" s="7">
        <v>2.0</v>
      </c>
      <c r="F3333" s="7" t="s">
        <v>20</v>
      </c>
      <c r="H3333" s="9" t="s">
        <v>2984</v>
      </c>
      <c r="I3333" t="s">
        <v>2985</v>
      </c>
      <c r="AD3333" s="7" t="str">
        <f t="shared" si="1"/>
        <v/>
      </c>
      <c r="AE3333" s="7" t="str">
        <f t="shared" si="2"/>
        <v/>
      </c>
      <c r="AF3333">
        <f>IFERROR(__xludf.DUMMYFUNCTION("VALUE(REGEXREPLACE(G3333,""[^[:digit:]]"", """"))"),0.0)</f>
        <v>0</v>
      </c>
    </row>
    <row r="3334">
      <c r="A3334" s="7" t="s">
        <v>171</v>
      </c>
      <c r="B3334" s="7" t="s">
        <v>107</v>
      </c>
      <c r="C3334" s="7">
        <f t="shared" si="455"/>
        <v>3</v>
      </c>
      <c r="D3334" s="7">
        <v>2.0</v>
      </c>
      <c r="E3334" s="7">
        <v>2.0</v>
      </c>
      <c r="F3334" s="7" t="s">
        <v>20</v>
      </c>
      <c r="H3334" s="9" t="s">
        <v>2984</v>
      </c>
      <c r="I3334" t="s">
        <v>2985</v>
      </c>
      <c r="AD3334" s="7" t="str">
        <f t="shared" si="1"/>
        <v/>
      </c>
      <c r="AE3334" s="7" t="str">
        <f t="shared" si="2"/>
        <v/>
      </c>
      <c r="AF3334">
        <f>IFERROR(__xludf.DUMMYFUNCTION("VALUE(REGEXREPLACE(G3334,""[^[:digit:]]"", """"))"),0.0)</f>
        <v>0</v>
      </c>
    </row>
    <row r="3335">
      <c r="A3335" s="7" t="s">
        <v>171</v>
      </c>
      <c r="B3335" s="7" t="s">
        <v>268</v>
      </c>
      <c r="C3335" s="7">
        <f>4</f>
        <v>4</v>
      </c>
      <c r="D3335" s="7">
        <v>2.0</v>
      </c>
      <c r="E3335" s="7">
        <v>1.0</v>
      </c>
      <c r="F3335" s="7" t="s">
        <v>30</v>
      </c>
      <c r="G3335" s="7" t="s">
        <v>760</v>
      </c>
      <c r="H3335" s="9" t="s">
        <v>2979</v>
      </c>
      <c r="I3335" t="s">
        <v>3323</v>
      </c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  <c r="AC3335" s="7"/>
      <c r="AD3335" s="7" t="str">
        <f t="shared" si="1"/>
        <v>Built-up :</v>
      </c>
      <c r="AE3335" s="7" t="str">
        <f t="shared" si="2"/>
        <v> sq. ft.</v>
      </c>
      <c r="AF3335">
        <f>IFERROR(__xludf.DUMMYFUNCTION("VALUE(REGEXREPLACE(G3335,""[^[:digit:]]"", """"))"),1450.0)</f>
        <v>1450</v>
      </c>
      <c r="AG3335" s="7"/>
      <c r="AH3335" s="7"/>
      <c r="AI3335" s="7"/>
      <c r="AJ3335" s="7"/>
      <c r="AK3335" s="7"/>
      <c r="AL3335" s="7"/>
      <c r="AM3335" s="7"/>
      <c r="AN3335" s="7"/>
      <c r="AO3335" s="7"/>
      <c r="AP3335" s="7"/>
      <c r="AQ3335" s="7"/>
      <c r="AR3335" s="7"/>
      <c r="AS3335" s="7" t="s">
        <v>251</v>
      </c>
    </row>
    <row r="3336">
      <c r="A3336" s="7" t="s">
        <v>692</v>
      </c>
      <c r="B3336" s="7" t="s">
        <v>243</v>
      </c>
      <c r="C3336" s="7">
        <f>3+1</f>
        <v>4</v>
      </c>
      <c r="D3336" s="7">
        <v>4.0</v>
      </c>
      <c r="E3336" s="7">
        <v>2.0</v>
      </c>
      <c r="F3336" s="7" t="s">
        <v>494</v>
      </c>
      <c r="G3336" s="7" t="s">
        <v>1386</v>
      </c>
      <c r="H3336" s="9" t="s">
        <v>2981</v>
      </c>
      <c r="I3336" t="s">
        <v>3445</v>
      </c>
      <c r="J3336" s="7"/>
      <c r="K3336" s="7"/>
      <c r="L3336" s="7"/>
      <c r="M3336" s="7"/>
      <c r="N3336" s="7"/>
      <c r="O3336" s="7"/>
      <c r="P3336" s="7"/>
      <c r="Q3336" s="7"/>
      <c r="R3336" s="7"/>
      <c r="S3336" s="7" t="s">
        <v>3446</v>
      </c>
      <c r="T3336" s="7"/>
      <c r="U3336" s="7"/>
      <c r="V3336" s="7"/>
      <c r="W3336" s="7"/>
      <c r="X3336" s="7"/>
      <c r="Y3336" s="7"/>
      <c r="Z3336" s="7"/>
      <c r="AA3336" s="7"/>
      <c r="AB3336" s="7"/>
      <c r="AC3336" s="7"/>
      <c r="AD3336" s="7" t="str">
        <f t="shared" si="1"/>
        <v>Land area </v>
      </c>
      <c r="AE3336" s="7" t="str">
        <f t="shared" si="2"/>
        <v> sq. ft.</v>
      </c>
      <c r="AF3336" s="7">
        <v>2262.0</v>
      </c>
      <c r="AG3336" s="7"/>
      <c r="AH3336" s="7"/>
      <c r="AI3336" s="7"/>
      <c r="AJ3336" s="7"/>
      <c r="AK3336" s="7"/>
      <c r="AL3336" s="7"/>
      <c r="AM3336" s="7"/>
      <c r="AN3336" s="7"/>
      <c r="AO3336" s="7"/>
      <c r="AP3336" s="7"/>
      <c r="AQ3336" s="7"/>
      <c r="AR3336" s="7"/>
      <c r="AS3336" s="7" t="s">
        <v>27</v>
      </c>
    </row>
    <row r="3337">
      <c r="A3337" s="7" t="s">
        <v>72</v>
      </c>
      <c r="B3337" s="7" t="s">
        <v>1374</v>
      </c>
      <c r="C3337" s="7">
        <f>5</f>
        <v>5</v>
      </c>
      <c r="D3337" s="7">
        <v>5.0</v>
      </c>
      <c r="E3337" s="7">
        <v>2.0</v>
      </c>
      <c r="F3337" s="7" t="s">
        <v>90</v>
      </c>
      <c r="G3337" s="7" t="s">
        <v>2273</v>
      </c>
      <c r="H3337" s="9" t="s">
        <v>2979</v>
      </c>
      <c r="I3337" t="s">
        <v>4220</v>
      </c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  <c r="AC3337" s="7"/>
      <c r="AD3337" s="7" t="str">
        <f t="shared" si="1"/>
        <v>Built-up :</v>
      </c>
      <c r="AE3337" s="7" t="str">
        <f t="shared" si="2"/>
        <v> sq. ft.</v>
      </c>
      <c r="AF3337">
        <f>IFERROR(__xludf.DUMMYFUNCTION("VALUE(REGEXREPLACE(G3337,""[^[:digit:]]"", """"))"),3480.0)</f>
        <v>3480</v>
      </c>
      <c r="AG3337" s="7"/>
      <c r="AH3337" s="7"/>
      <c r="AI3337" s="7"/>
      <c r="AJ3337" s="7"/>
      <c r="AK3337" s="7"/>
      <c r="AL3337" s="7"/>
      <c r="AM3337" s="7"/>
      <c r="AN3337" s="7"/>
      <c r="AO3337" s="7"/>
      <c r="AP3337" s="7"/>
      <c r="AQ3337" s="7"/>
      <c r="AR3337" s="7"/>
      <c r="AS3337" s="7" t="s">
        <v>27</v>
      </c>
    </row>
    <row r="3338">
      <c r="A3338" s="7" t="s">
        <v>368</v>
      </c>
      <c r="B3338" s="7" t="s">
        <v>221</v>
      </c>
      <c r="C3338" s="7">
        <f>2</f>
        <v>2</v>
      </c>
      <c r="D3338" s="7">
        <v>2.0</v>
      </c>
      <c r="E3338" s="7">
        <v>1.0</v>
      </c>
      <c r="F3338" s="7" t="s">
        <v>20</v>
      </c>
      <c r="G3338" s="7" t="s">
        <v>51</v>
      </c>
      <c r="H3338" s="9" t="s">
        <v>2979</v>
      </c>
      <c r="I3338" t="s">
        <v>2991</v>
      </c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  <c r="AC3338" s="7"/>
      <c r="AD3338" s="7" t="str">
        <f t="shared" si="1"/>
        <v>Built-up :</v>
      </c>
      <c r="AE3338" s="7" t="str">
        <f t="shared" si="2"/>
        <v> sq. ft.</v>
      </c>
      <c r="AF3338">
        <f>IFERROR(__xludf.DUMMYFUNCTION("VALUE(REGEXREPLACE(G3338,""[^[:digit:]]"", """"))"),904.0)</f>
        <v>904</v>
      </c>
      <c r="AG3338" s="7"/>
      <c r="AH3338" s="7"/>
      <c r="AI3338" s="7"/>
      <c r="AJ3338" s="7"/>
      <c r="AK3338" s="7"/>
      <c r="AL3338" s="7"/>
      <c r="AM3338" s="7"/>
      <c r="AN3338" s="7"/>
      <c r="AO3338" s="7"/>
      <c r="AP3338" s="7"/>
      <c r="AQ3338" s="7"/>
      <c r="AR3338" s="7"/>
      <c r="AS3338" s="7" t="s">
        <v>27</v>
      </c>
    </row>
    <row r="3339">
      <c r="A3339" s="7" t="s">
        <v>368</v>
      </c>
      <c r="B3339" s="7" t="s">
        <v>168</v>
      </c>
      <c r="C3339" s="7">
        <f>3</f>
        <v>3</v>
      </c>
      <c r="D3339" s="7">
        <v>2.0</v>
      </c>
      <c r="E3339" s="7">
        <v>2.0</v>
      </c>
      <c r="F3339" s="7" t="s">
        <v>121</v>
      </c>
      <c r="G3339" s="7" t="s">
        <v>2034</v>
      </c>
      <c r="H3339" s="9" t="s">
        <v>2979</v>
      </c>
      <c r="I3339" t="s">
        <v>4069</v>
      </c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  <c r="AA3339" s="7"/>
      <c r="AB3339" s="7"/>
      <c r="AC3339" s="7"/>
      <c r="AD3339" s="7" t="str">
        <f t="shared" si="1"/>
        <v>Built-up :</v>
      </c>
      <c r="AE3339" s="7" t="str">
        <f t="shared" si="2"/>
        <v> sq. ft.</v>
      </c>
      <c r="AF3339">
        <f>IFERROR(__xludf.DUMMYFUNCTION("VALUE(REGEXREPLACE(G3339,""[^[:digit:]]"", """"))"),1109.0)</f>
        <v>1109</v>
      </c>
      <c r="AG3339" s="7"/>
      <c r="AH3339" s="7"/>
      <c r="AI3339" s="7"/>
      <c r="AJ3339" s="7"/>
      <c r="AK3339" s="7"/>
      <c r="AL3339" s="7"/>
      <c r="AM3339" s="7"/>
      <c r="AN3339" s="7"/>
      <c r="AO3339" s="7"/>
      <c r="AP3339" s="7"/>
      <c r="AQ3339" s="7"/>
      <c r="AR3339" s="7"/>
      <c r="AS3339" s="7" t="s">
        <v>27</v>
      </c>
    </row>
    <row r="3340">
      <c r="A3340" s="7" t="s">
        <v>23</v>
      </c>
      <c r="B3340" s="7" t="s">
        <v>1240</v>
      </c>
      <c r="C3340" s="7">
        <f>5+1</f>
        <v>6</v>
      </c>
      <c r="D3340" s="7">
        <v>7.0</v>
      </c>
      <c r="E3340" s="7">
        <v>3.0</v>
      </c>
      <c r="F3340" s="7" t="s">
        <v>25</v>
      </c>
      <c r="G3340" s="7" t="s">
        <v>1496</v>
      </c>
      <c r="H3340" s="9" t="s">
        <v>2981</v>
      </c>
      <c r="I3340" t="s">
        <v>3744</v>
      </c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  <c r="AB3340" s="7"/>
      <c r="AC3340" s="7"/>
      <c r="AD3340" s="7" t="str">
        <f t="shared" si="1"/>
        <v>Land area </v>
      </c>
      <c r="AE3340" s="7" t="str">
        <f t="shared" si="2"/>
        <v> sq. ft.</v>
      </c>
      <c r="AF3340">
        <f>IFERROR(__xludf.DUMMYFUNCTION("VALUE(REGEXREPLACE(G3340,""[^[:digit:]]"", """"))"),9300.0)</f>
        <v>9300</v>
      </c>
      <c r="AG3340" s="7"/>
      <c r="AH3340" s="7"/>
      <c r="AI3340" s="7"/>
      <c r="AJ3340" s="7"/>
      <c r="AK3340" s="7"/>
      <c r="AL3340" s="7"/>
      <c r="AM3340" s="7"/>
      <c r="AN3340" s="7"/>
      <c r="AO3340" s="7"/>
      <c r="AP3340" s="7"/>
      <c r="AQ3340" s="7"/>
      <c r="AR3340" s="7"/>
      <c r="AS3340" s="7" t="s">
        <v>22</v>
      </c>
    </row>
    <row r="3341">
      <c r="A3341" s="7" t="s">
        <v>262</v>
      </c>
      <c r="B3341" s="7" t="s">
        <v>934</v>
      </c>
      <c r="C3341" s="7">
        <f>7+1</f>
        <v>8</v>
      </c>
      <c r="D3341" s="7">
        <v>8.0</v>
      </c>
      <c r="E3341" s="9">
        <v>2.0</v>
      </c>
      <c r="F3341" s="7" t="s">
        <v>25</v>
      </c>
      <c r="G3341" s="7" t="s">
        <v>935</v>
      </c>
      <c r="H3341" s="9" t="s">
        <v>2981</v>
      </c>
      <c r="I3341" t="s">
        <v>3415</v>
      </c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7" t="str">
        <f t="shared" si="1"/>
        <v>Land area </v>
      </c>
      <c r="AE3341" s="7" t="str">
        <f t="shared" si="2"/>
        <v> sq. ft.</v>
      </c>
      <c r="AF3341">
        <f>IFERROR(__xludf.DUMMYFUNCTION("VALUE(REGEXREPLACE(G3341,""[^[:digit:]]"", """"))"),8622.0)</f>
        <v>8622</v>
      </c>
      <c r="AG3341" s="7"/>
      <c r="AH3341" s="7"/>
      <c r="AI3341" s="7"/>
      <c r="AJ3341" s="7"/>
      <c r="AK3341" s="7"/>
      <c r="AL3341" s="7"/>
      <c r="AM3341" s="7"/>
      <c r="AN3341" s="7"/>
      <c r="AO3341" s="7"/>
      <c r="AP3341" s="7"/>
      <c r="AQ3341" s="7"/>
      <c r="AR3341" s="7"/>
      <c r="AS3341" s="7" t="s">
        <v>27</v>
      </c>
    </row>
    <row r="3342">
      <c r="A3342" s="7" t="s">
        <v>262</v>
      </c>
      <c r="B3342" s="7" t="s">
        <v>66</v>
      </c>
      <c r="C3342" s="7">
        <f>6+1</f>
        <v>7</v>
      </c>
      <c r="D3342" s="7">
        <v>10.0</v>
      </c>
      <c r="E3342" s="7">
        <v>10.0</v>
      </c>
      <c r="F3342" s="7" t="s">
        <v>25</v>
      </c>
      <c r="G3342" s="7" t="s">
        <v>2274</v>
      </c>
      <c r="H3342" s="9" t="s">
        <v>2981</v>
      </c>
      <c r="I3342" t="s">
        <v>4221</v>
      </c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7" t="str">
        <f t="shared" si="1"/>
        <v>Land area </v>
      </c>
      <c r="AE3342" s="7" t="str">
        <f t="shared" si="2"/>
        <v> sq. ft.</v>
      </c>
      <c r="AF3342">
        <f>IFERROR(__xludf.DUMMYFUNCTION("VALUE(REGEXREPLACE(G3342,""[^[:digit:]]"", """"))"),11700.0)</f>
        <v>11700</v>
      </c>
      <c r="AG3342" s="7"/>
      <c r="AH3342" s="7"/>
      <c r="AI3342" s="7"/>
      <c r="AJ3342" s="7"/>
      <c r="AK3342" s="7"/>
      <c r="AL3342" s="7"/>
      <c r="AM3342" s="7"/>
      <c r="AN3342" s="7"/>
      <c r="AO3342" s="7"/>
      <c r="AP3342" s="7"/>
      <c r="AQ3342" s="7"/>
      <c r="AR3342" s="7"/>
      <c r="AS3342" s="7" t="s">
        <v>27</v>
      </c>
    </row>
    <row r="3343">
      <c r="A3343" s="7" t="s">
        <v>100</v>
      </c>
      <c r="B3343" s="7" t="s">
        <v>372</v>
      </c>
      <c r="C3343" s="7">
        <f t="shared" ref="C3343:C3344" si="456">3+1</f>
        <v>4</v>
      </c>
      <c r="D3343" s="7">
        <v>2.0</v>
      </c>
      <c r="E3343" s="7">
        <v>2.0</v>
      </c>
      <c r="F3343" s="7" t="s">
        <v>82</v>
      </c>
      <c r="G3343" s="7" t="s">
        <v>410</v>
      </c>
      <c r="H3343" s="9" t="s">
        <v>2979</v>
      </c>
      <c r="I3343" t="s">
        <v>3150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  <c r="AC3343" s="7"/>
      <c r="AD3343" s="7" t="str">
        <f t="shared" si="1"/>
        <v>Built-up :</v>
      </c>
      <c r="AE3343" s="7" t="str">
        <f t="shared" si="2"/>
        <v> sq. ft.</v>
      </c>
      <c r="AF3343">
        <f>IFERROR(__xludf.DUMMYFUNCTION("VALUE(REGEXREPLACE(G3343,""[^[:digit:]]"", """"))"),1094.0)</f>
        <v>1094</v>
      </c>
      <c r="AG3343" s="7"/>
      <c r="AH3343" s="7"/>
      <c r="AI3343" s="7"/>
      <c r="AJ3343" s="7"/>
      <c r="AK3343" s="7"/>
      <c r="AL3343" s="7"/>
      <c r="AM3343" s="7"/>
      <c r="AN3343" s="7"/>
      <c r="AO3343" s="7"/>
      <c r="AP3343" s="7"/>
      <c r="AQ3343" s="7"/>
      <c r="AR3343" s="7"/>
      <c r="AS3343" s="7" t="s">
        <v>22</v>
      </c>
    </row>
    <row r="3344">
      <c r="A3344" s="7" t="s">
        <v>72</v>
      </c>
      <c r="B3344" s="7" t="s">
        <v>78</v>
      </c>
      <c r="C3344" s="7">
        <f t="shared" si="456"/>
        <v>4</v>
      </c>
      <c r="D3344" s="7">
        <v>4.0</v>
      </c>
      <c r="E3344" s="7">
        <v>2.0</v>
      </c>
      <c r="F3344" s="7" t="s">
        <v>83</v>
      </c>
      <c r="G3344" s="7" t="s">
        <v>334</v>
      </c>
      <c r="H3344" s="9" t="s">
        <v>2979</v>
      </c>
      <c r="I3344" t="s">
        <v>3112</v>
      </c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  <c r="AC3344" s="7"/>
      <c r="AD3344" s="7" t="str">
        <f t="shared" si="1"/>
        <v>Built-up :</v>
      </c>
      <c r="AE3344" s="7" t="str">
        <f t="shared" si="2"/>
        <v> sq. ft.</v>
      </c>
      <c r="AF3344">
        <f>IFERROR(__xludf.DUMMYFUNCTION("VALUE(REGEXREPLACE(G3344,""[^[:digit:]]"", """"))"),1496.0)</f>
        <v>1496</v>
      </c>
      <c r="AG3344" s="7"/>
      <c r="AH3344" s="7"/>
      <c r="AI3344" s="7"/>
      <c r="AJ3344" s="7"/>
      <c r="AK3344" s="7"/>
      <c r="AL3344" s="7"/>
      <c r="AM3344" s="7"/>
      <c r="AN3344" s="7"/>
      <c r="AO3344" s="7"/>
      <c r="AP3344" s="7"/>
      <c r="AQ3344" s="7"/>
      <c r="AR3344" s="7"/>
      <c r="AS3344" s="7" t="s">
        <v>27</v>
      </c>
    </row>
    <row r="3345">
      <c r="A3345" s="7" t="s">
        <v>33</v>
      </c>
      <c r="B3345" s="7" t="s">
        <v>221</v>
      </c>
      <c r="C3345" s="7">
        <f>2</f>
        <v>2</v>
      </c>
      <c r="D3345" s="7">
        <v>2.0</v>
      </c>
      <c r="E3345" s="7">
        <v>1.0</v>
      </c>
      <c r="F3345" s="7" t="s">
        <v>82</v>
      </c>
      <c r="G3345" s="7" t="s">
        <v>222</v>
      </c>
      <c r="H3345" s="9" t="s">
        <v>2979</v>
      </c>
      <c r="I3345" t="s">
        <v>3061</v>
      </c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  <c r="AA3345" s="7"/>
      <c r="AB3345" s="7"/>
      <c r="AC3345" s="7"/>
      <c r="AD3345" s="7" t="str">
        <f t="shared" si="1"/>
        <v>Built-up :</v>
      </c>
      <c r="AE3345" s="7" t="str">
        <f t="shared" si="2"/>
        <v> sq. ft.</v>
      </c>
      <c r="AF3345">
        <f>IFERROR(__xludf.DUMMYFUNCTION("VALUE(REGEXREPLACE(G3345,""[^[:digit:]]"", """"))"),791.0)</f>
        <v>791</v>
      </c>
      <c r="AG3345" s="7"/>
      <c r="AH3345" s="7"/>
      <c r="AI3345" s="7"/>
      <c r="AJ3345" s="7"/>
      <c r="AK3345" s="7"/>
      <c r="AL3345" s="7"/>
      <c r="AM3345" s="7"/>
      <c r="AN3345" s="7"/>
      <c r="AO3345" s="7"/>
      <c r="AP3345" s="7"/>
      <c r="AQ3345" s="7"/>
      <c r="AR3345" s="7"/>
      <c r="AS3345" s="7" t="s">
        <v>27</v>
      </c>
    </row>
    <row r="3346">
      <c r="A3346" s="7" t="s">
        <v>28</v>
      </c>
      <c r="B3346" s="7" t="s">
        <v>327</v>
      </c>
      <c r="C3346" s="7">
        <f>3</f>
        <v>3</v>
      </c>
      <c r="D3346" s="7">
        <v>2.0</v>
      </c>
      <c r="E3346" s="7">
        <v>1.0</v>
      </c>
      <c r="F3346" s="7" t="s">
        <v>20</v>
      </c>
      <c r="G3346" s="7" t="s">
        <v>1555</v>
      </c>
      <c r="H3346" s="9" t="s">
        <v>2979</v>
      </c>
      <c r="I3346" t="s">
        <v>3777</v>
      </c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  <c r="AB3346" s="7"/>
      <c r="AC3346" s="7"/>
      <c r="AD3346" s="7" t="str">
        <f t="shared" si="1"/>
        <v>Built-up :</v>
      </c>
      <c r="AE3346" s="7" t="str">
        <f t="shared" si="2"/>
        <v> sq. ft.</v>
      </c>
      <c r="AF3346">
        <f>IFERROR(__xludf.DUMMYFUNCTION("VALUE(REGEXREPLACE(G3346,""[^[:digit:]]"", """"))"),1238.0)</f>
        <v>1238</v>
      </c>
      <c r="AG3346" s="7"/>
      <c r="AH3346" s="7"/>
      <c r="AI3346" s="7"/>
      <c r="AJ3346" s="7"/>
      <c r="AK3346" s="7"/>
      <c r="AL3346" s="7"/>
      <c r="AM3346" s="7"/>
      <c r="AN3346" s="7"/>
      <c r="AO3346" s="7"/>
      <c r="AP3346" s="7"/>
      <c r="AQ3346" s="7"/>
      <c r="AR3346" s="7"/>
      <c r="AS3346" s="7" t="s">
        <v>22</v>
      </c>
    </row>
    <row r="3347">
      <c r="A3347" s="7" t="s">
        <v>28</v>
      </c>
      <c r="B3347" s="7" t="s">
        <v>635</v>
      </c>
      <c r="C3347" s="7">
        <f>1</f>
        <v>1</v>
      </c>
      <c r="D3347" s="7">
        <v>1.0</v>
      </c>
      <c r="E3347" s="7">
        <v>1.0</v>
      </c>
      <c r="F3347" s="7" t="s">
        <v>20</v>
      </c>
      <c r="G3347" s="7" t="s">
        <v>1127</v>
      </c>
      <c r="H3347" s="9" t="s">
        <v>2979</v>
      </c>
      <c r="I3347" t="s">
        <v>3521</v>
      </c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7" t="str">
        <f t="shared" si="1"/>
        <v>Built-up :</v>
      </c>
      <c r="AE3347" s="7" t="str">
        <f t="shared" si="2"/>
        <v> sq. ft.</v>
      </c>
      <c r="AF3347">
        <f>IFERROR(__xludf.DUMMYFUNCTION("VALUE(REGEXREPLACE(G3347,""[^[:digit:]]"", """"))"),672.0)</f>
        <v>672</v>
      </c>
      <c r="AG3347" s="7"/>
      <c r="AH3347" s="7"/>
      <c r="AI3347" s="7"/>
      <c r="AJ3347" s="7"/>
      <c r="AK3347" s="7"/>
      <c r="AL3347" s="7"/>
      <c r="AM3347" s="7"/>
      <c r="AN3347" s="7"/>
      <c r="AO3347" s="7"/>
      <c r="AP3347" s="7"/>
      <c r="AQ3347" s="7"/>
      <c r="AR3347" s="7"/>
      <c r="AS3347" s="7" t="s">
        <v>22</v>
      </c>
    </row>
    <row r="3348">
      <c r="A3348" s="7" t="s">
        <v>171</v>
      </c>
      <c r="B3348" s="7" t="s">
        <v>2275</v>
      </c>
      <c r="C3348" s="7">
        <f>1+1</f>
        <v>2</v>
      </c>
      <c r="D3348" s="7">
        <v>2.0</v>
      </c>
      <c r="E3348" s="7">
        <v>1.0</v>
      </c>
      <c r="F3348" s="7" t="s">
        <v>20</v>
      </c>
      <c r="G3348" s="7" t="s">
        <v>252</v>
      </c>
      <c r="H3348" s="9" t="s">
        <v>2979</v>
      </c>
      <c r="I3348" t="s">
        <v>3077</v>
      </c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  <c r="AC3348" s="7"/>
      <c r="AD3348" s="7" t="str">
        <f t="shared" si="1"/>
        <v>Built-up :</v>
      </c>
      <c r="AE3348" s="7" t="str">
        <f t="shared" si="2"/>
        <v> sq. ft.</v>
      </c>
      <c r="AF3348">
        <f>IFERROR(__xludf.DUMMYFUNCTION("VALUE(REGEXREPLACE(G3348,""[^[:digit:]]"", """"))"),657.0)</f>
        <v>657</v>
      </c>
      <c r="AG3348" s="7"/>
      <c r="AH3348" s="7"/>
      <c r="AI3348" s="7"/>
      <c r="AJ3348" s="7"/>
      <c r="AK3348" s="7"/>
      <c r="AL3348" s="7"/>
      <c r="AM3348" s="7"/>
      <c r="AN3348" s="7"/>
      <c r="AO3348" s="7"/>
      <c r="AP3348" s="7"/>
      <c r="AQ3348" s="7"/>
      <c r="AR3348" s="7"/>
      <c r="AS3348" s="7" t="s">
        <v>27</v>
      </c>
    </row>
    <row r="3349">
      <c r="A3349" s="7" t="s">
        <v>37</v>
      </c>
      <c r="B3349" s="7" t="s">
        <v>530</v>
      </c>
      <c r="C3349" s="7">
        <f>5+2</f>
        <v>7</v>
      </c>
      <c r="D3349" s="7">
        <v>7.0</v>
      </c>
      <c r="E3349" s="9">
        <v>2.0</v>
      </c>
      <c r="F3349" s="7" t="s">
        <v>61</v>
      </c>
      <c r="G3349" s="7" t="s">
        <v>696</v>
      </c>
      <c r="H3349" s="9" t="s">
        <v>2981</v>
      </c>
      <c r="I3349" t="s">
        <v>3288</v>
      </c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  <c r="AC3349" s="7"/>
      <c r="AD3349" s="7" t="str">
        <f t="shared" si="1"/>
        <v>Land area </v>
      </c>
      <c r="AE3349" s="7" t="str">
        <f t="shared" si="2"/>
        <v> sq. ft.</v>
      </c>
      <c r="AF3349">
        <f>IFERROR(__xludf.DUMMYFUNCTION("VALUE(REGEXREPLACE(G3349,""[^[:digit:]]"", """"))"),8000.0)</f>
        <v>8000</v>
      </c>
      <c r="AG3349" s="7"/>
      <c r="AH3349" s="7"/>
      <c r="AI3349" s="7"/>
      <c r="AJ3349" s="7"/>
      <c r="AK3349" s="7"/>
      <c r="AL3349" s="7"/>
      <c r="AM3349" s="7"/>
      <c r="AN3349" s="7"/>
      <c r="AO3349" s="7"/>
      <c r="AP3349" s="7"/>
      <c r="AQ3349" s="7"/>
      <c r="AR3349" s="7"/>
      <c r="AS3349" s="7" t="s">
        <v>27</v>
      </c>
    </row>
    <row r="3350">
      <c r="A3350" s="7" t="s">
        <v>17</v>
      </c>
      <c r="B3350" s="7" t="s">
        <v>610</v>
      </c>
      <c r="C3350" s="7">
        <f>4</f>
        <v>4</v>
      </c>
      <c r="D3350" s="7">
        <v>3.0</v>
      </c>
      <c r="E3350" s="7">
        <v>1.0</v>
      </c>
      <c r="F3350" s="7" t="s">
        <v>20</v>
      </c>
      <c r="G3350" s="7" t="s">
        <v>2064</v>
      </c>
      <c r="H3350" s="9" t="s">
        <v>2979</v>
      </c>
      <c r="I3350" t="s">
        <v>4088</v>
      </c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  <c r="AC3350" s="7"/>
      <c r="AD3350" s="7" t="str">
        <f t="shared" si="1"/>
        <v>Built-up :</v>
      </c>
      <c r="AE3350" s="7" t="str">
        <f t="shared" si="2"/>
        <v> sq. ft.</v>
      </c>
      <c r="AF3350">
        <f>IFERROR(__xludf.DUMMYFUNCTION("VALUE(REGEXREPLACE(G3350,""[^[:digit:]]"", """"))"),1626.0)</f>
        <v>1626</v>
      </c>
      <c r="AG3350" s="7"/>
      <c r="AH3350" s="7"/>
      <c r="AI3350" s="7"/>
      <c r="AJ3350" s="7"/>
      <c r="AK3350" s="7"/>
      <c r="AL3350" s="7"/>
      <c r="AM3350" s="7"/>
      <c r="AN3350" s="7"/>
      <c r="AO3350" s="7"/>
      <c r="AP3350" s="7"/>
      <c r="AQ3350" s="7"/>
      <c r="AR3350" s="7"/>
    </row>
    <row r="3351">
      <c r="A3351" s="7" t="s">
        <v>1979</v>
      </c>
      <c r="B3351" s="7" t="s">
        <v>201</v>
      </c>
      <c r="C3351" s="7">
        <f>3+1</f>
        <v>4</v>
      </c>
      <c r="D3351" s="7">
        <v>2.0</v>
      </c>
      <c r="E3351" s="9">
        <v>2.0</v>
      </c>
      <c r="F3351" s="7" t="s">
        <v>169</v>
      </c>
      <c r="G3351" s="7" t="s">
        <v>2276</v>
      </c>
      <c r="H3351" s="9" t="s">
        <v>2981</v>
      </c>
      <c r="I3351" t="s">
        <v>3718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 t="s">
        <v>3372</v>
      </c>
      <c r="T3351" s="7"/>
      <c r="U3351" s="7"/>
      <c r="V3351" s="7"/>
      <c r="W3351" s="7"/>
      <c r="X3351" s="7"/>
      <c r="Y3351" s="7"/>
      <c r="Z3351" s="7"/>
      <c r="AA3351" s="7"/>
      <c r="AB3351" s="7"/>
      <c r="AC3351" s="7"/>
      <c r="AD3351" s="7" t="str">
        <f t="shared" si="1"/>
        <v>Land area </v>
      </c>
      <c r="AE3351" s="7" t="str">
        <f t="shared" si="2"/>
        <v> sq. ft.</v>
      </c>
      <c r="AF3351" s="7">
        <v>1080.0</v>
      </c>
      <c r="AG3351" s="7"/>
      <c r="AH3351" s="7"/>
      <c r="AI3351" s="7"/>
      <c r="AJ3351" s="7"/>
      <c r="AK3351" s="7"/>
      <c r="AL3351" s="7"/>
      <c r="AM3351" s="7"/>
      <c r="AN3351" s="7"/>
      <c r="AO3351" s="7"/>
      <c r="AP3351" s="7"/>
      <c r="AQ3351" s="7"/>
      <c r="AR3351" s="7"/>
      <c r="AS3351" s="7" t="s">
        <v>27</v>
      </c>
    </row>
    <row r="3352">
      <c r="A3352" s="7" t="s">
        <v>28</v>
      </c>
      <c r="B3352" s="7" t="s">
        <v>125</v>
      </c>
      <c r="C3352" s="7">
        <f>5+1</f>
        <v>6</v>
      </c>
      <c r="D3352" s="7">
        <v>6.0</v>
      </c>
      <c r="E3352" s="7">
        <v>2.0</v>
      </c>
      <c r="F3352" s="7" t="s">
        <v>43</v>
      </c>
      <c r="G3352" s="7" t="s">
        <v>2277</v>
      </c>
      <c r="H3352" s="9" t="s">
        <v>2981</v>
      </c>
      <c r="I3352" t="s">
        <v>4222</v>
      </c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  <c r="AA3352" s="7"/>
      <c r="AB3352" s="7"/>
      <c r="AC3352" s="7"/>
      <c r="AD3352" s="7" t="str">
        <f t="shared" si="1"/>
        <v>Land area </v>
      </c>
      <c r="AE3352" s="7" t="str">
        <f t="shared" si="2"/>
        <v> sq. ft.</v>
      </c>
      <c r="AF3352">
        <f>IFERROR(__xludf.DUMMYFUNCTION("VALUE(REGEXREPLACE(G3352,""[^[:digit:]]"", """"))"),1894.0)</f>
        <v>1894</v>
      </c>
      <c r="AG3352" s="7"/>
      <c r="AH3352" s="7"/>
      <c r="AI3352" s="7"/>
      <c r="AJ3352" s="7"/>
      <c r="AK3352" s="7"/>
      <c r="AL3352" s="7"/>
      <c r="AM3352" s="7"/>
      <c r="AN3352" s="7"/>
      <c r="AO3352" s="7"/>
      <c r="AP3352" s="7"/>
      <c r="AQ3352" s="7"/>
      <c r="AR3352" s="7"/>
      <c r="AS3352" s="7" t="s">
        <v>27</v>
      </c>
    </row>
    <row r="3353">
      <c r="A3353" s="7" t="s">
        <v>77</v>
      </c>
      <c r="B3353" s="7" t="s">
        <v>281</v>
      </c>
      <c r="C3353" s="7">
        <f>4+2</f>
        <v>6</v>
      </c>
      <c r="D3353" s="7">
        <v>6.0</v>
      </c>
      <c r="E3353" s="9">
        <v>2.0</v>
      </c>
      <c r="F3353" s="7" t="s">
        <v>169</v>
      </c>
      <c r="G3353" s="7" t="s">
        <v>2278</v>
      </c>
      <c r="H3353" s="9" t="s">
        <v>2981</v>
      </c>
      <c r="I3353" t="s">
        <v>3300</v>
      </c>
      <c r="J3353" s="7"/>
      <c r="K3353" s="7"/>
      <c r="L3353" s="7"/>
      <c r="M3353" s="7"/>
      <c r="N3353" s="7"/>
      <c r="O3353" s="7"/>
      <c r="P3353" s="7"/>
      <c r="Q3353" s="7"/>
      <c r="R3353" s="7"/>
      <c r="S3353" s="7" t="s">
        <v>3382</v>
      </c>
      <c r="T3353" s="7"/>
      <c r="U3353" s="7"/>
      <c r="V3353" s="7"/>
      <c r="W3353" s="7"/>
      <c r="X3353" s="7"/>
      <c r="Y3353" s="7"/>
      <c r="Z3353" s="7"/>
      <c r="AA3353" s="7"/>
      <c r="AB3353" s="7"/>
      <c r="AC3353" s="7"/>
      <c r="AD3353" s="7" t="str">
        <f t="shared" si="1"/>
        <v>Land area </v>
      </c>
      <c r="AE3353" s="7" t="str">
        <f t="shared" si="2"/>
        <v> sq. ft.</v>
      </c>
      <c r="AF3353" s="7">
        <v>2200.0</v>
      </c>
      <c r="AG3353" s="7"/>
      <c r="AH3353" s="7"/>
      <c r="AI3353" s="7"/>
      <c r="AJ3353" s="7"/>
      <c r="AK3353" s="7"/>
      <c r="AL3353" s="7"/>
      <c r="AM3353" s="7"/>
      <c r="AN3353" s="7"/>
      <c r="AO3353" s="7"/>
      <c r="AP3353" s="7"/>
      <c r="AQ3353" s="7"/>
      <c r="AR3353" s="7"/>
    </row>
    <row r="3354">
      <c r="A3354" s="7" t="s">
        <v>17</v>
      </c>
      <c r="B3354" s="7" t="s">
        <v>349</v>
      </c>
      <c r="C3354" s="7">
        <f>1</f>
        <v>1</v>
      </c>
      <c r="D3354" s="7">
        <v>2.0</v>
      </c>
      <c r="E3354" s="7">
        <v>1.0</v>
      </c>
      <c r="F3354" s="7" t="s">
        <v>83</v>
      </c>
      <c r="G3354" s="7" t="s">
        <v>2279</v>
      </c>
      <c r="H3354" s="9" t="s">
        <v>2979</v>
      </c>
      <c r="I3354" t="s">
        <v>4223</v>
      </c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  <c r="AD3354" s="7" t="str">
        <f t="shared" si="1"/>
        <v>Built-up :</v>
      </c>
      <c r="AE3354" s="7" t="str">
        <f t="shared" si="2"/>
        <v> sq. ft.</v>
      </c>
      <c r="AF3354">
        <f>IFERROR(__xludf.DUMMYFUNCTION("VALUE(REGEXREPLACE(G3354,""[^[:digit:]]"", """"))"),989.0)</f>
        <v>989</v>
      </c>
      <c r="AG3354" s="7"/>
      <c r="AH3354" s="7"/>
      <c r="AI3354" s="7"/>
      <c r="AJ3354" s="7"/>
      <c r="AK3354" s="7"/>
      <c r="AL3354" s="7"/>
      <c r="AM3354" s="7"/>
      <c r="AN3354" s="7"/>
      <c r="AO3354" s="7"/>
      <c r="AP3354" s="7"/>
      <c r="AQ3354" s="7"/>
      <c r="AR3354" s="7"/>
    </row>
    <row r="3355">
      <c r="A3355" s="7" t="s">
        <v>86</v>
      </c>
      <c r="B3355" s="7" t="s">
        <v>311</v>
      </c>
      <c r="C3355" s="7">
        <f t="shared" ref="C3355:C3356" si="457">3</f>
        <v>3</v>
      </c>
      <c r="D3355" s="7">
        <v>2.0</v>
      </c>
      <c r="E3355" s="9">
        <v>2.0</v>
      </c>
      <c r="F3355" s="7" t="s">
        <v>83</v>
      </c>
      <c r="G3355" s="7" t="s">
        <v>303</v>
      </c>
      <c r="H3355" s="9" t="s">
        <v>2979</v>
      </c>
      <c r="I3355" t="s">
        <v>3099</v>
      </c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  <c r="AD3355" s="7" t="str">
        <f t="shared" si="1"/>
        <v>Built-up :</v>
      </c>
      <c r="AE3355" s="7" t="str">
        <f t="shared" si="2"/>
        <v> sq. ft.</v>
      </c>
      <c r="AF3355">
        <f>IFERROR(__xludf.DUMMYFUNCTION("VALUE(REGEXREPLACE(G3355,""[^[:digit:]]"", """"))"),1485.0)</f>
        <v>1485</v>
      </c>
      <c r="AG3355" s="7"/>
      <c r="AH3355" s="7"/>
      <c r="AI3355" s="7"/>
      <c r="AJ3355" s="7"/>
      <c r="AK3355" s="7"/>
      <c r="AL3355" s="7"/>
      <c r="AM3355" s="7"/>
      <c r="AN3355" s="7"/>
      <c r="AO3355" s="7"/>
      <c r="AP3355" s="7"/>
      <c r="AQ3355" s="7"/>
      <c r="AR3355" s="7"/>
    </row>
    <row r="3356">
      <c r="A3356" s="7" t="s">
        <v>1315</v>
      </c>
      <c r="B3356" s="7" t="s">
        <v>329</v>
      </c>
      <c r="C3356" s="7">
        <f t="shared" si="457"/>
        <v>3</v>
      </c>
      <c r="D3356" s="7">
        <v>4.0</v>
      </c>
      <c r="E3356" s="9">
        <v>2.0</v>
      </c>
      <c r="F3356" s="7" t="s">
        <v>93</v>
      </c>
      <c r="G3356" s="7" t="s">
        <v>1029</v>
      </c>
      <c r="H3356" s="9" t="s">
        <v>2979</v>
      </c>
      <c r="I3356" t="s">
        <v>3465</v>
      </c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  <c r="AD3356" s="7" t="str">
        <f t="shared" si="1"/>
        <v>Built-up :</v>
      </c>
      <c r="AE3356" s="7" t="str">
        <f t="shared" si="2"/>
        <v> sq. ft.</v>
      </c>
      <c r="AF3356">
        <f>IFERROR(__xludf.DUMMYFUNCTION("VALUE(REGEXREPLACE(G3356,""[^[:digit:]]"", """"))"),1800.0)</f>
        <v>1800</v>
      </c>
      <c r="AG3356" s="7"/>
      <c r="AH3356" s="7"/>
      <c r="AI3356" s="7"/>
      <c r="AJ3356" s="7"/>
      <c r="AK3356" s="7"/>
      <c r="AL3356" s="7"/>
      <c r="AM3356" s="7"/>
      <c r="AN3356" s="7"/>
      <c r="AO3356" s="7"/>
      <c r="AP3356" s="7"/>
      <c r="AQ3356" s="7"/>
      <c r="AR3356" s="7"/>
      <c r="AS3356" s="7" t="s">
        <v>22</v>
      </c>
    </row>
    <row r="3357">
      <c r="A3357" s="7" t="s">
        <v>1661</v>
      </c>
      <c r="B3357" s="7" t="s">
        <v>1259</v>
      </c>
      <c r="C3357" s="7">
        <f t="shared" ref="C3357:C3358" si="458">4+1</f>
        <v>5</v>
      </c>
      <c r="D3357" s="7">
        <v>6.0</v>
      </c>
      <c r="E3357" s="9">
        <v>2.0</v>
      </c>
      <c r="F3357" s="7" t="s">
        <v>494</v>
      </c>
      <c r="G3357" s="7" t="s">
        <v>2280</v>
      </c>
      <c r="H3357" s="9" t="s">
        <v>2979</v>
      </c>
      <c r="I3357" t="s">
        <v>4224</v>
      </c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  <c r="AB3357" s="7"/>
      <c r="AC3357" s="7"/>
      <c r="AD3357" s="7" t="str">
        <f t="shared" si="1"/>
        <v>Built-up :</v>
      </c>
      <c r="AE3357" s="7" t="str">
        <f t="shared" si="2"/>
        <v> sq. ft.</v>
      </c>
      <c r="AF3357">
        <f>IFERROR(__xludf.DUMMYFUNCTION("VALUE(REGEXREPLACE(G3357,""[^[:digit:]]"", """"))"),3900.0)</f>
        <v>3900</v>
      </c>
      <c r="AG3357" s="7"/>
      <c r="AH3357" s="7"/>
      <c r="AI3357" s="7"/>
      <c r="AJ3357" s="7"/>
      <c r="AK3357" s="7"/>
      <c r="AL3357" s="7"/>
      <c r="AM3357" s="7"/>
      <c r="AN3357" s="7"/>
      <c r="AO3357" s="7"/>
      <c r="AP3357" s="7"/>
      <c r="AQ3357" s="7"/>
      <c r="AR3357" s="7"/>
      <c r="AS3357" s="7" t="s">
        <v>27</v>
      </c>
    </row>
    <row r="3358">
      <c r="A3358" s="7" t="s">
        <v>1661</v>
      </c>
      <c r="B3358" s="7" t="s">
        <v>101</v>
      </c>
      <c r="C3358" s="7">
        <f t="shared" si="458"/>
        <v>5</v>
      </c>
      <c r="D3358" s="7">
        <v>6.0</v>
      </c>
      <c r="E3358" s="9">
        <v>2.0</v>
      </c>
      <c r="F3358" s="7" t="s">
        <v>1410</v>
      </c>
      <c r="G3358" s="7" t="s">
        <v>1991</v>
      </c>
      <c r="H3358" s="9" t="s">
        <v>2981</v>
      </c>
      <c r="I3358" t="s">
        <v>4040</v>
      </c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  <c r="AA3358" s="7"/>
      <c r="AB3358" s="7"/>
      <c r="AC3358" s="7"/>
      <c r="AD3358" s="7" t="str">
        <f t="shared" si="1"/>
        <v>Land area </v>
      </c>
      <c r="AE3358" s="7" t="str">
        <f t="shared" si="2"/>
        <v> sq. ft.</v>
      </c>
      <c r="AF3358">
        <f>IFERROR(__xludf.DUMMYFUNCTION("VALUE(REGEXREPLACE(G3358,""[^[:digit:]]"", """"))"),3300.0)</f>
        <v>3300</v>
      </c>
      <c r="AG3358" s="7"/>
      <c r="AH3358" s="7"/>
      <c r="AI3358" s="7"/>
      <c r="AJ3358" s="7"/>
      <c r="AK3358" s="7"/>
      <c r="AL3358" s="7"/>
      <c r="AM3358" s="7"/>
      <c r="AN3358" s="7"/>
      <c r="AO3358" s="7"/>
      <c r="AP3358" s="7"/>
      <c r="AQ3358" s="7"/>
      <c r="AR3358" s="7"/>
      <c r="AS3358" s="7" t="s">
        <v>27</v>
      </c>
    </row>
    <row r="3359">
      <c r="A3359" s="7" t="s">
        <v>177</v>
      </c>
      <c r="B3359" s="7" t="s">
        <v>130</v>
      </c>
      <c r="C3359" s="7">
        <f>3+1</f>
        <v>4</v>
      </c>
      <c r="D3359" s="7">
        <v>4.0</v>
      </c>
      <c r="E3359" s="9">
        <v>2.0</v>
      </c>
      <c r="F3359" s="7" t="s">
        <v>30</v>
      </c>
      <c r="G3359" s="7" t="s">
        <v>2281</v>
      </c>
      <c r="H3359" s="9" t="s">
        <v>2979</v>
      </c>
      <c r="I3359" t="s">
        <v>4225</v>
      </c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  <c r="AC3359" s="7"/>
      <c r="AD3359" s="7" t="str">
        <f t="shared" si="1"/>
        <v>Built-up :</v>
      </c>
      <c r="AE3359" s="7" t="str">
        <f t="shared" si="2"/>
        <v> sq. ft.</v>
      </c>
      <c r="AF3359">
        <f>IFERROR(__xludf.DUMMYFUNCTION("VALUE(REGEXREPLACE(G3359,""[^[:digit:]]"", """"))"),2755.0)</f>
        <v>2755</v>
      </c>
      <c r="AG3359" s="7"/>
      <c r="AH3359" s="7"/>
      <c r="AI3359" s="7"/>
      <c r="AJ3359" s="7"/>
      <c r="AK3359" s="7"/>
      <c r="AL3359" s="7"/>
      <c r="AM3359" s="7"/>
      <c r="AN3359" s="7"/>
      <c r="AO3359" s="7"/>
      <c r="AP3359" s="7"/>
      <c r="AQ3359" s="7"/>
      <c r="AR3359" s="7"/>
      <c r="AS3359" s="7" t="s">
        <v>27</v>
      </c>
    </row>
    <row r="3360">
      <c r="A3360" s="7" t="s">
        <v>1661</v>
      </c>
      <c r="B3360" s="7" t="s">
        <v>1180</v>
      </c>
      <c r="C3360" s="7">
        <f>4+1</f>
        <v>5</v>
      </c>
      <c r="D3360" s="7">
        <v>6.0</v>
      </c>
      <c r="E3360" s="9">
        <v>2.0</v>
      </c>
      <c r="F3360" s="7" t="s">
        <v>64</v>
      </c>
      <c r="G3360" s="7" t="s">
        <v>2282</v>
      </c>
      <c r="H3360" s="9" t="s">
        <v>2981</v>
      </c>
      <c r="I3360" t="s">
        <v>4226</v>
      </c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  <c r="AC3360" s="7"/>
      <c r="AD3360" s="7" t="str">
        <f t="shared" si="1"/>
        <v>Land area </v>
      </c>
      <c r="AE3360" s="7" t="str">
        <f t="shared" si="2"/>
        <v> sq. ft.</v>
      </c>
      <c r="AF3360">
        <f>IFERROR(__xludf.DUMMYFUNCTION("VALUE(REGEXREPLACE(G3360,""[^[:digit:]]"", """"))"),7950.0)</f>
        <v>7950</v>
      </c>
      <c r="AG3360" s="7"/>
      <c r="AH3360" s="7"/>
      <c r="AI3360" s="7"/>
      <c r="AJ3360" s="7"/>
      <c r="AK3360" s="7"/>
      <c r="AL3360" s="7"/>
      <c r="AM3360" s="7"/>
      <c r="AN3360" s="7"/>
      <c r="AO3360" s="7"/>
      <c r="AP3360" s="7"/>
      <c r="AQ3360" s="7"/>
      <c r="AR3360" s="7"/>
      <c r="AS3360" s="7" t="s">
        <v>27</v>
      </c>
    </row>
    <row r="3361">
      <c r="A3361" s="7" t="s">
        <v>33</v>
      </c>
      <c r="B3361" s="7" t="s">
        <v>243</v>
      </c>
      <c r="C3361" s="7">
        <f t="shared" ref="C3361:C3363" si="459">3+1</f>
        <v>4</v>
      </c>
      <c r="D3361" s="7">
        <v>2.0</v>
      </c>
      <c r="E3361" s="7">
        <v>2.0</v>
      </c>
      <c r="F3361" s="7" t="s">
        <v>83</v>
      </c>
      <c r="G3361" s="7" t="s">
        <v>2087</v>
      </c>
      <c r="H3361" s="9" t="s">
        <v>2979</v>
      </c>
      <c r="I3361" t="s">
        <v>4103</v>
      </c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  <c r="AC3361" s="7"/>
      <c r="AD3361" s="7" t="str">
        <f t="shared" si="1"/>
        <v>Built-up :</v>
      </c>
      <c r="AE3361" s="7" t="str">
        <f t="shared" si="2"/>
        <v> sq. ft.</v>
      </c>
      <c r="AF3361">
        <f>IFERROR(__xludf.DUMMYFUNCTION("VALUE(REGEXREPLACE(G3361,""[^[:digit:]]"", """"))"),1678.0)</f>
        <v>1678</v>
      </c>
      <c r="AG3361" s="7"/>
      <c r="AH3361" s="7"/>
      <c r="AI3361" s="7"/>
      <c r="AJ3361" s="7"/>
      <c r="AK3361" s="7"/>
      <c r="AL3361" s="7"/>
      <c r="AM3361" s="7"/>
      <c r="AN3361" s="7"/>
      <c r="AO3361" s="7"/>
      <c r="AP3361" s="7"/>
      <c r="AQ3361" s="7"/>
      <c r="AR3361" s="7"/>
      <c r="AS3361" s="7" t="s">
        <v>103</v>
      </c>
    </row>
    <row r="3362">
      <c r="A3362" s="7" t="s">
        <v>33</v>
      </c>
      <c r="B3362" s="7" t="s">
        <v>78</v>
      </c>
      <c r="C3362" s="7">
        <f t="shared" si="459"/>
        <v>4</v>
      </c>
      <c r="D3362" s="7">
        <v>2.0</v>
      </c>
      <c r="E3362" s="7">
        <v>2.0</v>
      </c>
      <c r="F3362" s="7" t="s">
        <v>83</v>
      </c>
      <c r="G3362" s="7" t="s">
        <v>2087</v>
      </c>
      <c r="H3362" s="9" t="s">
        <v>2979</v>
      </c>
      <c r="I3362" t="s">
        <v>4103</v>
      </c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7" t="str">
        <f t="shared" si="1"/>
        <v>Built-up :</v>
      </c>
      <c r="AE3362" s="7" t="str">
        <f t="shared" si="2"/>
        <v> sq. ft.</v>
      </c>
      <c r="AF3362">
        <f>IFERROR(__xludf.DUMMYFUNCTION("VALUE(REGEXREPLACE(G3362,""[^[:digit:]]"", """"))"),1678.0)</f>
        <v>1678</v>
      </c>
      <c r="AG3362" s="7"/>
      <c r="AH3362" s="7"/>
      <c r="AI3362" s="7"/>
      <c r="AJ3362" s="7"/>
      <c r="AK3362" s="7"/>
      <c r="AL3362" s="7"/>
      <c r="AM3362" s="7"/>
      <c r="AN3362" s="7"/>
      <c r="AO3362" s="7"/>
      <c r="AP3362" s="7"/>
      <c r="AQ3362" s="7"/>
      <c r="AR3362" s="7"/>
      <c r="AS3362" s="7" t="s">
        <v>27</v>
      </c>
    </row>
    <row r="3363">
      <c r="A3363" s="7" t="s">
        <v>33</v>
      </c>
      <c r="B3363" s="7" t="s">
        <v>144</v>
      </c>
      <c r="C3363" s="7">
        <f t="shared" si="459"/>
        <v>4</v>
      </c>
      <c r="D3363" s="7">
        <v>4.0</v>
      </c>
      <c r="E3363" s="7">
        <v>4.0</v>
      </c>
      <c r="F3363" s="7" t="s">
        <v>83</v>
      </c>
      <c r="G3363" s="7" t="s">
        <v>2283</v>
      </c>
      <c r="H3363" s="9" t="s">
        <v>2979</v>
      </c>
      <c r="I3363" t="s">
        <v>4227</v>
      </c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  <c r="AA3363" s="7"/>
      <c r="AB3363" s="7"/>
      <c r="AC3363" s="7"/>
      <c r="AD3363" s="7" t="str">
        <f t="shared" si="1"/>
        <v>Built-up :</v>
      </c>
      <c r="AE3363" s="7" t="str">
        <f t="shared" si="2"/>
        <v> sq. ft.</v>
      </c>
      <c r="AF3363">
        <f>IFERROR(__xludf.DUMMYFUNCTION("VALUE(REGEXREPLACE(G3363,""[^[:digit:]]"", """"))"),2556.0)</f>
        <v>2556</v>
      </c>
      <c r="AG3363" s="7"/>
      <c r="AH3363" s="7"/>
      <c r="AI3363" s="7"/>
      <c r="AJ3363" s="7"/>
      <c r="AK3363" s="7"/>
      <c r="AL3363" s="7"/>
      <c r="AM3363" s="7"/>
      <c r="AN3363" s="7"/>
      <c r="AO3363" s="7"/>
      <c r="AP3363" s="7"/>
      <c r="AQ3363" s="7"/>
      <c r="AR3363" s="7"/>
      <c r="AS3363" s="7" t="s">
        <v>22</v>
      </c>
    </row>
    <row r="3364">
      <c r="A3364" s="7" t="s">
        <v>17</v>
      </c>
      <c r="B3364" s="7" t="s">
        <v>1146</v>
      </c>
      <c r="C3364" s="7">
        <f>2</f>
        <v>2</v>
      </c>
      <c r="D3364" s="7">
        <v>2.0</v>
      </c>
      <c r="E3364" s="7">
        <v>1.0</v>
      </c>
      <c r="F3364" s="7" t="s">
        <v>83</v>
      </c>
      <c r="G3364" s="7" t="s">
        <v>2284</v>
      </c>
      <c r="H3364" s="9" t="s">
        <v>2979</v>
      </c>
      <c r="I3364" t="s">
        <v>4228</v>
      </c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  <c r="AB3364" s="7"/>
      <c r="AC3364" s="7"/>
      <c r="AD3364" s="7" t="str">
        <f t="shared" si="1"/>
        <v>Built-up :</v>
      </c>
      <c r="AE3364" s="7" t="str">
        <f t="shared" si="2"/>
        <v> sq. ft.</v>
      </c>
      <c r="AF3364">
        <f>IFERROR(__xludf.DUMMYFUNCTION("VALUE(REGEXREPLACE(G3364,""[^[:digit:]]"", """"))"),991.0)</f>
        <v>991</v>
      </c>
      <c r="AG3364" s="7"/>
      <c r="AH3364" s="7"/>
      <c r="AI3364" s="7"/>
      <c r="AJ3364" s="7"/>
      <c r="AK3364" s="7"/>
      <c r="AL3364" s="7"/>
      <c r="AM3364" s="7"/>
      <c r="AN3364" s="7"/>
      <c r="AO3364" s="7"/>
      <c r="AP3364" s="7"/>
      <c r="AQ3364" s="7"/>
      <c r="AR3364" s="7"/>
    </row>
    <row r="3365">
      <c r="A3365" s="7" t="s">
        <v>33</v>
      </c>
      <c r="B3365" s="7" t="s">
        <v>42</v>
      </c>
      <c r="C3365" s="7">
        <f>4</f>
        <v>4</v>
      </c>
      <c r="D3365" s="7">
        <v>4.0</v>
      </c>
      <c r="E3365" s="7">
        <v>3.0</v>
      </c>
      <c r="F3365" s="7" t="s">
        <v>83</v>
      </c>
      <c r="G3365" s="7" t="s">
        <v>1408</v>
      </c>
      <c r="H3365" s="9" t="s">
        <v>2979</v>
      </c>
      <c r="I3365" t="s">
        <v>3694</v>
      </c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  <c r="AC3365" s="7"/>
      <c r="AD3365" s="7" t="str">
        <f t="shared" si="1"/>
        <v>Built-up :</v>
      </c>
      <c r="AE3365" s="7" t="str">
        <f t="shared" si="2"/>
        <v> sq. ft.</v>
      </c>
      <c r="AF3365">
        <f>IFERROR(__xludf.DUMMYFUNCTION("VALUE(REGEXREPLACE(G3365,""[^[:digit:]]"", """"))"),3260.0)</f>
        <v>3260</v>
      </c>
      <c r="AG3365" s="7"/>
      <c r="AH3365" s="7"/>
      <c r="AI3365" s="7"/>
      <c r="AJ3365" s="7"/>
      <c r="AK3365" s="7"/>
      <c r="AL3365" s="7"/>
      <c r="AM3365" s="7"/>
      <c r="AN3365" s="7"/>
      <c r="AO3365" s="7"/>
      <c r="AP3365" s="7"/>
      <c r="AQ3365" s="7"/>
      <c r="AR3365" s="7"/>
      <c r="AS3365" s="7" t="s">
        <v>27</v>
      </c>
    </row>
    <row r="3366">
      <c r="A3366" s="7" t="s">
        <v>100</v>
      </c>
      <c r="B3366" s="7" t="s">
        <v>1423</v>
      </c>
      <c r="C3366" s="7">
        <f>2+1</f>
        <v>3</v>
      </c>
      <c r="D3366" s="7">
        <v>2.0</v>
      </c>
      <c r="E3366" s="7">
        <v>1.0</v>
      </c>
      <c r="F3366" s="7" t="s">
        <v>20</v>
      </c>
      <c r="G3366" s="7" t="s">
        <v>1270</v>
      </c>
      <c r="H3366" s="9" t="s">
        <v>2979</v>
      </c>
      <c r="I3366" t="s">
        <v>3613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7"/>
      <c r="AD3366" s="7" t="str">
        <f t="shared" si="1"/>
        <v>Built-up :</v>
      </c>
      <c r="AE3366" s="7" t="str">
        <f t="shared" si="2"/>
        <v> sq. ft.</v>
      </c>
      <c r="AF3366">
        <f>IFERROR(__xludf.DUMMYFUNCTION("VALUE(REGEXREPLACE(G3366,""[^[:digit:]]"", """"))"),780.0)</f>
        <v>780</v>
      </c>
      <c r="AG3366" s="7"/>
      <c r="AH3366" s="7"/>
      <c r="AI3366" s="7"/>
      <c r="AJ3366" s="7"/>
      <c r="AK3366" s="7"/>
      <c r="AL3366" s="7"/>
      <c r="AM3366" s="7"/>
      <c r="AN3366" s="7"/>
      <c r="AO3366" s="7"/>
      <c r="AP3366" s="7"/>
      <c r="AQ3366" s="7"/>
      <c r="AR3366" s="7"/>
      <c r="AS3366" s="7" t="s">
        <v>27</v>
      </c>
    </row>
    <row r="3367">
      <c r="A3367" s="7" t="s">
        <v>1456</v>
      </c>
      <c r="B3367" s="7" t="s">
        <v>641</v>
      </c>
      <c r="C3367" s="7">
        <f>5+1</f>
        <v>6</v>
      </c>
      <c r="D3367" s="7">
        <v>3.0</v>
      </c>
      <c r="E3367" s="7">
        <v>3.0</v>
      </c>
      <c r="F3367" s="7" t="s">
        <v>54</v>
      </c>
      <c r="G3367" s="7" t="s">
        <v>1458</v>
      </c>
      <c r="H3367" s="9" t="s">
        <v>2981</v>
      </c>
      <c r="I3367" t="s">
        <v>3516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  <c r="AC3367" s="7"/>
      <c r="AD3367" s="7" t="str">
        <f t="shared" si="1"/>
        <v>Land area </v>
      </c>
      <c r="AE3367" s="7" t="str">
        <f t="shared" si="2"/>
        <v> sq. ft.</v>
      </c>
      <c r="AF3367">
        <f>IFERROR(__xludf.DUMMYFUNCTION("VALUE(REGEXREPLACE(G3367,""[^[:digit:]]"", """"))"),1400.0)</f>
        <v>1400</v>
      </c>
      <c r="AG3367" s="7"/>
      <c r="AH3367" s="7"/>
      <c r="AI3367" s="7"/>
      <c r="AJ3367" s="7"/>
      <c r="AK3367" s="7"/>
      <c r="AL3367" s="7"/>
      <c r="AM3367" s="7"/>
      <c r="AN3367" s="7"/>
      <c r="AO3367" s="7"/>
      <c r="AP3367" s="7"/>
      <c r="AQ3367" s="7"/>
      <c r="AR3367" s="7"/>
    </row>
    <row r="3368">
      <c r="A3368" s="7" t="s">
        <v>89</v>
      </c>
      <c r="B3368" s="7" t="s">
        <v>759</v>
      </c>
      <c r="C3368" s="7">
        <f t="shared" ref="C3368:C3369" si="460">3</f>
        <v>3</v>
      </c>
      <c r="D3368" s="7">
        <v>2.0</v>
      </c>
      <c r="E3368" s="7">
        <v>1.0</v>
      </c>
      <c r="F3368" s="7" t="s">
        <v>93</v>
      </c>
      <c r="G3368" s="7" t="s">
        <v>1532</v>
      </c>
      <c r="H3368" s="9" t="s">
        <v>2979</v>
      </c>
      <c r="I3368" t="s">
        <v>3764</v>
      </c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  <c r="AC3368" s="7"/>
      <c r="AD3368" s="7" t="str">
        <f t="shared" si="1"/>
        <v>Built-up :</v>
      </c>
      <c r="AE3368" s="7" t="str">
        <f t="shared" si="2"/>
        <v> sq. ft.</v>
      </c>
      <c r="AF3368">
        <f>IFERROR(__xludf.DUMMYFUNCTION("VALUE(REGEXREPLACE(G3368,""[^[:digit:]]"", """"))"),1044.0)</f>
        <v>1044</v>
      </c>
      <c r="AG3368" s="7"/>
      <c r="AH3368" s="7"/>
      <c r="AI3368" s="7"/>
      <c r="AJ3368" s="7"/>
      <c r="AK3368" s="7"/>
      <c r="AL3368" s="7"/>
      <c r="AM3368" s="7"/>
      <c r="AN3368" s="7"/>
      <c r="AO3368" s="7"/>
      <c r="AP3368" s="7"/>
      <c r="AQ3368" s="7"/>
      <c r="AR3368" s="7"/>
      <c r="AS3368" s="7" t="s">
        <v>27</v>
      </c>
    </row>
    <row r="3369">
      <c r="A3369" s="7" t="s">
        <v>33</v>
      </c>
      <c r="B3369" s="7" t="s">
        <v>221</v>
      </c>
      <c r="C3369" s="7">
        <f t="shared" si="460"/>
        <v>3</v>
      </c>
      <c r="D3369" s="7">
        <v>2.0</v>
      </c>
      <c r="E3369" s="7">
        <v>2.0</v>
      </c>
      <c r="F3369" s="7" t="s">
        <v>93</v>
      </c>
      <c r="G3369" s="7" t="s">
        <v>508</v>
      </c>
      <c r="H3369" s="9" t="s">
        <v>2979</v>
      </c>
      <c r="I3369" t="s">
        <v>3200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  <c r="AA3369" s="7"/>
      <c r="AB3369" s="7"/>
      <c r="AC3369" s="7"/>
      <c r="AD3369" s="7" t="str">
        <f t="shared" si="1"/>
        <v>Built-up :</v>
      </c>
      <c r="AE3369" s="7" t="str">
        <f t="shared" si="2"/>
        <v> sq. ft.</v>
      </c>
      <c r="AF3369">
        <f>IFERROR(__xludf.DUMMYFUNCTION("VALUE(REGEXREPLACE(G3369,""[^[:digit:]]"", """"))"),1196.0)</f>
        <v>1196</v>
      </c>
      <c r="AG3369" s="7"/>
      <c r="AH3369" s="7"/>
      <c r="AI3369" s="7"/>
      <c r="AJ3369" s="7"/>
      <c r="AK3369" s="7"/>
      <c r="AL3369" s="7"/>
      <c r="AM3369" s="7"/>
      <c r="AN3369" s="7"/>
      <c r="AO3369" s="7"/>
      <c r="AP3369" s="7"/>
      <c r="AQ3369" s="7"/>
      <c r="AR3369" s="7"/>
      <c r="AS3369" s="7" t="s">
        <v>27</v>
      </c>
    </row>
    <row r="3370">
      <c r="A3370" s="7" t="s">
        <v>33</v>
      </c>
      <c r="B3370" s="7" t="s">
        <v>2285</v>
      </c>
      <c r="C3370" s="7">
        <f>3+1</f>
        <v>4</v>
      </c>
      <c r="D3370" s="7">
        <v>3.0</v>
      </c>
      <c r="E3370" s="7">
        <v>2.0</v>
      </c>
      <c r="F3370" s="7" t="s">
        <v>93</v>
      </c>
      <c r="G3370" s="7" t="s">
        <v>2286</v>
      </c>
      <c r="H3370" s="9" t="s">
        <v>2979</v>
      </c>
      <c r="I3370" t="s">
        <v>4229</v>
      </c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  <c r="AA3370" s="7"/>
      <c r="AB3370" s="7"/>
      <c r="AC3370" s="7"/>
      <c r="AD3370" s="7" t="str">
        <f t="shared" si="1"/>
        <v>Built-up :</v>
      </c>
      <c r="AE3370" s="7" t="str">
        <f t="shared" si="2"/>
        <v> sq. ft.</v>
      </c>
      <c r="AF3370">
        <f>IFERROR(__xludf.DUMMYFUNCTION("VALUE(REGEXREPLACE(G3370,""[^[:digit:]]"", """"))"),1276.0)</f>
        <v>1276</v>
      </c>
      <c r="AG3370" s="7"/>
      <c r="AH3370" s="7"/>
      <c r="AI3370" s="7"/>
      <c r="AJ3370" s="7"/>
      <c r="AK3370" s="7"/>
      <c r="AL3370" s="7"/>
      <c r="AM3370" s="7"/>
      <c r="AN3370" s="7"/>
      <c r="AO3370" s="7"/>
      <c r="AP3370" s="7"/>
      <c r="AQ3370" s="7"/>
      <c r="AR3370" s="7"/>
      <c r="AS3370" s="7" t="s">
        <v>22</v>
      </c>
    </row>
    <row r="3371">
      <c r="A3371" s="7" t="s">
        <v>32</v>
      </c>
      <c r="B3371" s="7" t="s">
        <v>311</v>
      </c>
      <c r="C3371" s="7">
        <f t="shared" ref="C3371:C3372" si="461">4+1</f>
        <v>5</v>
      </c>
      <c r="D3371" s="7">
        <v>3.0</v>
      </c>
      <c r="E3371" s="7">
        <v>2.0</v>
      </c>
      <c r="F3371" s="7" t="s">
        <v>30</v>
      </c>
      <c r="G3371" s="7" t="s">
        <v>2287</v>
      </c>
      <c r="H3371" s="9" t="s">
        <v>2981</v>
      </c>
      <c r="I3371" t="s">
        <v>4230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  <c r="AC3371" s="7"/>
      <c r="AD3371" s="7" t="str">
        <f t="shared" si="1"/>
        <v>Land area </v>
      </c>
      <c r="AE3371" s="7" t="str">
        <f t="shared" si="2"/>
        <v> sq. ft.</v>
      </c>
      <c r="AF3371">
        <f>IFERROR(__xludf.DUMMYFUNCTION("VALUE(REGEXREPLACE(G3371,""[^[:digit:]]"", """"))"),1608.0)</f>
        <v>1608</v>
      </c>
      <c r="AG3371" s="7"/>
      <c r="AH3371" s="7"/>
      <c r="AI3371" s="7"/>
      <c r="AJ3371" s="7"/>
      <c r="AK3371" s="7"/>
      <c r="AL3371" s="7"/>
      <c r="AM3371" s="7"/>
      <c r="AN3371" s="7"/>
      <c r="AO3371" s="7"/>
      <c r="AP3371" s="7"/>
      <c r="AQ3371" s="7"/>
      <c r="AR3371" s="7"/>
      <c r="AS3371" s="7" t="s">
        <v>27</v>
      </c>
    </row>
    <row r="3372">
      <c r="A3372" s="7" t="s">
        <v>32</v>
      </c>
      <c r="B3372" s="7" t="s">
        <v>419</v>
      </c>
      <c r="C3372" s="7">
        <f t="shared" si="461"/>
        <v>5</v>
      </c>
      <c r="D3372" s="7">
        <v>3.0</v>
      </c>
      <c r="E3372" s="7">
        <v>2.0</v>
      </c>
      <c r="F3372" s="7" t="s">
        <v>93</v>
      </c>
      <c r="G3372" s="7" t="s">
        <v>2288</v>
      </c>
      <c r="H3372" s="9" t="s">
        <v>2981</v>
      </c>
      <c r="I3372" t="s">
        <v>4231</v>
      </c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  <c r="AC3372" s="7"/>
      <c r="AD3372" s="7" t="str">
        <f t="shared" si="1"/>
        <v>Land area </v>
      </c>
      <c r="AE3372" s="7" t="str">
        <f t="shared" si="2"/>
        <v> sq. ft.</v>
      </c>
      <c r="AF3372">
        <f>IFERROR(__xludf.DUMMYFUNCTION("VALUE(REGEXREPLACE(G3372,""[^[:digit:]]"", """"))"),1672.0)</f>
        <v>1672</v>
      </c>
      <c r="AG3372" s="7"/>
      <c r="AH3372" s="7"/>
      <c r="AI3372" s="7"/>
      <c r="AJ3372" s="7"/>
      <c r="AK3372" s="7"/>
      <c r="AL3372" s="7"/>
      <c r="AM3372" s="7"/>
      <c r="AN3372" s="7"/>
      <c r="AO3372" s="7"/>
      <c r="AP3372" s="7"/>
      <c r="AQ3372" s="7"/>
      <c r="AR3372" s="7"/>
      <c r="AS3372" s="7" t="s">
        <v>27</v>
      </c>
    </row>
    <row r="3373">
      <c r="A3373" s="7" t="s">
        <v>23</v>
      </c>
      <c r="C3373" s="7">
        <f t="shared" ref="C3373:C3374" si="462">7</f>
        <v>7</v>
      </c>
      <c r="D3373" s="7">
        <v>4.0</v>
      </c>
      <c r="E3373" s="7">
        <v>7.0</v>
      </c>
      <c r="F3373" s="7" t="s">
        <v>25</v>
      </c>
      <c r="G3373" s="7" t="s">
        <v>2289</v>
      </c>
      <c r="H3373" s="9" t="s">
        <v>2981</v>
      </c>
      <c r="I3373" t="s">
        <v>4232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  <c r="AC3373" s="7"/>
      <c r="AD3373" s="7" t="str">
        <f t="shared" si="1"/>
        <v>Land area </v>
      </c>
      <c r="AE3373" s="7" t="str">
        <f t="shared" si="2"/>
        <v> sq. ft.</v>
      </c>
      <c r="AF3373">
        <f>IFERROR(__xludf.DUMMYFUNCTION("VALUE(REGEXREPLACE(G3373,""[^[:digit:]]"", """"))"),15800.0)</f>
        <v>15800</v>
      </c>
      <c r="AG3373" s="7"/>
      <c r="AH3373" s="7"/>
      <c r="AI3373" s="7"/>
      <c r="AJ3373" s="7"/>
      <c r="AK3373" s="7"/>
      <c r="AL3373" s="7"/>
      <c r="AM3373" s="7"/>
      <c r="AN3373" s="7"/>
      <c r="AO3373" s="7"/>
      <c r="AP3373" s="7"/>
      <c r="AQ3373" s="7"/>
      <c r="AR3373" s="7"/>
      <c r="AS3373" s="7" t="s">
        <v>27</v>
      </c>
    </row>
    <row r="3374">
      <c r="A3374" s="7" t="s">
        <v>262</v>
      </c>
      <c r="B3374" s="7" t="s">
        <v>934</v>
      </c>
      <c r="C3374" s="7">
        <f t="shared" si="462"/>
        <v>7</v>
      </c>
      <c r="D3374" s="7">
        <v>8.0</v>
      </c>
      <c r="E3374" s="7">
        <v>10.0</v>
      </c>
      <c r="F3374" s="7" t="s">
        <v>25</v>
      </c>
      <c r="G3374" s="7" t="s">
        <v>2290</v>
      </c>
      <c r="H3374" s="9" t="s">
        <v>2981</v>
      </c>
      <c r="I3374" t="s">
        <v>4233</v>
      </c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  <c r="AC3374" s="7"/>
      <c r="AD3374" s="7" t="str">
        <f t="shared" si="1"/>
        <v>Land area </v>
      </c>
      <c r="AE3374" s="7" t="str">
        <f t="shared" si="2"/>
        <v> sq. ft.</v>
      </c>
      <c r="AF3374">
        <f>IFERROR(__xludf.DUMMYFUNCTION("VALUE(REGEXREPLACE(G3374,""[^[:digit:]]"", """"))"),8618.0)</f>
        <v>8618</v>
      </c>
      <c r="AG3374" s="7"/>
      <c r="AH3374" s="7"/>
      <c r="AI3374" s="7"/>
      <c r="AJ3374" s="7"/>
      <c r="AK3374" s="7"/>
      <c r="AL3374" s="7"/>
      <c r="AM3374" s="7"/>
      <c r="AN3374" s="7"/>
      <c r="AO3374" s="7"/>
      <c r="AP3374" s="7"/>
      <c r="AQ3374" s="7"/>
      <c r="AR3374" s="7"/>
      <c r="AS3374" s="7" t="s">
        <v>27</v>
      </c>
    </row>
    <row r="3375">
      <c r="A3375" s="7" t="s">
        <v>262</v>
      </c>
      <c r="B3375" s="7" t="s">
        <v>545</v>
      </c>
      <c r="C3375" s="7">
        <v>6.0</v>
      </c>
      <c r="D3375" s="7">
        <v>9.0</v>
      </c>
      <c r="E3375" s="9">
        <v>2.0</v>
      </c>
      <c r="F3375" s="7" t="s">
        <v>25</v>
      </c>
      <c r="G3375" s="7" t="s">
        <v>2274</v>
      </c>
      <c r="H3375" s="9" t="s">
        <v>2981</v>
      </c>
      <c r="I3375" t="s">
        <v>4221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  <c r="AB3375" s="7"/>
      <c r="AC3375" s="7"/>
      <c r="AD3375" s="7" t="str">
        <f t="shared" si="1"/>
        <v>Land area </v>
      </c>
      <c r="AE3375" s="7" t="str">
        <f t="shared" si="2"/>
        <v> sq. ft.</v>
      </c>
      <c r="AF3375">
        <f>IFERROR(__xludf.DUMMYFUNCTION("VALUE(REGEXREPLACE(G3375,""[^[:digit:]]"", """"))"),11700.0)</f>
        <v>11700</v>
      </c>
      <c r="AG3375" s="7"/>
      <c r="AH3375" s="7"/>
      <c r="AI3375" s="7"/>
      <c r="AJ3375" s="7"/>
      <c r="AK3375" s="7"/>
      <c r="AL3375" s="7"/>
      <c r="AM3375" s="7"/>
      <c r="AN3375" s="7"/>
      <c r="AO3375" s="7"/>
      <c r="AP3375" s="7"/>
      <c r="AQ3375" s="7"/>
      <c r="AR3375" s="7"/>
      <c r="AS3375" s="7" t="s">
        <v>27</v>
      </c>
    </row>
    <row r="3376">
      <c r="A3376" s="7" t="s">
        <v>177</v>
      </c>
      <c r="C3376" s="7">
        <f>6</f>
        <v>6</v>
      </c>
      <c r="D3376" s="7">
        <v>7.0</v>
      </c>
      <c r="E3376" s="9">
        <v>2.0</v>
      </c>
      <c r="F3376" s="7" t="s">
        <v>25</v>
      </c>
      <c r="G3376" s="7" t="s">
        <v>2291</v>
      </c>
      <c r="H3376" s="9" t="s">
        <v>2981</v>
      </c>
      <c r="I3376" t="s">
        <v>4234</v>
      </c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  <c r="AC3376" s="7"/>
      <c r="AD3376" s="7" t="str">
        <f t="shared" si="1"/>
        <v>Land area </v>
      </c>
      <c r="AE3376" s="7" t="str">
        <f t="shared" si="2"/>
        <v> sq. ft.</v>
      </c>
      <c r="AF3376">
        <f>IFERROR(__xludf.DUMMYFUNCTION("VALUE(REGEXREPLACE(G3376,""[^[:digit:]]"", """"))"),10200.0)</f>
        <v>10200</v>
      </c>
      <c r="AG3376" s="7"/>
      <c r="AH3376" s="7"/>
      <c r="AI3376" s="7"/>
      <c r="AJ3376" s="7"/>
      <c r="AK3376" s="7"/>
      <c r="AL3376" s="7"/>
      <c r="AM3376" s="7"/>
      <c r="AN3376" s="7"/>
      <c r="AO3376" s="7"/>
      <c r="AP3376" s="7"/>
      <c r="AQ3376" s="7"/>
      <c r="AR3376" s="7"/>
    </row>
    <row r="3377">
      <c r="A3377" s="7" t="s">
        <v>33</v>
      </c>
      <c r="B3377" s="7" t="s">
        <v>1114</v>
      </c>
      <c r="C3377" s="7">
        <f t="shared" ref="C3377:C3378" si="463">3+1</f>
        <v>4</v>
      </c>
      <c r="D3377" s="7">
        <v>3.0</v>
      </c>
      <c r="E3377" s="7">
        <v>2.0</v>
      </c>
      <c r="F3377" s="7" t="s">
        <v>83</v>
      </c>
      <c r="G3377" s="7" t="s">
        <v>760</v>
      </c>
      <c r="H3377" s="9" t="s">
        <v>2979</v>
      </c>
      <c r="I3377" t="s">
        <v>3323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7" t="str">
        <f t="shared" si="1"/>
        <v>Built-up :</v>
      </c>
      <c r="AE3377" s="7" t="str">
        <f t="shared" si="2"/>
        <v> sq. ft.</v>
      </c>
      <c r="AF3377">
        <f>IFERROR(__xludf.DUMMYFUNCTION("VALUE(REGEXREPLACE(G3377,""[^[:digit:]]"", """"))"),1450.0)</f>
        <v>1450</v>
      </c>
      <c r="AG3377" s="7"/>
      <c r="AH3377" s="7"/>
      <c r="AI3377" s="7"/>
      <c r="AJ3377" s="7"/>
      <c r="AK3377" s="7"/>
      <c r="AL3377" s="7"/>
      <c r="AM3377" s="7"/>
      <c r="AN3377" s="7"/>
      <c r="AO3377" s="7"/>
      <c r="AP3377" s="7"/>
      <c r="AQ3377" s="7"/>
      <c r="AR3377" s="7"/>
      <c r="AS3377" s="7" t="s">
        <v>27</v>
      </c>
    </row>
    <row r="3378">
      <c r="A3378" s="7" t="s">
        <v>33</v>
      </c>
      <c r="B3378" s="7" t="s">
        <v>245</v>
      </c>
      <c r="C3378" s="7">
        <f t="shared" si="463"/>
        <v>4</v>
      </c>
      <c r="D3378" s="7">
        <v>3.0</v>
      </c>
      <c r="E3378" s="7">
        <v>2.0</v>
      </c>
      <c r="F3378" s="7" t="s">
        <v>83</v>
      </c>
      <c r="G3378" s="7" t="s">
        <v>21</v>
      </c>
      <c r="H3378" s="9" t="s">
        <v>2979</v>
      </c>
      <c r="I3378" t="s">
        <v>2980</v>
      </c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7"/>
      <c r="AD3378" s="7" t="str">
        <f t="shared" si="1"/>
        <v>Built-up :</v>
      </c>
      <c r="AE3378" s="7" t="str">
        <f t="shared" si="2"/>
        <v> sq. ft.</v>
      </c>
      <c r="AF3378">
        <f>IFERROR(__xludf.DUMMYFUNCTION("VALUE(REGEXREPLACE(G3378,""[^[:digit:]]"", """"))"),1335.0)</f>
        <v>1335</v>
      </c>
      <c r="AG3378" s="7"/>
      <c r="AH3378" s="7"/>
      <c r="AI3378" s="7"/>
      <c r="AJ3378" s="7"/>
      <c r="AK3378" s="7"/>
      <c r="AL3378" s="7"/>
      <c r="AM3378" s="7"/>
      <c r="AN3378" s="7"/>
      <c r="AO3378" s="7"/>
      <c r="AP3378" s="7"/>
      <c r="AQ3378" s="7"/>
      <c r="AR3378" s="7"/>
      <c r="AS3378" s="7" t="s">
        <v>27</v>
      </c>
    </row>
    <row r="3379">
      <c r="A3379" s="7" t="s">
        <v>48</v>
      </c>
      <c r="B3379" s="7" t="s">
        <v>691</v>
      </c>
      <c r="C3379" s="7">
        <f t="shared" ref="C3379:C3380" si="464">2</f>
        <v>2</v>
      </c>
      <c r="D3379" s="7">
        <v>2.0</v>
      </c>
      <c r="E3379" s="7">
        <v>1.0</v>
      </c>
      <c r="F3379" s="7" t="s">
        <v>54</v>
      </c>
      <c r="G3379" s="7" t="s">
        <v>2292</v>
      </c>
      <c r="H3379" s="9" t="s">
        <v>2981</v>
      </c>
      <c r="I3379" t="s">
        <v>3074</v>
      </c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  <c r="AC3379" s="7"/>
      <c r="AD3379" s="7" t="str">
        <f t="shared" si="1"/>
        <v>Land area </v>
      </c>
      <c r="AE3379" s="7" t="str">
        <f t="shared" si="2"/>
        <v> sq. ft.</v>
      </c>
      <c r="AF3379">
        <f>IFERROR(__xludf.DUMMYFUNCTION("VALUE(REGEXREPLACE(G3379,""[^[:digit:]]"", """"))"),825.0)</f>
        <v>825</v>
      </c>
      <c r="AG3379" s="7"/>
      <c r="AH3379" s="7"/>
      <c r="AI3379" s="7"/>
      <c r="AJ3379" s="7"/>
      <c r="AK3379" s="7"/>
      <c r="AL3379" s="7"/>
      <c r="AM3379" s="7"/>
      <c r="AN3379" s="7"/>
      <c r="AO3379" s="7"/>
      <c r="AP3379" s="7"/>
      <c r="AQ3379" s="7"/>
      <c r="AR3379" s="7"/>
      <c r="AS3379" s="7" t="s">
        <v>27</v>
      </c>
    </row>
    <row r="3380">
      <c r="A3380" s="7" t="s">
        <v>48</v>
      </c>
      <c r="B3380" s="7" t="s">
        <v>2293</v>
      </c>
      <c r="C3380" s="7">
        <f t="shared" si="464"/>
        <v>2</v>
      </c>
      <c r="D3380" s="7">
        <v>1.0</v>
      </c>
      <c r="E3380" s="7">
        <v>1.0</v>
      </c>
      <c r="F3380" s="7" t="s">
        <v>503</v>
      </c>
      <c r="G3380" s="7" t="s">
        <v>1235</v>
      </c>
      <c r="H3380" s="9" t="s">
        <v>2979</v>
      </c>
      <c r="I3380" t="s">
        <v>3597</v>
      </c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7"/>
      <c r="AD3380" s="7" t="str">
        <f t="shared" si="1"/>
        <v>Built-up :</v>
      </c>
      <c r="AE3380" s="7" t="str">
        <f t="shared" si="2"/>
        <v> sq. ft.</v>
      </c>
      <c r="AF3380">
        <f>IFERROR(__xludf.DUMMYFUNCTION("VALUE(REGEXREPLACE(G3380,""[^[:digit:]]"", """"))"),646.0)</f>
        <v>646</v>
      </c>
      <c r="AG3380" s="7"/>
      <c r="AH3380" s="7"/>
      <c r="AI3380" s="7"/>
      <c r="AJ3380" s="7"/>
      <c r="AK3380" s="7"/>
      <c r="AL3380" s="7"/>
      <c r="AM3380" s="7"/>
      <c r="AN3380" s="7"/>
      <c r="AO3380" s="7"/>
      <c r="AP3380" s="7"/>
      <c r="AQ3380" s="7"/>
      <c r="AR3380" s="7"/>
      <c r="AS3380" s="7" t="s">
        <v>27</v>
      </c>
    </row>
    <row r="3381">
      <c r="A3381" s="7" t="s">
        <v>100</v>
      </c>
      <c r="B3381" s="7" t="s">
        <v>619</v>
      </c>
      <c r="C3381" s="7">
        <f>3+1</f>
        <v>4</v>
      </c>
      <c r="D3381" s="7">
        <v>2.0</v>
      </c>
      <c r="E3381" s="7">
        <v>2.0</v>
      </c>
      <c r="F3381" s="7" t="s">
        <v>20</v>
      </c>
      <c r="G3381" s="7" t="s">
        <v>410</v>
      </c>
      <c r="H3381" s="9" t="s">
        <v>2979</v>
      </c>
      <c r="I3381" t="s">
        <v>3150</v>
      </c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  <c r="AA3381" s="7"/>
      <c r="AB3381" s="7"/>
      <c r="AC3381" s="7"/>
      <c r="AD3381" s="7" t="str">
        <f t="shared" si="1"/>
        <v>Built-up :</v>
      </c>
      <c r="AE3381" s="7" t="str">
        <f t="shared" si="2"/>
        <v> sq. ft.</v>
      </c>
      <c r="AF3381">
        <f>IFERROR(__xludf.DUMMYFUNCTION("VALUE(REGEXREPLACE(G3381,""[^[:digit:]]"", """"))"),1094.0)</f>
        <v>1094</v>
      </c>
      <c r="AG3381" s="7"/>
      <c r="AH3381" s="7"/>
      <c r="AI3381" s="7"/>
      <c r="AJ3381" s="7"/>
      <c r="AK3381" s="7"/>
      <c r="AL3381" s="7"/>
      <c r="AM3381" s="7"/>
      <c r="AN3381" s="7"/>
      <c r="AO3381" s="7"/>
      <c r="AP3381" s="7"/>
      <c r="AQ3381" s="7"/>
      <c r="AR3381" s="7"/>
      <c r="AS3381" s="7" t="s">
        <v>27</v>
      </c>
    </row>
    <row r="3382">
      <c r="A3382" s="7" t="s">
        <v>32</v>
      </c>
      <c r="B3382" s="7" t="s">
        <v>2016</v>
      </c>
      <c r="C3382" s="7">
        <f>3</f>
        <v>3</v>
      </c>
      <c r="D3382" s="7">
        <v>2.0</v>
      </c>
      <c r="E3382" s="7">
        <v>1.0</v>
      </c>
      <c r="F3382" s="7" t="s">
        <v>20</v>
      </c>
      <c r="H3382" s="9" t="s">
        <v>2984</v>
      </c>
      <c r="I3382" t="s">
        <v>2985</v>
      </c>
      <c r="AD3382" s="7" t="str">
        <f t="shared" si="1"/>
        <v/>
      </c>
      <c r="AE3382" s="7" t="str">
        <f t="shared" si="2"/>
        <v/>
      </c>
      <c r="AF3382">
        <f>IFERROR(__xludf.DUMMYFUNCTION("VALUE(REGEXREPLACE(G3382,""[^[:digit:]]"", """"))"),0.0)</f>
        <v>0</v>
      </c>
      <c r="AS3382" s="7" t="s">
        <v>22</v>
      </c>
    </row>
    <row r="3383">
      <c r="A3383" s="7" t="s">
        <v>1014</v>
      </c>
      <c r="B3383" s="7" t="s">
        <v>346</v>
      </c>
      <c r="C3383" s="7">
        <f>4+1</f>
        <v>5</v>
      </c>
      <c r="D3383" s="7">
        <v>3.0</v>
      </c>
      <c r="E3383" s="7">
        <v>1.0</v>
      </c>
      <c r="F3383" s="7" t="s">
        <v>30</v>
      </c>
      <c r="G3383" s="7" t="s">
        <v>2294</v>
      </c>
      <c r="H3383" s="9" t="s">
        <v>2979</v>
      </c>
      <c r="I3383" t="s">
        <v>4235</v>
      </c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7"/>
      <c r="AD3383" s="7" t="str">
        <f t="shared" si="1"/>
        <v>Built-up :</v>
      </c>
      <c r="AE3383" s="7" t="str">
        <f t="shared" si="2"/>
        <v> sq. ft.</v>
      </c>
      <c r="AF3383">
        <f>IFERROR(__xludf.DUMMYFUNCTION("VALUE(REGEXREPLACE(G3383,""[^[:digit:]]"", """"))"),1581.0)</f>
        <v>1581</v>
      </c>
      <c r="AG3383" s="7"/>
      <c r="AH3383" s="7"/>
      <c r="AI3383" s="7"/>
      <c r="AJ3383" s="7"/>
      <c r="AK3383" s="7"/>
      <c r="AL3383" s="7"/>
      <c r="AM3383" s="7"/>
      <c r="AN3383" s="7"/>
      <c r="AO3383" s="7"/>
      <c r="AP3383" s="7"/>
      <c r="AQ3383" s="7"/>
      <c r="AR3383" s="7"/>
      <c r="AS3383" s="7" t="s">
        <v>27</v>
      </c>
    </row>
    <row r="3384">
      <c r="A3384" s="7" t="s">
        <v>104</v>
      </c>
      <c r="B3384" s="7" t="s">
        <v>967</v>
      </c>
      <c r="C3384" s="7">
        <f t="shared" ref="C3384:C3385" si="465">4</f>
        <v>4</v>
      </c>
      <c r="D3384" s="7">
        <v>3.0</v>
      </c>
      <c r="E3384" s="9">
        <v>2.0</v>
      </c>
      <c r="F3384" s="7" t="s">
        <v>54</v>
      </c>
      <c r="G3384" s="7" t="s">
        <v>845</v>
      </c>
      <c r="H3384" s="9" t="s">
        <v>2979</v>
      </c>
      <c r="I3384" t="s">
        <v>3367</v>
      </c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  <c r="AC3384" s="7"/>
      <c r="AD3384" s="7" t="str">
        <f t="shared" si="1"/>
        <v>Built-up :</v>
      </c>
      <c r="AE3384" s="7" t="str">
        <f t="shared" si="2"/>
        <v> sq. ft.</v>
      </c>
      <c r="AF3384">
        <f>IFERROR(__xludf.DUMMYFUNCTION("VALUE(REGEXREPLACE(G3384,""[^[:digit:]]"", """"))"),1500.0)</f>
        <v>1500</v>
      </c>
      <c r="AG3384" s="7"/>
      <c r="AH3384" s="7"/>
      <c r="AI3384" s="7"/>
      <c r="AJ3384" s="7"/>
      <c r="AK3384" s="7"/>
      <c r="AL3384" s="7"/>
      <c r="AM3384" s="7"/>
      <c r="AN3384" s="7"/>
      <c r="AO3384" s="7"/>
      <c r="AP3384" s="7"/>
      <c r="AQ3384" s="7"/>
      <c r="AR3384" s="7"/>
      <c r="AS3384" s="7" t="s">
        <v>27</v>
      </c>
    </row>
    <row r="3385">
      <c r="A3385" s="7" t="s">
        <v>104</v>
      </c>
      <c r="B3385" s="7" t="s">
        <v>923</v>
      </c>
      <c r="C3385" s="7">
        <f t="shared" si="465"/>
        <v>4</v>
      </c>
      <c r="D3385" s="7">
        <v>3.0</v>
      </c>
      <c r="E3385" s="9">
        <v>2.0</v>
      </c>
      <c r="F3385" s="7" t="s">
        <v>1497</v>
      </c>
      <c r="G3385" s="7" t="s">
        <v>796</v>
      </c>
      <c r="H3385" s="9" t="s">
        <v>2979</v>
      </c>
      <c r="I3385" t="s">
        <v>3345</v>
      </c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  <c r="AC3385" s="7"/>
      <c r="AD3385" s="7" t="str">
        <f t="shared" si="1"/>
        <v>Built-up :</v>
      </c>
      <c r="AE3385" s="7" t="str">
        <f t="shared" si="2"/>
        <v> sq. ft.</v>
      </c>
      <c r="AF3385">
        <f>IFERROR(__xludf.DUMMYFUNCTION("VALUE(REGEXREPLACE(G3385,""[^[:digit:]]"", """"))"),1430.0)</f>
        <v>1430</v>
      </c>
      <c r="AG3385" s="7"/>
      <c r="AH3385" s="7"/>
      <c r="AI3385" s="7"/>
      <c r="AJ3385" s="7"/>
      <c r="AK3385" s="7"/>
      <c r="AL3385" s="7"/>
      <c r="AM3385" s="7"/>
      <c r="AN3385" s="7"/>
      <c r="AO3385" s="7"/>
      <c r="AP3385" s="7"/>
      <c r="AQ3385" s="7"/>
      <c r="AR3385" s="7"/>
      <c r="AS3385" s="7" t="s">
        <v>27</v>
      </c>
    </row>
    <row r="3386">
      <c r="A3386" s="7" t="s">
        <v>28</v>
      </c>
      <c r="B3386" s="7" t="s">
        <v>2295</v>
      </c>
      <c r="C3386" s="7">
        <f>2</f>
        <v>2</v>
      </c>
      <c r="D3386" s="7">
        <v>2.0</v>
      </c>
      <c r="E3386" s="9">
        <v>2.0</v>
      </c>
      <c r="F3386" s="7" t="s">
        <v>20</v>
      </c>
      <c r="G3386" s="7" t="s">
        <v>937</v>
      </c>
      <c r="H3386" s="9" t="s">
        <v>2979</v>
      </c>
      <c r="I3386" t="s">
        <v>3416</v>
      </c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7" t="str">
        <f t="shared" si="1"/>
        <v>Built-up :</v>
      </c>
      <c r="AE3386" s="7" t="str">
        <f t="shared" si="2"/>
        <v> sq. ft.</v>
      </c>
      <c r="AF3386">
        <f>IFERROR(__xludf.DUMMYFUNCTION("VALUE(REGEXREPLACE(G3386,""[^[:digit:]]"", """"))"),1148.0)</f>
        <v>1148</v>
      </c>
      <c r="AG3386" s="7"/>
      <c r="AH3386" s="7"/>
      <c r="AI3386" s="7"/>
      <c r="AJ3386" s="7"/>
      <c r="AK3386" s="7"/>
      <c r="AL3386" s="7"/>
      <c r="AM3386" s="7"/>
      <c r="AN3386" s="7"/>
      <c r="AO3386" s="7"/>
      <c r="AP3386" s="7"/>
      <c r="AQ3386" s="7"/>
      <c r="AR3386" s="7"/>
      <c r="AS3386" s="7" t="s">
        <v>22</v>
      </c>
    </row>
    <row r="3387">
      <c r="A3387" s="7" t="s">
        <v>28</v>
      </c>
      <c r="B3387" s="7" t="s">
        <v>2296</v>
      </c>
      <c r="C3387" s="7">
        <f>1</f>
        <v>1</v>
      </c>
      <c r="D3387" s="7">
        <v>1.0</v>
      </c>
      <c r="E3387" s="7">
        <v>1.0</v>
      </c>
      <c r="F3387" s="7" t="s">
        <v>20</v>
      </c>
      <c r="G3387" s="7" t="s">
        <v>1127</v>
      </c>
      <c r="H3387" s="9" t="s">
        <v>2979</v>
      </c>
      <c r="I3387" t="s">
        <v>3521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  <c r="AA3387" s="7"/>
      <c r="AB3387" s="7"/>
      <c r="AC3387" s="7"/>
      <c r="AD3387" s="7" t="str">
        <f t="shared" si="1"/>
        <v>Built-up :</v>
      </c>
      <c r="AE3387" s="7" t="str">
        <f t="shared" si="2"/>
        <v> sq. ft.</v>
      </c>
      <c r="AF3387">
        <f>IFERROR(__xludf.DUMMYFUNCTION("VALUE(REGEXREPLACE(G3387,""[^[:digit:]]"", """"))"),672.0)</f>
        <v>672</v>
      </c>
      <c r="AG3387" s="7"/>
      <c r="AH3387" s="7"/>
      <c r="AI3387" s="7"/>
      <c r="AJ3387" s="7"/>
      <c r="AK3387" s="7"/>
      <c r="AL3387" s="7"/>
      <c r="AM3387" s="7"/>
      <c r="AN3387" s="7"/>
      <c r="AO3387" s="7"/>
      <c r="AP3387" s="7"/>
      <c r="AQ3387" s="7"/>
      <c r="AR3387" s="7"/>
      <c r="AS3387" s="7" t="s">
        <v>22</v>
      </c>
    </row>
    <row r="3388">
      <c r="A3388" s="7" t="s">
        <v>23</v>
      </c>
      <c r="B3388" s="7" t="s">
        <v>2297</v>
      </c>
      <c r="C3388" s="7">
        <f>5+1</f>
        <v>6</v>
      </c>
      <c r="D3388" s="7">
        <v>6.0</v>
      </c>
      <c r="E3388" s="7">
        <v>6.0</v>
      </c>
      <c r="F3388" s="7" t="s">
        <v>25</v>
      </c>
      <c r="G3388" s="7" t="s">
        <v>593</v>
      </c>
      <c r="H3388" s="9" t="s">
        <v>2981</v>
      </c>
      <c r="I3388" t="s">
        <v>3239</v>
      </c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  <c r="AB3388" s="7"/>
      <c r="AC3388" s="7"/>
      <c r="AD3388" s="7" t="str">
        <f t="shared" si="1"/>
        <v>Land area </v>
      </c>
      <c r="AE3388" s="7" t="str">
        <f t="shared" si="2"/>
        <v> sq. ft.</v>
      </c>
      <c r="AF3388">
        <f>IFERROR(__xludf.DUMMYFUNCTION("VALUE(REGEXREPLACE(G3388,""[^[:digit:]]"", """"))"),12000.0)</f>
        <v>12000</v>
      </c>
      <c r="AG3388" s="7"/>
      <c r="AH3388" s="7"/>
      <c r="AI3388" s="7"/>
      <c r="AJ3388" s="7"/>
      <c r="AK3388" s="7"/>
      <c r="AL3388" s="7"/>
      <c r="AM3388" s="7"/>
      <c r="AN3388" s="7"/>
      <c r="AO3388" s="7"/>
      <c r="AP3388" s="7"/>
      <c r="AQ3388" s="7"/>
      <c r="AR3388" s="7"/>
      <c r="AS3388" s="7" t="s">
        <v>27</v>
      </c>
    </row>
    <row r="3389">
      <c r="A3389" s="7" t="s">
        <v>32</v>
      </c>
      <c r="B3389" s="7" t="s">
        <v>2298</v>
      </c>
      <c r="C3389" s="7">
        <f t="shared" ref="C3389:C3391" si="466">2</f>
        <v>2</v>
      </c>
      <c r="D3389" s="7">
        <v>2.0</v>
      </c>
      <c r="E3389" s="7">
        <v>2.0</v>
      </c>
      <c r="F3389" s="7" t="s">
        <v>145</v>
      </c>
      <c r="G3389" s="7" t="s">
        <v>2299</v>
      </c>
      <c r="H3389" s="9" t="s">
        <v>2979</v>
      </c>
      <c r="I3389" t="s">
        <v>4236</v>
      </c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7" t="str">
        <f t="shared" si="1"/>
        <v>Built-up :</v>
      </c>
      <c r="AE3389" s="7" t="str">
        <f t="shared" si="2"/>
        <v> sq. ft.</v>
      </c>
      <c r="AF3389">
        <f>IFERROR(__xludf.DUMMYFUNCTION("VALUE(REGEXREPLACE(G3389,""[^[:digit:]]"", """"))"),1121.0)</f>
        <v>1121</v>
      </c>
      <c r="AG3389" s="7"/>
      <c r="AH3389" s="7"/>
      <c r="AI3389" s="7"/>
      <c r="AJ3389" s="7"/>
      <c r="AK3389" s="7"/>
      <c r="AL3389" s="7"/>
      <c r="AM3389" s="7"/>
      <c r="AN3389" s="7"/>
      <c r="AO3389" s="7"/>
      <c r="AP3389" s="7"/>
      <c r="AQ3389" s="7"/>
      <c r="AR3389" s="7"/>
      <c r="AS3389" s="7" t="s">
        <v>27</v>
      </c>
    </row>
    <row r="3390">
      <c r="A3390" s="7" t="s">
        <v>32</v>
      </c>
      <c r="B3390" s="7" t="s">
        <v>2300</v>
      </c>
      <c r="C3390" s="7">
        <f t="shared" si="466"/>
        <v>2</v>
      </c>
      <c r="D3390" s="7">
        <v>2.0</v>
      </c>
      <c r="E3390" s="7">
        <v>2.0</v>
      </c>
      <c r="F3390" s="7" t="s">
        <v>20</v>
      </c>
      <c r="G3390" s="7" t="s">
        <v>1820</v>
      </c>
      <c r="H3390" s="9" t="s">
        <v>2979</v>
      </c>
      <c r="I3390" t="s">
        <v>3939</v>
      </c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  <c r="AD3390" s="7" t="str">
        <f t="shared" si="1"/>
        <v>Built-up :</v>
      </c>
      <c r="AE3390" s="7" t="str">
        <f t="shared" si="2"/>
        <v> sq. ft.</v>
      </c>
      <c r="AF3390">
        <f>IFERROR(__xludf.DUMMYFUNCTION("VALUE(REGEXREPLACE(G3390,""[^[:digit:]]"", """"))"),1066.0)</f>
        <v>1066</v>
      </c>
      <c r="AG3390" s="7"/>
      <c r="AH3390" s="7"/>
      <c r="AI3390" s="7"/>
      <c r="AJ3390" s="7"/>
      <c r="AK3390" s="7"/>
      <c r="AL3390" s="7"/>
      <c r="AM3390" s="7"/>
      <c r="AN3390" s="7"/>
      <c r="AO3390" s="7"/>
      <c r="AP3390" s="7"/>
      <c r="AQ3390" s="7"/>
      <c r="AR3390" s="7"/>
      <c r="AS3390" s="7" t="s">
        <v>27</v>
      </c>
    </row>
    <row r="3391">
      <c r="A3391" s="7" t="s">
        <v>32</v>
      </c>
      <c r="B3391" s="7" t="s">
        <v>2301</v>
      </c>
      <c r="C3391" s="7">
        <f t="shared" si="466"/>
        <v>2</v>
      </c>
      <c r="D3391" s="7">
        <v>1.0</v>
      </c>
      <c r="E3391" s="7">
        <v>1.0</v>
      </c>
      <c r="F3391" s="7" t="s">
        <v>20</v>
      </c>
      <c r="G3391" s="7" t="s">
        <v>2302</v>
      </c>
      <c r="H3391" s="9" t="s">
        <v>2979</v>
      </c>
      <c r="I3391" t="s">
        <v>4237</v>
      </c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  <c r="AD3391" s="7" t="str">
        <f t="shared" si="1"/>
        <v>Built-up :</v>
      </c>
      <c r="AE3391" s="7" t="str">
        <f t="shared" si="2"/>
        <v> sq. ft.</v>
      </c>
      <c r="AF3391">
        <f>IFERROR(__xludf.DUMMYFUNCTION("VALUE(REGEXREPLACE(G3391,""[^[:digit:]]"", """"))"),821.0)</f>
        <v>821</v>
      </c>
      <c r="AG3391" s="7"/>
      <c r="AH3391" s="7"/>
      <c r="AI3391" s="7"/>
      <c r="AJ3391" s="7"/>
      <c r="AK3391" s="7"/>
      <c r="AL3391" s="7"/>
      <c r="AM3391" s="7"/>
      <c r="AN3391" s="7"/>
      <c r="AO3391" s="7"/>
      <c r="AP3391" s="7"/>
      <c r="AQ3391" s="7"/>
      <c r="AR3391" s="7"/>
      <c r="AS3391" s="7" t="s">
        <v>27</v>
      </c>
    </row>
    <row r="3392">
      <c r="A3392" s="7" t="s">
        <v>32</v>
      </c>
      <c r="B3392" s="7" t="s">
        <v>2303</v>
      </c>
      <c r="C3392" s="7">
        <f>3+1</f>
        <v>4</v>
      </c>
      <c r="D3392" s="7">
        <v>2.0</v>
      </c>
      <c r="E3392" s="7">
        <v>2.0</v>
      </c>
      <c r="F3392" s="7" t="s">
        <v>145</v>
      </c>
      <c r="G3392" s="7" t="s">
        <v>2304</v>
      </c>
      <c r="H3392" s="9" t="s">
        <v>2979</v>
      </c>
      <c r="I3392" t="s">
        <v>4238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  <c r="AC3392" s="7"/>
      <c r="AD3392" s="7" t="str">
        <f t="shared" si="1"/>
        <v>Built-up :</v>
      </c>
      <c r="AE3392" s="7" t="str">
        <f t="shared" si="2"/>
        <v> sq. ft.</v>
      </c>
      <c r="AF3392">
        <f>IFERROR(__xludf.DUMMYFUNCTION("VALUE(REGEXREPLACE(G3392,""[^[:digit:]]"", """"))"),1328.0)</f>
        <v>1328</v>
      </c>
      <c r="AG3392" s="7"/>
      <c r="AH3392" s="7"/>
      <c r="AI3392" s="7"/>
      <c r="AJ3392" s="7"/>
      <c r="AK3392" s="7"/>
      <c r="AL3392" s="7"/>
      <c r="AM3392" s="7"/>
      <c r="AN3392" s="7"/>
      <c r="AO3392" s="7"/>
      <c r="AP3392" s="7"/>
      <c r="AQ3392" s="7"/>
      <c r="AR3392" s="7"/>
      <c r="AS3392" s="7" t="s">
        <v>27</v>
      </c>
    </row>
    <row r="3393">
      <c r="A3393" s="7" t="s">
        <v>32</v>
      </c>
      <c r="B3393" s="7" t="s">
        <v>1333</v>
      </c>
      <c r="C3393" s="7">
        <f t="shared" ref="C3393:C3394" si="467">1</f>
        <v>1</v>
      </c>
      <c r="D3393" s="7">
        <v>2.0</v>
      </c>
      <c r="E3393" s="7">
        <v>1.0</v>
      </c>
      <c r="F3393" s="7" t="s">
        <v>145</v>
      </c>
      <c r="G3393" s="7" t="s">
        <v>678</v>
      </c>
      <c r="H3393" s="9" t="s">
        <v>2979</v>
      </c>
      <c r="I3393" t="s">
        <v>3280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  <c r="AA3393" s="7"/>
      <c r="AB3393" s="7"/>
      <c r="AC3393" s="7"/>
      <c r="AD3393" s="7" t="str">
        <f t="shared" si="1"/>
        <v>Built-up :</v>
      </c>
      <c r="AE3393" s="7" t="str">
        <f t="shared" si="2"/>
        <v> sq. ft.</v>
      </c>
      <c r="AF3393">
        <f>IFERROR(__xludf.DUMMYFUNCTION("VALUE(REGEXREPLACE(G3393,""[^[:digit:]]"", """"))"),762.0)</f>
        <v>762</v>
      </c>
      <c r="AG3393" s="7"/>
      <c r="AH3393" s="7"/>
      <c r="AI3393" s="7"/>
      <c r="AJ3393" s="7"/>
      <c r="AK3393" s="7"/>
      <c r="AL3393" s="7"/>
      <c r="AM3393" s="7"/>
      <c r="AN3393" s="7"/>
      <c r="AO3393" s="7"/>
      <c r="AP3393" s="7"/>
      <c r="AQ3393" s="7"/>
      <c r="AR3393" s="7"/>
      <c r="AS3393" s="7" t="s">
        <v>27</v>
      </c>
    </row>
    <row r="3394">
      <c r="A3394" s="7" t="s">
        <v>32</v>
      </c>
      <c r="B3394" s="7" t="s">
        <v>2305</v>
      </c>
      <c r="C3394" s="7">
        <f t="shared" si="467"/>
        <v>1</v>
      </c>
      <c r="D3394" s="7">
        <v>1.0</v>
      </c>
      <c r="E3394" s="7">
        <v>1.0</v>
      </c>
      <c r="F3394" s="7" t="s">
        <v>20</v>
      </c>
      <c r="G3394" s="7" t="s">
        <v>2306</v>
      </c>
      <c r="H3394" s="9" t="s">
        <v>2979</v>
      </c>
      <c r="I3394" t="s">
        <v>4239</v>
      </c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  <c r="AA3394" s="7"/>
      <c r="AB3394" s="7"/>
      <c r="AC3394" s="7"/>
      <c r="AD3394" s="7" t="str">
        <f t="shared" si="1"/>
        <v>Built-up :</v>
      </c>
      <c r="AE3394" s="7" t="str">
        <f t="shared" si="2"/>
        <v> sq. ft.</v>
      </c>
      <c r="AF3394">
        <f>IFERROR(__xludf.DUMMYFUNCTION("VALUE(REGEXREPLACE(G3394,""[^[:digit:]]"", """"))"),857.0)</f>
        <v>857</v>
      </c>
      <c r="AG3394" s="7"/>
      <c r="AH3394" s="7"/>
      <c r="AI3394" s="7"/>
      <c r="AJ3394" s="7"/>
      <c r="AK3394" s="7"/>
      <c r="AL3394" s="7"/>
      <c r="AM3394" s="7"/>
      <c r="AN3394" s="7"/>
      <c r="AO3394" s="7"/>
      <c r="AP3394" s="7"/>
      <c r="AQ3394" s="7"/>
      <c r="AR3394" s="7"/>
      <c r="AS3394" s="7" t="s">
        <v>27</v>
      </c>
    </row>
    <row r="3395">
      <c r="A3395" s="7" t="s">
        <v>109</v>
      </c>
      <c r="B3395" s="7" t="s">
        <v>1659</v>
      </c>
      <c r="C3395" s="7">
        <f>3+1</f>
        <v>4</v>
      </c>
      <c r="D3395" s="7">
        <v>2.0</v>
      </c>
      <c r="E3395" s="7">
        <v>1.0</v>
      </c>
      <c r="F3395" s="7" t="s">
        <v>30</v>
      </c>
      <c r="G3395" s="7" t="s">
        <v>135</v>
      </c>
      <c r="H3395" s="9" t="s">
        <v>2979</v>
      </c>
      <c r="I3395" t="s">
        <v>3023</v>
      </c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7" t="str">
        <f t="shared" si="1"/>
        <v>Built-up :</v>
      </c>
      <c r="AE3395" s="7" t="str">
        <f t="shared" si="2"/>
        <v> sq. ft.</v>
      </c>
      <c r="AF3395">
        <f>IFERROR(__xludf.DUMMYFUNCTION("VALUE(REGEXREPLACE(G3395,""[^[:digit:]]"", """"))"),1200.0)</f>
        <v>1200</v>
      </c>
      <c r="AG3395" s="7"/>
      <c r="AH3395" s="7"/>
      <c r="AI3395" s="7"/>
      <c r="AJ3395" s="7"/>
      <c r="AK3395" s="7"/>
      <c r="AL3395" s="7"/>
      <c r="AM3395" s="7"/>
      <c r="AN3395" s="7"/>
      <c r="AO3395" s="7"/>
      <c r="AP3395" s="7"/>
      <c r="AQ3395" s="7"/>
      <c r="AR3395" s="7"/>
      <c r="AS3395" s="7" t="s">
        <v>27</v>
      </c>
    </row>
    <row r="3396">
      <c r="A3396" s="7" t="s">
        <v>171</v>
      </c>
      <c r="B3396" s="7" t="s">
        <v>563</v>
      </c>
      <c r="C3396" s="7">
        <f t="shared" ref="C3396:C3397" si="468">3</f>
        <v>3</v>
      </c>
      <c r="D3396" s="7">
        <v>2.0</v>
      </c>
      <c r="E3396" s="7">
        <v>2.0</v>
      </c>
      <c r="F3396" s="7" t="s">
        <v>83</v>
      </c>
      <c r="G3396" s="7" t="s">
        <v>734</v>
      </c>
      <c r="H3396" s="9" t="s">
        <v>2979</v>
      </c>
      <c r="I3396" t="s">
        <v>3308</v>
      </c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  <c r="AD3396" s="7" t="str">
        <f t="shared" si="1"/>
        <v>Built-up :</v>
      </c>
      <c r="AE3396" s="7" t="str">
        <f t="shared" si="2"/>
        <v> sq. ft.</v>
      </c>
      <c r="AF3396">
        <f>IFERROR(__xludf.DUMMYFUNCTION("VALUE(REGEXREPLACE(G3396,""[^[:digit:]]"", """"))"),1100.0)</f>
        <v>1100</v>
      </c>
      <c r="AG3396" s="7"/>
      <c r="AH3396" s="7"/>
      <c r="AI3396" s="7"/>
      <c r="AJ3396" s="7"/>
      <c r="AK3396" s="7"/>
      <c r="AL3396" s="7"/>
      <c r="AM3396" s="7"/>
      <c r="AN3396" s="7"/>
      <c r="AO3396" s="7"/>
      <c r="AP3396" s="7"/>
      <c r="AQ3396" s="7"/>
      <c r="AR3396" s="7"/>
      <c r="AS3396" s="7" t="s">
        <v>103</v>
      </c>
    </row>
    <row r="3397">
      <c r="A3397" s="7" t="s">
        <v>17</v>
      </c>
      <c r="B3397" s="7" t="s">
        <v>1225</v>
      </c>
      <c r="C3397" s="7">
        <f t="shared" si="468"/>
        <v>3</v>
      </c>
      <c r="D3397" s="7">
        <v>2.0</v>
      </c>
      <c r="E3397" s="9">
        <v>2.0</v>
      </c>
      <c r="F3397" s="7" t="s">
        <v>30</v>
      </c>
      <c r="G3397" s="7" t="s">
        <v>338</v>
      </c>
      <c r="H3397" s="9" t="s">
        <v>2979</v>
      </c>
      <c r="I3397" t="s">
        <v>3114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  <c r="AC3397" s="7"/>
      <c r="AD3397" s="7" t="str">
        <f t="shared" si="1"/>
        <v>Built-up :</v>
      </c>
      <c r="AE3397" s="7" t="str">
        <f t="shared" si="2"/>
        <v> sq. ft.</v>
      </c>
      <c r="AF3397">
        <f>IFERROR(__xludf.DUMMYFUNCTION("VALUE(REGEXREPLACE(G3397,""[^[:digit:]]"", """"))"),1619.0)</f>
        <v>1619</v>
      </c>
      <c r="AG3397" s="7"/>
      <c r="AH3397" s="7"/>
      <c r="AI3397" s="7"/>
      <c r="AJ3397" s="7"/>
      <c r="AK3397" s="7"/>
      <c r="AL3397" s="7"/>
      <c r="AM3397" s="7"/>
      <c r="AN3397" s="7"/>
      <c r="AO3397" s="7"/>
      <c r="AP3397" s="7"/>
      <c r="AQ3397" s="7"/>
      <c r="AR3397" s="7"/>
      <c r="AS3397" s="7" t="s">
        <v>27</v>
      </c>
    </row>
    <row r="3398">
      <c r="A3398" s="7" t="s">
        <v>89</v>
      </c>
      <c r="B3398" s="7" t="s">
        <v>1423</v>
      </c>
      <c r="C3398" s="7">
        <f>2</f>
        <v>2</v>
      </c>
      <c r="D3398" s="7">
        <v>2.0</v>
      </c>
      <c r="E3398" s="7">
        <v>2.0</v>
      </c>
      <c r="F3398" s="7" t="s">
        <v>121</v>
      </c>
      <c r="G3398" s="7" t="s">
        <v>2224</v>
      </c>
      <c r="H3398" s="9" t="s">
        <v>2979</v>
      </c>
      <c r="I3398" t="s">
        <v>4192</v>
      </c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7" t="str">
        <f t="shared" si="1"/>
        <v>Built-up :</v>
      </c>
      <c r="AE3398" s="7" t="str">
        <f t="shared" si="2"/>
        <v> sq. ft.</v>
      </c>
      <c r="AF3398">
        <f>IFERROR(__xludf.DUMMYFUNCTION("VALUE(REGEXREPLACE(G3398,""[^[:digit:]]"", """"))"),695.0)</f>
        <v>695</v>
      </c>
      <c r="AG3398" s="7"/>
      <c r="AH3398" s="7"/>
      <c r="AI3398" s="7"/>
      <c r="AJ3398" s="7"/>
      <c r="AK3398" s="7"/>
      <c r="AL3398" s="7"/>
      <c r="AM3398" s="7"/>
      <c r="AN3398" s="7"/>
      <c r="AO3398" s="7"/>
      <c r="AP3398" s="7"/>
      <c r="AQ3398" s="7"/>
      <c r="AR3398" s="7"/>
      <c r="AS3398" s="7" t="s">
        <v>103</v>
      </c>
    </row>
    <row r="3399">
      <c r="A3399" s="7" t="s">
        <v>100</v>
      </c>
      <c r="B3399" s="7" t="s">
        <v>329</v>
      </c>
      <c r="C3399" s="7">
        <f>3</f>
        <v>3</v>
      </c>
      <c r="D3399" s="7">
        <v>4.0</v>
      </c>
      <c r="E3399" s="7">
        <v>2.0</v>
      </c>
      <c r="F3399" s="7" t="s">
        <v>93</v>
      </c>
      <c r="G3399" s="7" t="s">
        <v>942</v>
      </c>
      <c r="H3399" s="9" t="s">
        <v>2981</v>
      </c>
      <c r="I3399" t="s">
        <v>2989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  <c r="AA3399" s="7"/>
      <c r="AB3399" s="7"/>
      <c r="AC3399" s="7"/>
      <c r="AD3399" s="7" t="str">
        <f t="shared" si="1"/>
        <v>Land area </v>
      </c>
      <c r="AE3399" s="7" t="str">
        <f t="shared" si="2"/>
        <v> sq. ft.</v>
      </c>
      <c r="AF3399">
        <f>IFERROR(__xludf.DUMMYFUNCTION("VALUE(REGEXREPLACE(G3399,""[^[:digit:]]"", """"))"),1875.0)</f>
        <v>1875</v>
      </c>
      <c r="AG3399" s="7"/>
      <c r="AH3399" s="7"/>
      <c r="AI3399" s="7"/>
      <c r="AJ3399" s="7"/>
      <c r="AK3399" s="7"/>
      <c r="AL3399" s="7"/>
      <c r="AM3399" s="7"/>
      <c r="AN3399" s="7"/>
      <c r="AO3399" s="7"/>
      <c r="AP3399" s="7"/>
      <c r="AQ3399" s="7"/>
      <c r="AR3399" s="7"/>
      <c r="AS3399" s="7" t="s">
        <v>27</v>
      </c>
    </row>
    <row r="3400">
      <c r="A3400" s="7" t="s">
        <v>2307</v>
      </c>
      <c r="B3400" s="7" t="s">
        <v>1348</v>
      </c>
      <c r="C3400" s="7" t="s">
        <v>325</v>
      </c>
      <c r="D3400" s="7">
        <v>1.0</v>
      </c>
      <c r="E3400" s="7">
        <v>1.0</v>
      </c>
      <c r="F3400" s="7" t="s">
        <v>1821</v>
      </c>
      <c r="G3400" s="7" t="s">
        <v>244</v>
      </c>
      <c r="H3400" s="9" t="s">
        <v>2979</v>
      </c>
      <c r="I3400" t="s">
        <v>3073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  <c r="AA3400" s="7"/>
      <c r="AB3400" s="7"/>
      <c r="AC3400" s="7"/>
      <c r="AD3400" s="7" t="str">
        <f t="shared" si="1"/>
        <v>Built-up :</v>
      </c>
      <c r="AE3400" s="7" t="str">
        <f t="shared" si="2"/>
        <v> sq. ft.</v>
      </c>
      <c r="AF3400">
        <f>IFERROR(__xludf.DUMMYFUNCTION("VALUE(REGEXREPLACE(G3400,""[^[:digit:]]"", """"))"),500.0)</f>
        <v>500</v>
      </c>
      <c r="AG3400" s="7"/>
      <c r="AH3400" s="7"/>
      <c r="AI3400" s="7"/>
      <c r="AJ3400" s="7"/>
      <c r="AK3400" s="7"/>
      <c r="AL3400" s="7"/>
      <c r="AM3400" s="7"/>
      <c r="AN3400" s="7"/>
      <c r="AO3400" s="7"/>
      <c r="AP3400" s="7"/>
      <c r="AQ3400" s="7"/>
      <c r="AR3400" s="7"/>
    </row>
    <row r="3401">
      <c r="A3401" s="7" t="s">
        <v>2307</v>
      </c>
      <c r="B3401" s="7" t="s">
        <v>1328</v>
      </c>
      <c r="C3401" s="7">
        <f>2</f>
        <v>2</v>
      </c>
      <c r="D3401" s="7">
        <v>2.0</v>
      </c>
      <c r="E3401" s="9">
        <v>2.0</v>
      </c>
      <c r="F3401" s="7" t="s">
        <v>20</v>
      </c>
      <c r="G3401" s="7" t="s">
        <v>2308</v>
      </c>
      <c r="H3401" s="9" t="s">
        <v>2979</v>
      </c>
      <c r="I3401" t="s">
        <v>4240</v>
      </c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7" t="str">
        <f t="shared" si="1"/>
        <v>Built-up :</v>
      </c>
      <c r="AE3401" s="7" t="str">
        <f t="shared" si="2"/>
        <v> sq. ft.</v>
      </c>
      <c r="AF3401">
        <f>IFERROR(__xludf.DUMMYFUNCTION("VALUE(REGEXREPLACE(G3401,""[^[:digit:]]"", """"))"),726.0)</f>
        <v>726</v>
      </c>
      <c r="AG3401" s="7"/>
      <c r="AH3401" s="7"/>
      <c r="AI3401" s="7"/>
      <c r="AJ3401" s="7"/>
      <c r="AK3401" s="7"/>
      <c r="AL3401" s="7"/>
      <c r="AM3401" s="7"/>
      <c r="AN3401" s="7"/>
      <c r="AO3401" s="7"/>
      <c r="AP3401" s="7"/>
      <c r="AQ3401" s="7"/>
      <c r="AR3401" s="7"/>
    </row>
    <row r="3402">
      <c r="A3402" s="7" t="s">
        <v>72</v>
      </c>
      <c r="B3402" s="7" t="s">
        <v>658</v>
      </c>
      <c r="C3402" s="7">
        <f>4+1</f>
        <v>5</v>
      </c>
      <c r="D3402" s="7">
        <v>5.0</v>
      </c>
      <c r="E3402" s="7">
        <v>3.0</v>
      </c>
      <c r="F3402" s="7" t="s">
        <v>30</v>
      </c>
      <c r="G3402" s="7" t="s">
        <v>2263</v>
      </c>
      <c r="H3402" s="9" t="s">
        <v>2981</v>
      </c>
      <c r="I3402" t="s">
        <v>3306</v>
      </c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7" t="str">
        <f t="shared" si="1"/>
        <v>Land area </v>
      </c>
      <c r="AE3402" s="7" t="str">
        <f t="shared" si="2"/>
        <v> sq. ft.</v>
      </c>
      <c r="AF3402">
        <f>IFERROR(__xludf.DUMMYFUNCTION("VALUE(REGEXREPLACE(G3402,""[^[:digit:]]"", """"))"),0.0)</f>
        <v>0</v>
      </c>
      <c r="AG3402" s="7"/>
      <c r="AH3402" s="7"/>
      <c r="AI3402" s="7"/>
      <c r="AJ3402" s="7"/>
      <c r="AK3402" s="7"/>
      <c r="AL3402" s="7"/>
      <c r="AM3402" s="7"/>
      <c r="AN3402" s="7"/>
      <c r="AO3402" s="7"/>
      <c r="AP3402" s="7"/>
      <c r="AQ3402" s="7"/>
      <c r="AR3402" s="7"/>
      <c r="AS3402" s="7" t="s">
        <v>27</v>
      </c>
    </row>
    <row r="3403">
      <c r="A3403" s="7" t="s">
        <v>86</v>
      </c>
      <c r="B3403" s="7" t="s">
        <v>854</v>
      </c>
      <c r="C3403" s="7">
        <f t="shared" ref="C3403:C3405" si="469">2</f>
        <v>2</v>
      </c>
      <c r="D3403" s="7">
        <v>2.0</v>
      </c>
      <c r="E3403" s="7">
        <v>1.0</v>
      </c>
      <c r="F3403" s="7" t="s">
        <v>82</v>
      </c>
      <c r="G3403" s="7" t="s">
        <v>2309</v>
      </c>
      <c r="H3403" s="9" t="s">
        <v>2981</v>
      </c>
      <c r="I3403" t="s">
        <v>3356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7" t="str">
        <f t="shared" si="1"/>
        <v>Land area </v>
      </c>
      <c r="AE3403" s="7" t="str">
        <f t="shared" si="2"/>
        <v> sq. ft.</v>
      </c>
      <c r="AF3403">
        <f>IFERROR(__xludf.DUMMYFUNCTION("VALUE(REGEXREPLACE(G3403,""[^[:digit:]]"", """"))"),815.0)</f>
        <v>815</v>
      </c>
      <c r="AG3403" s="7"/>
      <c r="AH3403" s="7"/>
      <c r="AI3403" s="7"/>
      <c r="AJ3403" s="7"/>
      <c r="AK3403" s="7"/>
      <c r="AL3403" s="7"/>
      <c r="AM3403" s="7"/>
      <c r="AN3403" s="7"/>
      <c r="AO3403" s="7"/>
      <c r="AP3403" s="7"/>
      <c r="AQ3403" s="7"/>
      <c r="AR3403" s="7"/>
      <c r="AS3403" s="7" t="s">
        <v>22</v>
      </c>
    </row>
    <row r="3404">
      <c r="A3404" s="7" t="s">
        <v>1241</v>
      </c>
      <c r="B3404" s="7" t="s">
        <v>132</v>
      </c>
      <c r="C3404" s="7">
        <f t="shared" si="469"/>
        <v>2</v>
      </c>
      <c r="D3404" s="7">
        <v>2.0</v>
      </c>
      <c r="E3404" s="7">
        <v>2.0</v>
      </c>
      <c r="F3404" s="7" t="s">
        <v>20</v>
      </c>
      <c r="G3404" s="7" t="s">
        <v>1243</v>
      </c>
      <c r="H3404" s="9" t="s">
        <v>2979</v>
      </c>
      <c r="I3404" t="s">
        <v>3601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7" t="str">
        <f t="shared" si="1"/>
        <v>Built-up :</v>
      </c>
      <c r="AE3404" s="7" t="str">
        <f t="shared" si="2"/>
        <v> sq. ft.</v>
      </c>
      <c r="AF3404">
        <f>IFERROR(__xludf.DUMMYFUNCTION("VALUE(REGEXREPLACE(G3404,""[^[:digit:]]"", """"))"),1410.0)</f>
        <v>1410</v>
      </c>
      <c r="AG3404" s="7"/>
      <c r="AH3404" s="7"/>
      <c r="AI3404" s="7"/>
      <c r="AJ3404" s="7"/>
      <c r="AK3404" s="7"/>
      <c r="AL3404" s="7"/>
      <c r="AM3404" s="7"/>
      <c r="AN3404" s="7"/>
      <c r="AO3404" s="7"/>
      <c r="AP3404" s="7"/>
      <c r="AQ3404" s="7"/>
      <c r="AR3404" s="7"/>
    </row>
    <row r="3405">
      <c r="A3405" s="7" t="s">
        <v>1241</v>
      </c>
      <c r="B3405" s="7" t="s">
        <v>168</v>
      </c>
      <c r="C3405" s="7">
        <f t="shared" si="469"/>
        <v>2</v>
      </c>
      <c r="D3405" s="7">
        <v>2.0</v>
      </c>
      <c r="E3405" s="7">
        <v>2.0</v>
      </c>
      <c r="F3405" s="7" t="s">
        <v>20</v>
      </c>
      <c r="H3405" s="9" t="s">
        <v>2984</v>
      </c>
      <c r="I3405" t="s">
        <v>2985</v>
      </c>
      <c r="AD3405" s="7" t="str">
        <f t="shared" si="1"/>
        <v/>
      </c>
      <c r="AE3405" s="7" t="str">
        <f t="shared" si="2"/>
        <v/>
      </c>
      <c r="AF3405">
        <f>IFERROR(__xludf.DUMMYFUNCTION("VALUE(REGEXREPLACE(G3405,""[^[:digit:]]"", """"))"),0.0)</f>
        <v>0</v>
      </c>
    </row>
    <row r="3406">
      <c r="A3406" s="7" t="s">
        <v>109</v>
      </c>
      <c r="B3406" s="7" t="s">
        <v>193</v>
      </c>
      <c r="C3406" s="7">
        <f>5+1</f>
        <v>6</v>
      </c>
      <c r="D3406" s="7">
        <v>5.0</v>
      </c>
      <c r="E3406" s="7">
        <v>4.0</v>
      </c>
      <c r="F3406" s="7" t="s">
        <v>64</v>
      </c>
      <c r="G3406" s="7" t="s">
        <v>2310</v>
      </c>
      <c r="H3406" s="9" t="s">
        <v>2979</v>
      </c>
      <c r="I3406" t="s">
        <v>4241</v>
      </c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  <c r="AA3406" s="7"/>
      <c r="AB3406" s="7"/>
      <c r="AC3406" s="7"/>
      <c r="AD3406" s="7" t="str">
        <f t="shared" si="1"/>
        <v>Built-up :</v>
      </c>
      <c r="AE3406" s="7" t="str">
        <f t="shared" si="2"/>
        <v> sq. ft.</v>
      </c>
      <c r="AF3406">
        <f>IFERROR(__xludf.DUMMYFUNCTION("VALUE(REGEXREPLACE(G3406,""[^[:digit:]]"", """"))"),6120.0)</f>
        <v>6120</v>
      </c>
      <c r="AG3406" s="7"/>
      <c r="AH3406" s="7"/>
      <c r="AI3406" s="7"/>
      <c r="AJ3406" s="7"/>
      <c r="AK3406" s="7"/>
      <c r="AL3406" s="7"/>
      <c r="AM3406" s="7"/>
      <c r="AN3406" s="7"/>
      <c r="AO3406" s="7"/>
      <c r="AP3406" s="7"/>
      <c r="AQ3406" s="7"/>
      <c r="AR3406" s="7"/>
      <c r="AS3406" s="7" t="s">
        <v>22</v>
      </c>
    </row>
    <row r="3407">
      <c r="A3407" s="7" t="s">
        <v>177</v>
      </c>
      <c r="B3407" s="7" t="s">
        <v>193</v>
      </c>
      <c r="C3407" s="7">
        <f>4</f>
        <v>4</v>
      </c>
      <c r="D3407" s="7">
        <v>3.0</v>
      </c>
      <c r="E3407" s="9">
        <v>2.0</v>
      </c>
      <c r="F3407" s="7" t="s">
        <v>54</v>
      </c>
      <c r="G3407" s="7" t="s">
        <v>283</v>
      </c>
      <c r="H3407" s="9" t="s">
        <v>2981</v>
      </c>
      <c r="I3407" t="s">
        <v>3091</v>
      </c>
      <c r="J3407" s="7"/>
      <c r="K3407" s="7"/>
      <c r="L3407" s="7"/>
      <c r="M3407" s="7"/>
      <c r="N3407" s="7"/>
      <c r="O3407" s="7"/>
      <c r="P3407" s="7"/>
      <c r="Q3407" s="7"/>
      <c r="R3407" s="7"/>
      <c r="S3407" s="7" t="s">
        <v>2990</v>
      </c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 t="str">
        <f t="shared" si="1"/>
        <v>Land area </v>
      </c>
      <c r="AE3407" s="7" t="str">
        <f t="shared" si="2"/>
        <v> sq. ft.</v>
      </c>
      <c r="AF3407">
        <f>IFERROR(__xludf.DUMMYFUNCTION("VALUE(REGEXREPLACE(G3407,""[^[:digit:]]"", """"))"),2275.0)</f>
        <v>2275</v>
      </c>
      <c r="AG3407" s="7"/>
      <c r="AH3407" s="7"/>
      <c r="AI3407" s="7"/>
      <c r="AJ3407" s="7"/>
      <c r="AK3407" s="7"/>
      <c r="AL3407" s="7"/>
      <c r="AM3407" s="7"/>
      <c r="AN3407" s="7"/>
      <c r="AO3407" s="7"/>
      <c r="AP3407" s="7"/>
      <c r="AQ3407" s="7"/>
      <c r="AR3407" s="7"/>
      <c r="AS3407" s="7" t="s">
        <v>103</v>
      </c>
    </row>
    <row r="3408">
      <c r="A3408" s="7" t="s">
        <v>72</v>
      </c>
      <c r="B3408" s="7" t="s">
        <v>81</v>
      </c>
      <c r="C3408" s="7">
        <f>3+1</f>
        <v>4</v>
      </c>
      <c r="D3408" s="7">
        <v>3.0</v>
      </c>
      <c r="E3408" s="7">
        <v>2.0</v>
      </c>
      <c r="F3408" s="7" t="s">
        <v>83</v>
      </c>
      <c r="G3408" s="7" t="s">
        <v>2311</v>
      </c>
      <c r="H3408" s="9" t="s">
        <v>2981</v>
      </c>
      <c r="I3408" t="s">
        <v>4242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7" t="str">
        <f t="shared" si="1"/>
        <v>Land area </v>
      </c>
      <c r="AE3408" s="7" t="str">
        <f t="shared" si="2"/>
        <v> sq. ft.</v>
      </c>
      <c r="AF3408">
        <f>IFERROR(__xludf.DUMMYFUNCTION("VALUE(REGEXREPLACE(G3408,""[^[:digit:]]"", """"))"),1871.0)</f>
        <v>1871</v>
      </c>
      <c r="AG3408" s="7"/>
      <c r="AH3408" s="7"/>
      <c r="AI3408" s="7"/>
      <c r="AJ3408" s="7"/>
      <c r="AK3408" s="7"/>
      <c r="AL3408" s="7"/>
      <c r="AM3408" s="7"/>
      <c r="AN3408" s="7"/>
      <c r="AO3408" s="7"/>
      <c r="AP3408" s="7"/>
      <c r="AQ3408" s="7"/>
      <c r="AR3408" s="7"/>
      <c r="AS3408" s="7" t="s">
        <v>22</v>
      </c>
    </row>
    <row r="3409">
      <c r="A3409" s="7" t="s">
        <v>32</v>
      </c>
      <c r="B3409" s="7" t="s">
        <v>940</v>
      </c>
      <c r="C3409" s="7">
        <f>7</f>
        <v>7</v>
      </c>
      <c r="D3409" s="7">
        <v>9.0</v>
      </c>
      <c r="E3409" s="7">
        <v>4.0</v>
      </c>
      <c r="F3409" s="7" t="s">
        <v>61</v>
      </c>
      <c r="G3409" s="7" t="s">
        <v>631</v>
      </c>
      <c r="H3409" s="9" t="s">
        <v>2981</v>
      </c>
      <c r="I3409" t="s">
        <v>3258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7" t="str">
        <f t="shared" si="1"/>
        <v>Land area </v>
      </c>
      <c r="AE3409" s="7" t="str">
        <f t="shared" si="2"/>
        <v> sq. ft.</v>
      </c>
      <c r="AF3409">
        <f>IFERROR(__xludf.DUMMYFUNCTION("VALUE(REGEXREPLACE(G3409,""[^[:digit:]]"", """"))"),5000.0)</f>
        <v>5000</v>
      </c>
      <c r="AG3409" s="7"/>
      <c r="AH3409" s="7"/>
      <c r="AI3409" s="7"/>
      <c r="AJ3409" s="7"/>
      <c r="AK3409" s="7"/>
      <c r="AL3409" s="7"/>
      <c r="AM3409" s="7"/>
      <c r="AN3409" s="7"/>
      <c r="AO3409" s="7"/>
      <c r="AP3409" s="7"/>
      <c r="AQ3409" s="7"/>
      <c r="AR3409" s="7"/>
      <c r="AS3409" s="7" t="s">
        <v>22</v>
      </c>
    </row>
    <row r="3410">
      <c r="A3410" s="7" t="s">
        <v>17</v>
      </c>
      <c r="B3410" s="7" t="s">
        <v>2312</v>
      </c>
      <c r="C3410" s="7">
        <f>2</f>
        <v>2</v>
      </c>
      <c r="D3410" s="7">
        <v>2.0</v>
      </c>
      <c r="E3410" s="9">
        <v>2.0</v>
      </c>
      <c r="F3410" s="7" t="s">
        <v>121</v>
      </c>
      <c r="G3410" s="7" t="s">
        <v>2262</v>
      </c>
      <c r="H3410" s="9" t="s">
        <v>2979</v>
      </c>
      <c r="I3410" t="s">
        <v>4213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7" t="str">
        <f t="shared" si="1"/>
        <v>Built-up :</v>
      </c>
      <c r="AE3410" s="7" t="str">
        <f t="shared" si="2"/>
        <v> sq. ft.</v>
      </c>
      <c r="AF3410">
        <f>IFERROR(__xludf.DUMMYFUNCTION("VALUE(REGEXREPLACE(G3410,""[^[:digit:]]"", """"))"),894.0)</f>
        <v>894</v>
      </c>
      <c r="AG3410" s="7"/>
      <c r="AH3410" s="7"/>
      <c r="AI3410" s="7"/>
      <c r="AJ3410" s="7"/>
      <c r="AK3410" s="7"/>
      <c r="AL3410" s="7"/>
      <c r="AM3410" s="7"/>
      <c r="AN3410" s="7"/>
      <c r="AO3410" s="7"/>
      <c r="AP3410" s="7"/>
      <c r="AQ3410" s="7"/>
      <c r="AR3410" s="7"/>
      <c r="AS3410" s="7" t="s">
        <v>27</v>
      </c>
    </row>
    <row r="3411">
      <c r="A3411" s="7" t="s">
        <v>223</v>
      </c>
      <c r="B3411" s="7" t="s">
        <v>969</v>
      </c>
      <c r="C3411" s="7" t="s">
        <v>325</v>
      </c>
      <c r="D3411" s="7">
        <v>1.0</v>
      </c>
      <c r="E3411" s="9">
        <v>2.0</v>
      </c>
      <c r="F3411" s="7" t="s">
        <v>20</v>
      </c>
      <c r="G3411" s="7" t="s">
        <v>244</v>
      </c>
      <c r="H3411" s="9" t="s">
        <v>2979</v>
      </c>
      <c r="I3411" t="s">
        <v>3073</v>
      </c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  <c r="AA3411" s="7"/>
      <c r="AB3411" s="7"/>
      <c r="AC3411" s="7"/>
      <c r="AD3411" s="7" t="str">
        <f t="shared" si="1"/>
        <v>Built-up :</v>
      </c>
      <c r="AE3411" s="7" t="str">
        <f t="shared" si="2"/>
        <v> sq. ft.</v>
      </c>
      <c r="AF3411">
        <f>IFERROR(__xludf.DUMMYFUNCTION("VALUE(REGEXREPLACE(G3411,""[^[:digit:]]"", """"))"),500.0)</f>
        <v>500</v>
      </c>
      <c r="AG3411" s="7"/>
      <c r="AH3411" s="7"/>
      <c r="AI3411" s="7"/>
      <c r="AJ3411" s="7"/>
      <c r="AK3411" s="7"/>
      <c r="AL3411" s="7"/>
      <c r="AM3411" s="7"/>
      <c r="AN3411" s="7"/>
      <c r="AO3411" s="7"/>
      <c r="AP3411" s="7"/>
      <c r="AQ3411" s="7"/>
      <c r="AR3411" s="7"/>
      <c r="AS3411" s="7" t="s">
        <v>22</v>
      </c>
    </row>
    <row r="3412">
      <c r="A3412" s="7" t="s">
        <v>32</v>
      </c>
      <c r="B3412" s="7" t="s">
        <v>372</v>
      </c>
      <c r="C3412" s="7">
        <f>3+1</f>
        <v>4</v>
      </c>
      <c r="D3412" s="7">
        <v>3.0</v>
      </c>
      <c r="E3412" s="7">
        <v>2.0</v>
      </c>
      <c r="F3412" s="7" t="s">
        <v>82</v>
      </c>
      <c r="G3412" s="7" t="s">
        <v>2313</v>
      </c>
      <c r="H3412" s="9" t="s">
        <v>2979</v>
      </c>
      <c r="I3412" t="s">
        <v>4243</v>
      </c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  <c r="AA3412" s="7"/>
      <c r="AB3412" s="7"/>
      <c r="AC3412" s="7"/>
      <c r="AD3412" s="7" t="str">
        <f t="shared" si="1"/>
        <v>Built-up :</v>
      </c>
      <c r="AE3412" s="7" t="str">
        <f t="shared" si="2"/>
        <v> sq. ft.</v>
      </c>
      <c r="AF3412">
        <f>IFERROR(__xludf.DUMMYFUNCTION("VALUE(REGEXREPLACE(G3412,""[^[:digit:]]"", """"))"),979.0)</f>
        <v>979</v>
      </c>
      <c r="AG3412" s="7"/>
      <c r="AH3412" s="7"/>
      <c r="AI3412" s="7"/>
      <c r="AJ3412" s="7"/>
      <c r="AK3412" s="7"/>
      <c r="AL3412" s="7"/>
      <c r="AM3412" s="7"/>
      <c r="AN3412" s="7"/>
      <c r="AO3412" s="7"/>
      <c r="AP3412" s="7"/>
      <c r="AQ3412" s="7"/>
      <c r="AR3412" s="7"/>
      <c r="AS3412" s="7" t="s">
        <v>22</v>
      </c>
    </row>
    <row r="3413">
      <c r="A3413" s="7" t="s">
        <v>32</v>
      </c>
      <c r="B3413" s="7" t="s">
        <v>1200</v>
      </c>
      <c r="C3413" s="7">
        <f>4</f>
        <v>4</v>
      </c>
      <c r="D3413" s="7">
        <v>3.0</v>
      </c>
      <c r="E3413" s="9">
        <v>2.0</v>
      </c>
      <c r="F3413" s="7" t="s">
        <v>54</v>
      </c>
      <c r="G3413" s="7" t="s">
        <v>2239</v>
      </c>
      <c r="H3413" s="9" t="s">
        <v>2981</v>
      </c>
      <c r="I3413" t="s">
        <v>3516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 t="s">
        <v>3121</v>
      </c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7" t="str">
        <f t="shared" si="1"/>
        <v>Land area </v>
      </c>
      <c r="AE3413" s="7" t="str">
        <f t="shared" si="2"/>
        <v> sq. ft.</v>
      </c>
      <c r="AF3413" s="7">
        <v>1400.0</v>
      </c>
      <c r="AG3413" s="7"/>
      <c r="AH3413" s="7"/>
      <c r="AI3413" s="7"/>
      <c r="AJ3413" s="7"/>
      <c r="AK3413" s="7"/>
      <c r="AL3413" s="7"/>
      <c r="AM3413" s="7"/>
      <c r="AN3413" s="7"/>
      <c r="AO3413" s="7"/>
      <c r="AP3413" s="7"/>
      <c r="AQ3413" s="7"/>
      <c r="AR3413" s="7"/>
      <c r="AS3413" s="7" t="s">
        <v>27</v>
      </c>
    </row>
    <row r="3414">
      <c r="A3414" s="7" t="s">
        <v>267</v>
      </c>
      <c r="B3414" s="7" t="s">
        <v>807</v>
      </c>
      <c r="C3414" s="7">
        <f t="shared" ref="C3414:C3415" si="470">3+1</f>
        <v>4</v>
      </c>
      <c r="D3414" s="7">
        <v>4.0</v>
      </c>
      <c r="E3414" s="7">
        <v>2.0</v>
      </c>
      <c r="F3414" s="7" t="s">
        <v>83</v>
      </c>
      <c r="G3414" s="7" t="s">
        <v>1198</v>
      </c>
      <c r="H3414" s="9" t="s">
        <v>2979</v>
      </c>
      <c r="I3414" t="s">
        <v>3573</v>
      </c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7" t="str">
        <f t="shared" si="1"/>
        <v>Built-up :</v>
      </c>
      <c r="AE3414" s="7" t="str">
        <f t="shared" si="2"/>
        <v> sq. ft.</v>
      </c>
      <c r="AF3414">
        <f>IFERROR(__xludf.DUMMYFUNCTION("VALUE(REGEXREPLACE(G3414,""[^[:digit:]]"", """"))"),1712.0)</f>
        <v>1712</v>
      </c>
      <c r="AG3414" s="7"/>
      <c r="AH3414" s="7"/>
      <c r="AI3414" s="7"/>
      <c r="AJ3414" s="7"/>
      <c r="AK3414" s="7"/>
      <c r="AL3414" s="7"/>
      <c r="AM3414" s="7"/>
      <c r="AN3414" s="7"/>
      <c r="AO3414" s="7"/>
      <c r="AP3414" s="7"/>
      <c r="AQ3414" s="7"/>
      <c r="AR3414" s="7"/>
      <c r="AS3414" s="7" t="s">
        <v>27</v>
      </c>
    </row>
    <row r="3415">
      <c r="A3415" s="7" t="s">
        <v>104</v>
      </c>
      <c r="B3415" s="7" t="s">
        <v>1073</v>
      </c>
      <c r="C3415" s="7">
        <f t="shared" si="470"/>
        <v>4</v>
      </c>
      <c r="D3415" s="7">
        <v>2.0</v>
      </c>
      <c r="E3415" s="7">
        <v>2.0</v>
      </c>
      <c r="F3415" s="7" t="s">
        <v>82</v>
      </c>
      <c r="G3415" s="7" t="s">
        <v>321</v>
      </c>
      <c r="H3415" s="9" t="s">
        <v>2979</v>
      </c>
      <c r="I3415" t="s">
        <v>3107</v>
      </c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7" t="str">
        <f t="shared" si="1"/>
        <v>Built-up :</v>
      </c>
      <c r="AE3415" s="7" t="str">
        <f t="shared" si="2"/>
        <v> sq. ft.</v>
      </c>
      <c r="AF3415">
        <f>IFERROR(__xludf.DUMMYFUNCTION("VALUE(REGEXREPLACE(G3415,""[^[:digit:]]"", """"))"),1292.0)</f>
        <v>1292</v>
      </c>
      <c r="AG3415" s="7"/>
      <c r="AH3415" s="7"/>
      <c r="AI3415" s="7"/>
      <c r="AJ3415" s="7"/>
      <c r="AK3415" s="7"/>
      <c r="AL3415" s="7"/>
      <c r="AM3415" s="7"/>
      <c r="AN3415" s="7"/>
      <c r="AO3415" s="7"/>
      <c r="AP3415" s="7"/>
      <c r="AQ3415" s="7"/>
      <c r="AR3415" s="7"/>
      <c r="AS3415" s="7" t="s">
        <v>27</v>
      </c>
    </row>
    <row r="3416">
      <c r="A3416" s="7" t="s">
        <v>33</v>
      </c>
      <c r="B3416" s="7" t="s">
        <v>18</v>
      </c>
      <c r="C3416" s="7">
        <f>5+1</f>
        <v>6</v>
      </c>
      <c r="D3416" s="7">
        <v>4.0</v>
      </c>
      <c r="E3416" s="7">
        <v>2.0</v>
      </c>
      <c r="F3416" s="7" t="s">
        <v>90</v>
      </c>
      <c r="G3416" s="7" t="s">
        <v>2314</v>
      </c>
      <c r="H3416" s="9" t="s">
        <v>2981</v>
      </c>
      <c r="I3416" t="s">
        <v>4244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 t="s">
        <v>4037</v>
      </c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7" t="str">
        <f t="shared" si="1"/>
        <v>Land area </v>
      </c>
      <c r="AE3416" s="7" t="str">
        <f t="shared" si="2"/>
        <v> sq. ft.</v>
      </c>
      <c r="AF3416" s="7">
        <v>1720.0</v>
      </c>
      <c r="AG3416" s="7"/>
      <c r="AH3416" s="7"/>
      <c r="AI3416" s="7"/>
      <c r="AJ3416" s="7"/>
      <c r="AK3416" s="7"/>
      <c r="AL3416" s="7"/>
      <c r="AM3416" s="7"/>
      <c r="AN3416" s="7"/>
      <c r="AO3416" s="7"/>
      <c r="AP3416" s="7"/>
      <c r="AQ3416" s="7"/>
      <c r="AR3416" s="7"/>
      <c r="AS3416" s="7" t="s">
        <v>27</v>
      </c>
    </row>
    <row r="3417">
      <c r="A3417" s="7" t="s">
        <v>188</v>
      </c>
      <c r="B3417" s="7" t="s">
        <v>2315</v>
      </c>
      <c r="C3417" s="7">
        <f>3+1</f>
        <v>4</v>
      </c>
      <c r="D3417" s="7">
        <v>4.0</v>
      </c>
      <c r="E3417" s="7">
        <v>2.0</v>
      </c>
      <c r="F3417" s="7" t="s">
        <v>20</v>
      </c>
      <c r="G3417" s="7" t="s">
        <v>2316</v>
      </c>
      <c r="H3417" s="9" t="s">
        <v>2979</v>
      </c>
      <c r="I3417" t="s">
        <v>4245</v>
      </c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  <c r="AA3417" s="7"/>
      <c r="AB3417" s="7"/>
      <c r="AC3417" s="7"/>
      <c r="AD3417" s="7" t="str">
        <f t="shared" si="1"/>
        <v>Built-up :</v>
      </c>
      <c r="AE3417" s="7" t="str">
        <f t="shared" si="2"/>
        <v> sq. ft.</v>
      </c>
      <c r="AF3417">
        <f>IFERROR(__xludf.DUMMYFUNCTION("VALUE(REGEXREPLACE(G3417,""[^[:digit:]]"", """"))"),2409.0)</f>
        <v>2409</v>
      </c>
      <c r="AG3417" s="7"/>
      <c r="AH3417" s="7"/>
      <c r="AI3417" s="7"/>
      <c r="AJ3417" s="7"/>
      <c r="AK3417" s="7"/>
      <c r="AL3417" s="7"/>
      <c r="AM3417" s="7"/>
      <c r="AN3417" s="7"/>
      <c r="AO3417" s="7"/>
      <c r="AP3417" s="7"/>
      <c r="AQ3417" s="7"/>
      <c r="AR3417" s="7"/>
      <c r="AS3417" s="7" t="s">
        <v>22</v>
      </c>
    </row>
    <row r="3418">
      <c r="A3418" s="7" t="s">
        <v>188</v>
      </c>
      <c r="B3418" s="7" t="s">
        <v>130</v>
      </c>
      <c r="C3418" s="7">
        <f>2</f>
        <v>2</v>
      </c>
      <c r="D3418" s="7">
        <v>3.0</v>
      </c>
      <c r="E3418" s="7">
        <v>1.0</v>
      </c>
      <c r="F3418" s="7" t="s">
        <v>20</v>
      </c>
      <c r="G3418" s="7" t="s">
        <v>823</v>
      </c>
      <c r="H3418" s="9" t="s">
        <v>2979</v>
      </c>
      <c r="I3418" t="s">
        <v>3357</v>
      </c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  <c r="AA3418" s="7"/>
      <c r="AB3418" s="7"/>
      <c r="AC3418" s="7"/>
      <c r="AD3418" s="7" t="str">
        <f t="shared" si="1"/>
        <v>Built-up :</v>
      </c>
      <c r="AE3418" s="7" t="str">
        <f t="shared" si="2"/>
        <v> sq. ft.</v>
      </c>
      <c r="AF3418">
        <f>IFERROR(__xludf.DUMMYFUNCTION("VALUE(REGEXREPLACE(G3418,""[^[:digit:]]"", """"))"),1509.0)</f>
        <v>1509</v>
      </c>
      <c r="AG3418" s="7"/>
      <c r="AH3418" s="7"/>
      <c r="AI3418" s="7"/>
      <c r="AJ3418" s="7"/>
      <c r="AK3418" s="7"/>
      <c r="AL3418" s="7"/>
      <c r="AM3418" s="7"/>
      <c r="AN3418" s="7"/>
      <c r="AO3418" s="7"/>
      <c r="AP3418" s="7"/>
      <c r="AQ3418" s="7"/>
      <c r="AR3418" s="7"/>
      <c r="AS3418" s="7" t="s">
        <v>22</v>
      </c>
    </row>
    <row r="3419">
      <c r="A3419" s="7" t="s">
        <v>100</v>
      </c>
      <c r="B3419" s="7" t="s">
        <v>2184</v>
      </c>
      <c r="C3419" s="7">
        <f>3</f>
        <v>3</v>
      </c>
      <c r="D3419" s="7">
        <v>2.0</v>
      </c>
      <c r="E3419" s="7">
        <v>1.0</v>
      </c>
      <c r="F3419" s="7" t="s">
        <v>121</v>
      </c>
      <c r="G3419" s="7" t="s">
        <v>491</v>
      </c>
      <c r="H3419" s="9" t="s">
        <v>2979</v>
      </c>
      <c r="I3419" t="s">
        <v>3190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7" t="str">
        <f t="shared" si="1"/>
        <v>Built-up :</v>
      </c>
      <c r="AE3419" s="7" t="str">
        <f t="shared" si="2"/>
        <v> sq. ft.</v>
      </c>
      <c r="AF3419">
        <f>IFERROR(__xludf.DUMMYFUNCTION("VALUE(REGEXREPLACE(G3419,""[^[:digit:]]"", """"))"),950.0)</f>
        <v>950</v>
      </c>
      <c r="AG3419" s="7"/>
      <c r="AH3419" s="7"/>
      <c r="AI3419" s="7"/>
      <c r="AJ3419" s="7"/>
      <c r="AK3419" s="7"/>
      <c r="AL3419" s="7"/>
      <c r="AM3419" s="7"/>
      <c r="AN3419" s="7"/>
      <c r="AO3419" s="7"/>
      <c r="AP3419" s="7"/>
      <c r="AQ3419" s="7"/>
      <c r="AR3419" s="7"/>
      <c r="AS3419" s="7" t="s">
        <v>27</v>
      </c>
    </row>
    <row r="3420">
      <c r="A3420" s="7" t="s">
        <v>104</v>
      </c>
      <c r="B3420" s="7" t="s">
        <v>715</v>
      </c>
      <c r="C3420" s="7">
        <f>2+1</f>
        <v>3</v>
      </c>
      <c r="D3420" s="7">
        <v>2.0</v>
      </c>
      <c r="E3420" s="9">
        <v>2.0</v>
      </c>
      <c r="F3420" s="7" t="s">
        <v>343</v>
      </c>
      <c r="H3420" s="9" t="s">
        <v>2984</v>
      </c>
      <c r="I3420" t="s">
        <v>2985</v>
      </c>
      <c r="AD3420" s="7" t="str">
        <f t="shared" si="1"/>
        <v/>
      </c>
      <c r="AE3420" s="7" t="str">
        <f t="shared" si="2"/>
        <v/>
      </c>
      <c r="AF3420">
        <f>IFERROR(__xludf.DUMMYFUNCTION("VALUE(REGEXREPLACE(G3420,""[^[:digit:]]"", """"))"),0.0)</f>
        <v>0</v>
      </c>
    </row>
    <row r="3421">
      <c r="A3421" s="7" t="s">
        <v>33</v>
      </c>
      <c r="B3421" s="7" t="s">
        <v>809</v>
      </c>
      <c r="C3421" s="7">
        <f>3+1</f>
        <v>4</v>
      </c>
      <c r="D3421" s="7">
        <v>3.0</v>
      </c>
      <c r="E3421" s="7">
        <v>3.0</v>
      </c>
      <c r="F3421" s="7" t="s">
        <v>30</v>
      </c>
      <c r="G3421" s="7" t="s">
        <v>845</v>
      </c>
      <c r="H3421" s="9" t="s">
        <v>2979</v>
      </c>
      <c r="I3421" t="s">
        <v>3367</v>
      </c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7" t="str">
        <f t="shared" si="1"/>
        <v>Built-up :</v>
      </c>
      <c r="AE3421" s="7" t="str">
        <f t="shared" si="2"/>
        <v> sq. ft.</v>
      </c>
      <c r="AF3421">
        <f>IFERROR(__xludf.DUMMYFUNCTION("VALUE(REGEXREPLACE(G3421,""[^[:digit:]]"", """"))"),1500.0)</f>
        <v>1500</v>
      </c>
      <c r="AG3421" s="7"/>
      <c r="AH3421" s="7"/>
      <c r="AI3421" s="7"/>
      <c r="AJ3421" s="7"/>
      <c r="AK3421" s="7"/>
      <c r="AL3421" s="7"/>
      <c r="AM3421" s="7"/>
      <c r="AN3421" s="7"/>
      <c r="AO3421" s="7"/>
      <c r="AP3421" s="7"/>
      <c r="AQ3421" s="7"/>
      <c r="AR3421" s="7"/>
      <c r="AS3421" s="7" t="s">
        <v>22</v>
      </c>
    </row>
    <row r="3422">
      <c r="A3422" s="7" t="s">
        <v>23</v>
      </c>
      <c r="B3422" s="7" t="s">
        <v>472</v>
      </c>
      <c r="C3422" s="7">
        <f>1+1</f>
        <v>2</v>
      </c>
      <c r="D3422" s="7">
        <v>2.0</v>
      </c>
      <c r="E3422" s="9">
        <v>2.0</v>
      </c>
      <c r="F3422" s="7" t="s">
        <v>20</v>
      </c>
      <c r="G3422" s="7" t="s">
        <v>373</v>
      </c>
      <c r="H3422" s="9" t="s">
        <v>2979</v>
      </c>
      <c r="I3422" t="s">
        <v>3131</v>
      </c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7" t="str">
        <f t="shared" si="1"/>
        <v>Built-up :</v>
      </c>
      <c r="AE3422" s="7" t="str">
        <f t="shared" si="2"/>
        <v> sq. ft.</v>
      </c>
      <c r="AF3422">
        <f>IFERROR(__xludf.DUMMYFUNCTION("VALUE(REGEXREPLACE(G3422,""[^[:digit:]]"", """"))"),1152.0)</f>
        <v>1152</v>
      </c>
      <c r="AG3422" s="7"/>
      <c r="AH3422" s="7"/>
      <c r="AI3422" s="7"/>
      <c r="AJ3422" s="7"/>
      <c r="AK3422" s="7"/>
      <c r="AL3422" s="7"/>
      <c r="AM3422" s="7"/>
      <c r="AN3422" s="7"/>
      <c r="AO3422" s="7"/>
      <c r="AP3422" s="7"/>
      <c r="AQ3422" s="7"/>
      <c r="AR3422" s="7"/>
      <c r="AS3422" s="7" t="s">
        <v>27</v>
      </c>
    </row>
    <row r="3423">
      <c r="A3423" s="7" t="s">
        <v>177</v>
      </c>
      <c r="B3423" s="7" t="s">
        <v>858</v>
      </c>
      <c r="C3423" s="7">
        <f>5+1</f>
        <v>6</v>
      </c>
      <c r="D3423" s="7">
        <v>7.0</v>
      </c>
      <c r="E3423" s="9">
        <v>2.0</v>
      </c>
      <c r="F3423" s="7" t="s">
        <v>83</v>
      </c>
      <c r="G3423" s="7" t="s">
        <v>546</v>
      </c>
      <c r="H3423" s="9" t="s">
        <v>2979</v>
      </c>
      <c r="I3423" t="s">
        <v>3216</v>
      </c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  <c r="AA3423" s="7"/>
      <c r="AB3423" s="7"/>
      <c r="AC3423" s="7"/>
      <c r="AD3423" s="7" t="str">
        <f t="shared" si="1"/>
        <v>Built-up :</v>
      </c>
      <c r="AE3423" s="7" t="str">
        <f t="shared" si="2"/>
        <v> sq. ft.</v>
      </c>
      <c r="AF3423">
        <f>IFERROR(__xludf.DUMMYFUNCTION("VALUE(REGEXREPLACE(G3423,""[^[:digit:]]"", """"))"),6913.0)</f>
        <v>6913</v>
      </c>
      <c r="AG3423" s="7"/>
      <c r="AH3423" s="7"/>
      <c r="AI3423" s="7"/>
      <c r="AJ3423" s="7"/>
      <c r="AK3423" s="7"/>
      <c r="AL3423" s="7"/>
      <c r="AM3423" s="7"/>
      <c r="AN3423" s="7"/>
      <c r="AO3423" s="7"/>
      <c r="AP3423" s="7"/>
      <c r="AQ3423" s="7"/>
      <c r="AR3423" s="7"/>
      <c r="AS3423" s="7" t="s">
        <v>103</v>
      </c>
    </row>
    <row r="3424">
      <c r="A3424" s="7" t="s">
        <v>17</v>
      </c>
      <c r="B3424" s="7" t="s">
        <v>422</v>
      </c>
      <c r="C3424" s="7">
        <f>2</f>
        <v>2</v>
      </c>
      <c r="D3424" s="7">
        <v>2.0</v>
      </c>
      <c r="E3424" s="9">
        <v>2.0</v>
      </c>
      <c r="F3424" s="7" t="s">
        <v>121</v>
      </c>
      <c r="G3424" s="7" t="s">
        <v>446</v>
      </c>
      <c r="H3424" s="9" t="s">
        <v>2979</v>
      </c>
      <c r="I3424" t="s">
        <v>3165</v>
      </c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  <c r="AA3424" s="7"/>
      <c r="AB3424" s="7"/>
      <c r="AC3424" s="7"/>
      <c r="AD3424" s="7" t="str">
        <f t="shared" si="1"/>
        <v>Built-up :</v>
      </c>
      <c r="AE3424" s="7" t="str">
        <f t="shared" si="2"/>
        <v> sq. ft.</v>
      </c>
      <c r="AF3424">
        <f>IFERROR(__xludf.DUMMYFUNCTION("VALUE(REGEXREPLACE(G3424,""[^[:digit:]]"", """"))"),1271.0)</f>
        <v>1271</v>
      </c>
      <c r="AG3424" s="7"/>
      <c r="AH3424" s="7"/>
      <c r="AI3424" s="7"/>
      <c r="AJ3424" s="7"/>
      <c r="AK3424" s="7"/>
      <c r="AL3424" s="7"/>
      <c r="AM3424" s="7"/>
      <c r="AN3424" s="7"/>
      <c r="AO3424" s="7"/>
      <c r="AP3424" s="7"/>
      <c r="AQ3424" s="7"/>
      <c r="AR3424" s="7"/>
      <c r="AS3424" s="7" t="s">
        <v>27</v>
      </c>
    </row>
    <row r="3425">
      <c r="A3425" s="7" t="s">
        <v>72</v>
      </c>
      <c r="B3425" s="7" t="s">
        <v>123</v>
      </c>
      <c r="C3425" s="7">
        <f>5+1</f>
        <v>6</v>
      </c>
      <c r="D3425" s="7">
        <v>5.0</v>
      </c>
      <c r="E3425" s="7">
        <v>4.0</v>
      </c>
      <c r="F3425" s="7" t="s">
        <v>736</v>
      </c>
      <c r="G3425" s="7" t="s">
        <v>860</v>
      </c>
      <c r="H3425" s="9" t="s">
        <v>2981</v>
      </c>
      <c r="I3425" t="s">
        <v>3376</v>
      </c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7" t="str">
        <f t="shared" si="1"/>
        <v>Land area </v>
      </c>
      <c r="AE3425" s="7" t="str">
        <f t="shared" si="2"/>
        <v> sq. ft.</v>
      </c>
      <c r="AF3425">
        <f>IFERROR(__xludf.DUMMYFUNCTION("VALUE(REGEXREPLACE(G3425,""[^[:digit:]]"", """"))"),4000.0)</f>
        <v>4000</v>
      </c>
      <c r="AG3425" s="7"/>
      <c r="AH3425" s="7"/>
      <c r="AI3425" s="7"/>
      <c r="AJ3425" s="7"/>
      <c r="AK3425" s="7"/>
      <c r="AL3425" s="7"/>
      <c r="AM3425" s="7"/>
      <c r="AN3425" s="7"/>
      <c r="AO3425" s="7"/>
      <c r="AP3425" s="7"/>
      <c r="AQ3425" s="7"/>
      <c r="AR3425" s="7"/>
      <c r="AS3425" s="7" t="s">
        <v>27</v>
      </c>
    </row>
    <row r="3426">
      <c r="A3426" s="7" t="s">
        <v>86</v>
      </c>
      <c r="B3426" s="7" t="s">
        <v>1166</v>
      </c>
      <c r="C3426" s="7">
        <f>1+1</f>
        <v>2</v>
      </c>
      <c r="D3426" s="7">
        <v>1.0</v>
      </c>
      <c r="E3426" s="9">
        <v>2.0</v>
      </c>
      <c r="F3426" s="7" t="s">
        <v>20</v>
      </c>
      <c r="G3426" s="7" t="s">
        <v>1567</v>
      </c>
      <c r="H3426" s="9" t="s">
        <v>2979</v>
      </c>
      <c r="I3426" t="s">
        <v>3785</v>
      </c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7" t="str">
        <f t="shared" si="1"/>
        <v>Built-up :</v>
      </c>
      <c r="AE3426" s="7" t="str">
        <f t="shared" si="2"/>
        <v> sq. ft.</v>
      </c>
      <c r="AF3426">
        <f>IFERROR(__xludf.DUMMYFUNCTION("VALUE(REGEXREPLACE(G3426,""[^[:digit:]]"", """"))"),861.0)</f>
        <v>861</v>
      </c>
      <c r="AG3426" s="7"/>
      <c r="AH3426" s="7"/>
      <c r="AI3426" s="7"/>
      <c r="AJ3426" s="7"/>
      <c r="AK3426" s="7"/>
      <c r="AL3426" s="7"/>
      <c r="AM3426" s="7"/>
      <c r="AN3426" s="7"/>
      <c r="AO3426" s="7"/>
      <c r="AP3426" s="7"/>
      <c r="AQ3426" s="7"/>
      <c r="AR3426" s="7"/>
    </row>
    <row r="3427">
      <c r="A3427" s="7" t="s">
        <v>177</v>
      </c>
      <c r="B3427" s="7" t="s">
        <v>243</v>
      </c>
      <c r="C3427" s="7">
        <f>3</f>
        <v>3</v>
      </c>
      <c r="D3427" s="7">
        <v>2.0</v>
      </c>
      <c r="E3427" s="7">
        <v>1.0</v>
      </c>
      <c r="F3427" s="7" t="s">
        <v>83</v>
      </c>
      <c r="G3427" s="7" t="s">
        <v>2317</v>
      </c>
      <c r="H3427" s="9" t="s">
        <v>2979</v>
      </c>
      <c r="I3427" t="s">
        <v>4246</v>
      </c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7" t="str">
        <f t="shared" si="1"/>
        <v>Built-up :</v>
      </c>
      <c r="AE3427" s="7" t="str">
        <f t="shared" si="2"/>
        <v> sq. ft.</v>
      </c>
      <c r="AF3427">
        <f>IFERROR(__xludf.DUMMYFUNCTION("VALUE(REGEXREPLACE(G3427,""[^[:digit:]]"", """"))"),1750.0)</f>
        <v>1750</v>
      </c>
      <c r="AG3427" s="7"/>
      <c r="AH3427" s="7"/>
      <c r="AI3427" s="7"/>
      <c r="AJ3427" s="7"/>
      <c r="AK3427" s="7"/>
      <c r="AL3427" s="7"/>
      <c r="AM3427" s="7"/>
      <c r="AN3427" s="7"/>
      <c r="AO3427" s="7"/>
      <c r="AP3427" s="7"/>
      <c r="AQ3427" s="7"/>
      <c r="AR3427" s="7"/>
    </row>
    <row r="3428">
      <c r="A3428" s="7" t="s">
        <v>77</v>
      </c>
      <c r="B3428" s="7" t="s">
        <v>1289</v>
      </c>
      <c r="C3428" s="7">
        <f>3+1</f>
        <v>4</v>
      </c>
      <c r="D3428" s="7">
        <v>5.0</v>
      </c>
      <c r="E3428" s="7">
        <v>3.0</v>
      </c>
      <c r="F3428" s="7" t="s">
        <v>184</v>
      </c>
      <c r="G3428" s="7" t="s">
        <v>176</v>
      </c>
      <c r="H3428" s="9" t="s">
        <v>2979</v>
      </c>
      <c r="I3428" t="s">
        <v>3039</v>
      </c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7" t="str">
        <f t="shared" si="1"/>
        <v>Built-up :</v>
      </c>
      <c r="AE3428" s="7" t="str">
        <f t="shared" si="2"/>
        <v> sq. ft.</v>
      </c>
      <c r="AF3428">
        <f>IFERROR(__xludf.DUMMYFUNCTION("VALUE(REGEXREPLACE(G3428,""[^[:digit:]]"", """"))"),3000.0)</f>
        <v>3000</v>
      </c>
      <c r="AG3428" s="7"/>
      <c r="AH3428" s="7"/>
      <c r="AI3428" s="7"/>
      <c r="AJ3428" s="7"/>
      <c r="AK3428" s="7"/>
      <c r="AL3428" s="7"/>
      <c r="AM3428" s="7"/>
      <c r="AN3428" s="7"/>
      <c r="AO3428" s="7"/>
      <c r="AP3428" s="7"/>
      <c r="AQ3428" s="7"/>
      <c r="AR3428" s="7"/>
      <c r="AS3428" s="7" t="s">
        <v>27</v>
      </c>
    </row>
    <row r="3429">
      <c r="A3429" s="7" t="s">
        <v>32</v>
      </c>
      <c r="B3429" s="7" t="s">
        <v>1493</v>
      </c>
      <c r="C3429" s="7">
        <f>4</f>
        <v>4</v>
      </c>
      <c r="D3429" s="7">
        <v>3.0</v>
      </c>
      <c r="E3429" s="7">
        <v>2.0</v>
      </c>
      <c r="F3429" s="7" t="s">
        <v>83</v>
      </c>
      <c r="G3429" s="7" t="s">
        <v>161</v>
      </c>
      <c r="H3429" s="9" t="s">
        <v>2979</v>
      </c>
      <c r="I3429" t="s">
        <v>3033</v>
      </c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 t="str">
        <f t="shared" si="1"/>
        <v>Built-up :</v>
      </c>
      <c r="AE3429" s="7" t="str">
        <f t="shared" si="2"/>
        <v> sq. ft.</v>
      </c>
      <c r="AF3429">
        <f>IFERROR(__xludf.DUMMYFUNCTION("VALUE(REGEXREPLACE(G3429,""[^[:digit:]]"", """"))"),1227.0)</f>
        <v>1227</v>
      </c>
      <c r="AG3429" s="7"/>
      <c r="AH3429" s="7"/>
      <c r="AI3429" s="7"/>
      <c r="AJ3429" s="7"/>
      <c r="AK3429" s="7"/>
      <c r="AL3429" s="7"/>
      <c r="AM3429" s="7"/>
      <c r="AN3429" s="7"/>
      <c r="AO3429" s="7"/>
      <c r="AP3429" s="7"/>
      <c r="AQ3429" s="7"/>
      <c r="AR3429" s="7"/>
    </row>
    <row r="3430">
      <c r="A3430" s="7" t="s">
        <v>2237</v>
      </c>
      <c r="B3430" s="7" t="s">
        <v>2318</v>
      </c>
      <c r="C3430" s="7">
        <f>2</f>
        <v>2</v>
      </c>
      <c r="D3430" s="7">
        <v>2.0</v>
      </c>
      <c r="E3430" s="7">
        <v>1.0</v>
      </c>
      <c r="F3430" s="7" t="s">
        <v>82</v>
      </c>
      <c r="G3430" s="7" t="s">
        <v>392</v>
      </c>
      <c r="H3430" s="9" t="s">
        <v>2979</v>
      </c>
      <c r="I3430" t="s">
        <v>3141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 t="str">
        <f t="shared" si="1"/>
        <v>Built-up :</v>
      </c>
      <c r="AE3430" s="7" t="str">
        <f t="shared" si="2"/>
        <v> sq. ft.</v>
      </c>
      <c r="AF3430">
        <f>IFERROR(__xludf.DUMMYFUNCTION("VALUE(REGEXREPLACE(G3430,""[^[:digit:]]"", """"))"),850.0)</f>
        <v>850</v>
      </c>
      <c r="AG3430" s="7"/>
      <c r="AH3430" s="7"/>
      <c r="AI3430" s="7"/>
      <c r="AJ3430" s="7"/>
      <c r="AK3430" s="7"/>
      <c r="AL3430" s="7"/>
      <c r="AM3430" s="7"/>
      <c r="AN3430" s="7"/>
      <c r="AO3430" s="7"/>
      <c r="AP3430" s="7"/>
      <c r="AQ3430" s="7"/>
      <c r="AR3430" s="7"/>
      <c r="AS3430" s="7" t="s">
        <v>22</v>
      </c>
    </row>
    <row r="3431">
      <c r="A3431" s="7" t="s">
        <v>171</v>
      </c>
      <c r="B3431" s="7" t="s">
        <v>2016</v>
      </c>
      <c r="C3431" s="7">
        <f>3</f>
        <v>3</v>
      </c>
      <c r="D3431" s="7">
        <v>2.0</v>
      </c>
      <c r="E3431" s="7">
        <v>2.0</v>
      </c>
      <c r="F3431" s="7" t="s">
        <v>82</v>
      </c>
      <c r="G3431" s="7" t="s">
        <v>2319</v>
      </c>
      <c r="H3431" s="9" t="s">
        <v>2979</v>
      </c>
      <c r="I3431" t="s">
        <v>4247</v>
      </c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 t="str">
        <f t="shared" si="1"/>
        <v>Built-up :</v>
      </c>
      <c r="AE3431" s="7" t="str">
        <f t="shared" si="2"/>
        <v> sq. ft.</v>
      </c>
      <c r="AF3431">
        <f>IFERROR(__xludf.DUMMYFUNCTION("VALUE(REGEXREPLACE(G3431,""[^[:digit:]]"", """"))"),845.0)</f>
        <v>845</v>
      </c>
      <c r="AG3431" s="7"/>
      <c r="AH3431" s="7"/>
      <c r="AI3431" s="7"/>
      <c r="AJ3431" s="7"/>
      <c r="AK3431" s="7"/>
      <c r="AL3431" s="7"/>
      <c r="AM3431" s="7"/>
      <c r="AN3431" s="7"/>
      <c r="AO3431" s="7"/>
      <c r="AP3431" s="7"/>
      <c r="AQ3431" s="7"/>
      <c r="AR3431" s="7"/>
      <c r="AS3431" s="7" t="s">
        <v>27</v>
      </c>
    </row>
    <row r="3432">
      <c r="A3432" s="7" t="s">
        <v>72</v>
      </c>
      <c r="B3432" s="7" t="s">
        <v>712</v>
      </c>
      <c r="C3432" s="7">
        <f>3+1</f>
        <v>4</v>
      </c>
      <c r="D3432" s="7">
        <v>4.0</v>
      </c>
      <c r="E3432" s="7">
        <v>2.0</v>
      </c>
      <c r="F3432" s="7" t="s">
        <v>93</v>
      </c>
      <c r="G3432" s="7" t="s">
        <v>278</v>
      </c>
      <c r="H3432" s="9" t="s">
        <v>2979</v>
      </c>
      <c r="I3432" t="s">
        <v>3090</v>
      </c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7" t="str">
        <f t="shared" si="1"/>
        <v>Built-up :</v>
      </c>
      <c r="AE3432" s="7" t="str">
        <f t="shared" si="2"/>
        <v> sq. ft.</v>
      </c>
      <c r="AF3432">
        <f>IFERROR(__xludf.DUMMYFUNCTION("VALUE(REGEXREPLACE(G3432,""[^[:digit:]]"", """"))"),2243.0)</f>
        <v>2243</v>
      </c>
      <c r="AG3432" s="7"/>
      <c r="AH3432" s="7"/>
      <c r="AI3432" s="7"/>
      <c r="AJ3432" s="7"/>
      <c r="AK3432" s="7"/>
      <c r="AL3432" s="7"/>
      <c r="AM3432" s="7"/>
      <c r="AN3432" s="7"/>
      <c r="AO3432" s="7"/>
      <c r="AP3432" s="7"/>
      <c r="AQ3432" s="7"/>
      <c r="AR3432" s="7"/>
      <c r="AS3432" s="7" t="s">
        <v>22</v>
      </c>
    </row>
    <row r="3433">
      <c r="A3433" s="7" t="s">
        <v>33</v>
      </c>
      <c r="B3433" s="7" t="s">
        <v>534</v>
      </c>
      <c r="C3433" s="7">
        <f>6+1</f>
        <v>7</v>
      </c>
      <c r="D3433" s="7">
        <v>7.0</v>
      </c>
      <c r="E3433" s="7">
        <v>5.0</v>
      </c>
      <c r="F3433" s="7" t="s">
        <v>64</v>
      </c>
      <c r="G3433" s="7" t="s">
        <v>946</v>
      </c>
      <c r="H3433" s="9" t="s">
        <v>2981</v>
      </c>
      <c r="I3433" t="s">
        <v>3420</v>
      </c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 t="str">
        <f t="shared" si="1"/>
        <v>Land area </v>
      </c>
      <c r="AE3433" s="7" t="str">
        <f t="shared" si="2"/>
        <v> sq. ft.</v>
      </c>
      <c r="AF3433">
        <f>IFERROR(__xludf.DUMMYFUNCTION("VALUE(REGEXREPLACE(G3433,""[^[:digit:]]"", """"))"),5317.0)</f>
        <v>5317</v>
      </c>
      <c r="AG3433" s="7"/>
      <c r="AH3433" s="7"/>
      <c r="AI3433" s="7"/>
      <c r="AJ3433" s="7"/>
      <c r="AK3433" s="7"/>
      <c r="AL3433" s="7"/>
      <c r="AM3433" s="7"/>
      <c r="AN3433" s="7"/>
      <c r="AO3433" s="7"/>
      <c r="AP3433" s="7"/>
      <c r="AQ3433" s="7"/>
      <c r="AR3433" s="7"/>
      <c r="AS3433" s="7" t="s">
        <v>27</v>
      </c>
    </row>
    <row r="3434">
      <c r="A3434" s="7" t="s">
        <v>33</v>
      </c>
      <c r="B3434" s="7" t="s">
        <v>890</v>
      </c>
      <c r="C3434" s="7">
        <f>3</f>
        <v>3</v>
      </c>
      <c r="D3434" s="7">
        <v>2.0</v>
      </c>
      <c r="E3434" s="7">
        <v>1.0</v>
      </c>
      <c r="F3434" s="7" t="s">
        <v>93</v>
      </c>
      <c r="G3434" s="7" t="s">
        <v>2320</v>
      </c>
      <c r="H3434" s="9" t="s">
        <v>2979</v>
      </c>
      <c r="I3434" t="s">
        <v>4248</v>
      </c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7" t="str">
        <f t="shared" si="1"/>
        <v>Built-up :</v>
      </c>
      <c r="AE3434" s="7" t="str">
        <f t="shared" si="2"/>
        <v> sq. ft.</v>
      </c>
      <c r="AF3434">
        <f>IFERROR(__xludf.DUMMYFUNCTION("VALUE(REGEXREPLACE(G3434,""[^[:digit:]]"", """"))"),1224.0)</f>
        <v>1224</v>
      </c>
      <c r="AG3434" s="7"/>
      <c r="AH3434" s="7"/>
      <c r="AI3434" s="7"/>
      <c r="AJ3434" s="7"/>
      <c r="AK3434" s="7"/>
      <c r="AL3434" s="7"/>
      <c r="AM3434" s="7"/>
      <c r="AN3434" s="7"/>
      <c r="AO3434" s="7"/>
      <c r="AP3434" s="7"/>
      <c r="AQ3434" s="7"/>
      <c r="AR3434" s="7"/>
      <c r="AS3434" s="7" t="s">
        <v>22</v>
      </c>
    </row>
    <row r="3435">
      <c r="A3435" s="7" t="s">
        <v>72</v>
      </c>
      <c r="B3435" s="7" t="s">
        <v>1038</v>
      </c>
      <c r="C3435" s="7">
        <f>7+1</f>
        <v>8</v>
      </c>
      <c r="D3435" s="7">
        <v>8.0</v>
      </c>
      <c r="E3435" s="9">
        <v>2.0</v>
      </c>
      <c r="F3435" s="7" t="s">
        <v>25</v>
      </c>
      <c r="G3435" s="7" t="s">
        <v>2321</v>
      </c>
      <c r="H3435" s="9" t="s">
        <v>2981</v>
      </c>
      <c r="I3435" t="s">
        <v>4249</v>
      </c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  <c r="AA3435" s="7"/>
      <c r="AB3435" s="7"/>
      <c r="AC3435" s="7"/>
      <c r="AD3435" s="7" t="str">
        <f t="shared" si="1"/>
        <v>Land area </v>
      </c>
      <c r="AE3435" s="7" t="str">
        <f t="shared" si="2"/>
        <v> sq. ft.</v>
      </c>
      <c r="AF3435">
        <f>IFERROR(__xludf.DUMMYFUNCTION("VALUE(REGEXREPLACE(G3435,""[^[:digit:]]"", """"))"),7350.0)</f>
        <v>7350</v>
      </c>
      <c r="AG3435" s="7"/>
      <c r="AH3435" s="7"/>
      <c r="AI3435" s="7"/>
      <c r="AJ3435" s="7"/>
      <c r="AK3435" s="7"/>
      <c r="AL3435" s="7"/>
      <c r="AM3435" s="7"/>
      <c r="AN3435" s="7"/>
      <c r="AO3435" s="7"/>
      <c r="AP3435" s="7"/>
      <c r="AQ3435" s="7"/>
      <c r="AR3435" s="7"/>
      <c r="AS3435" s="7" t="s">
        <v>27</v>
      </c>
    </row>
    <row r="3436">
      <c r="A3436" s="7" t="s">
        <v>371</v>
      </c>
      <c r="B3436" s="7" t="s">
        <v>885</v>
      </c>
      <c r="C3436" s="7">
        <f>2+1</f>
        <v>3</v>
      </c>
      <c r="D3436" s="7">
        <v>2.0</v>
      </c>
      <c r="E3436" s="9">
        <v>2.0</v>
      </c>
      <c r="F3436" s="7" t="s">
        <v>83</v>
      </c>
      <c r="G3436" s="7" t="s">
        <v>2284</v>
      </c>
      <c r="H3436" s="9" t="s">
        <v>2979</v>
      </c>
      <c r="I3436" t="s">
        <v>4228</v>
      </c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  <c r="AC3436" s="7"/>
      <c r="AD3436" s="7" t="str">
        <f t="shared" si="1"/>
        <v>Built-up :</v>
      </c>
      <c r="AE3436" s="7" t="str">
        <f t="shared" si="2"/>
        <v> sq. ft.</v>
      </c>
      <c r="AF3436">
        <f>IFERROR(__xludf.DUMMYFUNCTION("VALUE(REGEXREPLACE(G3436,""[^[:digit:]]"", """"))"),991.0)</f>
        <v>991</v>
      </c>
      <c r="AG3436" s="7"/>
      <c r="AH3436" s="7"/>
      <c r="AI3436" s="7"/>
      <c r="AJ3436" s="7"/>
      <c r="AK3436" s="7"/>
      <c r="AL3436" s="7"/>
      <c r="AM3436" s="7"/>
      <c r="AN3436" s="7"/>
      <c r="AO3436" s="7"/>
      <c r="AP3436" s="7"/>
      <c r="AQ3436" s="7"/>
      <c r="AR3436" s="7"/>
      <c r="AS3436" s="7" t="s">
        <v>27</v>
      </c>
    </row>
    <row r="3437">
      <c r="A3437" s="7" t="s">
        <v>515</v>
      </c>
      <c r="B3437" s="7" t="s">
        <v>386</v>
      </c>
      <c r="C3437" s="7">
        <f>5+1</f>
        <v>6</v>
      </c>
      <c r="D3437" s="7">
        <v>4.0</v>
      </c>
      <c r="E3437" s="7">
        <v>3.0</v>
      </c>
      <c r="F3437" s="7" t="s">
        <v>25</v>
      </c>
      <c r="G3437" s="7" t="s">
        <v>2322</v>
      </c>
      <c r="H3437" s="9" t="s">
        <v>2981</v>
      </c>
      <c r="I3437" t="s">
        <v>4250</v>
      </c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7" t="str">
        <f t="shared" si="1"/>
        <v>Land area </v>
      </c>
      <c r="AE3437" s="7" t="str">
        <f t="shared" si="2"/>
        <v> sq. ft.</v>
      </c>
      <c r="AF3437">
        <f>IFERROR(__xludf.DUMMYFUNCTION("VALUE(REGEXREPLACE(G3437,""[^[:digit:]]"", """"))"),4455.0)</f>
        <v>4455</v>
      </c>
      <c r="AG3437" s="7"/>
      <c r="AH3437" s="7"/>
      <c r="AI3437" s="7"/>
      <c r="AJ3437" s="7"/>
      <c r="AK3437" s="7"/>
      <c r="AL3437" s="7"/>
      <c r="AM3437" s="7"/>
      <c r="AN3437" s="7"/>
      <c r="AO3437" s="7"/>
      <c r="AP3437" s="7"/>
      <c r="AQ3437" s="7"/>
      <c r="AR3437" s="7"/>
      <c r="AS3437" s="7" t="s">
        <v>27</v>
      </c>
    </row>
    <row r="3438">
      <c r="A3438" s="7" t="s">
        <v>371</v>
      </c>
      <c r="B3438" s="7" t="s">
        <v>49</v>
      </c>
      <c r="C3438" s="7">
        <f>1+1</f>
        <v>2</v>
      </c>
      <c r="D3438" s="7">
        <v>2.0</v>
      </c>
      <c r="E3438" s="7">
        <v>1.0</v>
      </c>
      <c r="F3438" s="7" t="s">
        <v>82</v>
      </c>
      <c r="G3438" s="7" t="s">
        <v>2323</v>
      </c>
      <c r="H3438" s="9" t="s">
        <v>2981</v>
      </c>
      <c r="I3438" t="s">
        <v>3077</v>
      </c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7" t="str">
        <f t="shared" si="1"/>
        <v>Land area </v>
      </c>
      <c r="AE3438" s="7" t="str">
        <f t="shared" si="2"/>
        <v> sq. ft.</v>
      </c>
      <c r="AF3438">
        <f>IFERROR(__xludf.DUMMYFUNCTION("VALUE(REGEXREPLACE(G3438,""[^[:digit:]]"", """"))"),657.0)</f>
        <v>657</v>
      </c>
      <c r="AG3438" s="7"/>
      <c r="AH3438" s="7"/>
      <c r="AI3438" s="7"/>
      <c r="AJ3438" s="7"/>
      <c r="AK3438" s="7"/>
      <c r="AL3438" s="7"/>
      <c r="AM3438" s="7"/>
      <c r="AN3438" s="7"/>
      <c r="AO3438" s="7"/>
      <c r="AP3438" s="7"/>
      <c r="AQ3438" s="7"/>
      <c r="AR3438" s="7"/>
      <c r="AS3438" s="7" t="s">
        <v>27</v>
      </c>
    </row>
    <row r="3439">
      <c r="A3439" s="7" t="s">
        <v>32</v>
      </c>
      <c r="B3439" s="7" t="s">
        <v>759</v>
      </c>
      <c r="C3439" s="7">
        <f>3</f>
        <v>3</v>
      </c>
      <c r="D3439" s="7">
        <v>2.0</v>
      </c>
      <c r="E3439" s="7">
        <v>2.0</v>
      </c>
      <c r="F3439" s="7" t="s">
        <v>20</v>
      </c>
      <c r="G3439" s="7" t="s">
        <v>2324</v>
      </c>
      <c r="H3439" s="9" t="s">
        <v>2979</v>
      </c>
      <c r="I3439" t="s">
        <v>4251</v>
      </c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7" t="str">
        <f t="shared" si="1"/>
        <v>Built-up :</v>
      </c>
      <c r="AE3439" s="7" t="str">
        <f t="shared" si="2"/>
        <v> sq. ft.</v>
      </c>
      <c r="AF3439">
        <f>IFERROR(__xludf.DUMMYFUNCTION("VALUE(REGEXREPLACE(G3439,""[^[:digit:]]"", """"))"),1104.0)</f>
        <v>1104</v>
      </c>
      <c r="AG3439" s="7"/>
      <c r="AH3439" s="7"/>
      <c r="AI3439" s="7"/>
      <c r="AJ3439" s="7"/>
      <c r="AK3439" s="7"/>
      <c r="AL3439" s="7"/>
      <c r="AM3439" s="7"/>
      <c r="AN3439" s="7"/>
      <c r="AO3439" s="7"/>
      <c r="AP3439" s="7"/>
      <c r="AQ3439" s="7"/>
      <c r="AR3439" s="7"/>
      <c r="AS3439" s="7" t="s">
        <v>103</v>
      </c>
    </row>
    <row r="3440">
      <c r="A3440" s="7" t="s">
        <v>72</v>
      </c>
      <c r="B3440" s="7" t="s">
        <v>1553</v>
      </c>
      <c r="C3440" s="7">
        <f>5+1</f>
        <v>6</v>
      </c>
      <c r="D3440" s="7">
        <v>8.0</v>
      </c>
      <c r="E3440" s="7">
        <v>5.0</v>
      </c>
      <c r="F3440" s="7" t="s">
        <v>67</v>
      </c>
      <c r="G3440" s="7" t="s">
        <v>2325</v>
      </c>
      <c r="H3440" s="9" t="s">
        <v>2981</v>
      </c>
      <c r="I3440" t="s">
        <v>4252</v>
      </c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 t="str">
        <f t="shared" si="1"/>
        <v>Land area </v>
      </c>
      <c r="AE3440" s="7" t="str">
        <f t="shared" si="2"/>
        <v> sq. ft.</v>
      </c>
      <c r="AF3440">
        <f>IFERROR(__xludf.DUMMYFUNCTION("VALUE(REGEXREPLACE(G3440,""[^[:digit:]]"", """"))"),7988.0)</f>
        <v>7988</v>
      </c>
      <c r="AG3440" s="7"/>
      <c r="AH3440" s="7"/>
      <c r="AI3440" s="7"/>
      <c r="AJ3440" s="7"/>
      <c r="AK3440" s="7"/>
      <c r="AL3440" s="7"/>
      <c r="AM3440" s="7"/>
      <c r="AN3440" s="7"/>
      <c r="AO3440" s="7"/>
      <c r="AP3440" s="7"/>
      <c r="AQ3440" s="7"/>
      <c r="AR3440" s="7"/>
      <c r="AS3440" s="7" t="s">
        <v>27</v>
      </c>
    </row>
    <row r="3441">
      <c r="A3441" s="7" t="s">
        <v>100</v>
      </c>
      <c r="B3441" s="7" t="s">
        <v>632</v>
      </c>
      <c r="C3441" s="7">
        <f t="shared" ref="C3441:C3443" si="471">3+1</f>
        <v>4</v>
      </c>
      <c r="D3441" s="7">
        <v>3.0</v>
      </c>
      <c r="E3441" s="7">
        <v>2.0</v>
      </c>
      <c r="F3441" s="7" t="s">
        <v>83</v>
      </c>
      <c r="G3441" s="7" t="s">
        <v>2326</v>
      </c>
      <c r="H3441" s="9" t="s">
        <v>2979</v>
      </c>
      <c r="I3441" t="s">
        <v>4253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 t="str">
        <f t="shared" si="1"/>
        <v>Built-up :</v>
      </c>
      <c r="AE3441" s="7" t="str">
        <f t="shared" si="2"/>
        <v> sq. ft.</v>
      </c>
      <c r="AF3441">
        <f>IFERROR(__xludf.DUMMYFUNCTION("VALUE(REGEXREPLACE(G3441,""[^[:digit:]]"", """"))"),1620.0)</f>
        <v>1620</v>
      </c>
      <c r="AG3441" s="7"/>
      <c r="AH3441" s="7"/>
      <c r="AI3441" s="7"/>
      <c r="AJ3441" s="7"/>
      <c r="AK3441" s="7"/>
      <c r="AL3441" s="7"/>
      <c r="AM3441" s="7"/>
      <c r="AN3441" s="7"/>
      <c r="AO3441" s="7"/>
      <c r="AP3441" s="7"/>
      <c r="AQ3441" s="7"/>
      <c r="AR3441" s="7"/>
      <c r="AS3441" s="7" t="s">
        <v>27</v>
      </c>
    </row>
    <row r="3442">
      <c r="A3442" s="7" t="s">
        <v>100</v>
      </c>
      <c r="B3442" s="7" t="s">
        <v>874</v>
      </c>
      <c r="C3442" s="7">
        <f t="shared" si="471"/>
        <v>4</v>
      </c>
      <c r="D3442" s="7">
        <v>3.0</v>
      </c>
      <c r="E3442" s="7">
        <v>2.0</v>
      </c>
      <c r="F3442" s="7" t="s">
        <v>30</v>
      </c>
      <c r="G3442" s="7" t="s">
        <v>1072</v>
      </c>
      <c r="H3442" s="9" t="s">
        <v>2979</v>
      </c>
      <c r="I3442" t="s">
        <v>3489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  <c r="AA3442" s="7"/>
      <c r="AB3442" s="7"/>
      <c r="AC3442" s="7"/>
      <c r="AD3442" s="7" t="str">
        <f t="shared" si="1"/>
        <v>Built-up :</v>
      </c>
      <c r="AE3442" s="7" t="str">
        <f t="shared" si="2"/>
        <v> sq. ft.</v>
      </c>
      <c r="AF3442">
        <f>IFERROR(__xludf.DUMMYFUNCTION("VALUE(REGEXREPLACE(G3442,""[^[:digit:]]"", """"))"),1535.0)</f>
        <v>1535</v>
      </c>
      <c r="AG3442" s="7"/>
      <c r="AH3442" s="7"/>
      <c r="AI3442" s="7"/>
      <c r="AJ3442" s="7"/>
      <c r="AK3442" s="7"/>
      <c r="AL3442" s="7"/>
      <c r="AM3442" s="7"/>
      <c r="AN3442" s="7"/>
      <c r="AO3442" s="7"/>
      <c r="AP3442" s="7"/>
      <c r="AQ3442" s="7"/>
      <c r="AR3442" s="7"/>
      <c r="AS3442" s="7" t="s">
        <v>22</v>
      </c>
    </row>
    <row r="3443">
      <c r="A3443" s="7" t="s">
        <v>100</v>
      </c>
      <c r="B3443" s="7" t="s">
        <v>632</v>
      </c>
      <c r="C3443" s="7">
        <f t="shared" si="471"/>
        <v>4</v>
      </c>
      <c r="D3443" s="7">
        <v>3.0</v>
      </c>
      <c r="E3443" s="7">
        <v>2.0</v>
      </c>
      <c r="F3443" s="7" t="s">
        <v>83</v>
      </c>
      <c r="G3443" s="7" t="s">
        <v>1132</v>
      </c>
      <c r="H3443" s="9" t="s">
        <v>2979</v>
      </c>
      <c r="I3443" t="s">
        <v>3525</v>
      </c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 t="str">
        <f t="shared" si="1"/>
        <v>Built-up :</v>
      </c>
      <c r="AE3443" s="7" t="str">
        <f t="shared" si="2"/>
        <v> sq. ft.</v>
      </c>
      <c r="AF3443">
        <f>IFERROR(__xludf.DUMMYFUNCTION("VALUE(REGEXREPLACE(G3443,""[^[:digit:]]"", """"))"),1600.0)</f>
        <v>1600</v>
      </c>
      <c r="AG3443" s="7"/>
      <c r="AH3443" s="7"/>
      <c r="AI3443" s="7"/>
      <c r="AJ3443" s="7"/>
      <c r="AK3443" s="7"/>
      <c r="AL3443" s="7"/>
      <c r="AM3443" s="7"/>
      <c r="AN3443" s="7"/>
      <c r="AO3443" s="7"/>
      <c r="AP3443" s="7"/>
      <c r="AQ3443" s="7"/>
      <c r="AR3443" s="7"/>
      <c r="AS3443" s="7" t="s">
        <v>27</v>
      </c>
    </row>
    <row r="3444">
      <c r="A3444" s="7" t="s">
        <v>1014</v>
      </c>
      <c r="B3444" s="7" t="s">
        <v>967</v>
      </c>
      <c r="C3444" s="7">
        <f>4+1</f>
        <v>5</v>
      </c>
      <c r="D3444" s="7">
        <v>3.0</v>
      </c>
      <c r="E3444" s="7">
        <v>1.0</v>
      </c>
      <c r="F3444" s="7" t="s">
        <v>83</v>
      </c>
      <c r="G3444" s="7" t="s">
        <v>845</v>
      </c>
      <c r="H3444" s="9" t="s">
        <v>2979</v>
      </c>
      <c r="I3444" t="s">
        <v>3367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 t="str">
        <f t="shared" si="1"/>
        <v>Built-up :</v>
      </c>
      <c r="AE3444" s="7" t="str">
        <f t="shared" si="2"/>
        <v> sq. ft.</v>
      </c>
      <c r="AF3444">
        <f>IFERROR(__xludf.DUMMYFUNCTION("VALUE(REGEXREPLACE(G3444,""[^[:digit:]]"", """"))"),1500.0)</f>
        <v>1500</v>
      </c>
      <c r="AG3444" s="7"/>
      <c r="AH3444" s="7"/>
      <c r="AI3444" s="7"/>
      <c r="AJ3444" s="7"/>
      <c r="AK3444" s="7"/>
      <c r="AL3444" s="7"/>
      <c r="AM3444" s="7"/>
      <c r="AN3444" s="7"/>
      <c r="AO3444" s="7"/>
      <c r="AP3444" s="7"/>
      <c r="AQ3444" s="7"/>
      <c r="AR3444" s="7"/>
      <c r="AS3444" s="7" t="s">
        <v>27</v>
      </c>
    </row>
    <row r="3445">
      <c r="A3445" s="7" t="s">
        <v>109</v>
      </c>
      <c r="B3445" s="7" t="s">
        <v>715</v>
      </c>
      <c r="C3445" s="7">
        <f>2</f>
        <v>2</v>
      </c>
      <c r="D3445" s="7">
        <v>2.0</v>
      </c>
      <c r="E3445" s="7">
        <v>1.0</v>
      </c>
      <c r="F3445" s="7" t="s">
        <v>83</v>
      </c>
      <c r="G3445" s="7" t="s">
        <v>2187</v>
      </c>
      <c r="H3445" s="9" t="s">
        <v>2979</v>
      </c>
      <c r="I3445" t="s">
        <v>4167</v>
      </c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 t="str">
        <f t="shared" si="1"/>
        <v>Built-up :</v>
      </c>
      <c r="AE3445" s="7" t="str">
        <f t="shared" si="2"/>
        <v> sq. ft.</v>
      </c>
      <c r="AF3445">
        <f>IFERROR(__xludf.DUMMYFUNCTION("VALUE(REGEXREPLACE(G3445,""[^[:digit:]]"", """"))"),975.0)</f>
        <v>975</v>
      </c>
      <c r="AG3445" s="7"/>
      <c r="AH3445" s="7"/>
      <c r="AI3445" s="7"/>
      <c r="AJ3445" s="7"/>
      <c r="AK3445" s="7"/>
      <c r="AL3445" s="7"/>
      <c r="AM3445" s="7"/>
      <c r="AN3445" s="7"/>
      <c r="AO3445" s="7"/>
      <c r="AP3445" s="7"/>
      <c r="AQ3445" s="7"/>
      <c r="AR3445" s="7"/>
      <c r="AS3445" s="7" t="s">
        <v>27</v>
      </c>
    </row>
    <row r="3446">
      <c r="A3446" s="7" t="s">
        <v>89</v>
      </c>
      <c r="B3446" s="7" t="s">
        <v>1382</v>
      </c>
      <c r="C3446" s="7">
        <f>3</f>
        <v>3</v>
      </c>
      <c r="D3446" s="7">
        <v>2.0</v>
      </c>
      <c r="E3446" s="7">
        <v>2.0</v>
      </c>
      <c r="F3446" s="7" t="s">
        <v>83</v>
      </c>
      <c r="G3446" s="7" t="s">
        <v>1106</v>
      </c>
      <c r="H3446" s="9" t="s">
        <v>2979</v>
      </c>
      <c r="I3446" t="s">
        <v>3507</v>
      </c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 t="str">
        <f t="shared" si="1"/>
        <v>Built-up :</v>
      </c>
      <c r="AE3446" s="7" t="str">
        <f t="shared" si="2"/>
        <v> sq. ft.</v>
      </c>
      <c r="AF3446">
        <f>IFERROR(__xludf.DUMMYFUNCTION("VALUE(REGEXREPLACE(G3446,""[^[:digit:]]"", """"))"),1180.0)</f>
        <v>1180</v>
      </c>
      <c r="AG3446" s="7"/>
      <c r="AH3446" s="7"/>
      <c r="AI3446" s="7"/>
      <c r="AJ3446" s="7"/>
      <c r="AK3446" s="7"/>
      <c r="AL3446" s="7"/>
      <c r="AM3446" s="7"/>
      <c r="AN3446" s="7"/>
      <c r="AO3446" s="7"/>
      <c r="AP3446" s="7"/>
      <c r="AQ3446" s="7"/>
      <c r="AR3446" s="7"/>
      <c r="AS3446" s="7" t="s">
        <v>27</v>
      </c>
    </row>
    <row r="3447">
      <c r="A3447" s="7" t="s">
        <v>100</v>
      </c>
      <c r="B3447" s="7" t="s">
        <v>327</v>
      </c>
      <c r="C3447" s="7">
        <f>3+2</f>
        <v>5</v>
      </c>
      <c r="D3447" s="7">
        <v>4.0</v>
      </c>
      <c r="E3447" s="7">
        <v>3.0</v>
      </c>
      <c r="F3447" s="7" t="s">
        <v>30</v>
      </c>
      <c r="G3447" s="7" t="s">
        <v>741</v>
      </c>
      <c r="H3447" s="9" t="s">
        <v>2979</v>
      </c>
      <c r="I3447" t="s">
        <v>3313</v>
      </c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 t="str">
        <f t="shared" si="1"/>
        <v>Built-up :</v>
      </c>
      <c r="AE3447" s="7" t="str">
        <f t="shared" si="2"/>
        <v> sq. ft.</v>
      </c>
      <c r="AF3447">
        <f>IFERROR(__xludf.DUMMYFUNCTION("VALUE(REGEXREPLACE(G3447,""[^[:digit:]]"", """"))"),2128.0)</f>
        <v>2128</v>
      </c>
      <c r="AG3447" s="7"/>
      <c r="AH3447" s="7"/>
      <c r="AI3447" s="7"/>
      <c r="AJ3447" s="7"/>
      <c r="AK3447" s="7"/>
      <c r="AL3447" s="7"/>
      <c r="AM3447" s="7"/>
      <c r="AN3447" s="7"/>
      <c r="AO3447" s="7"/>
      <c r="AP3447" s="7"/>
      <c r="AQ3447" s="7"/>
      <c r="AR3447" s="7"/>
      <c r="AS3447" s="7" t="s">
        <v>22</v>
      </c>
    </row>
    <row r="3448">
      <c r="A3448" s="7" t="s">
        <v>371</v>
      </c>
      <c r="B3448" s="7" t="s">
        <v>759</v>
      </c>
      <c r="C3448" s="7">
        <f>3</f>
        <v>3</v>
      </c>
      <c r="D3448" s="7">
        <v>2.0</v>
      </c>
      <c r="E3448" s="7">
        <v>1.0</v>
      </c>
      <c r="F3448" s="7" t="s">
        <v>54</v>
      </c>
      <c r="G3448" s="7" t="s">
        <v>2327</v>
      </c>
      <c r="H3448" s="9" t="s">
        <v>2981</v>
      </c>
      <c r="I3448" t="s">
        <v>3008</v>
      </c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 t="str">
        <f t="shared" si="1"/>
        <v>Land area </v>
      </c>
      <c r="AE3448" s="7" t="str">
        <f t="shared" si="2"/>
        <v> sq. ft.</v>
      </c>
      <c r="AF3448">
        <f>IFERROR(__xludf.DUMMYFUNCTION("VALUE(REGEXREPLACE(G3448,""[^[:digit:]]"", """"))"),1655.0)</f>
        <v>1655</v>
      </c>
      <c r="AG3448" s="7"/>
      <c r="AH3448" s="7"/>
      <c r="AI3448" s="7"/>
      <c r="AJ3448" s="7"/>
      <c r="AK3448" s="7"/>
      <c r="AL3448" s="7"/>
      <c r="AM3448" s="7"/>
      <c r="AN3448" s="7"/>
      <c r="AO3448" s="7"/>
      <c r="AP3448" s="7"/>
      <c r="AQ3448" s="7"/>
      <c r="AR3448" s="7"/>
      <c r="AS3448" s="7" t="s">
        <v>27</v>
      </c>
    </row>
    <row r="3449">
      <c r="A3449" s="7" t="s">
        <v>180</v>
      </c>
      <c r="B3449" s="7" t="s">
        <v>523</v>
      </c>
      <c r="C3449" s="7">
        <f>3+1</f>
        <v>4</v>
      </c>
      <c r="D3449" s="7">
        <v>4.0</v>
      </c>
      <c r="E3449" s="7">
        <v>2.0</v>
      </c>
      <c r="F3449" s="7" t="s">
        <v>378</v>
      </c>
      <c r="G3449" s="7" t="s">
        <v>1027</v>
      </c>
      <c r="H3449" s="9" t="s">
        <v>2979</v>
      </c>
      <c r="I3449" t="s">
        <v>3463</v>
      </c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 t="str">
        <f t="shared" si="1"/>
        <v>Built-up :</v>
      </c>
      <c r="AE3449" s="7" t="str">
        <f t="shared" si="2"/>
        <v> sq. ft.</v>
      </c>
      <c r="AF3449">
        <f>IFERROR(__xludf.DUMMYFUNCTION("VALUE(REGEXREPLACE(G3449,""[^[:digit:]]"", """"))"),3200.0)</f>
        <v>3200</v>
      </c>
      <c r="AG3449" s="7"/>
      <c r="AH3449" s="7"/>
      <c r="AI3449" s="7"/>
      <c r="AJ3449" s="7"/>
      <c r="AK3449" s="7"/>
      <c r="AL3449" s="7"/>
      <c r="AM3449" s="7"/>
      <c r="AN3449" s="7"/>
      <c r="AO3449" s="7"/>
      <c r="AP3449" s="7"/>
      <c r="AQ3449" s="7"/>
      <c r="AR3449" s="7"/>
      <c r="AS3449" s="7" t="s">
        <v>22</v>
      </c>
    </row>
    <row r="3450">
      <c r="A3450" s="7" t="s">
        <v>33</v>
      </c>
      <c r="B3450" s="7" t="s">
        <v>2184</v>
      </c>
      <c r="C3450" s="7">
        <f t="shared" ref="C3450:C3452" si="472">3</f>
        <v>3</v>
      </c>
      <c r="D3450" s="7">
        <v>2.0</v>
      </c>
      <c r="E3450" s="7">
        <v>1.0</v>
      </c>
      <c r="F3450" s="7" t="s">
        <v>354</v>
      </c>
      <c r="G3450" s="7" t="s">
        <v>2328</v>
      </c>
      <c r="H3450" s="9" t="s">
        <v>2979</v>
      </c>
      <c r="I3450" t="s">
        <v>4254</v>
      </c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 t="str">
        <f t="shared" si="1"/>
        <v>Built-up :</v>
      </c>
      <c r="AE3450" s="7" t="str">
        <f t="shared" si="2"/>
        <v> sq. ft.</v>
      </c>
      <c r="AF3450">
        <f>IFERROR(__xludf.DUMMYFUNCTION("VALUE(REGEXREPLACE(G3450,""[^[:digit:]]"", """"))"),878.0)</f>
        <v>878</v>
      </c>
      <c r="AG3450" s="7"/>
      <c r="AH3450" s="7"/>
      <c r="AI3450" s="7"/>
      <c r="AJ3450" s="7"/>
      <c r="AK3450" s="7"/>
      <c r="AL3450" s="7"/>
      <c r="AM3450" s="7"/>
      <c r="AN3450" s="7"/>
      <c r="AO3450" s="7"/>
      <c r="AP3450" s="7"/>
      <c r="AQ3450" s="7"/>
      <c r="AR3450" s="7"/>
    </row>
    <row r="3451">
      <c r="A3451" s="7" t="s">
        <v>37</v>
      </c>
      <c r="B3451" s="7" t="s">
        <v>243</v>
      </c>
      <c r="C3451" s="7">
        <f t="shared" si="472"/>
        <v>3</v>
      </c>
      <c r="D3451" s="7">
        <v>3.0</v>
      </c>
      <c r="E3451" s="7">
        <v>2.0</v>
      </c>
      <c r="F3451" s="7" t="s">
        <v>82</v>
      </c>
      <c r="G3451" s="7" t="s">
        <v>473</v>
      </c>
      <c r="H3451" s="9" t="s">
        <v>2979</v>
      </c>
      <c r="I3451" t="s">
        <v>3180</v>
      </c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 t="str">
        <f t="shared" si="1"/>
        <v>Built-up :</v>
      </c>
      <c r="AE3451" s="7" t="str">
        <f t="shared" si="2"/>
        <v> sq. ft.</v>
      </c>
      <c r="AF3451">
        <f>IFERROR(__xludf.DUMMYFUNCTION("VALUE(REGEXREPLACE(G3451,""[^[:digit:]]"", """"))"),1690.0)</f>
        <v>1690</v>
      </c>
      <c r="AG3451" s="7"/>
      <c r="AH3451" s="7"/>
      <c r="AI3451" s="7"/>
      <c r="AJ3451" s="7"/>
      <c r="AK3451" s="7"/>
      <c r="AL3451" s="7"/>
      <c r="AM3451" s="7"/>
      <c r="AN3451" s="7"/>
      <c r="AO3451" s="7"/>
      <c r="AP3451" s="7"/>
      <c r="AQ3451" s="7"/>
      <c r="AR3451" s="7"/>
      <c r="AS3451" s="7" t="s">
        <v>27</v>
      </c>
    </row>
    <row r="3452">
      <c r="A3452" s="7" t="s">
        <v>155</v>
      </c>
      <c r="B3452" s="7" t="s">
        <v>620</v>
      </c>
      <c r="C3452" s="7">
        <f t="shared" si="472"/>
        <v>3</v>
      </c>
      <c r="D3452" s="7">
        <v>3.0</v>
      </c>
      <c r="E3452" s="7">
        <v>2.0</v>
      </c>
      <c r="F3452" s="7" t="s">
        <v>93</v>
      </c>
      <c r="G3452" s="7" t="s">
        <v>2329</v>
      </c>
      <c r="H3452" s="9" t="s">
        <v>2979</v>
      </c>
      <c r="I3452" t="s">
        <v>4255</v>
      </c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 t="str">
        <f t="shared" si="1"/>
        <v>Built-up :</v>
      </c>
      <c r="AE3452" s="7" t="str">
        <f t="shared" si="2"/>
        <v> sq. ft.</v>
      </c>
      <c r="AF3452">
        <f>IFERROR(__xludf.DUMMYFUNCTION("VALUE(REGEXREPLACE(G3452,""[^[:digit:]]"", """"))"),1338.0)</f>
        <v>1338</v>
      </c>
      <c r="AG3452" s="7"/>
      <c r="AH3452" s="7"/>
      <c r="AI3452" s="7"/>
      <c r="AJ3452" s="7"/>
      <c r="AK3452" s="7"/>
      <c r="AL3452" s="7"/>
      <c r="AM3452" s="7"/>
      <c r="AN3452" s="7"/>
      <c r="AO3452" s="7"/>
      <c r="AP3452" s="7"/>
      <c r="AQ3452" s="7"/>
      <c r="AR3452" s="7"/>
      <c r="AS3452" s="7" t="s">
        <v>27</v>
      </c>
    </row>
    <row r="3453">
      <c r="A3453" s="7" t="s">
        <v>1476</v>
      </c>
      <c r="B3453" s="7" t="s">
        <v>2052</v>
      </c>
      <c r="C3453" s="7">
        <f>4+1</f>
        <v>5</v>
      </c>
      <c r="D3453" s="7">
        <v>5.0</v>
      </c>
      <c r="E3453" s="9">
        <v>2.0</v>
      </c>
      <c r="F3453" s="7" t="s">
        <v>43</v>
      </c>
      <c r="G3453" s="7" t="s">
        <v>1118</v>
      </c>
      <c r="H3453" s="9" t="s">
        <v>2981</v>
      </c>
      <c r="I3453" t="s">
        <v>3515</v>
      </c>
      <c r="J3453" s="7"/>
      <c r="K3453" s="7"/>
      <c r="L3453" s="7"/>
      <c r="M3453" s="7"/>
      <c r="N3453" s="7"/>
      <c r="O3453" s="7"/>
      <c r="P3453" s="7"/>
      <c r="Q3453" s="7"/>
      <c r="R3453" s="7"/>
      <c r="S3453" s="7" t="s">
        <v>2990</v>
      </c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 t="str">
        <f t="shared" si="1"/>
        <v>Land area </v>
      </c>
      <c r="AE3453" s="7" t="str">
        <f t="shared" si="2"/>
        <v> sq. ft.</v>
      </c>
      <c r="AF3453">
        <f>IFERROR(__xludf.DUMMYFUNCTION("VALUE(REGEXREPLACE(G3453,""[^[:digit:]]"", """"))"),3475.0)</f>
        <v>3475</v>
      </c>
      <c r="AG3453" s="7"/>
      <c r="AH3453" s="7"/>
      <c r="AI3453" s="7"/>
      <c r="AJ3453" s="7"/>
      <c r="AK3453" s="7"/>
      <c r="AL3453" s="7"/>
      <c r="AM3453" s="7"/>
      <c r="AN3453" s="7"/>
      <c r="AO3453" s="7"/>
      <c r="AP3453" s="7"/>
      <c r="AQ3453" s="7"/>
      <c r="AR3453" s="7"/>
      <c r="AS3453" s="7" t="s">
        <v>251</v>
      </c>
    </row>
    <row r="3454">
      <c r="A3454" s="7" t="s">
        <v>28</v>
      </c>
      <c r="B3454" s="7" t="s">
        <v>249</v>
      </c>
      <c r="C3454" s="7">
        <f>3+1</f>
        <v>4</v>
      </c>
      <c r="D3454" s="7">
        <v>5.0</v>
      </c>
      <c r="E3454" s="7">
        <v>2.0</v>
      </c>
      <c r="F3454" s="7" t="s">
        <v>30</v>
      </c>
      <c r="G3454" s="7" t="s">
        <v>97</v>
      </c>
      <c r="H3454" s="9" t="s">
        <v>2979</v>
      </c>
      <c r="I3454" t="s">
        <v>3005</v>
      </c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 t="str">
        <f t="shared" si="1"/>
        <v>Built-up :</v>
      </c>
      <c r="AE3454" s="7" t="str">
        <f t="shared" si="2"/>
        <v> sq. ft.</v>
      </c>
      <c r="AF3454">
        <f>IFERROR(__xludf.DUMMYFUNCTION("VALUE(REGEXREPLACE(G3454,""[^[:digit:]]"", """"))"),1876.0)</f>
        <v>1876</v>
      </c>
      <c r="AG3454" s="7"/>
      <c r="AH3454" s="7"/>
      <c r="AI3454" s="7"/>
      <c r="AJ3454" s="7"/>
      <c r="AK3454" s="7"/>
      <c r="AL3454" s="7"/>
      <c r="AM3454" s="7"/>
      <c r="AN3454" s="7"/>
      <c r="AO3454" s="7"/>
      <c r="AP3454" s="7"/>
      <c r="AQ3454" s="7"/>
      <c r="AR3454" s="7"/>
      <c r="AS3454" s="7" t="s">
        <v>27</v>
      </c>
    </row>
    <row r="3455">
      <c r="A3455" s="7" t="s">
        <v>32</v>
      </c>
      <c r="B3455" s="7" t="s">
        <v>229</v>
      </c>
      <c r="C3455" s="7">
        <f>2</f>
        <v>2</v>
      </c>
      <c r="D3455" s="7">
        <v>2.0</v>
      </c>
      <c r="E3455" s="7">
        <v>1.0</v>
      </c>
      <c r="F3455" s="7" t="s">
        <v>50</v>
      </c>
      <c r="G3455" s="7" t="s">
        <v>2012</v>
      </c>
      <c r="H3455" s="9" t="s">
        <v>2979</v>
      </c>
      <c r="I3455" t="s">
        <v>4055</v>
      </c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 t="str">
        <f t="shared" si="1"/>
        <v>Built-up :</v>
      </c>
      <c r="AE3455" s="7" t="str">
        <f t="shared" si="2"/>
        <v> sq. ft.</v>
      </c>
      <c r="AF3455">
        <f>IFERROR(__xludf.DUMMYFUNCTION("VALUE(REGEXREPLACE(G3455,""[^[:digit:]]"", """"))"),883.0)</f>
        <v>883</v>
      </c>
      <c r="AG3455" s="7"/>
      <c r="AH3455" s="7"/>
      <c r="AI3455" s="7"/>
      <c r="AJ3455" s="7"/>
      <c r="AK3455" s="7"/>
      <c r="AL3455" s="7"/>
      <c r="AM3455" s="7"/>
      <c r="AN3455" s="7"/>
      <c r="AO3455" s="7"/>
      <c r="AP3455" s="7"/>
      <c r="AQ3455" s="7"/>
      <c r="AR3455" s="7"/>
      <c r="AS3455" s="7" t="s">
        <v>251</v>
      </c>
    </row>
    <row r="3456">
      <c r="A3456" s="7" t="s">
        <v>52</v>
      </c>
      <c r="B3456" s="7" t="s">
        <v>42</v>
      </c>
      <c r="C3456" s="7">
        <f>4</f>
        <v>4</v>
      </c>
      <c r="D3456" s="7">
        <v>5.0</v>
      </c>
      <c r="E3456" s="7">
        <v>3.0</v>
      </c>
      <c r="F3456" s="7" t="s">
        <v>169</v>
      </c>
      <c r="G3456" s="7" t="s">
        <v>1594</v>
      </c>
      <c r="H3456" s="9" t="s">
        <v>2981</v>
      </c>
      <c r="I3456" t="s">
        <v>3800</v>
      </c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 t="str">
        <f t="shared" si="1"/>
        <v>Land area </v>
      </c>
      <c r="AE3456" s="7" t="str">
        <f t="shared" si="2"/>
        <v> sq. ft.</v>
      </c>
      <c r="AF3456">
        <f>IFERROR(__xludf.DUMMYFUNCTION("VALUE(REGEXREPLACE(G3456,""[^[:digit:]]"", """"))"),2700.0)</f>
        <v>2700</v>
      </c>
      <c r="AG3456" s="7"/>
      <c r="AH3456" s="7"/>
      <c r="AI3456" s="7"/>
      <c r="AJ3456" s="7"/>
      <c r="AK3456" s="7"/>
      <c r="AL3456" s="7"/>
      <c r="AM3456" s="7"/>
      <c r="AN3456" s="7"/>
      <c r="AO3456" s="7"/>
      <c r="AP3456" s="7"/>
      <c r="AQ3456" s="7"/>
      <c r="AR3456" s="7"/>
      <c r="AS3456" s="7" t="s">
        <v>27</v>
      </c>
    </row>
    <row r="3457">
      <c r="A3457" s="7" t="s">
        <v>32</v>
      </c>
      <c r="B3457" s="7" t="s">
        <v>489</v>
      </c>
      <c r="C3457" s="7">
        <f>4+1</f>
        <v>5</v>
      </c>
      <c r="D3457" s="7">
        <v>4.0</v>
      </c>
      <c r="E3457" s="7">
        <v>2.0</v>
      </c>
      <c r="F3457" s="7" t="s">
        <v>83</v>
      </c>
      <c r="G3457" s="7" t="s">
        <v>2330</v>
      </c>
      <c r="H3457" s="9" t="s">
        <v>2979</v>
      </c>
      <c r="I3457" t="s">
        <v>4256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 t="str">
        <f t="shared" si="1"/>
        <v>Built-up :</v>
      </c>
      <c r="AE3457" s="7" t="str">
        <f t="shared" si="2"/>
        <v> sq. ft.</v>
      </c>
      <c r="AF3457">
        <f>IFERROR(__xludf.DUMMYFUNCTION("VALUE(REGEXREPLACE(G3457,""[^[:digit:]]"", """"))"),2059.0)</f>
        <v>2059</v>
      </c>
      <c r="AG3457" s="7"/>
      <c r="AH3457" s="7"/>
      <c r="AI3457" s="7"/>
      <c r="AJ3457" s="7"/>
      <c r="AK3457" s="7"/>
      <c r="AL3457" s="7"/>
      <c r="AM3457" s="7"/>
      <c r="AN3457" s="7"/>
      <c r="AO3457" s="7"/>
      <c r="AP3457" s="7"/>
      <c r="AQ3457" s="7"/>
      <c r="AR3457" s="7"/>
    </row>
    <row r="3458">
      <c r="A3458" s="7" t="s">
        <v>32</v>
      </c>
      <c r="B3458" s="7" t="s">
        <v>332</v>
      </c>
      <c r="C3458" s="7">
        <f>6</f>
        <v>6</v>
      </c>
      <c r="D3458" s="7">
        <v>3.0</v>
      </c>
      <c r="E3458" s="9">
        <v>2.0</v>
      </c>
      <c r="F3458" s="7" t="s">
        <v>2331</v>
      </c>
      <c r="G3458" s="7" t="s">
        <v>737</v>
      </c>
      <c r="H3458" s="9" t="s">
        <v>2981</v>
      </c>
      <c r="I3458" t="s">
        <v>3310</v>
      </c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 t="str">
        <f t="shared" si="1"/>
        <v>Land area </v>
      </c>
      <c r="AE3458" s="7" t="str">
        <f t="shared" si="2"/>
        <v> sq. ft.</v>
      </c>
      <c r="AF3458">
        <f>IFERROR(__xludf.DUMMYFUNCTION("VALUE(REGEXREPLACE(G3458,""[^[:digit:]]"", """"))"),3670.0)</f>
        <v>3670</v>
      </c>
      <c r="AG3458" s="7"/>
      <c r="AH3458" s="7"/>
      <c r="AI3458" s="7"/>
      <c r="AJ3458" s="7"/>
      <c r="AK3458" s="7"/>
      <c r="AL3458" s="7"/>
      <c r="AM3458" s="7"/>
      <c r="AN3458" s="7"/>
      <c r="AO3458" s="7"/>
      <c r="AP3458" s="7"/>
      <c r="AQ3458" s="7"/>
      <c r="AR3458" s="7"/>
    </row>
    <row r="3459">
      <c r="A3459" s="7" t="s">
        <v>104</v>
      </c>
      <c r="B3459" s="7" t="s">
        <v>641</v>
      </c>
      <c r="C3459" s="7">
        <f>3+1</f>
        <v>4</v>
      </c>
      <c r="D3459" s="7">
        <v>3.0</v>
      </c>
      <c r="E3459" s="7">
        <v>2.0</v>
      </c>
      <c r="F3459" s="7" t="s">
        <v>54</v>
      </c>
      <c r="G3459" s="7" t="s">
        <v>1523</v>
      </c>
      <c r="H3459" s="9" t="s">
        <v>2981</v>
      </c>
      <c r="I3459" t="s">
        <v>2992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 t="str">
        <f t="shared" si="1"/>
        <v>Land area </v>
      </c>
      <c r="AE3459" s="7" t="str">
        <f t="shared" si="2"/>
        <v> sq. ft.</v>
      </c>
      <c r="AF3459">
        <f>IFERROR(__xludf.DUMMYFUNCTION("VALUE(REGEXREPLACE(G3459,""[^[:digit:]]"", """"))"),2280.0)</f>
        <v>2280</v>
      </c>
      <c r="AG3459" s="7"/>
      <c r="AH3459" s="7"/>
      <c r="AI3459" s="7"/>
      <c r="AJ3459" s="7"/>
      <c r="AK3459" s="7"/>
      <c r="AL3459" s="7"/>
      <c r="AM3459" s="7"/>
      <c r="AN3459" s="7"/>
      <c r="AO3459" s="7"/>
      <c r="AP3459" s="7"/>
      <c r="AQ3459" s="7"/>
      <c r="AR3459" s="7"/>
      <c r="AS3459" s="7" t="s">
        <v>27</v>
      </c>
    </row>
    <row r="3460">
      <c r="A3460" s="7" t="s">
        <v>37</v>
      </c>
      <c r="B3460" s="7" t="s">
        <v>144</v>
      </c>
      <c r="C3460" s="7">
        <f>1+2</f>
        <v>3</v>
      </c>
      <c r="D3460" s="7">
        <v>4.0</v>
      </c>
      <c r="E3460" s="7">
        <v>3.0</v>
      </c>
      <c r="F3460" s="7" t="s">
        <v>82</v>
      </c>
      <c r="G3460" s="7" t="s">
        <v>2332</v>
      </c>
      <c r="H3460" s="9" t="s">
        <v>2979</v>
      </c>
      <c r="I3460" t="s">
        <v>4257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7"/>
      <c r="AD3460" s="7" t="str">
        <f t="shared" si="1"/>
        <v>Built-up :</v>
      </c>
      <c r="AE3460" s="7" t="str">
        <f t="shared" si="2"/>
        <v> sq. ft.</v>
      </c>
      <c r="AF3460">
        <f>IFERROR(__xludf.DUMMYFUNCTION("VALUE(REGEXREPLACE(G3460,""[^[:digit:]]"", """"))"),2277.0)</f>
        <v>2277</v>
      </c>
      <c r="AG3460" s="7"/>
      <c r="AH3460" s="7"/>
      <c r="AI3460" s="7"/>
      <c r="AJ3460" s="7"/>
      <c r="AK3460" s="7"/>
      <c r="AL3460" s="7"/>
      <c r="AM3460" s="7"/>
      <c r="AN3460" s="7"/>
      <c r="AO3460" s="7"/>
      <c r="AP3460" s="7"/>
      <c r="AQ3460" s="7"/>
      <c r="AR3460" s="7"/>
      <c r="AS3460" s="7" t="s">
        <v>27</v>
      </c>
    </row>
    <row r="3461">
      <c r="A3461" s="7" t="s">
        <v>17</v>
      </c>
      <c r="B3461" s="7" t="s">
        <v>403</v>
      </c>
      <c r="C3461" s="7">
        <f>2+1</f>
        <v>3</v>
      </c>
      <c r="D3461" s="7">
        <v>2.0</v>
      </c>
      <c r="E3461" s="7">
        <v>1.0</v>
      </c>
      <c r="F3461" s="7" t="s">
        <v>83</v>
      </c>
      <c r="G3461" s="7" t="s">
        <v>74</v>
      </c>
      <c r="H3461" s="9" t="s">
        <v>2979</v>
      </c>
      <c r="I3461" t="s">
        <v>2998</v>
      </c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7" t="str">
        <f t="shared" si="1"/>
        <v>Built-up :</v>
      </c>
      <c r="AE3461" s="7" t="str">
        <f t="shared" si="2"/>
        <v> sq. ft.</v>
      </c>
      <c r="AF3461">
        <f>IFERROR(__xludf.DUMMYFUNCTION("VALUE(REGEXREPLACE(G3461,""[^[:digit:]]"", """"))"),1830.0)</f>
        <v>1830</v>
      </c>
      <c r="AG3461" s="7"/>
      <c r="AH3461" s="7"/>
      <c r="AI3461" s="7"/>
      <c r="AJ3461" s="7"/>
      <c r="AK3461" s="7"/>
      <c r="AL3461" s="7"/>
      <c r="AM3461" s="7"/>
      <c r="AN3461" s="7"/>
      <c r="AO3461" s="7"/>
      <c r="AP3461" s="7"/>
      <c r="AQ3461" s="7"/>
      <c r="AR3461" s="7"/>
      <c r="AS3461" s="7" t="s">
        <v>27</v>
      </c>
    </row>
    <row r="3462">
      <c r="A3462" s="7" t="s">
        <v>28</v>
      </c>
      <c r="B3462" s="7" t="s">
        <v>132</v>
      </c>
      <c r="C3462" s="7">
        <f>4+1</f>
        <v>5</v>
      </c>
      <c r="D3462" s="7">
        <v>3.0</v>
      </c>
      <c r="E3462" s="9">
        <v>2.0</v>
      </c>
      <c r="F3462" s="7" t="s">
        <v>83</v>
      </c>
      <c r="G3462" s="7" t="s">
        <v>2333</v>
      </c>
      <c r="H3462" s="9" t="s">
        <v>2979</v>
      </c>
      <c r="I3462" t="s">
        <v>4258</v>
      </c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7" t="str">
        <f t="shared" si="1"/>
        <v>Built-up :</v>
      </c>
      <c r="AE3462" s="7" t="str">
        <f t="shared" si="2"/>
        <v> sq. ft.</v>
      </c>
      <c r="AF3462">
        <f>IFERROR(__xludf.DUMMYFUNCTION("VALUE(REGEXREPLACE(G3462,""[^[:digit:]]"", """"))"),1831.0)</f>
        <v>1831</v>
      </c>
      <c r="AG3462" s="7"/>
      <c r="AH3462" s="7"/>
      <c r="AI3462" s="7"/>
      <c r="AJ3462" s="7"/>
      <c r="AK3462" s="7"/>
      <c r="AL3462" s="7"/>
      <c r="AM3462" s="7"/>
      <c r="AN3462" s="7"/>
      <c r="AO3462" s="7"/>
      <c r="AP3462" s="7"/>
      <c r="AQ3462" s="7"/>
      <c r="AR3462" s="7"/>
      <c r="AS3462" s="7" t="s">
        <v>27</v>
      </c>
    </row>
    <row r="3463">
      <c r="A3463" s="7" t="s">
        <v>100</v>
      </c>
      <c r="B3463" s="7" t="s">
        <v>899</v>
      </c>
      <c r="C3463" s="7">
        <f t="shared" ref="C3463:C3464" si="473">2+1</f>
        <v>3</v>
      </c>
      <c r="D3463" s="7">
        <v>3.0</v>
      </c>
      <c r="E3463" s="7">
        <v>2.0</v>
      </c>
      <c r="F3463" s="7" t="s">
        <v>93</v>
      </c>
      <c r="G3463" s="7" t="s">
        <v>1252</v>
      </c>
      <c r="H3463" s="9" t="s">
        <v>2979</v>
      </c>
      <c r="I3463" t="s">
        <v>3608</v>
      </c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7" t="str">
        <f t="shared" si="1"/>
        <v>Built-up :</v>
      </c>
      <c r="AE3463" s="7" t="str">
        <f t="shared" si="2"/>
        <v> sq. ft.</v>
      </c>
      <c r="AF3463">
        <f>IFERROR(__xludf.DUMMYFUNCTION("VALUE(REGEXREPLACE(G3463,""[^[:digit:]]"", """"))"),1707.0)</f>
        <v>1707</v>
      </c>
      <c r="AG3463" s="7"/>
      <c r="AH3463" s="7"/>
      <c r="AI3463" s="7"/>
      <c r="AJ3463" s="7"/>
      <c r="AK3463" s="7"/>
      <c r="AL3463" s="7"/>
      <c r="AM3463" s="7"/>
      <c r="AN3463" s="7"/>
      <c r="AO3463" s="7"/>
      <c r="AP3463" s="7"/>
      <c r="AQ3463" s="7"/>
      <c r="AR3463" s="7"/>
      <c r="AS3463" s="7" t="s">
        <v>27</v>
      </c>
    </row>
    <row r="3464">
      <c r="A3464" s="7" t="s">
        <v>86</v>
      </c>
      <c r="B3464" s="7" t="s">
        <v>423</v>
      </c>
      <c r="C3464" s="7">
        <f t="shared" si="473"/>
        <v>3</v>
      </c>
      <c r="D3464" s="7">
        <v>2.0</v>
      </c>
      <c r="E3464" s="7">
        <v>1.0</v>
      </c>
      <c r="F3464" s="7" t="s">
        <v>20</v>
      </c>
      <c r="G3464" s="7" t="s">
        <v>135</v>
      </c>
      <c r="H3464" s="9" t="s">
        <v>2979</v>
      </c>
      <c r="I3464" t="s">
        <v>3023</v>
      </c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7" t="str">
        <f t="shared" si="1"/>
        <v>Built-up :</v>
      </c>
      <c r="AE3464" s="7" t="str">
        <f t="shared" si="2"/>
        <v> sq. ft.</v>
      </c>
      <c r="AF3464">
        <f>IFERROR(__xludf.DUMMYFUNCTION("VALUE(REGEXREPLACE(G3464,""[^[:digit:]]"", """"))"),1200.0)</f>
        <v>1200</v>
      </c>
      <c r="AG3464" s="7"/>
      <c r="AH3464" s="7"/>
      <c r="AI3464" s="7"/>
      <c r="AJ3464" s="7"/>
      <c r="AK3464" s="7"/>
      <c r="AL3464" s="7"/>
      <c r="AM3464" s="7"/>
      <c r="AN3464" s="7"/>
      <c r="AO3464" s="7"/>
      <c r="AP3464" s="7"/>
      <c r="AQ3464" s="7"/>
      <c r="AR3464" s="7"/>
      <c r="AS3464" s="7" t="s">
        <v>27</v>
      </c>
    </row>
    <row r="3465">
      <c r="A3465" s="7" t="s">
        <v>17</v>
      </c>
      <c r="B3465" s="7" t="s">
        <v>141</v>
      </c>
      <c r="C3465" s="7">
        <f t="shared" ref="C3465:C3466" si="474">3+1</f>
        <v>4</v>
      </c>
      <c r="D3465" s="7">
        <v>4.0</v>
      </c>
      <c r="E3465" s="7">
        <v>2.0</v>
      </c>
      <c r="F3465" s="7" t="s">
        <v>121</v>
      </c>
      <c r="G3465" s="7" t="s">
        <v>2330</v>
      </c>
      <c r="H3465" s="9" t="s">
        <v>2979</v>
      </c>
      <c r="I3465" t="s">
        <v>4256</v>
      </c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  <c r="AA3465" s="7"/>
      <c r="AB3465" s="7"/>
      <c r="AC3465" s="7"/>
      <c r="AD3465" s="7" t="str">
        <f t="shared" si="1"/>
        <v>Built-up :</v>
      </c>
      <c r="AE3465" s="7" t="str">
        <f t="shared" si="2"/>
        <v> sq. ft.</v>
      </c>
      <c r="AF3465">
        <f>IFERROR(__xludf.DUMMYFUNCTION("VALUE(REGEXREPLACE(G3465,""[^[:digit:]]"", """"))"),2059.0)</f>
        <v>2059</v>
      </c>
      <c r="AG3465" s="7"/>
      <c r="AH3465" s="7"/>
      <c r="AI3465" s="7"/>
      <c r="AJ3465" s="7"/>
      <c r="AK3465" s="7"/>
      <c r="AL3465" s="7"/>
      <c r="AM3465" s="7"/>
      <c r="AN3465" s="7"/>
      <c r="AO3465" s="7"/>
      <c r="AP3465" s="7"/>
      <c r="AQ3465" s="7"/>
      <c r="AR3465" s="7"/>
      <c r="AS3465" s="7" t="s">
        <v>22</v>
      </c>
    </row>
    <row r="3466">
      <c r="A3466" s="7" t="s">
        <v>180</v>
      </c>
      <c r="B3466" s="7" t="s">
        <v>790</v>
      </c>
      <c r="C3466" s="7">
        <f t="shared" si="474"/>
        <v>4</v>
      </c>
      <c r="D3466" s="7">
        <v>4.0</v>
      </c>
      <c r="E3466" s="7">
        <v>2.0</v>
      </c>
      <c r="F3466" s="7" t="s">
        <v>20</v>
      </c>
      <c r="G3466" s="7" t="s">
        <v>2334</v>
      </c>
      <c r="H3466" s="9" t="s">
        <v>2979</v>
      </c>
      <c r="I3466" t="s">
        <v>4259</v>
      </c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  <c r="AA3466" s="7"/>
      <c r="AB3466" s="7"/>
      <c r="AC3466" s="7"/>
      <c r="AD3466" s="7" t="str">
        <f t="shared" si="1"/>
        <v>Built-up :</v>
      </c>
      <c r="AE3466" s="7" t="str">
        <f t="shared" si="2"/>
        <v> sq. ft.</v>
      </c>
      <c r="AF3466">
        <f>IFERROR(__xludf.DUMMYFUNCTION("VALUE(REGEXREPLACE(G3466,""[^[:digit:]]"", """"))"),2269.0)</f>
        <v>2269</v>
      </c>
      <c r="AG3466" s="7"/>
      <c r="AH3466" s="7"/>
      <c r="AI3466" s="7"/>
      <c r="AJ3466" s="7"/>
      <c r="AK3466" s="7"/>
      <c r="AL3466" s="7"/>
      <c r="AM3466" s="7"/>
      <c r="AN3466" s="7"/>
      <c r="AO3466" s="7"/>
      <c r="AP3466" s="7"/>
      <c r="AQ3466" s="7"/>
      <c r="AR3466" s="7"/>
    </row>
    <row r="3467">
      <c r="A3467" s="7" t="s">
        <v>432</v>
      </c>
      <c r="B3467" s="7" t="s">
        <v>545</v>
      </c>
      <c r="C3467" s="7">
        <f>6+1</f>
        <v>7</v>
      </c>
      <c r="D3467" s="7">
        <v>9.0</v>
      </c>
      <c r="E3467" s="9">
        <v>2.0</v>
      </c>
      <c r="F3467" s="7" t="s">
        <v>25</v>
      </c>
      <c r="G3467" s="7" t="s">
        <v>434</v>
      </c>
      <c r="H3467" s="9" t="s">
        <v>2981</v>
      </c>
      <c r="I3467" t="s">
        <v>3160</v>
      </c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7" t="str">
        <f t="shared" si="1"/>
        <v>Land area </v>
      </c>
      <c r="AE3467" s="7" t="str">
        <f t="shared" si="2"/>
        <v> sq. ft.</v>
      </c>
      <c r="AF3467">
        <f>IFERROR(__xludf.DUMMYFUNCTION("VALUE(REGEXREPLACE(G3467,""[^[:digit:]]"", """"))"),8611.0)</f>
        <v>8611</v>
      </c>
      <c r="AG3467" s="7"/>
      <c r="AH3467" s="7"/>
      <c r="AI3467" s="7"/>
      <c r="AJ3467" s="7"/>
      <c r="AK3467" s="7"/>
      <c r="AL3467" s="7"/>
      <c r="AM3467" s="7"/>
      <c r="AN3467" s="7"/>
      <c r="AO3467" s="7"/>
      <c r="AP3467" s="7"/>
      <c r="AQ3467" s="7"/>
      <c r="AR3467" s="7"/>
      <c r="AS3467" s="7" t="s">
        <v>27</v>
      </c>
    </row>
    <row r="3468">
      <c r="A3468" s="7" t="s">
        <v>32</v>
      </c>
      <c r="B3468" s="7" t="s">
        <v>1341</v>
      </c>
      <c r="C3468" s="7">
        <f>2</f>
        <v>2</v>
      </c>
      <c r="D3468" s="7">
        <v>2.0</v>
      </c>
      <c r="E3468" s="7">
        <v>1.0</v>
      </c>
      <c r="F3468" s="7" t="s">
        <v>20</v>
      </c>
      <c r="G3468" s="7" t="s">
        <v>242</v>
      </c>
      <c r="H3468" s="9" t="s">
        <v>2979</v>
      </c>
      <c r="I3468" t="s">
        <v>3072</v>
      </c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7" t="str">
        <f t="shared" si="1"/>
        <v>Built-up :</v>
      </c>
      <c r="AE3468" s="7" t="str">
        <f t="shared" si="2"/>
        <v> sq. ft.</v>
      </c>
      <c r="AF3468">
        <f>IFERROR(__xludf.DUMMYFUNCTION("VALUE(REGEXREPLACE(G3468,""[^[:digit:]]"", """"))"),650.0)</f>
        <v>650</v>
      </c>
      <c r="AG3468" s="7"/>
      <c r="AH3468" s="7"/>
      <c r="AI3468" s="7"/>
      <c r="AJ3468" s="7"/>
      <c r="AK3468" s="7"/>
      <c r="AL3468" s="7"/>
      <c r="AM3468" s="7"/>
      <c r="AN3468" s="7"/>
      <c r="AO3468" s="7"/>
      <c r="AP3468" s="7"/>
      <c r="AQ3468" s="7"/>
      <c r="AR3468" s="7"/>
      <c r="AS3468" s="7" t="s">
        <v>27</v>
      </c>
    </row>
    <row r="3469">
      <c r="A3469" s="7" t="s">
        <v>72</v>
      </c>
      <c r="B3469" s="7" t="s">
        <v>2335</v>
      </c>
      <c r="C3469" s="7">
        <f t="shared" ref="C3469:C3470" si="475">4+1</f>
        <v>5</v>
      </c>
      <c r="D3469" s="7">
        <v>5.0</v>
      </c>
      <c r="E3469" s="7">
        <v>3.0</v>
      </c>
      <c r="F3469" s="7" t="s">
        <v>83</v>
      </c>
      <c r="G3469" s="7" t="s">
        <v>84</v>
      </c>
      <c r="H3469" s="9" t="s">
        <v>2979</v>
      </c>
      <c r="I3469" t="s">
        <v>3001</v>
      </c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7" t="str">
        <f t="shared" si="1"/>
        <v>Built-up :</v>
      </c>
      <c r="AE3469" s="7" t="str">
        <f t="shared" si="2"/>
        <v> sq. ft.</v>
      </c>
      <c r="AF3469">
        <f>IFERROR(__xludf.DUMMYFUNCTION("VALUE(REGEXREPLACE(G3469,""[^[:digit:]]"", """"))"),2163.0)</f>
        <v>2163</v>
      </c>
      <c r="AG3469" s="7"/>
      <c r="AH3469" s="7"/>
      <c r="AI3469" s="7"/>
      <c r="AJ3469" s="7"/>
      <c r="AK3469" s="7"/>
      <c r="AL3469" s="7"/>
      <c r="AM3469" s="7"/>
      <c r="AN3469" s="7"/>
      <c r="AO3469" s="7"/>
      <c r="AP3469" s="7"/>
      <c r="AQ3469" s="7"/>
      <c r="AR3469" s="7"/>
      <c r="AS3469" s="7" t="s">
        <v>27</v>
      </c>
    </row>
    <row r="3470">
      <c r="A3470" s="7" t="s">
        <v>72</v>
      </c>
      <c r="B3470" s="7" t="s">
        <v>386</v>
      </c>
      <c r="C3470" s="7">
        <f t="shared" si="475"/>
        <v>5</v>
      </c>
      <c r="D3470" s="7">
        <v>5.0</v>
      </c>
      <c r="E3470" s="9">
        <v>2.0</v>
      </c>
      <c r="F3470" s="7" t="s">
        <v>30</v>
      </c>
      <c r="G3470" s="7" t="s">
        <v>431</v>
      </c>
      <c r="H3470" s="9" t="s">
        <v>2979</v>
      </c>
      <c r="I3470" t="s">
        <v>3159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7" t="str">
        <f t="shared" si="1"/>
        <v>Built-up :</v>
      </c>
      <c r="AE3470" s="7" t="str">
        <f t="shared" si="2"/>
        <v> sq. ft.</v>
      </c>
      <c r="AF3470">
        <f>IFERROR(__xludf.DUMMYFUNCTION("VALUE(REGEXREPLACE(G3470,""[^[:digit:]]"", """"))"),2906.0)</f>
        <v>2906</v>
      </c>
      <c r="AG3470" s="7"/>
      <c r="AH3470" s="7"/>
      <c r="AI3470" s="7"/>
      <c r="AJ3470" s="7"/>
      <c r="AK3470" s="7"/>
      <c r="AL3470" s="7"/>
      <c r="AM3470" s="7"/>
      <c r="AN3470" s="7"/>
      <c r="AO3470" s="7"/>
      <c r="AP3470" s="7"/>
      <c r="AQ3470" s="7"/>
      <c r="AR3470" s="7"/>
    </row>
    <row r="3471">
      <c r="A3471" s="7" t="s">
        <v>100</v>
      </c>
      <c r="B3471" s="7" t="s">
        <v>398</v>
      </c>
      <c r="C3471" s="7">
        <f>4</f>
        <v>4</v>
      </c>
      <c r="D3471" s="7">
        <v>3.0</v>
      </c>
      <c r="E3471" s="9">
        <v>2.0</v>
      </c>
      <c r="F3471" s="7" t="s">
        <v>25</v>
      </c>
      <c r="G3471" s="7" t="s">
        <v>2336</v>
      </c>
      <c r="H3471" s="9" t="s">
        <v>2981</v>
      </c>
      <c r="I3471" t="s">
        <v>4260</v>
      </c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  <c r="AA3471" s="7"/>
      <c r="AB3471" s="7"/>
      <c r="AC3471" s="7"/>
      <c r="AD3471" s="7" t="str">
        <f t="shared" si="1"/>
        <v>Land area </v>
      </c>
      <c r="AE3471" s="7" t="str">
        <f t="shared" si="2"/>
        <v> sq. ft.</v>
      </c>
      <c r="AF3471">
        <f>IFERROR(__xludf.DUMMYFUNCTION("VALUE(REGEXREPLACE(G3471,""[^[:digit:]]"", """"))"),7167.0)</f>
        <v>7167</v>
      </c>
      <c r="AG3471" s="7"/>
      <c r="AH3471" s="7"/>
      <c r="AI3471" s="7"/>
      <c r="AJ3471" s="7"/>
      <c r="AK3471" s="7"/>
      <c r="AL3471" s="7"/>
      <c r="AM3471" s="7"/>
      <c r="AN3471" s="7"/>
      <c r="AO3471" s="7"/>
      <c r="AP3471" s="7"/>
      <c r="AQ3471" s="7"/>
      <c r="AR3471" s="7"/>
      <c r="AS3471" s="7" t="s">
        <v>27</v>
      </c>
    </row>
    <row r="3472">
      <c r="A3472" s="7" t="s">
        <v>17</v>
      </c>
      <c r="B3472" s="7" t="s">
        <v>34</v>
      </c>
      <c r="C3472" s="7">
        <f>2</f>
        <v>2</v>
      </c>
      <c r="E3472" s="9">
        <v>2.0</v>
      </c>
      <c r="F3472" s="7" t="s">
        <v>20</v>
      </c>
      <c r="G3472" s="7" t="s">
        <v>2337</v>
      </c>
      <c r="H3472" s="9" t="s">
        <v>2979</v>
      </c>
      <c r="I3472" t="s">
        <v>4261</v>
      </c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  <c r="AA3472" s="7"/>
      <c r="AB3472" s="7"/>
      <c r="AC3472" s="7"/>
      <c r="AD3472" s="7" t="str">
        <f t="shared" si="1"/>
        <v>Built-up :</v>
      </c>
      <c r="AE3472" s="7" t="str">
        <f t="shared" si="2"/>
        <v> sq. ft.</v>
      </c>
      <c r="AF3472">
        <f>IFERROR(__xludf.DUMMYFUNCTION("VALUE(REGEXREPLACE(G3472,""[^[:digit:]]"", """"))"),1133.0)</f>
        <v>1133</v>
      </c>
      <c r="AG3472" s="7"/>
      <c r="AH3472" s="7"/>
      <c r="AI3472" s="7"/>
      <c r="AJ3472" s="7"/>
      <c r="AK3472" s="7"/>
      <c r="AL3472" s="7"/>
      <c r="AM3472" s="7"/>
      <c r="AN3472" s="7"/>
      <c r="AO3472" s="7"/>
      <c r="AP3472" s="7"/>
      <c r="AQ3472" s="7"/>
      <c r="AR3472" s="7"/>
      <c r="AS3472" s="7" t="s">
        <v>22</v>
      </c>
    </row>
    <row r="3473">
      <c r="A3473" s="7" t="s">
        <v>432</v>
      </c>
      <c r="B3473" s="7" t="s">
        <v>499</v>
      </c>
      <c r="C3473" s="7">
        <f>4</f>
        <v>4</v>
      </c>
      <c r="D3473" s="7">
        <v>4.0</v>
      </c>
      <c r="E3473" s="9">
        <v>2.0</v>
      </c>
      <c r="F3473" s="7" t="s">
        <v>83</v>
      </c>
      <c r="G3473" s="7" t="s">
        <v>2338</v>
      </c>
      <c r="H3473" s="9" t="s">
        <v>2979</v>
      </c>
      <c r="I3473" t="s">
        <v>4262</v>
      </c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7" t="str">
        <f t="shared" si="1"/>
        <v>Built-up :</v>
      </c>
      <c r="AE3473" s="7" t="str">
        <f t="shared" si="2"/>
        <v> sq. ft.</v>
      </c>
      <c r="AF3473">
        <f>IFERROR(__xludf.DUMMYFUNCTION("VALUE(REGEXREPLACE(G3473,""[^[:digit:]]"", """"))"),5230.0)</f>
        <v>5230</v>
      </c>
      <c r="AG3473" s="7"/>
      <c r="AH3473" s="7"/>
      <c r="AI3473" s="7"/>
      <c r="AJ3473" s="7"/>
      <c r="AK3473" s="7"/>
      <c r="AL3473" s="7"/>
      <c r="AM3473" s="7"/>
      <c r="AN3473" s="7"/>
      <c r="AO3473" s="7"/>
      <c r="AP3473" s="7"/>
      <c r="AQ3473" s="7"/>
      <c r="AR3473" s="7"/>
      <c r="AS3473" s="7" t="s">
        <v>22</v>
      </c>
    </row>
    <row r="3474">
      <c r="A3474" s="7" t="s">
        <v>17</v>
      </c>
      <c r="B3474" s="7" t="s">
        <v>2339</v>
      </c>
      <c r="C3474" s="7">
        <f>3</f>
        <v>3</v>
      </c>
      <c r="D3474" s="7">
        <v>3.0</v>
      </c>
      <c r="E3474" s="7">
        <v>1.0</v>
      </c>
      <c r="F3474" s="7" t="s">
        <v>93</v>
      </c>
      <c r="G3474" s="7" t="s">
        <v>2340</v>
      </c>
      <c r="H3474" s="9" t="s">
        <v>2979</v>
      </c>
      <c r="I3474" t="s">
        <v>4263</v>
      </c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7" t="str">
        <f t="shared" si="1"/>
        <v>Built-up :</v>
      </c>
      <c r="AE3474" s="7" t="str">
        <f t="shared" si="2"/>
        <v> sq. ft.</v>
      </c>
      <c r="AF3474">
        <f>IFERROR(__xludf.DUMMYFUNCTION("VALUE(REGEXREPLACE(G3474,""[^[:digit:]]"", """"))"),1551.0)</f>
        <v>1551</v>
      </c>
      <c r="AG3474" s="7"/>
      <c r="AH3474" s="7"/>
      <c r="AI3474" s="7"/>
      <c r="AJ3474" s="7"/>
      <c r="AK3474" s="7"/>
      <c r="AL3474" s="7"/>
      <c r="AM3474" s="7"/>
      <c r="AN3474" s="7"/>
      <c r="AO3474" s="7"/>
      <c r="AP3474" s="7"/>
      <c r="AQ3474" s="7"/>
      <c r="AR3474" s="7"/>
      <c r="AS3474" s="7" t="s">
        <v>22</v>
      </c>
    </row>
    <row r="3475">
      <c r="A3475" s="7" t="s">
        <v>72</v>
      </c>
      <c r="B3475" s="7" t="s">
        <v>191</v>
      </c>
      <c r="C3475" s="7">
        <f>2+1</f>
        <v>3</v>
      </c>
      <c r="D3475" s="7">
        <v>2.0</v>
      </c>
      <c r="E3475" s="7">
        <v>2.0</v>
      </c>
      <c r="F3475" s="7" t="s">
        <v>83</v>
      </c>
      <c r="G3475" s="7" t="s">
        <v>2341</v>
      </c>
      <c r="H3475" s="9" t="s">
        <v>2979</v>
      </c>
      <c r="I3475" t="s">
        <v>4264</v>
      </c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7" t="str">
        <f t="shared" si="1"/>
        <v>Built-up :</v>
      </c>
      <c r="AE3475" s="7" t="str">
        <f t="shared" si="2"/>
        <v> sq. ft.</v>
      </c>
      <c r="AF3475">
        <f>IFERROR(__xludf.DUMMYFUNCTION("VALUE(REGEXREPLACE(G3475,""[^[:digit:]]"", """"))"),1122.0)</f>
        <v>1122</v>
      </c>
      <c r="AG3475" s="7"/>
      <c r="AH3475" s="7"/>
      <c r="AI3475" s="7"/>
      <c r="AJ3475" s="7"/>
      <c r="AK3475" s="7"/>
      <c r="AL3475" s="7"/>
      <c r="AM3475" s="7"/>
      <c r="AN3475" s="7"/>
      <c r="AO3475" s="7"/>
      <c r="AP3475" s="7"/>
      <c r="AQ3475" s="7"/>
      <c r="AR3475" s="7"/>
    </row>
    <row r="3476">
      <c r="A3476" s="7" t="s">
        <v>72</v>
      </c>
      <c r="B3476" s="7" t="s">
        <v>73</v>
      </c>
      <c r="C3476" s="7">
        <f>3+1</f>
        <v>4</v>
      </c>
      <c r="D3476" s="7">
        <v>4.0</v>
      </c>
      <c r="E3476" s="7">
        <v>2.0</v>
      </c>
      <c r="F3476" s="7" t="s">
        <v>30</v>
      </c>
      <c r="G3476" s="7" t="s">
        <v>867</v>
      </c>
      <c r="H3476" s="9" t="s">
        <v>2979</v>
      </c>
      <c r="I3476" t="s">
        <v>3379</v>
      </c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7" t="str">
        <f t="shared" si="1"/>
        <v>Built-up :</v>
      </c>
      <c r="AE3476" s="7" t="str">
        <f t="shared" si="2"/>
        <v> sq. ft.</v>
      </c>
      <c r="AF3476">
        <f>IFERROR(__xludf.DUMMYFUNCTION("VALUE(REGEXREPLACE(G3476,""[^[:digit:]]"", """"))"),2073.0)</f>
        <v>2073</v>
      </c>
      <c r="AG3476" s="7"/>
      <c r="AH3476" s="7"/>
      <c r="AI3476" s="7"/>
      <c r="AJ3476" s="7"/>
      <c r="AK3476" s="7"/>
      <c r="AL3476" s="7"/>
      <c r="AM3476" s="7"/>
      <c r="AN3476" s="7"/>
      <c r="AO3476" s="7"/>
      <c r="AP3476" s="7"/>
      <c r="AQ3476" s="7"/>
      <c r="AR3476" s="7"/>
      <c r="AS3476" s="7" t="s">
        <v>27</v>
      </c>
    </row>
    <row r="3477">
      <c r="A3477" s="7" t="s">
        <v>77</v>
      </c>
      <c r="B3477" s="7" t="s">
        <v>349</v>
      </c>
      <c r="C3477" s="7">
        <f>2</f>
        <v>2</v>
      </c>
      <c r="D3477" s="7">
        <v>2.0</v>
      </c>
      <c r="E3477" s="7">
        <v>2.0</v>
      </c>
      <c r="F3477" s="7" t="s">
        <v>83</v>
      </c>
      <c r="G3477" s="7" t="s">
        <v>321</v>
      </c>
      <c r="H3477" s="9" t="s">
        <v>2979</v>
      </c>
      <c r="I3477" t="s">
        <v>3107</v>
      </c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  <c r="AA3477" s="7"/>
      <c r="AB3477" s="7"/>
      <c r="AC3477" s="7"/>
      <c r="AD3477" s="7" t="str">
        <f t="shared" si="1"/>
        <v>Built-up :</v>
      </c>
      <c r="AE3477" s="7" t="str">
        <f t="shared" si="2"/>
        <v> sq. ft.</v>
      </c>
      <c r="AF3477">
        <f>IFERROR(__xludf.DUMMYFUNCTION("VALUE(REGEXREPLACE(G3477,""[^[:digit:]]"", """"))"),1292.0)</f>
        <v>1292</v>
      </c>
      <c r="AG3477" s="7"/>
      <c r="AH3477" s="7"/>
      <c r="AI3477" s="7"/>
      <c r="AJ3477" s="7"/>
      <c r="AK3477" s="7"/>
      <c r="AL3477" s="7"/>
      <c r="AM3477" s="7"/>
      <c r="AN3477" s="7"/>
      <c r="AO3477" s="7"/>
      <c r="AP3477" s="7"/>
      <c r="AQ3477" s="7"/>
      <c r="AR3477" s="7"/>
      <c r="AS3477" s="7" t="s">
        <v>22</v>
      </c>
    </row>
    <row r="3478">
      <c r="A3478" s="7" t="s">
        <v>77</v>
      </c>
      <c r="B3478" s="7" t="s">
        <v>1075</v>
      </c>
      <c r="C3478" s="7">
        <f>1+1</f>
        <v>2</v>
      </c>
      <c r="D3478" s="7">
        <v>1.0</v>
      </c>
      <c r="E3478" s="7">
        <v>2.0</v>
      </c>
      <c r="F3478" s="7" t="s">
        <v>83</v>
      </c>
      <c r="G3478" s="7" t="s">
        <v>609</v>
      </c>
      <c r="H3478" s="9" t="s">
        <v>2979</v>
      </c>
      <c r="I3478" t="s">
        <v>3246</v>
      </c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  <c r="AA3478" s="7"/>
      <c r="AB3478" s="7"/>
      <c r="AC3478" s="7"/>
      <c r="AD3478" s="7" t="str">
        <f t="shared" si="1"/>
        <v>Built-up :</v>
      </c>
      <c r="AE3478" s="7" t="str">
        <f t="shared" si="2"/>
        <v> sq. ft.</v>
      </c>
      <c r="AF3478">
        <f>IFERROR(__xludf.DUMMYFUNCTION("VALUE(REGEXREPLACE(G3478,""[^[:digit:]]"", """"))"),969.0)</f>
        <v>969</v>
      </c>
      <c r="AG3478" s="7"/>
      <c r="AH3478" s="7"/>
      <c r="AI3478" s="7"/>
      <c r="AJ3478" s="7"/>
      <c r="AK3478" s="7"/>
      <c r="AL3478" s="7"/>
      <c r="AM3478" s="7"/>
      <c r="AN3478" s="7"/>
      <c r="AO3478" s="7"/>
      <c r="AP3478" s="7"/>
      <c r="AQ3478" s="7"/>
      <c r="AR3478" s="7"/>
      <c r="AS3478" s="7" t="s">
        <v>27</v>
      </c>
    </row>
    <row r="3479">
      <c r="A3479" s="7" t="s">
        <v>77</v>
      </c>
      <c r="B3479" s="7" t="s">
        <v>34</v>
      </c>
      <c r="C3479" s="7">
        <f>2</f>
        <v>2</v>
      </c>
      <c r="D3479" s="7">
        <v>1.0</v>
      </c>
      <c r="E3479" s="7">
        <v>2.0</v>
      </c>
      <c r="F3479" s="7" t="s">
        <v>93</v>
      </c>
      <c r="G3479" s="7" t="s">
        <v>609</v>
      </c>
      <c r="H3479" s="9" t="s">
        <v>2979</v>
      </c>
      <c r="I3479" t="s">
        <v>3246</v>
      </c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7" t="str">
        <f t="shared" si="1"/>
        <v>Built-up :</v>
      </c>
      <c r="AE3479" s="7" t="str">
        <f t="shared" si="2"/>
        <v> sq. ft.</v>
      </c>
      <c r="AF3479">
        <f>IFERROR(__xludf.DUMMYFUNCTION("VALUE(REGEXREPLACE(G3479,""[^[:digit:]]"", """"))"),969.0)</f>
        <v>969</v>
      </c>
      <c r="AG3479" s="7"/>
      <c r="AH3479" s="7"/>
      <c r="AI3479" s="7"/>
      <c r="AJ3479" s="7"/>
      <c r="AK3479" s="7"/>
      <c r="AL3479" s="7"/>
      <c r="AM3479" s="7"/>
      <c r="AN3479" s="7"/>
      <c r="AO3479" s="7"/>
      <c r="AP3479" s="7"/>
      <c r="AQ3479" s="7"/>
      <c r="AR3479" s="7"/>
      <c r="AS3479" s="7" t="s">
        <v>22</v>
      </c>
    </row>
    <row r="3480">
      <c r="A3480" s="7" t="s">
        <v>104</v>
      </c>
      <c r="B3480" s="7" t="s">
        <v>2342</v>
      </c>
      <c r="C3480" s="7">
        <f>3</f>
        <v>3</v>
      </c>
      <c r="D3480" s="7">
        <v>2.0</v>
      </c>
      <c r="E3480" s="9">
        <v>2.0</v>
      </c>
      <c r="F3480" s="7" t="s">
        <v>54</v>
      </c>
      <c r="G3480" s="7" t="s">
        <v>106</v>
      </c>
      <c r="H3480" s="9" t="s">
        <v>2981</v>
      </c>
      <c r="I3480" t="s">
        <v>3008</v>
      </c>
      <c r="J3480" s="7"/>
      <c r="K3480" s="7"/>
      <c r="L3480" s="7"/>
      <c r="M3480" s="7"/>
      <c r="N3480" s="7"/>
      <c r="O3480" s="7"/>
      <c r="P3480" s="7"/>
      <c r="Q3480" s="7"/>
      <c r="R3480" s="7"/>
      <c r="S3480" s="7" t="s">
        <v>3009</v>
      </c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7" t="str">
        <f t="shared" si="1"/>
        <v>Land area </v>
      </c>
      <c r="AE3480" s="7" t="str">
        <f t="shared" si="2"/>
        <v> sq. ft.</v>
      </c>
      <c r="AF3480">
        <f>IFERROR(__xludf.DUMMYFUNCTION("VALUE(REGEXREPLACE(G3480,""[^[:digit:]]"", """"))"),1655.0)</f>
        <v>1655</v>
      </c>
      <c r="AG3480" s="7"/>
      <c r="AH3480" s="7"/>
      <c r="AI3480" s="7"/>
      <c r="AJ3480" s="7"/>
      <c r="AK3480" s="7"/>
      <c r="AL3480" s="7"/>
      <c r="AM3480" s="7"/>
      <c r="AN3480" s="7"/>
      <c r="AO3480" s="7"/>
      <c r="AP3480" s="7"/>
      <c r="AQ3480" s="7"/>
      <c r="AR3480" s="7"/>
    </row>
    <row r="3481">
      <c r="A3481" s="7" t="s">
        <v>65</v>
      </c>
      <c r="B3481" s="7" t="s">
        <v>465</v>
      </c>
      <c r="C3481" s="7">
        <f>6+1</f>
        <v>7</v>
      </c>
      <c r="D3481" s="7">
        <v>7.0</v>
      </c>
      <c r="E3481" s="7">
        <v>6.0</v>
      </c>
      <c r="F3481" s="7" t="s">
        <v>67</v>
      </c>
      <c r="G3481" s="7" t="s">
        <v>2343</v>
      </c>
      <c r="H3481" s="9" t="s">
        <v>2981</v>
      </c>
      <c r="I3481" t="s">
        <v>4265</v>
      </c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7" t="str">
        <f t="shared" si="1"/>
        <v>Land area </v>
      </c>
      <c r="AE3481" s="7" t="str">
        <f t="shared" si="2"/>
        <v> sq. ft.</v>
      </c>
      <c r="AF3481">
        <f>IFERROR(__xludf.DUMMYFUNCTION("VALUE(REGEXREPLACE(G3481,""[^[:digit:]]"", """"))"),20600.0)</f>
        <v>20600</v>
      </c>
      <c r="AG3481" s="7"/>
      <c r="AH3481" s="7"/>
      <c r="AI3481" s="7"/>
      <c r="AJ3481" s="7"/>
      <c r="AK3481" s="7"/>
      <c r="AL3481" s="7"/>
      <c r="AM3481" s="7"/>
      <c r="AN3481" s="7"/>
      <c r="AO3481" s="7"/>
      <c r="AP3481" s="7"/>
      <c r="AQ3481" s="7"/>
      <c r="AR3481" s="7"/>
      <c r="AS3481" s="7" t="s">
        <v>27</v>
      </c>
    </row>
    <row r="3482">
      <c r="A3482" s="7" t="s">
        <v>267</v>
      </c>
      <c r="B3482" s="7" t="s">
        <v>2344</v>
      </c>
      <c r="C3482" s="7">
        <f>5+1</f>
        <v>6</v>
      </c>
      <c r="D3482" s="7">
        <v>6.0</v>
      </c>
      <c r="E3482" s="7">
        <v>5.0</v>
      </c>
      <c r="F3482" s="7" t="s">
        <v>25</v>
      </c>
      <c r="G3482" s="7" t="s">
        <v>2345</v>
      </c>
      <c r="H3482" s="9" t="s">
        <v>2981</v>
      </c>
      <c r="I3482" t="s">
        <v>4266</v>
      </c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7" t="str">
        <f t="shared" si="1"/>
        <v>Land area </v>
      </c>
      <c r="AE3482" s="7" t="str">
        <f t="shared" si="2"/>
        <v> sq. ft.</v>
      </c>
      <c r="AF3482">
        <f>IFERROR(__xludf.DUMMYFUNCTION("VALUE(REGEXREPLACE(G3482,""[^[:digit:]]"", """"))"),6534.0)</f>
        <v>6534</v>
      </c>
      <c r="AG3482" s="7"/>
      <c r="AH3482" s="7"/>
      <c r="AI3482" s="7"/>
      <c r="AJ3482" s="7"/>
      <c r="AK3482" s="7"/>
      <c r="AL3482" s="7"/>
      <c r="AM3482" s="7"/>
      <c r="AN3482" s="7"/>
      <c r="AO3482" s="7"/>
      <c r="AP3482" s="7"/>
      <c r="AQ3482" s="7"/>
      <c r="AR3482" s="7"/>
      <c r="AS3482" s="7" t="s">
        <v>27</v>
      </c>
    </row>
    <row r="3483">
      <c r="A3483" s="7" t="s">
        <v>41</v>
      </c>
      <c r="B3483" s="7" t="s">
        <v>479</v>
      </c>
      <c r="C3483" s="7">
        <f>6</f>
        <v>6</v>
      </c>
      <c r="D3483" s="7">
        <v>5.0</v>
      </c>
      <c r="E3483" s="7">
        <v>2.0</v>
      </c>
      <c r="F3483" s="7" t="s">
        <v>61</v>
      </c>
      <c r="G3483" s="7" t="s">
        <v>1649</v>
      </c>
      <c r="H3483" s="9" t="s">
        <v>2981</v>
      </c>
      <c r="I3483" t="s">
        <v>3834</v>
      </c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  <c r="AA3483" s="7"/>
      <c r="AB3483" s="7"/>
      <c r="AC3483" s="7"/>
      <c r="AD3483" s="7" t="str">
        <f t="shared" si="1"/>
        <v>Land area </v>
      </c>
      <c r="AE3483" s="7" t="str">
        <f t="shared" si="2"/>
        <v> sq. ft.</v>
      </c>
      <c r="AF3483">
        <f>IFERROR(__xludf.DUMMYFUNCTION("VALUE(REGEXREPLACE(G3483,""[^[:digit:]]"", """"))"),5442.0)</f>
        <v>5442</v>
      </c>
      <c r="AG3483" s="7"/>
      <c r="AH3483" s="7"/>
      <c r="AI3483" s="7"/>
      <c r="AJ3483" s="7"/>
      <c r="AK3483" s="7"/>
      <c r="AL3483" s="7"/>
      <c r="AM3483" s="7"/>
      <c r="AN3483" s="7"/>
      <c r="AO3483" s="7"/>
      <c r="AP3483" s="7"/>
      <c r="AQ3483" s="7"/>
      <c r="AR3483" s="7"/>
      <c r="AS3483" s="7" t="s">
        <v>27</v>
      </c>
    </row>
    <row r="3484">
      <c r="A3484" s="7" t="s">
        <v>65</v>
      </c>
      <c r="B3484" s="7" t="s">
        <v>2297</v>
      </c>
      <c r="C3484" s="7">
        <f>7+1</f>
        <v>8</v>
      </c>
      <c r="D3484" s="7">
        <v>8.0</v>
      </c>
      <c r="E3484" s="7">
        <v>6.0</v>
      </c>
      <c r="F3484" s="7" t="s">
        <v>67</v>
      </c>
      <c r="G3484" s="7" t="s">
        <v>593</v>
      </c>
      <c r="H3484" s="9" t="s">
        <v>2981</v>
      </c>
      <c r="I3484" t="s">
        <v>3239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  <c r="AC3484" s="7"/>
      <c r="AD3484" s="7" t="str">
        <f t="shared" si="1"/>
        <v>Land area </v>
      </c>
      <c r="AE3484" s="7" t="str">
        <f t="shared" si="2"/>
        <v> sq. ft.</v>
      </c>
      <c r="AF3484">
        <f>IFERROR(__xludf.DUMMYFUNCTION("VALUE(REGEXREPLACE(G3484,""[^[:digit:]]"", """"))"),12000.0)</f>
        <v>12000</v>
      </c>
      <c r="AG3484" s="7"/>
      <c r="AH3484" s="7"/>
      <c r="AI3484" s="7"/>
      <c r="AJ3484" s="7"/>
      <c r="AK3484" s="7"/>
      <c r="AL3484" s="7"/>
      <c r="AM3484" s="7"/>
      <c r="AN3484" s="7"/>
      <c r="AO3484" s="7"/>
      <c r="AP3484" s="7"/>
      <c r="AQ3484" s="7"/>
      <c r="AR3484" s="7"/>
      <c r="AS3484" s="7" t="s">
        <v>27</v>
      </c>
    </row>
    <row r="3485">
      <c r="A3485" s="7" t="s">
        <v>109</v>
      </c>
      <c r="B3485" s="7" t="s">
        <v>1702</v>
      </c>
      <c r="C3485" s="7">
        <f>1</f>
        <v>1</v>
      </c>
      <c r="D3485" s="7">
        <v>1.0</v>
      </c>
      <c r="E3485" s="7">
        <v>1.0</v>
      </c>
      <c r="F3485" s="7" t="s">
        <v>82</v>
      </c>
      <c r="H3485" s="9" t="s">
        <v>2984</v>
      </c>
      <c r="I3485" t="s">
        <v>2985</v>
      </c>
      <c r="AD3485" s="7" t="str">
        <f t="shared" si="1"/>
        <v/>
      </c>
      <c r="AE3485" s="7" t="str">
        <f t="shared" si="2"/>
        <v/>
      </c>
      <c r="AF3485">
        <f>IFERROR(__xludf.DUMMYFUNCTION("VALUE(REGEXREPLACE(G3485,""[^[:digit:]]"", """"))"),0.0)</f>
        <v>0</v>
      </c>
      <c r="AS3485" s="7" t="s">
        <v>27</v>
      </c>
    </row>
    <row r="3486">
      <c r="A3486" s="7" t="s">
        <v>17</v>
      </c>
      <c r="B3486" s="7" t="s">
        <v>1079</v>
      </c>
      <c r="C3486" s="7">
        <f>3+1</f>
        <v>4</v>
      </c>
      <c r="D3486" s="7">
        <v>4.0</v>
      </c>
      <c r="E3486" s="7">
        <v>2.0</v>
      </c>
      <c r="F3486" s="7" t="s">
        <v>20</v>
      </c>
      <c r="G3486" s="7" t="s">
        <v>1879</v>
      </c>
      <c r="H3486" s="9" t="s">
        <v>2979</v>
      </c>
      <c r="I3486" t="s">
        <v>3975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7" t="str">
        <f t="shared" si="1"/>
        <v>Built-up :</v>
      </c>
      <c r="AE3486" s="7" t="str">
        <f t="shared" si="2"/>
        <v> sq. ft.</v>
      </c>
      <c r="AF3486">
        <f>IFERROR(__xludf.DUMMYFUNCTION("VALUE(REGEXREPLACE(G3486,""[^[:digit:]]"", """"))"),1804.0)</f>
        <v>1804</v>
      </c>
      <c r="AG3486" s="7"/>
      <c r="AH3486" s="7"/>
      <c r="AI3486" s="7"/>
      <c r="AJ3486" s="7"/>
      <c r="AK3486" s="7"/>
      <c r="AL3486" s="7"/>
      <c r="AM3486" s="7"/>
      <c r="AN3486" s="7"/>
      <c r="AO3486" s="7"/>
      <c r="AP3486" s="7"/>
      <c r="AQ3486" s="7"/>
      <c r="AR3486" s="7"/>
      <c r="AS3486" s="7" t="s">
        <v>27</v>
      </c>
    </row>
    <row r="3487">
      <c r="A3487" s="7" t="s">
        <v>72</v>
      </c>
      <c r="B3487" s="7" t="s">
        <v>130</v>
      </c>
      <c r="C3487" s="7">
        <f>4+1</f>
        <v>5</v>
      </c>
      <c r="D3487" s="7">
        <v>6.0</v>
      </c>
      <c r="E3487" s="7">
        <v>3.0</v>
      </c>
      <c r="F3487" s="7" t="s">
        <v>83</v>
      </c>
      <c r="G3487" s="7" t="s">
        <v>803</v>
      </c>
      <c r="H3487" s="9" t="s">
        <v>2979</v>
      </c>
      <c r="I3487" t="s">
        <v>3348</v>
      </c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7" t="str">
        <f t="shared" si="1"/>
        <v>Built-up :</v>
      </c>
      <c r="AE3487" s="7" t="str">
        <f t="shared" si="2"/>
        <v> sq. ft.</v>
      </c>
      <c r="AF3487">
        <f>IFERROR(__xludf.DUMMYFUNCTION("VALUE(REGEXREPLACE(G3487,""[^[:digit:]]"", """"))"),2874.0)</f>
        <v>2874</v>
      </c>
      <c r="AG3487" s="7"/>
      <c r="AH3487" s="7"/>
      <c r="AI3487" s="7"/>
      <c r="AJ3487" s="7"/>
      <c r="AK3487" s="7"/>
      <c r="AL3487" s="7"/>
      <c r="AM3487" s="7"/>
      <c r="AN3487" s="7"/>
      <c r="AO3487" s="7"/>
      <c r="AP3487" s="7"/>
      <c r="AQ3487" s="7"/>
      <c r="AR3487" s="7"/>
      <c r="AS3487" s="7" t="s">
        <v>27</v>
      </c>
    </row>
    <row r="3488">
      <c r="A3488" s="7" t="s">
        <v>17</v>
      </c>
      <c r="B3488" s="7" t="s">
        <v>641</v>
      </c>
      <c r="C3488" s="7" t="s">
        <v>325</v>
      </c>
      <c r="D3488" s="7">
        <v>1.0</v>
      </c>
      <c r="E3488" s="7">
        <v>1.0</v>
      </c>
      <c r="F3488" s="7" t="s">
        <v>20</v>
      </c>
      <c r="G3488" s="7" t="s">
        <v>980</v>
      </c>
      <c r="H3488" s="9" t="s">
        <v>2979</v>
      </c>
      <c r="I3488" t="s">
        <v>3434</v>
      </c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7" t="str">
        <f t="shared" si="1"/>
        <v>Built-up :</v>
      </c>
      <c r="AE3488" s="7" t="str">
        <f t="shared" si="2"/>
        <v> sq. ft.</v>
      </c>
      <c r="AF3488">
        <f>IFERROR(__xludf.DUMMYFUNCTION("VALUE(REGEXREPLACE(G3488,""[^[:digit:]]"", """"))"),493.0)</f>
        <v>493</v>
      </c>
      <c r="AG3488" s="7"/>
      <c r="AH3488" s="7"/>
      <c r="AI3488" s="7"/>
      <c r="AJ3488" s="7"/>
      <c r="AK3488" s="7"/>
      <c r="AL3488" s="7"/>
      <c r="AM3488" s="7"/>
      <c r="AN3488" s="7"/>
      <c r="AO3488" s="7"/>
      <c r="AP3488" s="7"/>
      <c r="AQ3488" s="7"/>
      <c r="AR3488" s="7"/>
    </row>
    <row r="3489">
      <c r="A3489" s="7" t="s">
        <v>17</v>
      </c>
      <c r="B3489" s="7" t="s">
        <v>599</v>
      </c>
      <c r="C3489" s="7">
        <f>1</f>
        <v>1</v>
      </c>
      <c r="D3489" s="7">
        <v>1.0</v>
      </c>
      <c r="E3489" s="7">
        <v>1.0</v>
      </c>
      <c r="F3489" s="7" t="s">
        <v>83</v>
      </c>
      <c r="G3489" s="7" t="s">
        <v>646</v>
      </c>
      <c r="H3489" s="9" t="s">
        <v>2979</v>
      </c>
      <c r="I3489" t="s">
        <v>3264</v>
      </c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  <c r="AC3489" s="7"/>
      <c r="AD3489" s="7" t="str">
        <f t="shared" si="1"/>
        <v>Built-up :</v>
      </c>
      <c r="AE3489" s="7" t="str">
        <f t="shared" si="2"/>
        <v> sq. ft.</v>
      </c>
      <c r="AF3489">
        <f>IFERROR(__xludf.DUMMYFUNCTION("VALUE(REGEXREPLACE(G3489,""[^[:digit:]]"", """"))"),753.0)</f>
        <v>753</v>
      </c>
      <c r="AG3489" s="7"/>
      <c r="AH3489" s="7"/>
      <c r="AI3489" s="7"/>
      <c r="AJ3489" s="7"/>
      <c r="AK3489" s="7"/>
      <c r="AL3489" s="7"/>
      <c r="AM3489" s="7"/>
      <c r="AN3489" s="7"/>
      <c r="AO3489" s="7"/>
      <c r="AP3489" s="7"/>
      <c r="AQ3489" s="7"/>
      <c r="AR3489" s="7"/>
    </row>
    <row r="3490">
      <c r="A3490" s="7" t="s">
        <v>100</v>
      </c>
      <c r="B3490" s="7" t="s">
        <v>2346</v>
      </c>
      <c r="C3490" s="7">
        <f>3</f>
        <v>3</v>
      </c>
      <c r="D3490" s="7">
        <v>2.0</v>
      </c>
      <c r="E3490" s="7">
        <v>2.0</v>
      </c>
      <c r="F3490" s="7" t="s">
        <v>20</v>
      </c>
      <c r="G3490" s="7" t="s">
        <v>2347</v>
      </c>
      <c r="H3490" s="9" t="s">
        <v>2979</v>
      </c>
      <c r="I3490" t="s">
        <v>4267</v>
      </c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  <c r="AA3490" s="7"/>
      <c r="AB3490" s="7"/>
      <c r="AC3490" s="7"/>
      <c r="AD3490" s="7" t="str">
        <f t="shared" si="1"/>
        <v>Built-up :</v>
      </c>
      <c r="AE3490" s="7" t="str">
        <f t="shared" si="2"/>
        <v> sq. ft.</v>
      </c>
      <c r="AF3490">
        <f>IFERROR(__xludf.DUMMYFUNCTION("VALUE(REGEXREPLACE(G3490,""[^[:digit:]]"", """"))"),891.0)</f>
        <v>891</v>
      </c>
      <c r="AG3490" s="7"/>
      <c r="AH3490" s="7"/>
      <c r="AI3490" s="7"/>
      <c r="AJ3490" s="7"/>
      <c r="AK3490" s="7"/>
      <c r="AL3490" s="7"/>
      <c r="AM3490" s="7"/>
      <c r="AN3490" s="7"/>
      <c r="AO3490" s="7"/>
      <c r="AP3490" s="7"/>
      <c r="AQ3490" s="7"/>
      <c r="AR3490" s="7"/>
      <c r="AS3490" s="7" t="s">
        <v>27</v>
      </c>
    </row>
    <row r="3491">
      <c r="A3491" s="7" t="s">
        <v>72</v>
      </c>
      <c r="B3491" s="7" t="s">
        <v>277</v>
      </c>
      <c r="C3491" s="7">
        <f t="shared" ref="C3491:C3492" si="476">4+1</f>
        <v>5</v>
      </c>
      <c r="D3491" s="7">
        <v>5.0</v>
      </c>
      <c r="E3491" s="7">
        <v>3.0</v>
      </c>
      <c r="F3491" s="7" t="s">
        <v>83</v>
      </c>
      <c r="G3491" s="7" t="s">
        <v>456</v>
      </c>
      <c r="H3491" s="9" t="s">
        <v>2979</v>
      </c>
      <c r="I3491" t="s">
        <v>3170</v>
      </c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7" t="str">
        <f t="shared" si="1"/>
        <v>Built-up :</v>
      </c>
      <c r="AE3491" s="7" t="str">
        <f t="shared" si="2"/>
        <v> sq. ft.</v>
      </c>
      <c r="AF3491">
        <f>IFERROR(__xludf.DUMMYFUNCTION("VALUE(REGEXREPLACE(G3491,""[^[:digit:]]"", """"))"),2973.0)</f>
        <v>2973</v>
      </c>
      <c r="AG3491" s="7"/>
      <c r="AH3491" s="7"/>
      <c r="AI3491" s="7"/>
      <c r="AJ3491" s="7"/>
      <c r="AK3491" s="7"/>
      <c r="AL3491" s="7"/>
      <c r="AM3491" s="7"/>
      <c r="AN3491" s="7"/>
      <c r="AO3491" s="7"/>
      <c r="AP3491" s="7"/>
      <c r="AQ3491" s="7"/>
      <c r="AR3491" s="7"/>
    </row>
    <row r="3492">
      <c r="A3492" s="7" t="s">
        <v>48</v>
      </c>
      <c r="B3492" s="7" t="s">
        <v>191</v>
      </c>
      <c r="C3492" s="7">
        <f t="shared" si="476"/>
        <v>5</v>
      </c>
      <c r="D3492" s="7">
        <v>5.0</v>
      </c>
      <c r="E3492" s="7">
        <v>2.0</v>
      </c>
      <c r="F3492" s="7" t="s">
        <v>90</v>
      </c>
      <c r="G3492" s="7" t="s">
        <v>2348</v>
      </c>
      <c r="H3492" s="9" t="s">
        <v>2981</v>
      </c>
      <c r="I3492" t="s">
        <v>3718</v>
      </c>
      <c r="J3492" s="7"/>
      <c r="K3492" s="7"/>
      <c r="L3492" s="7"/>
      <c r="M3492" s="7"/>
      <c r="N3492" s="7"/>
      <c r="O3492" s="7"/>
      <c r="P3492" s="7"/>
      <c r="Q3492" s="7"/>
      <c r="R3492" s="7"/>
      <c r="S3492" s="7" t="s">
        <v>4151</v>
      </c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7" t="str">
        <f t="shared" si="1"/>
        <v>Land area </v>
      </c>
      <c r="AE3492" s="7" t="str">
        <f t="shared" si="2"/>
        <v> sq. ft.</v>
      </c>
      <c r="AF3492">
        <f>IFERROR(__xludf.DUMMYFUNCTION("VALUE(REGEXREPLACE(G3492,""[^[:digit:]]"", """"))"),2054.0)</f>
        <v>2054</v>
      </c>
      <c r="AG3492" s="7"/>
      <c r="AH3492" s="7"/>
      <c r="AI3492" s="7"/>
      <c r="AJ3492" s="7"/>
      <c r="AK3492" s="7"/>
      <c r="AL3492" s="7"/>
      <c r="AM3492" s="7"/>
      <c r="AN3492" s="7"/>
      <c r="AO3492" s="7"/>
      <c r="AP3492" s="7"/>
      <c r="AQ3492" s="7"/>
      <c r="AR3492" s="7"/>
      <c r="AS3492" s="7" t="s">
        <v>251</v>
      </c>
    </row>
    <row r="3493">
      <c r="A3493" s="7" t="s">
        <v>32</v>
      </c>
      <c r="B3493" s="7" t="s">
        <v>1547</v>
      </c>
      <c r="C3493" s="7">
        <f>2</f>
        <v>2</v>
      </c>
      <c r="D3493" s="7">
        <v>2.0</v>
      </c>
      <c r="E3493" s="7">
        <v>1.0</v>
      </c>
      <c r="F3493" s="7" t="s">
        <v>93</v>
      </c>
      <c r="G3493" s="7" t="s">
        <v>246</v>
      </c>
      <c r="H3493" s="9" t="s">
        <v>2979</v>
      </c>
      <c r="I3493" t="s">
        <v>3074</v>
      </c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7" t="str">
        <f t="shared" si="1"/>
        <v>Built-up :</v>
      </c>
      <c r="AE3493" s="7" t="str">
        <f t="shared" si="2"/>
        <v> sq. ft.</v>
      </c>
      <c r="AF3493">
        <f>IFERROR(__xludf.DUMMYFUNCTION("VALUE(REGEXREPLACE(G3493,""[^[:digit:]]"", """"))"),825.0)</f>
        <v>825</v>
      </c>
      <c r="AG3493" s="7"/>
      <c r="AH3493" s="7"/>
      <c r="AI3493" s="7"/>
      <c r="AJ3493" s="7"/>
      <c r="AK3493" s="7"/>
      <c r="AL3493" s="7"/>
      <c r="AM3493" s="7"/>
      <c r="AN3493" s="7"/>
      <c r="AO3493" s="7"/>
      <c r="AP3493" s="7"/>
      <c r="AQ3493" s="7"/>
      <c r="AR3493" s="7"/>
      <c r="AS3493" s="7" t="s">
        <v>22</v>
      </c>
    </row>
    <row r="3494">
      <c r="A3494" s="7" t="s">
        <v>89</v>
      </c>
      <c r="B3494" s="7" t="s">
        <v>107</v>
      </c>
      <c r="C3494" s="7" t="s">
        <v>325</v>
      </c>
      <c r="D3494" s="7">
        <v>1.0</v>
      </c>
      <c r="E3494" s="7">
        <v>1.0</v>
      </c>
      <c r="F3494" s="7" t="s">
        <v>82</v>
      </c>
      <c r="G3494" s="7" t="s">
        <v>924</v>
      </c>
      <c r="H3494" s="9" t="s">
        <v>2979</v>
      </c>
      <c r="I3494" t="s">
        <v>3406</v>
      </c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7" t="str">
        <f t="shared" si="1"/>
        <v>Built-up :</v>
      </c>
      <c r="AE3494" s="7" t="str">
        <f t="shared" si="2"/>
        <v> sq. ft.</v>
      </c>
      <c r="AF3494">
        <f>IFERROR(__xludf.DUMMYFUNCTION("VALUE(REGEXREPLACE(G3494,""[^[:digit:]]"", """"))"),750.0)</f>
        <v>750</v>
      </c>
      <c r="AG3494" s="7"/>
      <c r="AH3494" s="7"/>
      <c r="AI3494" s="7"/>
      <c r="AJ3494" s="7"/>
      <c r="AK3494" s="7"/>
      <c r="AL3494" s="7"/>
      <c r="AM3494" s="7"/>
      <c r="AN3494" s="7"/>
      <c r="AO3494" s="7"/>
      <c r="AP3494" s="7"/>
      <c r="AQ3494" s="7"/>
      <c r="AR3494" s="7"/>
      <c r="AS3494" s="7" t="s">
        <v>27</v>
      </c>
    </row>
    <row r="3495">
      <c r="A3495" s="7" t="s">
        <v>89</v>
      </c>
      <c r="B3495" s="7" t="s">
        <v>563</v>
      </c>
      <c r="C3495" s="7">
        <f>2+1</f>
        <v>3</v>
      </c>
      <c r="D3495" s="7">
        <v>2.0</v>
      </c>
      <c r="E3495" s="7">
        <v>2.0</v>
      </c>
      <c r="F3495" s="7" t="s">
        <v>82</v>
      </c>
      <c r="G3495" s="7" t="s">
        <v>764</v>
      </c>
      <c r="H3495" s="9" t="s">
        <v>2979</v>
      </c>
      <c r="I3495" t="s">
        <v>3325</v>
      </c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  <c r="AA3495" s="7"/>
      <c r="AB3495" s="7"/>
      <c r="AC3495" s="7"/>
      <c r="AD3495" s="7" t="str">
        <f t="shared" si="1"/>
        <v>Built-up :</v>
      </c>
      <c r="AE3495" s="7" t="str">
        <f t="shared" si="2"/>
        <v> sq. ft.</v>
      </c>
      <c r="AF3495">
        <f>IFERROR(__xludf.DUMMYFUNCTION("VALUE(REGEXREPLACE(G3495,""[^[:digit:]]"", """"))"),1025.0)</f>
        <v>1025</v>
      </c>
      <c r="AG3495" s="7"/>
      <c r="AH3495" s="7"/>
      <c r="AI3495" s="7"/>
      <c r="AJ3495" s="7"/>
      <c r="AK3495" s="7"/>
      <c r="AL3495" s="7"/>
      <c r="AM3495" s="7"/>
      <c r="AN3495" s="7"/>
      <c r="AO3495" s="7"/>
      <c r="AP3495" s="7"/>
      <c r="AQ3495" s="7"/>
      <c r="AR3495" s="7"/>
      <c r="AS3495" s="7" t="s">
        <v>22</v>
      </c>
    </row>
    <row r="3496">
      <c r="A3496" s="7" t="s">
        <v>1315</v>
      </c>
      <c r="B3496" s="7" t="s">
        <v>902</v>
      </c>
      <c r="C3496" s="7">
        <f t="shared" ref="C3496:C3497" si="477">4</f>
        <v>4</v>
      </c>
      <c r="D3496" s="7">
        <v>4.0</v>
      </c>
      <c r="E3496" s="9">
        <v>2.0</v>
      </c>
      <c r="F3496" s="7" t="s">
        <v>54</v>
      </c>
      <c r="G3496" s="7" t="s">
        <v>283</v>
      </c>
      <c r="H3496" s="9" t="s">
        <v>2981</v>
      </c>
      <c r="I3496" t="s">
        <v>3091</v>
      </c>
      <c r="J3496" s="7"/>
      <c r="K3496" s="7"/>
      <c r="L3496" s="7"/>
      <c r="M3496" s="7"/>
      <c r="N3496" s="7"/>
      <c r="O3496" s="7"/>
      <c r="P3496" s="7"/>
      <c r="Q3496" s="7"/>
      <c r="R3496" s="7"/>
      <c r="S3496" s="7" t="s">
        <v>2990</v>
      </c>
      <c r="T3496" s="7"/>
      <c r="U3496" s="7"/>
      <c r="V3496" s="7"/>
      <c r="W3496" s="7"/>
      <c r="X3496" s="7"/>
      <c r="Y3496" s="7"/>
      <c r="Z3496" s="7"/>
      <c r="AA3496" s="7"/>
      <c r="AB3496" s="7"/>
      <c r="AC3496" s="7"/>
      <c r="AD3496" s="7" t="str">
        <f t="shared" si="1"/>
        <v>Land area </v>
      </c>
      <c r="AE3496" s="7" t="str">
        <f t="shared" si="2"/>
        <v> sq. ft.</v>
      </c>
      <c r="AF3496">
        <f>IFERROR(__xludf.DUMMYFUNCTION("VALUE(REGEXREPLACE(G3496,""[^[:digit:]]"", """"))"),2275.0)</f>
        <v>2275</v>
      </c>
      <c r="AG3496" s="7"/>
      <c r="AH3496" s="7"/>
      <c r="AI3496" s="7"/>
      <c r="AJ3496" s="7"/>
      <c r="AK3496" s="7"/>
      <c r="AL3496" s="7"/>
      <c r="AM3496" s="7"/>
      <c r="AN3496" s="7"/>
      <c r="AO3496" s="7"/>
      <c r="AP3496" s="7"/>
      <c r="AQ3496" s="7"/>
      <c r="AR3496" s="7"/>
      <c r="AS3496" s="7" t="s">
        <v>27</v>
      </c>
    </row>
    <row r="3497">
      <c r="A3497" s="7" t="s">
        <v>371</v>
      </c>
      <c r="B3497" s="7" t="s">
        <v>967</v>
      </c>
      <c r="C3497" s="7">
        <f t="shared" si="477"/>
        <v>4</v>
      </c>
      <c r="D3497" s="7">
        <v>2.0</v>
      </c>
      <c r="E3497" s="9">
        <v>2.0</v>
      </c>
      <c r="F3497" s="7" t="s">
        <v>54</v>
      </c>
      <c r="G3497" s="7" t="s">
        <v>711</v>
      </c>
      <c r="H3497" s="9" t="s">
        <v>2981</v>
      </c>
      <c r="I3497" t="s">
        <v>3294</v>
      </c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7" t="str">
        <f t="shared" si="1"/>
        <v>Land area </v>
      </c>
      <c r="AE3497" s="7" t="str">
        <f t="shared" si="2"/>
        <v> sq. ft.</v>
      </c>
      <c r="AF3497">
        <f>IFERROR(__xludf.DUMMYFUNCTION("VALUE(REGEXREPLACE(G3497,""[^[:digit:]]"", """"))"),1200.0)</f>
        <v>1200</v>
      </c>
      <c r="AG3497" s="7"/>
      <c r="AH3497" s="7"/>
      <c r="AI3497" s="7"/>
      <c r="AJ3497" s="7"/>
      <c r="AK3497" s="7"/>
      <c r="AL3497" s="7"/>
      <c r="AM3497" s="7"/>
      <c r="AN3497" s="7"/>
      <c r="AO3497" s="7"/>
      <c r="AP3497" s="7"/>
      <c r="AQ3497" s="7"/>
      <c r="AR3497" s="7"/>
      <c r="AS3497" s="7" t="s">
        <v>22</v>
      </c>
    </row>
    <row r="3498">
      <c r="A3498" s="7" t="s">
        <v>65</v>
      </c>
      <c r="B3498" s="7" t="s">
        <v>144</v>
      </c>
      <c r="C3498" s="7">
        <f>3+1</f>
        <v>4</v>
      </c>
      <c r="D3498" s="7">
        <v>4.0</v>
      </c>
      <c r="E3498" s="9">
        <v>2.0</v>
      </c>
      <c r="F3498" s="7" t="s">
        <v>30</v>
      </c>
      <c r="G3498" s="7" t="s">
        <v>483</v>
      </c>
      <c r="H3498" s="9" t="s">
        <v>2979</v>
      </c>
      <c r="I3498" t="s">
        <v>3185</v>
      </c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7" t="str">
        <f t="shared" si="1"/>
        <v>Built-up :</v>
      </c>
      <c r="AE3498" s="7" t="str">
        <f t="shared" si="2"/>
        <v> sq. ft.</v>
      </c>
      <c r="AF3498">
        <f>IFERROR(__xludf.DUMMYFUNCTION("VALUE(REGEXREPLACE(G3498,""[^[:digit:]]"", """"))"),2300.0)</f>
        <v>2300</v>
      </c>
      <c r="AG3498" s="7"/>
      <c r="AH3498" s="7"/>
      <c r="AI3498" s="7"/>
      <c r="AJ3498" s="7"/>
      <c r="AK3498" s="7"/>
      <c r="AL3498" s="7"/>
      <c r="AM3498" s="7"/>
      <c r="AN3498" s="7"/>
      <c r="AO3498" s="7"/>
      <c r="AP3498" s="7"/>
      <c r="AQ3498" s="7"/>
      <c r="AR3498" s="7"/>
      <c r="AS3498" s="7" t="s">
        <v>22</v>
      </c>
    </row>
    <row r="3499">
      <c r="A3499" s="7" t="s">
        <v>72</v>
      </c>
      <c r="B3499" s="7" t="s">
        <v>168</v>
      </c>
      <c r="C3499" s="7">
        <f>2</f>
        <v>2</v>
      </c>
      <c r="D3499" s="7">
        <v>2.0</v>
      </c>
      <c r="E3499" s="7">
        <v>1.0</v>
      </c>
      <c r="F3499" s="7" t="s">
        <v>83</v>
      </c>
      <c r="G3499" s="7" t="s">
        <v>1178</v>
      </c>
      <c r="H3499" s="9" t="s">
        <v>2979</v>
      </c>
      <c r="I3499" t="s">
        <v>3561</v>
      </c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7" t="str">
        <f t="shared" si="1"/>
        <v>Built-up :</v>
      </c>
      <c r="AE3499" s="7" t="str">
        <f t="shared" si="2"/>
        <v> sq. ft.</v>
      </c>
      <c r="AF3499">
        <f>IFERROR(__xludf.DUMMYFUNCTION("VALUE(REGEXREPLACE(G3499,""[^[:digit:]]"", """"))"),930.0)</f>
        <v>930</v>
      </c>
      <c r="AG3499" s="7"/>
      <c r="AH3499" s="7"/>
      <c r="AI3499" s="7"/>
      <c r="AJ3499" s="7"/>
      <c r="AK3499" s="7"/>
      <c r="AL3499" s="7"/>
      <c r="AM3499" s="7"/>
      <c r="AN3499" s="7"/>
      <c r="AO3499" s="7"/>
      <c r="AP3499" s="7"/>
      <c r="AQ3499" s="7"/>
      <c r="AR3499" s="7"/>
      <c r="AS3499" s="7" t="s">
        <v>22</v>
      </c>
    </row>
    <row r="3500">
      <c r="A3500" s="7" t="s">
        <v>33</v>
      </c>
      <c r="B3500" s="7" t="s">
        <v>890</v>
      </c>
      <c r="C3500" s="7">
        <f>3</f>
        <v>3</v>
      </c>
      <c r="D3500" s="7">
        <v>2.0</v>
      </c>
      <c r="E3500" s="7">
        <v>1.0</v>
      </c>
      <c r="F3500" s="7" t="s">
        <v>83</v>
      </c>
      <c r="G3500" s="7" t="s">
        <v>1391</v>
      </c>
      <c r="H3500" s="9" t="s">
        <v>2979</v>
      </c>
      <c r="I3500" t="s">
        <v>3685</v>
      </c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7" t="str">
        <f t="shared" si="1"/>
        <v>Built-up :</v>
      </c>
      <c r="AE3500" s="7" t="str">
        <f t="shared" si="2"/>
        <v> sq. ft.</v>
      </c>
      <c r="AF3500">
        <f>IFERROR(__xludf.DUMMYFUNCTION("VALUE(REGEXREPLACE(G3500,""[^[:digit:]]"", """"))"),1080.0)</f>
        <v>1080</v>
      </c>
      <c r="AG3500" s="7"/>
      <c r="AH3500" s="7"/>
      <c r="AI3500" s="7"/>
      <c r="AJ3500" s="7"/>
      <c r="AK3500" s="7"/>
      <c r="AL3500" s="7"/>
      <c r="AM3500" s="7"/>
      <c r="AN3500" s="7"/>
      <c r="AO3500" s="7"/>
      <c r="AP3500" s="7"/>
      <c r="AQ3500" s="7"/>
      <c r="AR3500" s="7"/>
      <c r="AS3500" s="7" t="s">
        <v>27</v>
      </c>
    </row>
    <row r="3501">
      <c r="A3501" s="7" t="s">
        <v>32</v>
      </c>
      <c r="B3501" s="7" t="s">
        <v>2349</v>
      </c>
      <c r="C3501" s="7">
        <f>5</f>
        <v>5</v>
      </c>
      <c r="D3501" s="7">
        <v>5.0</v>
      </c>
      <c r="E3501" s="9">
        <v>2.0</v>
      </c>
      <c r="F3501" s="7" t="s">
        <v>90</v>
      </c>
      <c r="G3501" s="7" t="s">
        <v>280</v>
      </c>
      <c r="H3501" s="9" t="s">
        <v>2981</v>
      </c>
      <c r="I3501" t="s">
        <v>3037</v>
      </c>
      <c r="J3501" s="7"/>
      <c r="K3501" s="7"/>
      <c r="L3501" s="7"/>
      <c r="M3501" s="7"/>
      <c r="N3501" s="7"/>
      <c r="O3501" s="7"/>
      <c r="P3501" s="7"/>
      <c r="Q3501" s="7"/>
      <c r="R3501" s="7"/>
      <c r="S3501" s="7" t="s">
        <v>2990</v>
      </c>
      <c r="T3501" s="7"/>
      <c r="U3501" s="7"/>
      <c r="V3501" s="7"/>
      <c r="W3501" s="7"/>
      <c r="X3501" s="7"/>
      <c r="Y3501" s="7"/>
      <c r="Z3501" s="7"/>
      <c r="AA3501" s="7"/>
      <c r="AB3501" s="7"/>
      <c r="AC3501" s="7"/>
      <c r="AD3501" s="7" t="str">
        <f t="shared" si="1"/>
        <v>Land area </v>
      </c>
      <c r="AE3501" s="7" t="str">
        <f t="shared" si="2"/>
        <v> sq. ft.</v>
      </c>
      <c r="AF3501">
        <f>IFERROR(__xludf.DUMMYFUNCTION("VALUE(REGEXREPLACE(G3501,""[^[:digit:]]"", """"))"),2475.0)</f>
        <v>2475</v>
      </c>
      <c r="AG3501" s="7"/>
      <c r="AH3501" s="7"/>
      <c r="AI3501" s="7"/>
      <c r="AJ3501" s="7"/>
      <c r="AK3501" s="7"/>
      <c r="AL3501" s="7"/>
      <c r="AM3501" s="7"/>
      <c r="AN3501" s="7"/>
      <c r="AO3501" s="7"/>
      <c r="AP3501" s="7"/>
      <c r="AQ3501" s="7"/>
      <c r="AR3501" s="7"/>
    </row>
    <row r="3502">
      <c r="A3502" s="7" t="s">
        <v>155</v>
      </c>
      <c r="B3502" s="7" t="s">
        <v>329</v>
      </c>
      <c r="C3502" s="7">
        <f>3+1</f>
        <v>4</v>
      </c>
      <c r="D3502" s="7">
        <v>3.0</v>
      </c>
      <c r="E3502" s="7">
        <v>2.0</v>
      </c>
      <c r="F3502" s="7" t="s">
        <v>83</v>
      </c>
      <c r="G3502" s="7" t="s">
        <v>2350</v>
      </c>
      <c r="H3502" s="9" t="s">
        <v>2981</v>
      </c>
      <c r="I3502" t="s">
        <v>4268</v>
      </c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  <c r="AA3502" s="7"/>
      <c r="AB3502" s="7"/>
      <c r="AC3502" s="7"/>
      <c r="AD3502" s="7" t="str">
        <f t="shared" si="1"/>
        <v>Land area </v>
      </c>
      <c r="AE3502" s="7" t="str">
        <f t="shared" si="2"/>
        <v> sq. ft.</v>
      </c>
      <c r="AF3502">
        <f>IFERROR(__xludf.DUMMYFUNCTION("VALUE(REGEXREPLACE(G3502,""[^[:digit:]]"", """"))"),1757.0)</f>
        <v>1757</v>
      </c>
      <c r="AG3502" s="7"/>
      <c r="AH3502" s="7"/>
      <c r="AI3502" s="7"/>
      <c r="AJ3502" s="7"/>
      <c r="AK3502" s="7"/>
      <c r="AL3502" s="7"/>
      <c r="AM3502" s="7"/>
      <c r="AN3502" s="7"/>
      <c r="AO3502" s="7"/>
      <c r="AP3502" s="7"/>
      <c r="AQ3502" s="7"/>
      <c r="AR3502" s="7"/>
      <c r="AS3502" s="7" t="s">
        <v>27</v>
      </c>
    </row>
    <row r="3503">
      <c r="A3503" s="7" t="s">
        <v>709</v>
      </c>
      <c r="B3503" s="7" t="s">
        <v>886</v>
      </c>
      <c r="C3503" s="7">
        <f>3</f>
        <v>3</v>
      </c>
      <c r="D3503" s="7">
        <v>2.0</v>
      </c>
      <c r="E3503" s="7">
        <v>2.0</v>
      </c>
      <c r="F3503" s="7" t="s">
        <v>30</v>
      </c>
      <c r="G3503" s="7" t="s">
        <v>2351</v>
      </c>
      <c r="H3503" s="9" t="s">
        <v>2979</v>
      </c>
      <c r="I3503" t="s">
        <v>4269</v>
      </c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7" t="str">
        <f t="shared" si="1"/>
        <v>Built-up :</v>
      </c>
      <c r="AE3503" s="7" t="str">
        <f t="shared" si="2"/>
        <v> sq. ft.</v>
      </c>
      <c r="AF3503">
        <f>IFERROR(__xludf.DUMMYFUNCTION("VALUE(REGEXREPLACE(G3503,""[^[:digit:]]"", """"))"),1209.0)</f>
        <v>1209</v>
      </c>
      <c r="AG3503" s="7"/>
      <c r="AH3503" s="7"/>
      <c r="AI3503" s="7"/>
      <c r="AJ3503" s="7"/>
      <c r="AK3503" s="7"/>
      <c r="AL3503" s="7"/>
      <c r="AM3503" s="7"/>
      <c r="AN3503" s="7"/>
      <c r="AO3503" s="7"/>
      <c r="AP3503" s="7"/>
      <c r="AQ3503" s="7"/>
      <c r="AR3503" s="7"/>
      <c r="AS3503" s="7" t="s">
        <v>22</v>
      </c>
    </row>
    <row r="3504">
      <c r="A3504" s="7" t="s">
        <v>171</v>
      </c>
      <c r="B3504" s="7" t="s">
        <v>898</v>
      </c>
      <c r="C3504" s="7">
        <f>3+1</f>
        <v>4</v>
      </c>
      <c r="D3504" s="7">
        <v>2.0</v>
      </c>
      <c r="E3504" s="7">
        <v>2.0</v>
      </c>
      <c r="F3504" s="7" t="s">
        <v>93</v>
      </c>
      <c r="G3504" s="7" t="s">
        <v>1068</v>
      </c>
      <c r="H3504" s="9" t="s">
        <v>2979</v>
      </c>
      <c r="I3504" t="s">
        <v>3487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7" t="str">
        <f t="shared" si="1"/>
        <v>Built-up :</v>
      </c>
      <c r="AE3504" s="7" t="str">
        <f t="shared" si="2"/>
        <v> sq. ft.</v>
      </c>
      <c r="AF3504">
        <f>IFERROR(__xludf.DUMMYFUNCTION("VALUE(REGEXREPLACE(G3504,""[^[:digit:]]"", """"))"),1333.0)</f>
        <v>1333</v>
      </c>
      <c r="AG3504" s="7"/>
      <c r="AH3504" s="7"/>
      <c r="AI3504" s="7"/>
      <c r="AJ3504" s="7"/>
      <c r="AK3504" s="7"/>
      <c r="AL3504" s="7"/>
      <c r="AM3504" s="7"/>
      <c r="AN3504" s="7"/>
      <c r="AO3504" s="7"/>
      <c r="AP3504" s="7"/>
      <c r="AQ3504" s="7"/>
      <c r="AR3504" s="7"/>
      <c r="AS3504" s="7" t="s">
        <v>27</v>
      </c>
    </row>
    <row r="3505">
      <c r="A3505" s="7" t="s">
        <v>1476</v>
      </c>
      <c r="B3505" s="7" t="s">
        <v>1479</v>
      </c>
      <c r="C3505" s="7">
        <f>2</f>
        <v>2</v>
      </c>
      <c r="D3505" s="7">
        <v>1.0</v>
      </c>
      <c r="E3505" s="7">
        <v>1.0</v>
      </c>
      <c r="F3505" s="7" t="s">
        <v>2352</v>
      </c>
      <c r="G3505" s="7" t="s">
        <v>1812</v>
      </c>
      <c r="H3505" s="9" t="s">
        <v>2979</v>
      </c>
      <c r="I3505" t="s">
        <v>3935</v>
      </c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7" t="str">
        <f t="shared" si="1"/>
        <v>Built-up :</v>
      </c>
      <c r="AE3505" s="7" t="str">
        <f t="shared" si="2"/>
        <v> sq. ft.</v>
      </c>
      <c r="AF3505">
        <f>IFERROR(__xludf.DUMMYFUNCTION("VALUE(REGEXREPLACE(G3505,""[^[:digit:]]"", """"))"),550.0)</f>
        <v>550</v>
      </c>
      <c r="AG3505" s="7"/>
      <c r="AH3505" s="7"/>
      <c r="AI3505" s="7"/>
      <c r="AJ3505" s="7"/>
      <c r="AK3505" s="7"/>
      <c r="AL3505" s="7"/>
      <c r="AM3505" s="7"/>
      <c r="AN3505" s="7"/>
      <c r="AO3505" s="7"/>
      <c r="AP3505" s="7"/>
      <c r="AQ3505" s="7"/>
      <c r="AR3505" s="7"/>
      <c r="AS3505" s="7" t="s">
        <v>27</v>
      </c>
    </row>
    <row r="3506">
      <c r="A3506" s="7" t="s">
        <v>155</v>
      </c>
      <c r="B3506" s="7" t="s">
        <v>603</v>
      </c>
      <c r="C3506" s="7">
        <f>3</f>
        <v>3</v>
      </c>
      <c r="D3506" s="7">
        <v>2.0</v>
      </c>
      <c r="E3506" s="7">
        <v>1.0</v>
      </c>
      <c r="F3506" s="7" t="s">
        <v>83</v>
      </c>
      <c r="G3506" s="7" t="s">
        <v>2353</v>
      </c>
      <c r="H3506" s="9" t="s">
        <v>2979</v>
      </c>
      <c r="I3506" t="s">
        <v>4270</v>
      </c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7" t="str">
        <f t="shared" si="1"/>
        <v>Built-up :</v>
      </c>
      <c r="AE3506" s="7" t="str">
        <f t="shared" si="2"/>
        <v> sq. ft.</v>
      </c>
      <c r="AF3506">
        <f>IFERROR(__xludf.DUMMYFUNCTION("VALUE(REGEXREPLACE(G3506,""[^[:digit:]]"", """"))"),1001.0)</f>
        <v>1001</v>
      </c>
      <c r="AG3506" s="7"/>
      <c r="AH3506" s="7"/>
      <c r="AI3506" s="7"/>
      <c r="AJ3506" s="7"/>
      <c r="AK3506" s="7"/>
      <c r="AL3506" s="7"/>
      <c r="AM3506" s="7"/>
      <c r="AN3506" s="7"/>
      <c r="AO3506" s="7"/>
      <c r="AP3506" s="7"/>
      <c r="AQ3506" s="7"/>
      <c r="AR3506" s="7"/>
      <c r="AS3506" s="7" t="s">
        <v>27</v>
      </c>
    </row>
    <row r="3507">
      <c r="A3507" s="7" t="s">
        <v>72</v>
      </c>
      <c r="B3507" s="7" t="s">
        <v>1328</v>
      </c>
      <c r="C3507" s="7">
        <f>1</f>
        <v>1</v>
      </c>
      <c r="D3507" s="7">
        <v>1.0</v>
      </c>
      <c r="E3507" s="7">
        <v>1.0</v>
      </c>
      <c r="F3507" s="7" t="s">
        <v>20</v>
      </c>
      <c r="G3507" s="7" t="s">
        <v>242</v>
      </c>
      <c r="H3507" s="9" t="s">
        <v>2979</v>
      </c>
      <c r="I3507" t="s">
        <v>3072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  <c r="AC3507" s="7"/>
      <c r="AD3507" s="7" t="str">
        <f t="shared" si="1"/>
        <v>Built-up :</v>
      </c>
      <c r="AE3507" s="7" t="str">
        <f t="shared" si="2"/>
        <v> sq. ft.</v>
      </c>
      <c r="AF3507">
        <f>IFERROR(__xludf.DUMMYFUNCTION("VALUE(REGEXREPLACE(G3507,""[^[:digit:]]"", """"))"),650.0)</f>
        <v>650</v>
      </c>
      <c r="AG3507" s="7"/>
      <c r="AH3507" s="7"/>
      <c r="AI3507" s="7"/>
      <c r="AJ3507" s="7"/>
      <c r="AK3507" s="7"/>
      <c r="AL3507" s="7"/>
      <c r="AM3507" s="7"/>
      <c r="AN3507" s="7"/>
      <c r="AO3507" s="7"/>
      <c r="AP3507" s="7"/>
      <c r="AQ3507" s="7"/>
      <c r="AR3507" s="7"/>
      <c r="AS3507" s="7" t="s">
        <v>22</v>
      </c>
    </row>
    <row r="3508">
      <c r="A3508" s="7" t="s">
        <v>1476</v>
      </c>
      <c r="B3508" s="7" t="s">
        <v>1911</v>
      </c>
      <c r="C3508" s="7">
        <f>3</f>
        <v>3</v>
      </c>
      <c r="D3508" s="7">
        <v>2.0</v>
      </c>
      <c r="E3508" s="7">
        <v>1.0</v>
      </c>
      <c r="F3508" s="7" t="s">
        <v>50</v>
      </c>
      <c r="G3508" s="7" t="s">
        <v>2354</v>
      </c>
      <c r="H3508" s="9" t="s">
        <v>2979</v>
      </c>
      <c r="I3508" t="s">
        <v>4271</v>
      </c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  <c r="AA3508" s="7"/>
      <c r="AB3508" s="7"/>
      <c r="AC3508" s="7"/>
      <c r="AD3508" s="7" t="str">
        <f t="shared" si="1"/>
        <v>Built-up :</v>
      </c>
      <c r="AE3508" s="7" t="str">
        <f t="shared" si="2"/>
        <v> sq. ft.</v>
      </c>
      <c r="AF3508">
        <f>IFERROR(__xludf.DUMMYFUNCTION("VALUE(REGEXREPLACE(G3508,""[^[:digit:]]"", """"))"),1016.0)</f>
        <v>1016</v>
      </c>
      <c r="AG3508" s="7"/>
      <c r="AH3508" s="7"/>
      <c r="AI3508" s="7"/>
      <c r="AJ3508" s="7"/>
      <c r="AK3508" s="7"/>
      <c r="AL3508" s="7"/>
      <c r="AM3508" s="7"/>
      <c r="AN3508" s="7"/>
      <c r="AO3508" s="7"/>
      <c r="AP3508" s="7"/>
      <c r="AQ3508" s="7"/>
      <c r="AR3508" s="7"/>
      <c r="AS3508" s="7" t="s">
        <v>27</v>
      </c>
    </row>
    <row r="3509">
      <c r="A3509" s="7" t="s">
        <v>28</v>
      </c>
      <c r="B3509" s="7" t="s">
        <v>635</v>
      </c>
      <c r="C3509" s="7">
        <f>3+1</f>
        <v>4</v>
      </c>
      <c r="D3509" s="7">
        <v>3.0</v>
      </c>
      <c r="E3509" s="7">
        <v>2.0</v>
      </c>
      <c r="F3509" s="7" t="s">
        <v>93</v>
      </c>
      <c r="G3509" s="7" t="s">
        <v>490</v>
      </c>
      <c r="H3509" s="9" t="s">
        <v>2979</v>
      </c>
      <c r="I3509" t="s">
        <v>3189</v>
      </c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7" t="str">
        <f t="shared" si="1"/>
        <v>Built-up :</v>
      </c>
      <c r="AE3509" s="7" t="str">
        <f t="shared" si="2"/>
        <v> sq. ft.</v>
      </c>
      <c r="AF3509">
        <f>IFERROR(__xludf.DUMMYFUNCTION("VALUE(REGEXREPLACE(G3509,""[^[:digit:]]"", """"))"),1378.0)</f>
        <v>1378</v>
      </c>
      <c r="AG3509" s="7"/>
      <c r="AH3509" s="7"/>
      <c r="AI3509" s="7"/>
      <c r="AJ3509" s="7"/>
      <c r="AK3509" s="7"/>
      <c r="AL3509" s="7"/>
      <c r="AM3509" s="7"/>
      <c r="AN3509" s="7"/>
      <c r="AO3509" s="7"/>
      <c r="AP3509" s="7"/>
      <c r="AQ3509" s="7"/>
      <c r="AR3509" s="7"/>
      <c r="AS3509" s="7" t="s">
        <v>22</v>
      </c>
    </row>
    <row r="3510">
      <c r="A3510" s="7" t="s">
        <v>104</v>
      </c>
      <c r="B3510" s="7" t="s">
        <v>87</v>
      </c>
      <c r="C3510" s="7">
        <f>3</f>
        <v>3</v>
      </c>
      <c r="D3510" s="7">
        <v>2.0</v>
      </c>
      <c r="E3510" s="7">
        <v>2.0</v>
      </c>
      <c r="F3510" s="7" t="s">
        <v>343</v>
      </c>
      <c r="G3510" s="7" t="s">
        <v>283</v>
      </c>
      <c r="H3510" s="9" t="s">
        <v>2981</v>
      </c>
      <c r="I3510" t="s">
        <v>3091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 t="s">
        <v>2990</v>
      </c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7" t="str">
        <f t="shared" si="1"/>
        <v>Land area </v>
      </c>
      <c r="AE3510" s="7" t="str">
        <f t="shared" si="2"/>
        <v> sq. ft.</v>
      </c>
      <c r="AF3510">
        <f>IFERROR(__xludf.DUMMYFUNCTION("VALUE(REGEXREPLACE(G3510,""[^[:digit:]]"", """"))"),2275.0)</f>
        <v>2275</v>
      </c>
      <c r="AG3510" s="7"/>
      <c r="AH3510" s="7"/>
      <c r="AI3510" s="7"/>
      <c r="AJ3510" s="7"/>
      <c r="AK3510" s="7"/>
      <c r="AL3510" s="7"/>
      <c r="AM3510" s="7"/>
      <c r="AN3510" s="7"/>
      <c r="AO3510" s="7"/>
      <c r="AP3510" s="7"/>
      <c r="AQ3510" s="7"/>
      <c r="AR3510" s="7"/>
      <c r="AS3510" s="7" t="s">
        <v>103</v>
      </c>
    </row>
    <row r="3511">
      <c r="A3511" s="7" t="s">
        <v>72</v>
      </c>
      <c r="B3511" s="7" t="s">
        <v>158</v>
      </c>
      <c r="C3511" s="7">
        <f>3+1</f>
        <v>4</v>
      </c>
      <c r="D3511" s="7">
        <v>4.0</v>
      </c>
      <c r="E3511" s="7">
        <v>2.0</v>
      </c>
      <c r="F3511" s="7" t="s">
        <v>83</v>
      </c>
      <c r="G3511" s="7" t="s">
        <v>714</v>
      </c>
      <c r="H3511" s="9" t="s">
        <v>2979</v>
      </c>
      <c r="I3511" t="s">
        <v>3295</v>
      </c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7" t="str">
        <f t="shared" si="1"/>
        <v>Built-up :</v>
      </c>
      <c r="AE3511" s="7" t="str">
        <f t="shared" si="2"/>
        <v> sq. ft.</v>
      </c>
      <c r="AF3511">
        <f>IFERROR(__xludf.DUMMYFUNCTION("VALUE(REGEXREPLACE(G3511,""[^[:digit:]]"", """"))"),2038.0)</f>
        <v>2038</v>
      </c>
      <c r="AG3511" s="7"/>
      <c r="AH3511" s="7"/>
      <c r="AI3511" s="7"/>
      <c r="AJ3511" s="7"/>
      <c r="AK3511" s="7"/>
      <c r="AL3511" s="7"/>
      <c r="AM3511" s="7"/>
      <c r="AN3511" s="7"/>
      <c r="AO3511" s="7"/>
      <c r="AP3511" s="7"/>
      <c r="AQ3511" s="7"/>
      <c r="AR3511" s="7"/>
      <c r="AS3511" s="7" t="s">
        <v>27</v>
      </c>
    </row>
    <row r="3512">
      <c r="A3512" s="7" t="s">
        <v>72</v>
      </c>
      <c r="B3512" s="7" t="s">
        <v>34</v>
      </c>
      <c r="C3512" s="7">
        <f>3</f>
        <v>3</v>
      </c>
      <c r="D3512" s="7">
        <v>3.0</v>
      </c>
      <c r="E3512" s="7">
        <v>2.0</v>
      </c>
      <c r="F3512" s="7" t="s">
        <v>83</v>
      </c>
      <c r="G3512" s="7" t="s">
        <v>1929</v>
      </c>
      <c r="H3512" s="9" t="s">
        <v>2979</v>
      </c>
      <c r="I3512" t="s">
        <v>4004</v>
      </c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7" t="str">
        <f t="shared" si="1"/>
        <v>Built-up :</v>
      </c>
      <c r="AE3512" s="7" t="str">
        <f t="shared" si="2"/>
        <v> sq. ft.</v>
      </c>
      <c r="AF3512">
        <f>IFERROR(__xludf.DUMMYFUNCTION("VALUE(REGEXREPLACE(G3512,""[^[:digit:]]"", """"))"),1828.0)</f>
        <v>1828</v>
      </c>
      <c r="AG3512" s="7"/>
      <c r="AH3512" s="7"/>
      <c r="AI3512" s="7"/>
      <c r="AJ3512" s="7"/>
      <c r="AK3512" s="7"/>
      <c r="AL3512" s="7"/>
      <c r="AM3512" s="7"/>
      <c r="AN3512" s="7"/>
      <c r="AO3512" s="7"/>
      <c r="AP3512" s="7"/>
      <c r="AQ3512" s="7"/>
      <c r="AR3512" s="7"/>
      <c r="AS3512" s="7" t="s">
        <v>27</v>
      </c>
    </row>
    <row r="3513">
      <c r="A3513" s="7" t="s">
        <v>72</v>
      </c>
      <c r="B3513" s="7" t="s">
        <v>130</v>
      </c>
      <c r="C3513" s="7">
        <f>3+1</f>
        <v>4</v>
      </c>
      <c r="D3513" s="7">
        <v>4.0</v>
      </c>
      <c r="E3513" s="7">
        <v>3.0</v>
      </c>
      <c r="F3513" s="7" t="s">
        <v>378</v>
      </c>
      <c r="G3513" s="7" t="s">
        <v>2355</v>
      </c>
      <c r="H3513" s="9" t="s">
        <v>2979</v>
      </c>
      <c r="I3513" t="s">
        <v>4272</v>
      </c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  <c r="AA3513" s="7"/>
      <c r="AB3513" s="7"/>
      <c r="AC3513" s="7"/>
      <c r="AD3513" s="7" t="str">
        <f t="shared" si="1"/>
        <v>Built-up :</v>
      </c>
      <c r="AE3513" s="7" t="str">
        <f t="shared" si="2"/>
        <v> sq. ft.</v>
      </c>
      <c r="AF3513">
        <f>IFERROR(__xludf.DUMMYFUNCTION("VALUE(REGEXREPLACE(G3513,""[^[:digit:]]"", """"))"),2690.0)</f>
        <v>2690</v>
      </c>
      <c r="AG3513" s="7"/>
      <c r="AH3513" s="7"/>
      <c r="AI3513" s="7"/>
      <c r="AJ3513" s="7"/>
      <c r="AK3513" s="7"/>
      <c r="AL3513" s="7"/>
      <c r="AM3513" s="7"/>
      <c r="AN3513" s="7"/>
      <c r="AO3513" s="7"/>
      <c r="AP3513" s="7"/>
      <c r="AQ3513" s="7"/>
      <c r="AR3513" s="7"/>
      <c r="AS3513" s="7" t="s">
        <v>22</v>
      </c>
    </row>
    <row r="3514">
      <c r="A3514" s="7" t="s">
        <v>32</v>
      </c>
      <c r="B3514" s="7" t="s">
        <v>1968</v>
      </c>
      <c r="C3514" s="7">
        <f>2</f>
        <v>2</v>
      </c>
      <c r="D3514" s="7">
        <v>2.0</v>
      </c>
      <c r="E3514" s="9">
        <v>2.0</v>
      </c>
      <c r="F3514" s="7" t="s">
        <v>20</v>
      </c>
      <c r="G3514" s="7" t="s">
        <v>1870</v>
      </c>
      <c r="H3514" s="9" t="s">
        <v>2979</v>
      </c>
      <c r="I3514" t="s">
        <v>3968</v>
      </c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  <c r="AA3514" s="7"/>
      <c r="AB3514" s="7"/>
      <c r="AC3514" s="7"/>
      <c r="AD3514" s="7" t="str">
        <f t="shared" si="1"/>
        <v>Built-up :</v>
      </c>
      <c r="AE3514" s="7" t="str">
        <f t="shared" si="2"/>
        <v> sq. ft.</v>
      </c>
      <c r="AF3514">
        <f>IFERROR(__xludf.DUMMYFUNCTION("VALUE(REGEXREPLACE(G3514,""[^[:digit:]]"", """"))"),719.0)</f>
        <v>719</v>
      </c>
      <c r="AG3514" s="7"/>
      <c r="AH3514" s="7"/>
      <c r="AI3514" s="7"/>
      <c r="AJ3514" s="7"/>
      <c r="AK3514" s="7"/>
      <c r="AL3514" s="7"/>
      <c r="AM3514" s="7"/>
      <c r="AN3514" s="7"/>
      <c r="AO3514" s="7"/>
      <c r="AP3514" s="7"/>
      <c r="AQ3514" s="7"/>
      <c r="AR3514" s="7"/>
      <c r="AS3514" s="7" t="s">
        <v>103</v>
      </c>
    </row>
    <row r="3515">
      <c r="A3515" s="7" t="s">
        <v>77</v>
      </c>
      <c r="B3515" s="7" t="s">
        <v>1517</v>
      </c>
      <c r="C3515" s="7">
        <f>1</f>
        <v>1</v>
      </c>
      <c r="D3515" s="7">
        <v>1.0</v>
      </c>
      <c r="E3515" s="9">
        <v>2.0</v>
      </c>
      <c r="F3515" s="7" t="s">
        <v>20</v>
      </c>
      <c r="G3515" s="7" t="s">
        <v>140</v>
      </c>
      <c r="H3515" s="9" t="s">
        <v>2979</v>
      </c>
      <c r="I3515" t="s">
        <v>3008</v>
      </c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7" t="str">
        <f t="shared" si="1"/>
        <v>Built-up :</v>
      </c>
      <c r="AE3515" s="7" t="str">
        <f t="shared" si="2"/>
        <v> sq. ft.</v>
      </c>
      <c r="AF3515">
        <f>IFERROR(__xludf.DUMMYFUNCTION("VALUE(REGEXREPLACE(G3515,""[^[:digit:]]"", """"))"),880.0)</f>
        <v>880</v>
      </c>
      <c r="AG3515" s="7"/>
      <c r="AH3515" s="7"/>
      <c r="AI3515" s="7"/>
      <c r="AJ3515" s="7"/>
      <c r="AK3515" s="7"/>
      <c r="AL3515" s="7"/>
      <c r="AM3515" s="7"/>
      <c r="AN3515" s="7"/>
      <c r="AO3515" s="7"/>
      <c r="AP3515" s="7"/>
      <c r="AQ3515" s="7"/>
      <c r="AR3515" s="7"/>
      <c r="AS3515" s="7" t="s">
        <v>27</v>
      </c>
    </row>
    <row r="3516">
      <c r="A3516" s="7" t="s">
        <v>33</v>
      </c>
      <c r="B3516" s="7" t="s">
        <v>890</v>
      </c>
      <c r="C3516" s="7">
        <f>3</f>
        <v>3</v>
      </c>
      <c r="D3516" s="7">
        <v>2.0</v>
      </c>
      <c r="E3516" s="7">
        <v>1.0</v>
      </c>
      <c r="F3516" s="7" t="s">
        <v>96</v>
      </c>
      <c r="G3516" s="7" t="s">
        <v>2356</v>
      </c>
      <c r="H3516" s="9" t="s">
        <v>2981</v>
      </c>
      <c r="I3516" t="s">
        <v>4273</v>
      </c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7" t="str">
        <f t="shared" si="1"/>
        <v>Land area </v>
      </c>
      <c r="AE3516" s="7" t="str">
        <f t="shared" si="2"/>
        <v> sq. ft.</v>
      </c>
      <c r="AF3516">
        <f>IFERROR(__xludf.DUMMYFUNCTION("VALUE(REGEXREPLACE(G3516,""[^[:digit:]]"", """"))"),1222.0)</f>
        <v>1222</v>
      </c>
      <c r="AG3516" s="7"/>
      <c r="AH3516" s="7"/>
      <c r="AI3516" s="7"/>
      <c r="AJ3516" s="7"/>
      <c r="AK3516" s="7"/>
      <c r="AL3516" s="7"/>
      <c r="AM3516" s="7"/>
      <c r="AN3516" s="7"/>
      <c r="AO3516" s="7"/>
      <c r="AP3516" s="7"/>
      <c r="AQ3516" s="7"/>
      <c r="AR3516" s="7"/>
      <c r="AS3516" s="7" t="s">
        <v>22</v>
      </c>
    </row>
    <row r="3517">
      <c r="A3517" s="7" t="s">
        <v>28</v>
      </c>
      <c r="B3517" s="7" t="s">
        <v>2357</v>
      </c>
      <c r="C3517" s="7">
        <f>2</f>
        <v>2</v>
      </c>
      <c r="D3517" s="7">
        <v>2.0</v>
      </c>
      <c r="E3517" s="9">
        <v>2.0</v>
      </c>
      <c r="F3517" s="7" t="s">
        <v>20</v>
      </c>
      <c r="G3517" s="7" t="s">
        <v>2085</v>
      </c>
      <c r="H3517" s="9" t="s">
        <v>2979</v>
      </c>
      <c r="I3517" t="s">
        <v>4102</v>
      </c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7" t="str">
        <f t="shared" si="1"/>
        <v>Built-up :</v>
      </c>
      <c r="AE3517" s="7" t="str">
        <f t="shared" si="2"/>
        <v> sq. ft.</v>
      </c>
      <c r="AF3517">
        <f>IFERROR(__xludf.DUMMYFUNCTION("VALUE(REGEXREPLACE(G3517,""[^[:digit:]]"", """"))"),852.0)</f>
        <v>852</v>
      </c>
      <c r="AG3517" s="7"/>
      <c r="AH3517" s="7"/>
      <c r="AI3517" s="7"/>
      <c r="AJ3517" s="7"/>
      <c r="AK3517" s="7"/>
      <c r="AL3517" s="7"/>
      <c r="AM3517" s="7"/>
      <c r="AN3517" s="7"/>
      <c r="AO3517" s="7"/>
      <c r="AP3517" s="7"/>
      <c r="AQ3517" s="7"/>
      <c r="AR3517" s="7"/>
      <c r="AS3517" s="7" t="s">
        <v>103</v>
      </c>
    </row>
    <row r="3518">
      <c r="A3518" s="7" t="s">
        <v>28</v>
      </c>
      <c r="B3518" s="7" t="s">
        <v>2358</v>
      </c>
      <c r="C3518" s="7">
        <f>1</f>
        <v>1</v>
      </c>
      <c r="D3518" s="7">
        <v>1.0</v>
      </c>
      <c r="E3518" s="7">
        <v>1.0</v>
      </c>
      <c r="F3518" s="7" t="s">
        <v>20</v>
      </c>
      <c r="G3518" s="7" t="s">
        <v>1127</v>
      </c>
      <c r="H3518" s="9" t="s">
        <v>2979</v>
      </c>
      <c r="I3518" t="s">
        <v>3521</v>
      </c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7" t="str">
        <f t="shared" si="1"/>
        <v>Built-up :</v>
      </c>
      <c r="AE3518" s="7" t="str">
        <f t="shared" si="2"/>
        <v> sq. ft.</v>
      </c>
      <c r="AF3518">
        <f>IFERROR(__xludf.DUMMYFUNCTION("VALUE(REGEXREPLACE(G3518,""[^[:digit:]]"", """"))"),672.0)</f>
        <v>672</v>
      </c>
      <c r="AG3518" s="7"/>
      <c r="AH3518" s="7"/>
      <c r="AI3518" s="7"/>
      <c r="AJ3518" s="7"/>
      <c r="AK3518" s="7"/>
      <c r="AL3518" s="7"/>
      <c r="AM3518" s="7"/>
      <c r="AN3518" s="7"/>
      <c r="AO3518" s="7"/>
      <c r="AP3518" s="7"/>
      <c r="AQ3518" s="7"/>
      <c r="AR3518" s="7"/>
      <c r="AS3518" s="7" t="s">
        <v>22</v>
      </c>
    </row>
    <row r="3519">
      <c r="A3519" s="7" t="s">
        <v>72</v>
      </c>
      <c r="B3519" s="7" t="s">
        <v>18</v>
      </c>
      <c r="C3519" s="7">
        <f>4</f>
        <v>4</v>
      </c>
      <c r="D3519" s="7">
        <v>3.0</v>
      </c>
      <c r="E3519" s="7">
        <v>2.0</v>
      </c>
      <c r="F3519" s="7" t="s">
        <v>83</v>
      </c>
      <c r="G3519" s="7" t="s">
        <v>1690</v>
      </c>
      <c r="H3519" s="9" t="s">
        <v>2979</v>
      </c>
      <c r="I3519" t="s">
        <v>3860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  <c r="AA3519" s="7"/>
      <c r="AB3519" s="7"/>
      <c r="AC3519" s="7"/>
      <c r="AD3519" s="7" t="str">
        <f t="shared" si="1"/>
        <v>Built-up :</v>
      </c>
      <c r="AE3519" s="7" t="str">
        <f t="shared" si="2"/>
        <v> sq. ft.</v>
      </c>
      <c r="AF3519">
        <f>IFERROR(__xludf.DUMMYFUNCTION("VALUE(REGEXREPLACE(G3519,""[^[:digit:]]"", """"))"),1605.0)</f>
        <v>1605</v>
      </c>
      <c r="AG3519" s="7"/>
      <c r="AH3519" s="7"/>
      <c r="AI3519" s="7"/>
      <c r="AJ3519" s="7"/>
      <c r="AK3519" s="7"/>
      <c r="AL3519" s="7"/>
      <c r="AM3519" s="7"/>
      <c r="AN3519" s="7"/>
      <c r="AO3519" s="7"/>
      <c r="AP3519" s="7"/>
      <c r="AQ3519" s="7"/>
      <c r="AR3519" s="7"/>
      <c r="AS3519" s="7" t="s">
        <v>22</v>
      </c>
    </row>
    <row r="3520">
      <c r="A3520" s="7" t="s">
        <v>72</v>
      </c>
      <c r="B3520" s="7" t="s">
        <v>403</v>
      </c>
      <c r="C3520" s="7">
        <f>3+1</f>
        <v>4</v>
      </c>
      <c r="D3520" s="7">
        <v>4.0</v>
      </c>
      <c r="E3520" s="7">
        <v>2.0</v>
      </c>
      <c r="F3520" s="7" t="s">
        <v>83</v>
      </c>
      <c r="G3520" s="7" t="s">
        <v>1691</v>
      </c>
      <c r="H3520" s="9" t="s">
        <v>2979</v>
      </c>
      <c r="I3520" t="s">
        <v>3861</v>
      </c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  <c r="AA3520" s="7"/>
      <c r="AB3520" s="7"/>
      <c r="AC3520" s="7"/>
      <c r="AD3520" s="7" t="str">
        <f t="shared" si="1"/>
        <v>Built-up :</v>
      </c>
      <c r="AE3520" s="7" t="str">
        <f t="shared" si="2"/>
        <v> sq. ft.</v>
      </c>
      <c r="AF3520">
        <f>IFERROR(__xludf.DUMMYFUNCTION("VALUE(REGEXREPLACE(G3520,""[^[:digit:]]"", """"))"),2002.0)</f>
        <v>2002</v>
      </c>
      <c r="AG3520" s="7"/>
      <c r="AH3520" s="7"/>
      <c r="AI3520" s="7"/>
      <c r="AJ3520" s="7"/>
      <c r="AK3520" s="7"/>
      <c r="AL3520" s="7"/>
      <c r="AM3520" s="7"/>
      <c r="AN3520" s="7"/>
      <c r="AO3520" s="7"/>
      <c r="AP3520" s="7"/>
      <c r="AQ3520" s="7"/>
      <c r="AR3520" s="7"/>
      <c r="AS3520" s="7" t="s">
        <v>27</v>
      </c>
    </row>
    <row r="3521">
      <c r="A3521" s="7" t="s">
        <v>72</v>
      </c>
      <c r="B3521" s="7" t="s">
        <v>956</v>
      </c>
      <c r="C3521" s="7">
        <f>3</f>
        <v>3</v>
      </c>
      <c r="D3521" s="7">
        <v>2.0</v>
      </c>
      <c r="E3521" s="7">
        <v>1.0</v>
      </c>
      <c r="F3521" s="7" t="s">
        <v>83</v>
      </c>
      <c r="G3521" s="7" t="s">
        <v>2065</v>
      </c>
      <c r="H3521" s="9" t="s">
        <v>2979</v>
      </c>
      <c r="I3521" t="s">
        <v>4089</v>
      </c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7" t="str">
        <f t="shared" si="1"/>
        <v>Built-up :</v>
      </c>
      <c r="AE3521" s="7" t="str">
        <f t="shared" si="2"/>
        <v> sq. ft.</v>
      </c>
      <c r="AF3521">
        <f>IFERROR(__xludf.DUMMYFUNCTION("VALUE(REGEXREPLACE(G3521,""[^[:digit:]]"", """"))"),1268.0)</f>
        <v>1268</v>
      </c>
      <c r="AG3521" s="7"/>
      <c r="AH3521" s="7"/>
      <c r="AI3521" s="7"/>
      <c r="AJ3521" s="7"/>
      <c r="AK3521" s="7"/>
      <c r="AL3521" s="7"/>
      <c r="AM3521" s="7"/>
      <c r="AN3521" s="7"/>
      <c r="AO3521" s="7"/>
      <c r="AP3521" s="7"/>
      <c r="AQ3521" s="7"/>
      <c r="AR3521" s="7"/>
      <c r="AS3521" s="7" t="s">
        <v>22</v>
      </c>
    </row>
    <row r="3522">
      <c r="A3522" s="7" t="s">
        <v>72</v>
      </c>
      <c r="B3522" s="7" t="s">
        <v>327</v>
      </c>
      <c r="C3522" s="7">
        <f>3+1</f>
        <v>4</v>
      </c>
      <c r="D3522" s="7">
        <v>3.0</v>
      </c>
      <c r="E3522" s="7">
        <v>2.0</v>
      </c>
      <c r="F3522" s="7" t="s">
        <v>83</v>
      </c>
      <c r="G3522" s="7" t="s">
        <v>1034</v>
      </c>
      <c r="H3522" s="9" t="s">
        <v>2979</v>
      </c>
      <c r="I3522" t="s">
        <v>3468</v>
      </c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7" t="str">
        <f t="shared" si="1"/>
        <v>Built-up :</v>
      </c>
      <c r="AE3522" s="7" t="str">
        <f t="shared" si="2"/>
        <v> sq. ft.</v>
      </c>
      <c r="AF3522">
        <f>IFERROR(__xludf.DUMMYFUNCTION("VALUE(REGEXREPLACE(G3522,""[^[:digit:]]"", """"))"),1448.0)</f>
        <v>1448</v>
      </c>
      <c r="AG3522" s="7"/>
      <c r="AH3522" s="7"/>
      <c r="AI3522" s="7"/>
      <c r="AJ3522" s="7"/>
      <c r="AK3522" s="7"/>
      <c r="AL3522" s="7"/>
      <c r="AM3522" s="7"/>
      <c r="AN3522" s="7"/>
      <c r="AO3522" s="7"/>
      <c r="AP3522" s="7"/>
      <c r="AQ3522" s="7"/>
      <c r="AR3522" s="7"/>
      <c r="AS3522" s="7" t="s">
        <v>22</v>
      </c>
    </row>
    <row r="3523">
      <c r="A3523" s="7" t="s">
        <v>72</v>
      </c>
      <c r="B3523" s="7" t="s">
        <v>144</v>
      </c>
      <c r="C3523" s="7">
        <f>4</f>
        <v>4</v>
      </c>
      <c r="D3523" s="7">
        <v>5.0</v>
      </c>
      <c r="E3523" s="7">
        <v>2.0</v>
      </c>
      <c r="F3523" s="7" t="s">
        <v>83</v>
      </c>
      <c r="G3523" s="7" t="s">
        <v>2193</v>
      </c>
      <c r="H3523" s="9" t="s">
        <v>2979</v>
      </c>
      <c r="I3523" t="s">
        <v>4172</v>
      </c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7" t="str">
        <f t="shared" si="1"/>
        <v>Built-up :</v>
      </c>
      <c r="AE3523" s="7" t="str">
        <f t="shared" si="2"/>
        <v> sq. ft.</v>
      </c>
      <c r="AF3523">
        <f>IFERROR(__xludf.DUMMYFUNCTION("VALUE(REGEXREPLACE(G3523,""[^[:digit:]]"", """"))"),2055.0)</f>
        <v>2055</v>
      </c>
      <c r="AG3523" s="7"/>
      <c r="AH3523" s="7"/>
      <c r="AI3523" s="7"/>
      <c r="AJ3523" s="7"/>
      <c r="AK3523" s="7"/>
      <c r="AL3523" s="7"/>
      <c r="AM3523" s="7"/>
      <c r="AN3523" s="7"/>
      <c r="AO3523" s="7"/>
      <c r="AP3523" s="7"/>
      <c r="AQ3523" s="7"/>
      <c r="AR3523" s="7"/>
      <c r="AS3523" s="7" t="s">
        <v>22</v>
      </c>
    </row>
    <row r="3524">
      <c r="A3524" s="7" t="s">
        <v>72</v>
      </c>
      <c r="B3524" s="7" t="s">
        <v>658</v>
      </c>
      <c r="C3524" s="7">
        <f>4+1</f>
        <v>5</v>
      </c>
      <c r="D3524" s="7">
        <v>4.0</v>
      </c>
      <c r="E3524" s="7">
        <v>3.0</v>
      </c>
      <c r="F3524" s="7" t="s">
        <v>83</v>
      </c>
      <c r="G3524" s="7" t="s">
        <v>176</v>
      </c>
      <c r="H3524" s="9" t="s">
        <v>2979</v>
      </c>
      <c r="I3524" t="s">
        <v>3039</v>
      </c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7" t="str">
        <f t="shared" si="1"/>
        <v>Built-up :</v>
      </c>
      <c r="AE3524" s="7" t="str">
        <f t="shared" si="2"/>
        <v> sq. ft.</v>
      </c>
      <c r="AF3524">
        <f>IFERROR(__xludf.DUMMYFUNCTION("VALUE(REGEXREPLACE(G3524,""[^[:digit:]]"", """"))"),3000.0)</f>
        <v>3000</v>
      </c>
      <c r="AG3524" s="7"/>
      <c r="AH3524" s="7"/>
      <c r="AI3524" s="7"/>
      <c r="AJ3524" s="7"/>
      <c r="AK3524" s="7"/>
      <c r="AL3524" s="7"/>
      <c r="AM3524" s="7"/>
      <c r="AN3524" s="7"/>
      <c r="AO3524" s="7"/>
      <c r="AP3524" s="7"/>
      <c r="AQ3524" s="7"/>
      <c r="AR3524" s="7"/>
      <c r="AS3524" s="7" t="s">
        <v>27</v>
      </c>
    </row>
    <row r="3525">
      <c r="A3525" s="7" t="s">
        <v>104</v>
      </c>
      <c r="B3525" s="7" t="s">
        <v>1140</v>
      </c>
      <c r="C3525" s="7">
        <f>3</f>
        <v>3</v>
      </c>
      <c r="D3525" s="7">
        <v>2.0</v>
      </c>
      <c r="E3525" s="7">
        <v>1.0</v>
      </c>
      <c r="F3525" s="7" t="s">
        <v>354</v>
      </c>
      <c r="G3525" s="7" t="s">
        <v>1635</v>
      </c>
      <c r="H3525" s="9" t="s">
        <v>2979</v>
      </c>
      <c r="I3525" t="s">
        <v>3827</v>
      </c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  <c r="AA3525" s="7"/>
      <c r="AB3525" s="7"/>
      <c r="AC3525" s="7"/>
      <c r="AD3525" s="7" t="str">
        <f t="shared" si="1"/>
        <v>Built-up :</v>
      </c>
      <c r="AE3525" s="7" t="str">
        <f t="shared" si="2"/>
        <v> sq. ft.</v>
      </c>
      <c r="AF3525">
        <f>IFERROR(__xludf.DUMMYFUNCTION("VALUE(REGEXREPLACE(G3525,""[^[:digit:]]"", """"))"),1010.0)</f>
        <v>1010</v>
      </c>
      <c r="AG3525" s="7"/>
      <c r="AH3525" s="7"/>
      <c r="AI3525" s="7"/>
      <c r="AJ3525" s="7"/>
      <c r="AK3525" s="7"/>
      <c r="AL3525" s="7"/>
      <c r="AM3525" s="7"/>
      <c r="AN3525" s="7"/>
      <c r="AO3525" s="7"/>
      <c r="AP3525" s="7"/>
      <c r="AQ3525" s="7"/>
      <c r="AR3525" s="7"/>
    </row>
    <row r="3526">
      <c r="A3526" s="7" t="s">
        <v>89</v>
      </c>
      <c r="B3526" s="7" t="s">
        <v>329</v>
      </c>
      <c r="C3526" s="7">
        <f>5</f>
        <v>5</v>
      </c>
      <c r="D3526" s="7">
        <v>4.0</v>
      </c>
      <c r="E3526" s="7">
        <v>3.0</v>
      </c>
      <c r="F3526" s="7" t="s">
        <v>90</v>
      </c>
      <c r="G3526" s="7" t="s">
        <v>129</v>
      </c>
      <c r="H3526" s="9" t="s">
        <v>2981</v>
      </c>
      <c r="I3526" t="s">
        <v>3020</v>
      </c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  <c r="AA3526" s="7"/>
      <c r="AB3526" s="7"/>
      <c r="AC3526" s="7"/>
      <c r="AD3526" s="7" t="str">
        <f t="shared" si="1"/>
        <v>Land area </v>
      </c>
      <c r="AE3526" s="7" t="str">
        <f t="shared" si="2"/>
        <v> sq. ft.</v>
      </c>
      <c r="AF3526" s="7">
        <v>1600.0</v>
      </c>
      <c r="AG3526" s="7"/>
      <c r="AH3526" s="7"/>
      <c r="AI3526" s="7"/>
      <c r="AJ3526" s="7"/>
      <c r="AK3526" s="7"/>
      <c r="AL3526" s="7"/>
      <c r="AM3526" s="7"/>
      <c r="AN3526" s="7"/>
      <c r="AO3526" s="7"/>
      <c r="AP3526" s="7"/>
      <c r="AQ3526" s="7"/>
      <c r="AR3526" s="7"/>
      <c r="AS3526" s="7" t="s">
        <v>22</v>
      </c>
    </row>
    <row r="3527">
      <c r="A3527" s="7" t="s">
        <v>72</v>
      </c>
      <c r="B3527" s="7" t="s">
        <v>2359</v>
      </c>
      <c r="C3527" s="7">
        <f>1</f>
        <v>1</v>
      </c>
      <c r="D3527" s="7">
        <v>1.0</v>
      </c>
      <c r="E3527" s="7">
        <v>1.0</v>
      </c>
      <c r="F3527" s="7" t="s">
        <v>20</v>
      </c>
      <c r="G3527" s="7" t="s">
        <v>2360</v>
      </c>
      <c r="H3527" s="9" t="s">
        <v>2979</v>
      </c>
      <c r="I3527" t="s">
        <v>4274</v>
      </c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7" t="str">
        <f t="shared" si="1"/>
        <v>Built-up :</v>
      </c>
      <c r="AE3527" s="7" t="str">
        <f t="shared" si="2"/>
        <v> sq. ft.</v>
      </c>
      <c r="AF3527">
        <f>IFERROR(__xludf.DUMMYFUNCTION("VALUE(REGEXREPLACE(G3527,""[^[:digit:]]"", """"))"),696.0)</f>
        <v>696</v>
      </c>
      <c r="AG3527" s="7"/>
      <c r="AH3527" s="7"/>
      <c r="AI3527" s="7"/>
      <c r="AJ3527" s="7"/>
      <c r="AK3527" s="7"/>
      <c r="AL3527" s="7"/>
      <c r="AM3527" s="7"/>
      <c r="AN3527" s="7"/>
      <c r="AO3527" s="7"/>
      <c r="AP3527" s="7"/>
      <c r="AQ3527" s="7"/>
      <c r="AR3527" s="7"/>
      <c r="AS3527" s="7" t="s">
        <v>27</v>
      </c>
    </row>
    <row r="3528">
      <c r="A3528" s="7" t="s">
        <v>171</v>
      </c>
      <c r="B3528" s="7" t="s">
        <v>1328</v>
      </c>
      <c r="C3528" s="7">
        <f>4</f>
        <v>4</v>
      </c>
      <c r="D3528" s="7">
        <v>3.0</v>
      </c>
      <c r="E3528" s="7">
        <v>2.0</v>
      </c>
      <c r="F3528" s="7" t="s">
        <v>184</v>
      </c>
      <c r="G3528" s="7" t="s">
        <v>2361</v>
      </c>
      <c r="H3528" s="9" t="s">
        <v>2981</v>
      </c>
      <c r="I3528" t="s">
        <v>4275</v>
      </c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7" t="str">
        <f t="shared" si="1"/>
        <v>Land area </v>
      </c>
      <c r="AE3528" s="7" t="str">
        <f t="shared" si="2"/>
        <v> sq. ft.</v>
      </c>
      <c r="AF3528">
        <f>IFERROR(__xludf.DUMMYFUNCTION("VALUE(REGEXREPLACE(G3528,""[^[:digit:]]"", """"))"),1790.0)</f>
        <v>1790</v>
      </c>
      <c r="AG3528" s="7"/>
      <c r="AH3528" s="7"/>
      <c r="AI3528" s="7"/>
      <c r="AJ3528" s="7"/>
      <c r="AK3528" s="7"/>
      <c r="AL3528" s="7"/>
      <c r="AM3528" s="7"/>
      <c r="AN3528" s="7"/>
      <c r="AO3528" s="7"/>
      <c r="AP3528" s="7"/>
      <c r="AQ3528" s="7"/>
      <c r="AR3528" s="7"/>
      <c r="AS3528" s="7" t="s">
        <v>27</v>
      </c>
    </row>
    <row r="3529">
      <c r="A3529" s="7" t="s">
        <v>241</v>
      </c>
      <c r="B3529" s="7" t="s">
        <v>245</v>
      </c>
      <c r="C3529" s="7">
        <f>5+1</f>
        <v>6</v>
      </c>
      <c r="D3529" s="7">
        <v>5.0</v>
      </c>
      <c r="E3529" s="7">
        <v>2.0</v>
      </c>
      <c r="F3529" s="7" t="s">
        <v>83</v>
      </c>
      <c r="G3529" s="7" t="s">
        <v>117</v>
      </c>
      <c r="H3529" s="9" t="s">
        <v>2979</v>
      </c>
      <c r="I3529" t="s">
        <v>3014</v>
      </c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7" t="str">
        <f t="shared" si="1"/>
        <v>Built-up :</v>
      </c>
      <c r="AE3529" s="7" t="str">
        <f t="shared" si="2"/>
        <v> sq. ft.</v>
      </c>
      <c r="AF3529">
        <f>IFERROR(__xludf.DUMMYFUNCTION("VALUE(REGEXREPLACE(G3529,""[^[:digit:]]"", """"))"),2378.0)</f>
        <v>2378</v>
      </c>
      <c r="AG3529" s="7"/>
      <c r="AH3529" s="7"/>
      <c r="AI3529" s="7"/>
      <c r="AJ3529" s="7"/>
      <c r="AK3529" s="7"/>
      <c r="AL3529" s="7"/>
      <c r="AM3529" s="7"/>
      <c r="AN3529" s="7"/>
      <c r="AO3529" s="7"/>
      <c r="AP3529" s="7"/>
      <c r="AQ3529" s="7"/>
      <c r="AR3529" s="7"/>
      <c r="AS3529" s="7" t="s">
        <v>103</v>
      </c>
    </row>
    <row r="3530">
      <c r="A3530" s="7" t="s">
        <v>177</v>
      </c>
      <c r="B3530" s="7" t="s">
        <v>45</v>
      </c>
      <c r="C3530" s="7">
        <f>4+1</f>
        <v>5</v>
      </c>
      <c r="D3530" s="7">
        <v>4.0</v>
      </c>
      <c r="E3530" s="9">
        <v>2.0</v>
      </c>
      <c r="F3530" s="7" t="s">
        <v>83</v>
      </c>
      <c r="G3530" s="7" t="s">
        <v>2362</v>
      </c>
      <c r="H3530" s="9" t="s">
        <v>2979</v>
      </c>
      <c r="I3530" t="s">
        <v>4276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7" t="str">
        <f t="shared" si="1"/>
        <v>Built-up :</v>
      </c>
      <c r="AE3530" s="7" t="str">
        <f t="shared" si="2"/>
        <v> sq. ft.</v>
      </c>
      <c r="AF3530">
        <f>IFERROR(__xludf.DUMMYFUNCTION("VALUE(REGEXREPLACE(G3530,""[^[:digit:]]"", """"))"),2928.0)</f>
        <v>2928</v>
      </c>
      <c r="AG3530" s="7"/>
      <c r="AH3530" s="7"/>
      <c r="AI3530" s="7"/>
      <c r="AJ3530" s="7"/>
      <c r="AK3530" s="7"/>
      <c r="AL3530" s="7"/>
      <c r="AM3530" s="7"/>
      <c r="AN3530" s="7"/>
      <c r="AO3530" s="7"/>
      <c r="AP3530" s="7"/>
      <c r="AQ3530" s="7"/>
      <c r="AR3530" s="7"/>
    </row>
    <row r="3531">
      <c r="A3531" s="7" t="s">
        <v>33</v>
      </c>
      <c r="B3531" s="7" t="s">
        <v>2363</v>
      </c>
      <c r="C3531" s="7">
        <f>3</f>
        <v>3</v>
      </c>
      <c r="D3531" s="7">
        <v>2.0</v>
      </c>
      <c r="E3531" s="7">
        <v>1.0</v>
      </c>
      <c r="F3531" s="7" t="s">
        <v>2364</v>
      </c>
      <c r="G3531" s="7" t="s">
        <v>1548</v>
      </c>
      <c r="H3531" s="9" t="s">
        <v>2979</v>
      </c>
      <c r="I3531" t="s">
        <v>3772</v>
      </c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  <c r="AA3531" s="7"/>
      <c r="AB3531" s="7"/>
      <c r="AC3531" s="7"/>
      <c r="AD3531" s="7" t="str">
        <f t="shared" si="1"/>
        <v>Built-up :</v>
      </c>
      <c r="AE3531" s="7" t="str">
        <f t="shared" si="2"/>
        <v> sq. ft.</v>
      </c>
      <c r="AF3531">
        <f>IFERROR(__xludf.DUMMYFUNCTION("VALUE(REGEXREPLACE(G3531,""[^[:digit:]]"", """"))"),952.0)</f>
        <v>952</v>
      </c>
      <c r="AG3531" s="7"/>
      <c r="AH3531" s="7"/>
      <c r="AI3531" s="7"/>
      <c r="AJ3531" s="7"/>
      <c r="AK3531" s="7"/>
      <c r="AL3531" s="7"/>
      <c r="AM3531" s="7"/>
      <c r="AN3531" s="7"/>
      <c r="AO3531" s="7"/>
      <c r="AP3531" s="7"/>
      <c r="AQ3531" s="7"/>
      <c r="AR3531" s="7"/>
      <c r="AS3531" s="7" t="s">
        <v>22</v>
      </c>
    </row>
    <row r="3532">
      <c r="A3532" s="7" t="s">
        <v>32</v>
      </c>
      <c r="B3532" s="7" t="s">
        <v>191</v>
      </c>
      <c r="C3532" s="7">
        <f>2</f>
        <v>2</v>
      </c>
      <c r="D3532" s="7">
        <v>2.0</v>
      </c>
      <c r="E3532" s="7">
        <v>1.0</v>
      </c>
      <c r="F3532" s="7" t="s">
        <v>20</v>
      </c>
      <c r="G3532" s="7" t="s">
        <v>1694</v>
      </c>
      <c r="H3532" s="9" t="s">
        <v>2979</v>
      </c>
      <c r="I3532" t="s">
        <v>3864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  <c r="AA3532" s="7"/>
      <c r="AB3532" s="7"/>
      <c r="AC3532" s="7"/>
      <c r="AD3532" s="7" t="str">
        <f t="shared" si="1"/>
        <v>Built-up :</v>
      </c>
      <c r="AE3532" s="7" t="str">
        <f t="shared" si="2"/>
        <v> sq. ft.</v>
      </c>
      <c r="AF3532">
        <f>IFERROR(__xludf.DUMMYFUNCTION("VALUE(REGEXREPLACE(G3532,""[^[:digit:]]"", """"))"),936.0)</f>
        <v>936</v>
      </c>
      <c r="AG3532" s="7"/>
      <c r="AH3532" s="7"/>
      <c r="AI3532" s="7"/>
      <c r="AJ3532" s="7"/>
      <c r="AK3532" s="7"/>
      <c r="AL3532" s="7"/>
      <c r="AM3532" s="7"/>
      <c r="AN3532" s="7"/>
      <c r="AO3532" s="7"/>
      <c r="AP3532" s="7"/>
      <c r="AQ3532" s="7"/>
      <c r="AR3532" s="7"/>
    </row>
    <row r="3533">
      <c r="A3533" s="7" t="s">
        <v>48</v>
      </c>
      <c r="B3533" s="7" t="s">
        <v>329</v>
      </c>
      <c r="C3533" s="7">
        <f>5</f>
        <v>5</v>
      </c>
      <c r="D3533" s="7">
        <v>4.0</v>
      </c>
      <c r="E3533" s="9">
        <v>2.0</v>
      </c>
      <c r="F3533" s="7" t="s">
        <v>681</v>
      </c>
      <c r="G3533" s="7" t="s">
        <v>211</v>
      </c>
      <c r="H3533" s="9" t="s">
        <v>2981</v>
      </c>
      <c r="I3533" t="s">
        <v>2992</v>
      </c>
      <c r="J3533" s="7"/>
      <c r="K3533" s="7"/>
      <c r="L3533" s="7"/>
      <c r="M3533" s="7"/>
      <c r="N3533" s="7"/>
      <c r="O3533" s="7"/>
      <c r="P3533" s="7"/>
      <c r="Q3533" s="7"/>
      <c r="R3533" s="7"/>
      <c r="S3533" s="7" t="s">
        <v>2993</v>
      </c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7" t="str">
        <f t="shared" si="1"/>
        <v>Land area </v>
      </c>
      <c r="AE3533" s="7" t="str">
        <f t="shared" si="2"/>
        <v> sq. ft.</v>
      </c>
      <c r="AF3533">
        <f>IFERROR(__xludf.DUMMYFUNCTION("VALUE(REGEXREPLACE(G3533,""[^[:digit:]]"", """"))"),2280.0)</f>
        <v>2280</v>
      </c>
      <c r="AG3533" s="7"/>
      <c r="AH3533" s="7"/>
      <c r="AI3533" s="7"/>
      <c r="AJ3533" s="7"/>
      <c r="AK3533" s="7"/>
      <c r="AL3533" s="7"/>
      <c r="AM3533" s="7"/>
      <c r="AN3533" s="7"/>
      <c r="AO3533" s="7"/>
      <c r="AP3533" s="7"/>
      <c r="AQ3533" s="7"/>
      <c r="AR3533" s="7"/>
      <c r="AS3533" s="7" t="s">
        <v>27</v>
      </c>
    </row>
    <row r="3534">
      <c r="A3534" s="7" t="s">
        <v>48</v>
      </c>
      <c r="B3534" s="7" t="s">
        <v>599</v>
      </c>
      <c r="C3534" s="7">
        <f t="shared" ref="C3534:C3535" si="478">4</f>
        <v>4</v>
      </c>
      <c r="D3534" s="7">
        <v>3.0</v>
      </c>
      <c r="E3534" s="9">
        <v>2.0</v>
      </c>
      <c r="F3534" s="7" t="s">
        <v>169</v>
      </c>
      <c r="G3534" s="7" t="s">
        <v>911</v>
      </c>
      <c r="H3534" s="9" t="s">
        <v>2981</v>
      </c>
      <c r="I3534" t="s">
        <v>3300</v>
      </c>
      <c r="J3534" s="7"/>
      <c r="K3534" s="7"/>
      <c r="L3534" s="7"/>
      <c r="M3534" s="7"/>
      <c r="N3534" s="7"/>
      <c r="O3534" s="7"/>
      <c r="P3534" s="7"/>
      <c r="Q3534" s="7"/>
      <c r="R3534" s="7"/>
      <c r="S3534" s="7" t="s">
        <v>3382</v>
      </c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7" t="str">
        <f t="shared" si="1"/>
        <v>Land area </v>
      </c>
      <c r="AE3534" s="7" t="str">
        <f t="shared" si="2"/>
        <v> sq. ft.</v>
      </c>
      <c r="AF3534">
        <f>IFERROR(__xludf.DUMMYFUNCTION("VALUE(REGEXREPLACE(G3534,""[^[:digit:]]"", """"))"),22100.0)</f>
        <v>22100</v>
      </c>
      <c r="AG3534" s="7"/>
      <c r="AH3534" s="7"/>
      <c r="AI3534" s="7"/>
      <c r="AJ3534" s="7"/>
      <c r="AK3534" s="7"/>
      <c r="AL3534" s="7"/>
      <c r="AM3534" s="7"/>
      <c r="AN3534" s="7"/>
      <c r="AO3534" s="7"/>
      <c r="AP3534" s="7"/>
      <c r="AQ3534" s="7"/>
      <c r="AR3534" s="7"/>
      <c r="AS3534" s="7" t="s">
        <v>22</v>
      </c>
    </row>
    <row r="3535">
      <c r="A3535" s="7" t="s">
        <v>104</v>
      </c>
      <c r="B3535" s="7" t="s">
        <v>168</v>
      </c>
      <c r="C3535" s="7">
        <f t="shared" si="478"/>
        <v>4</v>
      </c>
      <c r="D3535" s="7">
        <v>3.0</v>
      </c>
      <c r="E3535" s="7">
        <v>3.0</v>
      </c>
      <c r="F3535" s="7" t="s">
        <v>169</v>
      </c>
      <c r="G3535" s="7" t="s">
        <v>1632</v>
      </c>
      <c r="H3535" s="9" t="s">
        <v>2981</v>
      </c>
      <c r="I3535" t="s">
        <v>3518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 t="s">
        <v>3121</v>
      </c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7" t="str">
        <f t="shared" si="1"/>
        <v>Land area </v>
      </c>
      <c r="AE3535" s="7" t="str">
        <f t="shared" si="2"/>
        <v> sq. ft.</v>
      </c>
      <c r="AF3535">
        <f>22*70</f>
        <v>1540</v>
      </c>
      <c r="AG3535" s="7"/>
      <c r="AH3535" s="7"/>
      <c r="AI3535" s="7"/>
      <c r="AJ3535" s="7"/>
      <c r="AK3535" s="7"/>
      <c r="AL3535" s="7"/>
      <c r="AM3535" s="7"/>
      <c r="AN3535" s="7"/>
      <c r="AO3535" s="7"/>
      <c r="AP3535" s="7"/>
      <c r="AQ3535" s="7"/>
      <c r="AR3535" s="7"/>
      <c r="AS3535" s="7" t="s">
        <v>103</v>
      </c>
    </row>
    <row r="3536">
      <c r="A3536" s="7" t="s">
        <v>72</v>
      </c>
      <c r="B3536" s="7" t="s">
        <v>1248</v>
      </c>
      <c r="C3536" s="7">
        <f>5+1</f>
        <v>6</v>
      </c>
      <c r="D3536" s="7">
        <v>5.0</v>
      </c>
      <c r="E3536" s="7">
        <v>3.0</v>
      </c>
      <c r="F3536" s="7" t="s">
        <v>83</v>
      </c>
      <c r="G3536" s="7" t="s">
        <v>406</v>
      </c>
      <c r="H3536" s="9" t="s">
        <v>2979</v>
      </c>
      <c r="I3536" t="s">
        <v>3148</v>
      </c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7" t="str">
        <f t="shared" si="1"/>
        <v>Built-up :</v>
      </c>
      <c r="AE3536" s="7" t="str">
        <f t="shared" si="2"/>
        <v> sq. ft.</v>
      </c>
      <c r="AF3536">
        <f>IFERROR(__xludf.DUMMYFUNCTION("VALUE(REGEXREPLACE(G3536,""[^[:digit:]]"", """"))"),2069.0)</f>
        <v>2069</v>
      </c>
      <c r="AG3536" s="7"/>
      <c r="AH3536" s="7"/>
      <c r="AI3536" s="7"/>
      <c r="AJ3536" s="7"/>
      <c r="AK3536" s="7"/>
      <c r="AL3536" s="7"/>
      <c r="AM3536" s="7"/>
      <c r="AN3536" s="7"/>
      <c r="AO3536" s="7"/>
      <c r="AP3536" s="7"/>
      <c r="AQ3536" s="7"/>
      <c r="AR3536" s="7"/>
      <c r="AS3536" s="7" t="s">
        <v>27</v>
      </c>
    </row>
    <row r="3537">
      <c r="A3537" s="7" t="s">
        <v>72</v>
      </c>
      <c r="B3537" s="7" t="s">
        <v>329</v>
      </c>
      <c r="C3537" s="7">
        <f>4</f>
        <v>4</v>
      </c>
      <c r="D3537" s="7">
        <v>4.0</v>
      </c>
      <c r="E3537" s="7">
        <v>2.0</v>
      </c>
      <c r="F3537" s="7" t="s">
        <v>83</v>
      </c>
      <c r="G3537" s="7" t="s">
        <v>1442</v>
      </c>
      <c r="H3537" s="9" t="s">
        <v>2979</v>
      </c>
      <c r="I3537" t="s">
        <v>3716</v>
      </c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  <c r="AA3537" s="7"/>
      <c r="AB3537" s="7"/>
      <c r="AC3537" s="7"/>
      <c r="AD3537" s="7" t="str">
        <f t="shared" si="1"/>
        <v>Built-up :</v>
      </c>
      <c r="AE3537" s="7" t="str">
        <f t="shared" si="2"/>
        <v> sq. ft.</v>
      </c>
      <c r="AF3537">
        <f>IFERROR(__xludf.DUMMYFUNCTION("VALUE(REGEXREPLACE(G3537,""[^[:digit:]]"", """"))"),2208.0)</f>
        <v>2208</v>
      </c>
      <c r="AG3537" s="7"/>
      <c r="AH3537" s="7"/>
      <c r="AI3537" s="7"/>
      <c r="AJ3537" s="7"/>
      <c r="AK3537" s="7"/>
      <c r="AL3537" s="7"/>
      <c r="AM3537" s="7"/>
      <c r="AN3537" s="7"/>
      <c r="AO3537" s="7"/>
      <c r="AP3537" s="7"/>
      <c r="AQ3537" s="7"/>
      <c r="AR3537" s="7"/>
    </row>
    <row r="3538">
      <c r="A3538" s="7" t="s">
        <v>171</v>
      </c>
      <c r="B3538" s="7" t="s">
        <v>1426</v>
      </c>
      <c r="C3538" s="7">
        <f>3</f>
        <v>3</v>
      </c>
      <c r="D3538" s="7">
        <v>2.0</v>
      </c>
      <c r="E3538" s="7">
        <v>1.0</v>
      </c>
      <c r="F3538" s="7" t="s">
        <v>83</v>
      </c>
      <c r="G3538" s="7" t="s">
        <v>1449</v>
      </c>
      <c r="H3538" s="9" t="s">
        <v>2979</v>
      </c>
      <c r="I3538" t="s">
        <v>3721</v>
      </c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  <c r="AA3538" s="7"/>
      <c r="AB3538" s="7"/>
      <c r="AC3538" s="7"/>
      <c r="AD3538" s="7" t="str">
        <f t="shared" si="1"/>
        <v>Built-up :</v>
      </c>
      <c r="AE3538" s="7" t="str">
        <f t="shared" si="2"/>
        <v> sq. ft.</v>
      </c>
      <c r="AF3538">
        <f>IFERROR(__xludf.DUMMYFUNCTION("VALUE(REGEXREPLACE(G3538,""[^[:digit:]]"", """"))"),931.0)</f>
        <v>931</v>
      </c>
      <c r="AG3538" s="7"/>
      <c r="AH3538" s="7"/>
      <c r="AI3538" s="7"/>
      <c r="AJ3538" s="7"/>
      <c r="AK3538" s="7"/>
      <c r="AL3538" s="7"/>
      <c r="AM3538" s="7"/>
      <c r="AN3538" s="7"/>
      <c r="AO3538" s="7"/>
      <c r="AP3538" s="7"/>
      <c r="AQ3538" s="7"/>
      <c r="AR3538" s="7"/>
      <c r="AS3538" s="7" t="s">
        <v>103</v>
      </c>
    </row>
    <row r="3539">
      <c r="A3539" s="7" t="s">
        <v>171</v>
      </c>
      <c r="B3539" s="7" t="s">
        <v>268</v>
      </c>
      <c r="C3539" s="7">
        <f>4</f>
        <v>4</v>
      </c>
      <c r="D3539" s="7">
        <v>2.0</v>
      </c>
      <c r="E3539" s="7">
        <v>2.0</v>
      </c>
      <c r="F3539" s="7" t="s">
        <v>93</v>
      </c>
      <c r="G3539" s="7" t="s">
        <v>192</v>
      </c>
      <c r="H3539" s="9" t="s">
        <v>2979</v>
      </c>
      <c r="I3539" t="s">
        <v>3045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7" t="str">
        <f t="shared" si="1"/>
        <v>Built-up :</v>
      </c>
      <c r="AE3539" s="7" t="str">
        <f t="shared" si="2"/>
        <v> sq. ft.</v>
      </c>
      <c r="AF3539">
        <f>IFERROR(__xludf.DUMMYFUNCTION("VALUE(REGEXREPLACE(G3539,""[^[:digit:]]"", """"))"),1313.0)</f>
        <v>1313</v>
      </c>
      <c r="AG3539" s="7"/>
      <c r="AH3539" s="7"/>
      <c r="AI3539" s="7"/>
      <c r="AJ3539" s="7"/>
      <c r="AK3539" s="7"/>
      <c r="AL3539" s="7"/>
      <c r="AM3539" s="7"/>
      <c r="AN3539" s="7"/>
      <c r="AO3539" s="7"/>
      <c r="AP3539" s="7"/>
      <c r="AQ3539" s="7"/>
      <c r="AR3539" s="7"/>
      <c r="AS3539" s="7" t="s">
        <v>27</v>
      </c>
    </row>
    <row r="3540">
      <c r="A3540" s="7" t="s">
        <v>171</v>
      </c>
      <c r="B3540" s="7" t="s">
        <v>1448</v>
      </c>
      <c r="C3540" s="7">
        <f t="shared" ref="C3540:C3541" si="479">3</f>
        <v>3</v>
      </c>
      <c r="D3540" s="7">
        <v>2.0</v>
      </c>
      <c r="E3540" s="7">
        <v>1.0</v>
      </c>
      <c r="F3540" s="7" t="s">
        <v>83</v>
      </c>
      <c r="G3540" s="7" t="s">
        <v>2319</v>
      </c>
      <c r="H3540" s="9" t="s">
        <v>2979</v>
      </c>
      <c r="I3540" t="s">
        <v>4247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7" t="str">
        <f t="shared" si="1"/>
        <v>Built-up :</v>
      </c>
      <c r="AE3540" s="7" t="str">
        <f t="shared" si="2"/>
        <v> sq. ft.</v>
      </c>
      <c r="AF3540">
        <f>IFERROR(__xludf.DUMMYFUNCTION("VALUE(REGEXREPLACE(G3540,""[^[:digit:]]"", """"))"),845.0)</f>
        <v>845</v>
      </c>
      <c r="AG3540" s="7"/>
      <c r="AH3540" s="7"/>
      <c r="AI3540" s="7"/>
      <c r="AJ3540" s="7"/>
      <c r="AK3540" s="7"/>
      <c r="AL3540" s="7"/>
      <c r="AM3540" s="7"/>
      <c r="AN3540" s="7"/>
      <c r="AO3540" s="7"/>
      <c r="AP3540" s="7"/>
      <c r="AQ3540" s="7"/>
      <c r="AR3540" s="7"/>
      <c r="AS3540" s="7" t="s">
        <v>27</v>
      </c>
    </row>
    <row r="3541">
      <c r="A3541" s="7" t="s">
        <v>171</v>
      </c>
      <c r="B3541" s="7" t="s">
        <v>2365</v>
      </c>
      <c r="C3541" s="7">
        <f t="shared" si="479"/>
        <v>3</v>
      </c>
      <c r="D3541" s="7">
        <v>1.0</v>
      </c>
      <c r="E3541" s="9">
        <v>2.0</v>
      </c>
      <c r="F3541" s="7" t="s">
        <v>354</v>
      </c>
      <c r="G3541" s="7" t="s">
        <v>1447</v>
      </c>
      <c r="H3541" s="9" t="s">
        <v>2979</v>
      </c>
      <c r="I3541" t="s">
        <v>3720</v>
      </c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7" t="str">
        <f t="shared" si="1"/>
        <v>Built-up :</v>
      </c>
      <c r="AE3541" s="7" t="str">
        <f t="shared" si="2"/>
        <v> sq. ft.</v>
      </c>
      <c r="AF3541">
        <f>IFERROR(__xludf.DUMMYFUNCTION("VALUE(REGEXREPLACE(G3541,""[^[:digit:]]"", """"))"),653.0)</f>
        <v>653</v>
      </c>
      <c r="AG3541" s="7"/>
      <c r="AH3541" s="7"/>
      <c r="AI3541" s="7"/>
      <c r="AJ3541" s="7"/>
      <c r="AK3541" s="7"/>
      <c r="AL3541" s="7"/>
      <c r="AM3541" s="7"/>
      <c r="AN3541" s="7"/>
      <c r="AO3541" s="7"/>
      <c r="AP3541" s="7"/>
      <c r="AQ3541" s="7"/>
      <c r="AR3541" s="7"/>
      <c r="AS3541" s="7" t="s">
        <v>27</v>
      </c>
    </row>
    <row r="3542">
      <c r="A3542" s="7" t="s">
        <v>171</v>
      </c>
      <c r="B3542" s="7" t="s">
        <v>245</v>
      </c>
      <c r="C3542" s="7">
        <f>4</f>
        <v>4</v>
      </c>
      <c r="D3542" s="7">
        <v>4.0</v>
      </c>
      <c r="E3542" s="7">
        <v>2.0</v>
      </c>
      <c r="F3542" s="7" t="s">
        <v>681</v>
      </c>
      <c r="G3542" s="7" t="s">
        <v>2366</v>
      </c>
      <c r="H3542" s="9" t="s">
        <v>2981</v>
      </c>
      <c r="I3542" t="s">
        <v>4277</v>
      </c>
      <c r="J3542" s="7"/>
      <c r="K3542" s="7"/>
      <c r="L3542" s="7"/>
      <c r="M3542" s="7"/>
      <c r="N3542" s="7"/>
      <c r="O3542" s="7"/>
      <c r="P3542" s="7"/>
      <c r="Q3542" s="7"/>
      <c r="R3542" s="7"/>
      <c r="S3542" s="7" t="s">
        <v>3372</v>
      </c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7" t="str">
        <f t="shared" si="1"/>
        <v>Land area </v>
      </c>
      <c r="AE3542" s="7" t="str">
        <f t="shared" si="2"/>
        <v> sq. ft.</v>
      </c>
      <c r="AF3542">
        <f>IFERROR(__xludf.DUMMYFUNCTION("VALUE(REGEXREPLACE(G3542,""[^[:digit:]]"", """"))"),2460.0)</f>
        <v>2460</v>
      </c>
      <c r="AG3542" s="7"/>
      <c r="AH3542" s="7"/>
      <c r="AI3542" s="7"/>
      <c r="AJ3542" s="7"/>
      <c r="AK3542" s="7"/>
      <c r="AL3542" s="7"/>
      <c r="AM3542" s="7"/>
      <c r="AN3542" s="7"/>
      <c r="AO3542" s="7"/>
      <c r="AP3542" s="7"/>
      <c r="AQ3542" s="7"/>
      <c r="AR3542" s="7"/>
      <c r="AS3542" s="7" t="s">
        <v>27</v>
      </c>
    </row>
    <row r="3543">
      <c r="A3543" s="7" t="s">
        <v>171</v>
      </c>
      <c r="B3543" s="7" t="s">
        <v>507</v>
      </c>
      <c r="C3543" s="7">
        <f>3</f>
        <v>3</v>
      </c>
      <c r="D3543" s="7">
        <v>2.0</v>
      </c>
      <c r="E3543" s="7">
        <v>1.0</v>
      </c>
      <c r="F3543" s="7" t="s">
        <v>54</v>
      </c>
      <c r="G3543" s="7" t="s">
        <v>106</v>
      </c>
      <c r="H3543" s="9" t="s">
        <v>2981</v>
      </c>
      <c r="I3543" t="s">
        <v>3008</v>
      </c>
      <c r="J3543" s="7"/>
      <c r="K3543" s="7"/>
      <c r="L3543" s="7"/>
      <c r="M3543" s="7"/>
      <c r="N3543" s="7"/>
      <c r="O3543" s="7"/>
      <c r="P3543" s="7"/>
      <c r="Q3543" s="7"/>
      <c r="R3543" s="7"/>
      <c r="S3543" s="7" t="s">
        <v>3009</v>
      </c>
      <c r="T3543" s="7"/>
      <c r="U3543" s="7"/>
      <c r="V3543" s="7"/>
      <c r="W3543" s="7"/>
      <c r="X3543" s="7"/>
      <c r="Y3543" s="7"/>
      <c r="Z3543" s="7"/>
      <c r="AA3543" s="7"/>
      <c r="AB3543" s="7"/>
      <c r="AC3543" s="7"/>
      <c r="AD3543" s="7" t="str">
        <f t="shared" si="1"/>
        <v>Land area </v>
      </c>
      <c r="AE3543" s="7" t="str">
        <f t="shared" si="2"/>
        <v> sq. ft.</v>
      </c>
      <c r="AF3543">
        <f>IFERROR(__xludf.DUMMYFUNCTION("VALUE(REGEXREPLACE(G3543,""[^[:digit:]]"", """"))"),1655.0)</f>
        <v>1655</v>
      </c>
      <c r="AG3543" s="7"/>
      <c r="AH3543" s="7"/>
      <c r="AI3543" s="7"/>
      <c r="AJ3543" s="7"/>
      <c r="AK3543" s="7"/>
      <c r="AL3543" s="7"/>
      <c r="AM3543" s="7"/>
      <c r="AN3543" s="7"/>
      <c r="AO3543" s="7"/>
      <c r="AP3543" s="7"/>
      <c r="AQ3543" s="7"/>
      <c r="AR3543" s="7"/>
      <c r="AS3543" s="7" t="s">
        <v>27</v>
      </c>
    </row>
    <row r="3544">
      <c r="A3544" s="7" t="s">
        <v>171</v>
      </c>
      <c r="B3544" s="7" t="s">
        <v>715</v>
      </c>
      <c r="C3544" s="7">
        <f t="shared" ref="C3544:C3545" si="480">4</f>
        <v>4</v>
      </c>
      <c r="D3544" s="7">
        <v>2.0</v>
      </c>
      <c r="E3544" s="7">
        <v>2.0</v>
      </c>
      <c r="F3544" s="7" t="s">
        <v>83</v>
      </c>
      <c r="G3544" s="7" t="s">
        <v>845</v>
      </c>
      <c r="H3544" s="9" t="s">
        <v>2979</v>
      </c>
      <c r="I3544" t="s">
        <v>3367</v>
      </c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  <c r="AA3544" s="7"/>
      <c r="AB3544" s="7"/>
      <c r="AC3544" s="7"/>
      <c r="AD3544" s="7" t="str">
        <f t="shared" si="1"/>
        <v>Built-up :</v>
      </c>
      <c r="AE3544" s="7" t="str">
        <f t="shared" si="2"/>
        <v> sq. ft.</v>
      </c>
      <c r="AF3544">
        <f>IFERROR(__xludf.DUMMYFUNCTION("VALUE(REGEXREPLACE(G3544,""[^[:digit:]]"", """"))"),1500.0)</f>
        <v>1500</v>
      </c>
      <c r="AG3544" s="7"/>
      <c r="AH3544" s="7"/>
      <c r="AI3544" s="7"/>
      <c r="AJ3544" s="7"/>
      <c r="AK3544" s="7"/>
      <c r="AL3544" s="7"/>
      <c r="AM3544" s="7"/>
      <c r="AN3544" s="7"/>
      <c r="AO3544" s="7"/>
      <c r="AP3544" s="7"/>
      <c r="AQ3544" s="7"/>
      <c r="AR3544" s="7"/>
      <c r="AS3544" s="7" t="s">
        <v>27</v>
      </c>
    </row>
    <row r="3545">
      <c r="A3545" s="7" t="s">
        <v>32</v>
      </c>
      <c r="B3545" s="7" t="s">
        <v>1659</v>
      </c>
      <c r="C3545" s="7">
        <f t="shared" si="480"/>
        <v>4</v>
      </c>
      <c r="D3545" s="7">
        <v>3.0</v>
      </c>
      <c r="E3545" s="9">
        <v>2.0</v>
      </c>
      <c r="F3545" s="7" t="s">
        <v>169</v>
      </c>
      <c r="G3545" s="7" t="s">
        <v>2367</v>
      </c>
      <c r="H3545" s="9" t="s">
        <v>2981</v>
      </c>
      <c r="I3545" t="s">
        <v>3949</v>
      </c>
      <c r="J3545" s="7"/>
      <c r="K3545" s="7"/>
      <c r="L3545" s="7"/>
      <c r="M3545" s="7"/>
      <c r="N3545" s="7"/>
      <c r="O3545" s="7"/>
      <c r="P3545" s="7"/>
      <c r="Q3545" s="7"/>
      <c r="R3545" s="7"/>
      <c r="S3545" s="7" t="s">
        <v>3298</v>
      </c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7" t="str">
        <f t="shared" si="1"/>
        <v>Land area </v>
      </c>
      <c r="AE3545" s="7" t="str">
        <f t="shared" si="2"/>
        <v> sq. ft.</v>
      </c>
      <c r="AF3545" s="7">
        <v>1170.0</v>
      </c>
      <c r="AG3545" s="7"/>
      <c r="AH3545" s="7"/>
      <c r="AI3545" s="7"/>
      <c r="AJ3545" s="7"/>
      <c r="AK3545" s="7"/>
      <c r="AL3545" s="7"/>
      <c r="AM3545" s="7"/>
      <c r="AN3545" s="7"/>
      <c r="AO3545" s="7"/>
      <c r="AP3545" s="7"/>
      <c r="AQ3545" s="7"/>
      <c r="AR3545" s="7"/>
      <c r="AS3545" s="7" t="s">
        <v>27</v>
      </c>
    </row>
    <row r="3546">
      <c r="A3546" s="7" t="s">
        <v>1241</v>
      </c>
      <c r="B3546" s="7" t="s">
        <v>1075</v>
      </c>
      <c r="C3546" s="7">
        <f>2</f>
        <v>2</v>
      </c>
      <c r="D3546" s="7">
        <v>2.0</v>
      </c>
      <c r="E3546" s="7">
        <v>2.0</v>
      </c>
      <c r="F3546" s="7" t="s">
        <v>82</v>
      </c>
      <c r="G3546" s="7" t="s">
        <v>342</v>
      </c>
      <c r="H3546" s="9" t="s">
        <v>2979</v>
      </c>
      <c r="I3546" t="s">
        <v>3117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7" t="str">
        <f t="shared" si="1"/>
        <v>Built-up :</v>
      </c>
      <c r="AE3546" s="7" t="str">
        <f t="shared" si="2"/>
        <v> sq. ft.</v>
      </c>
      <c r="AF3546">
        <f>IFERROR(__xludf.DUMMYFUNCTION("VALUE(REGEXREPLACE(G3546,""[^[:digit:]]"", """"))"),1076.0)</f>
        <v>1076</v>
      </c>
      <c r="AG3546" s="7"/>
      <c r="AH3546" s="7"/>
      <c r="AI3546" s="7"/>
      <c r="AJ3546" s="7"/>
      <c r="AK3546" s="7"/>
      <c r="AL3546" s="7"/>
      <c r="AM3546" s="7"/>
      <c r="AN3546" s="7"/>
      <c r="AO3546" s="7"/>
      <c r="AP3546" s="7"/>
      <c r="AQ3546" s="7"/>
      <c r="AR3546" s="7"/>
      <c r="AS3546" s="7" t="s">
        <v>22</v>
      </c>
    </row>
    <row r="3547">
      <c r="A3547" s="7" t="s">
        <v>241</v>
      </c>
      <c r="B3547" s="7" t="s">
        <v>890</v>
      </c>
      <c r="C3547" s="7">
        <f>3</f>
        <v>3</v>
      </c>
      <c r="D3547" s="7">
        <v>2.0</v>
      </c>
      <c r="E3547" s="7">
        <v>2.0</v>
      </c>
      <c r="F3547" s="7" t="s">
        <v>30</v>
      </c>
      <c r="G3547" s="7" t="s">
        <v>2368</v>
      </c>
      <c r="H3547" s="9" t="s">
        <v>2979</v>
      </c>
      <c r="I3547" t="s">
        <v>4278</v>
      </c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7" t="str">
        <f t="shared" si="1"/>
        <v>Built-up :</v>
      </c>
      <c r="AE3547" s="7" t="str">
        <f t="shared" si="2"/>
        <v> sq. ft.</v>
      </c>
      <c r="AF3547">
        <f>IFERROR(__xludf.DUMMYFUNCTION("VALUE(REGEXREPLACE(G3547,""[^[:digit:]]"", """"))"),1075.0)</f>
        <v>1075</v>
      </c>
      <c r="AG3547" s="7"/>
      <c r="AH3547" s="7"/>
      <c r="AI3547" s="7"/>
      <c r="AJ3547" s="7"/>
      <c r="AK3547" s="7"/>
      <c r="AL3547" s="7"/>
      <c r="AM3547" s="7"/>
      <c r="AN3547" s="7"/>
      <c r="AO3547" s="7"/>
      <c r="AP3547" s="7"/>
      <c r="AQ3547" s="7"/>
      <c r="AR3547" s="7"/>
    </row>
    <row r="3548">
      <c r="A3548" s="7" t="s">
        <v>32</v>
      </c>
      <c r="B3548" s="7" t="s">
        <v>955</v>
      </c>
      <c r="C3548" s="7">
        <f>4</f>
        <v>4</v>
      </c>
      <c r="D3548" s="7">
        <v>3.0</v>
      </c>
      <c r="E3548" s="9">
        <v>2.0</v>
      </c>
      <c r="F3548" s="7" t="s">
        <v>169</v>
      </c>
      <c r="G3548" s="7" t="s">
        <v>2276</v>
      </c>
      <c r="H3548" s="9" t="s">
        <v>2981</v>
      </c>
      <c r="I3548" t="s">
        <v>3718</v>
      </c>
      <c r="J3548" s="7"/>
      <c r="K3548" s="7"/>
      <c r="L3548" s="7"/>
      <c r="M3548" s="7"/>
      <c r="N3548" s="7"/>
      <c r="O3548" s="7"/>
      <c r="P3548" s="7"/>
      <c r="Q3548" s="7"/>
      <c r="R3548" s="7"/>
      <c r="S3548" s="7" t="s">
        <v>3372</v>
      </c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7" t="str">
        <f t="shared" si="1"/>
        <v>Land area </v>
      </c>
      <c r="AE3548" s="7" t="str">
        <f t="shared" si="2"/>
        <v> sq. ft.</v>
      </c>
      <c r="AF3548" s="7">
        <v>1080.0</v>
      </c>
      <c r="AG3548" s="7"/>
      <c r="AH3548" s="7"/>
      <c r="AI3548" s="7"/>
      <c r="AJ3548" s="7"/>
      <c r="AK3548" s="7"/>
      <c r="AL3548" s="7"/>
      <c r="AM3548" s="7"/>
      <c r="AN3548" s="7"/>
      <c r="AO3548" s="7"/>
      <c r="AP3548" s="7"/>
      <c r="AQ3548" s="7"/>
      <c r="AR3548" s="7"/>
      <c r="AS3548" s="7" t="s">
        <v>103</v>
      </c>
    </row>
    <row r="3549">
      <c r="A3549" s="7" t="s">
        <v>109</v>
      </c>
      <c r="B3549" s="7" t="s">
        <v>229</v>
      </c>
      <c r="C3549" s="7">
        <f t="shared" ref="C3549:C3550" si="481">4+1</f>
        <v>5</v>
      </c>
      <c r="D3549" s="7">
        <v>4.0</v>
      </c>
      <c r="E3549" s="7">
        <v>2.0</v>
      </c>
      <c r="F3549" s="7" t="s">
        <v>30</v>
      </c>
      <c r="G3549" s="7" t="s">
        <v>1613</v>
      </c>
      <c r="H3549" s="9" t="s">
        <v>2979</v>
      </c>
      <c r="I3549" t="s">
        <v>3811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7"/>
      <c r="AD3549" s="7" t="str">
        <f t="shared" si="1"/>
        <v>Built-up :</v>
      </c>
      <c r="AE3549" s="7" t="str">
        <f t="shared" si="2"/>
        <v> sq. ft.</v>
      </c>
      <c r="AF3549">
        <f>IFERROR(__xludf.DUMMYFUNCTION("VALUE(REGEXREPLACE(G3549,""[^[:digit:]]"", """"))"),2190.0)</f>
        <v>2190</v>
      </c>
      <c r="AG3549" s="7"/>
      <c r="AH3549" s="7"/>
      <c r="AI3549" s="7"/>
      <c r="AJ3549" s="7"/>
      <c r="AK3549" s="7"/>
      <c r="AL3549" s="7"/>
      <c r="AM3549" s="7"/>
      <c r="AN3549" s="7"/>
      <c r="AO3549" s="7"/>
      <c r="AP3549" s="7"/>
      <c r="AQ3549" s="7"/>
      <c r="AR3549" s="7"/>
      <c r="AS3549" s="7" t="s">
        <v>22</v>
      </c>
    </row>
    <row r="3550">
      <c r="A3550" s="7" t="s">
        <v>72</v>
      </c>
      <c r="B3550" s="7" t="s">
        <v>1289</v>
      </c>
      <c r="C3550" s="7">
        <f t="shared" si="481"/>
        <v>5</v>
      </c>
      <c r="D3550" s="7">
        <v>5.0</v>
      </c>
      <c r="E3550" s="7">
        <v>3.0</v>
      </c>
      <c r="F3550" s="7" t="s">
        <v>30</v>
      </c>
      <c r="G3550" s="7" t="s">
        <v>767</v>
      </c>
      <c r="H3550" s="9" t="s">
        <v>2979</v>
      </c>
      <c r="I3550" t="s">
        <v>3326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  <c r="AA3550" s="7"/>
      <c r="AB3550" s="7"/>
      <c r="AC3550" s="7"/>
      <c r="AD3550" s="7" t="str">
        <f t="shared" si="1"/>
        <v>Built-up :</v>
      </c>
      <c r="AE3550" s="7" t="str">
        <f t="shared" si="2"/>
        <v> sq. ft.</v>
      </c>
      <c r="AF3550">
        <f>IFERROR(__xludf.DUMMYFUNCTION("VALUE(REGEXREPLACE(G3550,""[^[:digit:]]"", """"))"),3043.0)</f>
        <v>3043</v>
      </c>
      <c r="AG3550" s="7"/>
      <c r="AH3550" s="7"/>
      <c r="AI3550" s="7"/>
      <c r="AJ3550" s="7"/>
      <c r="AK3550" s="7"/>
      <c r="AL3550" s="7"/>
      <c r="AM3550" s="7"/>
      <c r="AN3550" s="7"/>
      <c r="AO3550" s="7"/>
      <c r="AP3550" s="7"/>
      <c r="AQ3550" s="7"/>
      <c r="AR3550" s="7"/>
      <c r="AS3550" s="7" t="s">
        <v>27</v>
      </c>
    </row>
    <row r="3551">
      <c r="A3551" s="7" t="s">
        <v>17</v>
      </c>
      <c r="B3551" s="7" t="s">
        <v>2369</v>
      </c>
      <c r="C3551" s="7">
        <f>3+1</f>
        <v>4</v>
      </c>
      <c r="D3551" s="7">
        <v>3.0</v>
      </c>
      <c r="E3551" s="7">
        <v>2.0</v>
      </c>
      <c r="F3551" s="7" t="s">
        <v>121</v>
      </c>
      <c r="G3551" s="7" t="s">
        <v>1537</v>
      </c>
      <c r="H3551" s="9" t="s">
        <v>2979</v>
      </c>
      <c r="I3551" t="s">
        <v>3766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7" t="str">
        <f t="shared" si="1"/>
        <v>Built-up :</v>
      </c>
      <c r="AE3551" s="7" t="str">
        <f t="shared" si="2"/>
        <v> sq. ft.</v>
      </c>
      <c r="AF3551">
        <f>IFERROR(__xludf.DUMMYFUNCTION("VALUE(REGEXREPLACE(G3551,""[^[:digit:]]"", """"))"),625.0)</f>
        <v>625</v>
      </c>
      <c r="AG3551" s="7"/>
      <c r="AH3551" s="7"/>
      <c r="AI3551" s="7"/>
      <c r="AJ3551" s="7"/>
      <c r="AK3551" s="7"/>
      <c r="AL3551" s="7"/>
      <c r="AM3551" s="7"/>
      <c r="AN3551" s="7"/>
      <c r="AO3551" s="7"/>
      <c r="AP3551" s="7"/>
      <c r="AQ3551" s="7"/>
      <c r="AR3551" s="7"/>
      <c r="AS3551" s="7" t="s">
        <v>27</v>
      </c>
    </row>
    <row r="3552">
      <c r="A3552" s="7" t="s">
        <v>100</v>
      </c>
      <c r="B3552" s="7" t="s">
        <v>1265</v>
      </c>
      <c r="C3552" s="7">
        <f t="shared" ref="C3552:C3553" si="482">3</f>
        <v>3</v>
      </c>
      <c r="D3552" s="7">
        <v>2.0</v>
      </c>
      <c r="E3552" s="7">
        <v>2.0</v>
      </c>
      <c r="F3552" s="7" t="s">
        <v>82</v>
      </c>
      <c r="G3552" s="7" t="s">
        <v>491</v>
      </c>
      <c r="H3552" s="9" t="s">
        <v>2979</v>
      </c>
      <c r="I3552" t="s">
        <v>3190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7" t="str">
        <f t="shared" si="1"/>
        <v>Built-up :</v>
      </c>
      <c r="AE3552" s="7" t="str">
        <f t="shared" si="2"/>
        <v> sq. ft.</v>
      </c>
      <c r="AF3552">
        <f>IFERROR(__xludf.DUMMYFUNCTION("VALUE(REGEXREPLACE(G3552,""[^[:digit:]]"", """"))"),950.0)</f>
        <v>950</v>
      </c>
      <c r="AG3552" s="7"/>
      <c r="AH3552" s="7"/>
      <c r="AI3552" s="7"/>
      <c r="AJ3552" s="7"/>
      <c r="AK3552" s="7"/>
      <c r="AL3552" s="7"/>
      <c r="AM3552" s="7"/>
      <c r="AN3552" s="7"/>
      <c r="AO3552" s="7"/>
      <c r="AP3552" s="7"/>
      <c r="AQ3552" s="7"/>
      <c r="AR3552" s="7"/>
      <c r="AS3552" s="7" t="s">
        <v>27</v>
      </c>
    </row>
    <row r="3553">
      <c r="A3553" s="7" t="s">
        <v>109</v>
      </c>
      <c r="B3553" s="7" t="s">
        <v>49</v>
      </c>
      <c r="C3553" s="7">
        <f t="shared" si="482"/>
        <v>3</v>
      </c>
      <c r="D3553" s="7">
        <v>2.0</v>
      </c>
      <c r="E3553" s="7">
        <v>2.0</v>
      </c>
      <c r="F3553" s="7" t="s">
        <v>354</v>
      </c>
      <c r="G3553" s="7" t="s">
        <v>2370</v>
      </c>
      <c r="H3553" s="9" t="s">
        <v>2981</v>
      </c>
      <c r="I3553" t="s">
        <v>4279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7" t="str">
        <f t="shared" si="1"/>
        <v>Land area </v>
      </c>
      <c r="AE3553" s="7" t="str">
        <f t="shared" si="2"/>
        <v> sq. ft.</v>
      </c>
      <c r="AF3553">
        <f>IFERROR(__xludf.DUMMYFUNCTION("VALUE(REGEXREPLACE(G3553,""[^[:digit:]]"", """"))"),1221.0)</f>
        <v>1221</v>
      </c>
      <c r="AG3553" s="7"/>
      <c r="AH3553" s="7"/>
      <c r="AI3553" s="7"/>
      <c r="AJ3553" s="7"/>
      <c r="AK3553" s="7"/>
      <c r="AL3553" s="7"/>
      <c r="AM3553" s="7"/>
      <c r="AN3553" s="7"/>
      <c r="AO3553" s="7"/>
      <c r="AP3553" s="7"/>
      <c r="AQ3553" s="7"/>
      <c r="AR3553" s="7"/>
      <c r="AS3553" s="7" t="s">
        <v>27</v>
      </c>
    </row>
    <row r="3554">
      <c r="A3554" s="7" t="s">
        <v>104</v>
      </c>
      <c r="B3554" s="7" t="s">
        <v>710</v>
      </c>
      <c r="C3554" s="7">
        <f>4</f>
        <v>4</v>
      </c>
      <c r="D3554" s="7">
        <v>3.0</v>
      </c>
      <c r="E3554" s="7">
        <v>3.0</v>
      </c>
      <c r="F3554" s="7" t="s">
        <v>54</v>
      </c>
      <c r="G3554" s="7" t="s">
        <v>1839</v>
      </c>
      <c r="H3554" s="9" t="s">
        <v>2981</v>
      </c>
      <c r="I3554" t="s">
        <v>3949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 t="s">
        <v>3298</v>
      </c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7" t="str">
        <f t="shared" si="1"/>
        <v>Land area </v>
      </c>
      <c r="AE3554" s="7" t="str">
        <f t="shared" si="2"/>
        <v> sq. ft.</v>
      </c>
      <c r="AF3554">
        <f>IFERROR(__xludf.DUMMYFUNCTION("VALUE(REGEXREPLACE(G3554,""[^[:digit:]]"", """"))"),1865.0)</f>
        <v>1865</v>
      </c>
      <c r="AG3554" s="7"/>
      <c r="AH3554" s="7"/>
      <c r="AI3554" s="7"/>
      <c r="AJ3554" s="7"/>
      <c r="AK3554" s="7"/>
      <c r="AL3554" s="7"/>
      <c r="AM3554" s="7"/>
      <c r="AN3554" s="7"/>
      <c r="AO3554" s="7"/>
      <c r="AP3554" s="7"/>
      <c r="AQ3554" s="7"/>
      <c r="AR3554" s="7"/>
      <c r="AS3554" s="7" t="s">
        <v>27</v>
      </c>
    </row>
    <row r="3555">
      <c r="A3555" s="7" t="s">
        <v>52</v>
      </c>
      <c r="B3555" s="7" t="s">
        <v>42</v>
      </c>
      <c r="C3555" s="7">
        <f>4+1</f>
        <v>5</v>
      </c>
      <c r="D3555" s="7">
        <v>5.0</v>
      </c>
      <c r="E3555" s="9">
        <v>2.0</v>
      </c>
      <c r="F3555" s="7" t="s">
        <v>30</v>
      </c>
      <c r="G3555" s="7" t="s">
        <v>1798</v>
      </c>
      <c r="H3555" s="9" t="s">
        <v>2979</v>
      </c>
      <c r="I3555" t="s">
        <v>3928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  <c r="AA3555" s="7"/>
      <c r="AB3555" s="7"/>
      <c r="AC3555" s="7"/>
      <c r="AD3555" s="7" t="str">
        <f t="shared" si="1"/>
        <v>Built-up :</v>
      </c>
      <c r="AE3555" s="7" t="str">
        <f t="shared" si="2"/>
        <v> sq. ft.</v>
      </c>
      <c r="AF3555">
        <f>IFERROR(__xludf.DUMMYFUNCTION("VALUE(REGEXREPLACE(G3555,""[^[:digit:]]"", """"))"),4200.0)</f>
        <v>4200</v>
      </c>
      <c r="AG3555" s="7"/>
      <c r="AH3555" s="7"/>
      <c r="AI3555" s="7"/>
      <c r="AJ3555" s="7"/>
      <c r="AK3555" s="7"/>
      <c r="AL3555" s="7"/>
      <c r="AM3555" s="7"/>
      <c r="AN3555" s="7"/>
      <c r="AO3555" s="7"/>
      <c r="AP3555" s="7"/>
      <c r="AQ3555" s="7"/>
      <c r="AR3555" s="7"/>
      <c r="AS3555" s="7" t="s">
        <v>27</v>
      </c>
    </row>
    <row r="3556">
      <c r="A3556" s="7" t="s">
        <v>52</v>
      </c>
      <c r="B3556" s="7" t="s">
        <v>349</v>
      </c>
      <c r="C3556" s="7">
        <f>3+1</f>
        <v>4</v>
      </c>
      <c r="D3556" s="7">
        <v>4.0</v>
      </c>
      <c r="E3556" s="9">
        <v>2.0</v>
      </c>
      <c r="F3556" s="7" t="s">
        <v>83</v>
      </c>
      <c r="G3556" s="7" t="s">
        <v>2371</v>
      </c>
      <c r="H3556" s="9" t="s">
        <v>2979</v>
      </c>
      <c r="I3556" t="s">
        <v>4280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  <c r="AA3556" s="7"/>
      <c r="AB3556" s="7"/>
      <c r="AC3556" s="7"/>
      <c r="AD3556" s="7" t="str">
        <f t="shared" si="1"/>
        <v>Built-up :</v>
      </c>
      <c r="AE3556" s="7" t="str">
        <f t="shared" si="2"/>
        <v> sq. ft.</v>
      </c>
      <c r="AF3556">
        <f>IFERROR(__xludf.DUMMYFUNCTION("VALUE(REGEXREPLACE(G3556,""[^[:digit:]]"", """"))"),2150.0)</f>
        <v>2150</v>
      </c>
      <c r="AG3556" s="7"/>
      <c r="AH3556" s="7"/>
      <c r="AI3556" s="7"/>
      <c r="AJ3556" s="7"/>
      <c r="AK3556" s="7"/>
      <c r="AL3556" s="7"/>
      <c r="AM3556" s="7"/>
      <c r="AN3556" s="7"/>
      <c r="AO3556" s="7"/>
      <c r="AP3556" s="7"/>
      <c r="AQ3556" s="7"/>
      <c r="AR3556" s="7"/>
      <c r="AS3556" s="7" t="s">
        <v>27</v>
      </c>
    </row>
    <row r="3557">
      <c r="A3557" s="7" t="s">
        <v>17</v>
      </c>
      <c r="B3557" s="7" t="s">
        <v>206</v>
      </c>
      <c r="C3557" s="7">
        <f>1</f>
        <v>1</v>
      </c>
      <c r="D3557" s="7">
        <v>1.0</v>
      </c>
      <c r="E3557" s="9">
        <v>2.0</v>
      </c>
      <c r="F3557" s="7" t="s">
        <v>20</v>
      </c>
      <c r="G3557" s="7" t="s">
        <v>512</v>
      </c>
      <c r="H3557" s="9" t="s">
        <v>2979</v>
      </c>
      <c r="I3557" t="s">
        <v>3201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7" t="str">
        <f t="shared" si="1"/>
        <v>Built-up :</v>
      </c>
      <c r="AE3557" s="7" t="str">
        <f t="shared" si="2"/>
        <v> sq. ft.</v>
      </c>
      <c r="AF3557">
        <f>IFERROR(__xludf.DUMMYFUNCTION("VALUE(REGEXREPLACE(G3557,""[^[:digit:]]"", """"))"),764.0)</f>
        <v>764</v>
      </c>
      <c r="AG3557" s="7"/>
      <c r="AH3557" s="7"/>
      <c r="AI3557" s="7"/>
      <c r="AJ3557" s="7"/>
      <c r="AK3557" s="7"/>
      <c r="AL3557" s="7"/>
      <c r="AM3557" s="7"/>
      <c r="AN3557" s="7"/>
      <c r="AO3557" s="7"/>
      <c r="AP3557" s="7"/>
      <c r="AQ3557" s="7"/>
      <c r="AR3557" s="7"/>
      <c r="AS3557" s="7" t="s">
        <v>251</v>
      </c>
    </row>
    <row r="3558">
      <c r="A3558" s="7" t="s">
        <v>72</v>
      </c>
      <c r="B3558" s="7" t="s">
        <v>281</v>
      </c>
      <c r="C3558" s="7">
        <f>5+1</f>
        <v>6</v>
      </c>
      <c r="D3558" s="7">
        <v>6.0</v>
      </c>
      <c r="E3558" s="9">
        <v>2.0</v>
      </c>
      <c r="F3558" s="7" t="s">
        <v>43</v>
      </c>
      <c r="G3558" s="7" t="s">
        <v>44</v>
      </c>
      <c r="H3558" s="9" t="s">
        <v>2981</v>
      </c>
      <c r="I3558" t="s">
        <v>2988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7" t="str">
        <f t="shared" si="1"/>
        <v>Land area </v>
      </c>
      <c r="AE3558" s="7" t="str">
        <f t="shared" si="2"/>
        <v> sq. ft.</v>
      </c>
      <c r="AF3558">
        <f>IFERROR(__xludf.DUMMYFUNCTION("VALUE(REGEXREPLACE(G3558,""[^[:digit:]]"", """"))"),3600.0)</f>
        <v>3600</v>
      </c>
      <c r="AG3558" s="7"/>
      <c r="AH3558" s="7"/>
      <c r="AI3558" s="7"/>
      <c r="AJ3558" s="7"/>
      <c r="AK3558" s="7"/>
      <c r="AL3558" s="7"/>
      <c r="AM3558" s="7"/>
      <c r="AN3558" s="7"/>
      <c r="AO3558" s="7"/>
      <c r="AP3558" s="7"/>
      <c r="AQ3558" s="7"/>
      <c r="AR3558" s="7"/>
      <c r="AS3558" s="7" t="s">
        <v>27</v>
      </c>
    </row>
    <row r="3559">
      <c r="A3559" s="7" t="s">
        <v>72</v>
      </c>
      <c r="B3559" s="7" t="s">
        <v>2372</v>
      </c>
      <c r="C3559" s="7">
        <f t="shared" ref="C3559:C3560" si="483">3+1</f>
        <v>4</v>
      </c>
      <c r="D3559" s="7">
        <v>4.0</v>
      </c>
      <c r="E3559" s="9">
        <v>2.0</v>
      </c>
      <c r="F3559" s="7" t="s">
        <v>30</v>
      </c>
      <c r="G3559" s="7" t="s">
        <v>838</v>
      </c>
      <c r="H3559" s="9" t="s">
        <v>2979</v>
      </c>
      <c r="I3559" t="s">
        <v>3364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7" t="str">
        <f t="shared" si="1"/>
        <v>Built-up :</v>
      </c>
      <c r="AE3559" s="7" t="str">
        <f t="shared" si="2"/>
        <v> sq. ft.</v>
      </c>
      <c r="AF3559">
        <f>IFERROR(__xludf.DUMMYFUNCTION("VALUE(REGEXREPLACE(G3559,""[^[:digit:]]"", """"))"),2694.0)</f>
        <v>2694</v>
      </c>
      <c r="AG3559" s="7"/>
      <c r="AH3559" s="7"/>
      <c r="AI3559" s="7"/>
      <c r="AJ3559" s="7"/>
      <c r="AK3559" s="7"/>
      <c r="AL3559" s="7"/>
      <c r="AM3559" s="7"/>
      <c r="AN3559" s="7"/>
      <c r="AO3559" s="7"/>
      <c r="AP3559" s="7"/>
      <c r="AQ3559" s="7"/>
      <c r="AR3559" s="7"/>
      <c r="AS3559" s="7" t="s">
        <v>103</v>
      </c>
    </row>
    <row r="3560">
      <c r="A3560" s="7" t="s">
        <v>432</v>
      </c>
      <c r="C3560" s="7">
        <f t="shared" si="483"/>
        <v>4</v>
      </c>
      <c r="D3560" s="7">
        <v>5.0</v>
      </c>
      <c r="E3560" s="9">
        <v>2.0</v>
      </c>
      <c r="F3560" s="7" t="s">
        <v>96</v>
      </c>
      <c r="G3560" s="7" t="s">
        <v>1627</v>
      </c>
      <c r="H3560" s="9" t="s">
        <v>2979</v>
      </c>
      <c r="I3560" t="s">
        <v>3820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7" t="str">
        <f t="shared" si="1"/>
        <v>Built-up :</v>
      </c>
      <c r="AE3560" s="7" t="str">
        <f t="shared" si="2"/>
        <v> sq. ft.</v>
      </c>
      <c r="AF3560">
        <f>IFERROR(__xludf.DUMMYFUNCTION("VALUE(REGEXREPLACE(G3560,""[^[:digit:]]"", """"))"),2573.0)</f>
        <v>2573</v>
      </c>
      <c r="AG3560" s="7"/>
      <c r="AH3560" s="7"/>
      <c r="AI3560" s="7"/>
      <c r="AJ3560" s="7"/>
      <c r="AK3560" s="7"/>
      <c r="AL3560" s="7"/>
      <c r="AM3560" s="7"/>
      <c r="AN3560" s="7"/>
      <c r="AO3560" s="7"/>
      <c r="AP3560" s="7"/>
      <c r="AQ3560" s="7"/>
      <c r="AR3560" s="7"/>
      <c r="AS3560" s="7" t="s">
        <v>251</v>
      </c>
    </row>
    <row r="3561">
      <c r="A3561" s="7" t="s">
        <v>432</v>
      </c>
      <c r="B3561" s="7" t="s">
        <v>42</v>
      </c>
      <c r="C3561" s="7">
        <f>4+1</f>
        <v>5</v>
      </c>
      <c r="D3561" s="7">
        <v>6.0</v>
      </c>
      <c r="E3561" s="9">
        <v>2.0</v>
      </c>
      <c r="F3561" s="7" t="s">
        <v>83</v>
      </c>
      <c r="G3561" s="7" t="s">
        <v>1628</v>
      </c>
      <c r="H3561" s="9" t="s">
        <v>2979</v>
      </c>
      <c r="I3561" t="s">
        <v>3821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  <c r="AA3561" s="7"/>
      <c r="AB3561" s="7"/>
      <c r="AC3561" s="7"/>
      <c r="AD3561" s="7" t="str">
        <f t="shared" si="1"/>
        <v>Built-up :</v>
      </c>
      <c r="AE3561" s="7" t="str">
        <f t="shared" si="2"/>
        <v> sq. ft.</v>
      </c>
      <c r="AF3561">
        <f>IFERROR(__xludf.DUMMYFUNCTION("VALUE(REGEXREPLACE(G3561,""[^[:digit:]]"", """"))"),3660.0)</f>
        <v>3660</v>
      </c>
      <c r="AG3561" s="7"/>
      <c r="AH3561" s="7"/>
      <c r="AI3561" s="7"/>
      <c r="AJ3561" s="7"/>
      <c r="AK3561" s="7"/>
      <c r="AL3561" s="7"/>
      <c r="AM3561" s="7"/>
      <c r="AN3561" s="7"/>
      <c r="AO3561" s="7"/>
      <c r="AP3561" s="7"/>
      <c r="AQ3561" s="7"/>
      <c r="AR3561" s="7"/>
      <c r="AS3561" s="7" t="s">
        <v>103</v>
      </c>
    </row>
    <row r="3562">
      <c r="A3562" s="7" t="s">
        <v>72</v>
      </c>
      <c r="B3562" s="7" t="s">
        <v>1385</v>
      </c>
      <c r="C3562" s="7">
        <f>3+1</f>
        <v>4</v>
      </c>
      <c r="D3562" s="7">
        <v>4.0</v>
      </c>
      <c r="E3562" s="7">
        <v>2.0</v>
      </c>
      <c r="F3562" s="7" t="s">
        <v>30</v>
      </c>
      <c r="G3562" s="7" t="s">
        <v>334</v>
      </c>
      <c r="H3562" s="9" t="s">
        <v>2979</v>
      </c>
      <c r="I3562" t="s">
        <v>3112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  <c r="AA3562" s="7"/>
      <c r="AB3562" s="7"/>
      <c r="AC3562" s="7"/>
      <c r="AD3562" s="7" t="str">
        <f t="shared" si="1"/>
        <v>Built-up :</v>
      </c>
      <c r="AE3562" s="7" t="str">
        <f t="shared" si="2"/>
        <v> sq. ft.</v>
      </c>
      <c r="AF3562">
        <f>IFERROR(__xludf.DUMMYFUNCTION("VALUE(REGEXREPLACE(G3562,""[^[:digit:]]"", """"))"),1496.0)</f>
        <v>1496</v>
      </c>
      <c r="AG3562" s="7"/>
      <c r="AH3562" s="7"/>
      <c r="AI3562" s="7"/>
      <c r="AJ3562" s="7"/>
      <c r="AK3562" s="7"/>
      <c r="AL3562" s="7"/>
      <c r="AM3562" s="7"/>
      <c r="AN3562" s="7"/>
      <c r="AO3562" s="7"/>
      <c r="AP3562" s="7"/>
      <c r="AQ3562" s="7"/>
      <c r="AR3562" s="7"/>
      <c r="AS3562" s="7" t="s">
        <v>27</v>
      </c>
    </row>
    <row r="3563">
      <c r="A3563" s="7" t="s">
        <v>32</v>
      </c>
      <c r="B3563" s="7" t="s">
        <v>854</v>
      </c>
      <c r="C3563" s="7">
        <f>4</f>
        <v>4</v>
      </c>
      <c r="D3563" s="7">
        <v>2.0</v>
      </c>
      <c r="E3563" s="7">
        <v>2.0</v>
      </c>
      <c r="F3563" s="7" t="s">
        <v>30</v>
      </c>
      <c r="G3563" s="7" t="s">
        <v>449</v>
      </c>
      <c r="H3563" s="9" t="s">
        <v>2979</v>
      </c>
      <c r="I3563" t="s">
        <v>3166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7" t="str">
        <f t="shared" si="1"/>
        <v>Built-up :</v>
      </c>
      <c r="AE3563" s="7" t="str">
        <f t="shared" si="2"/>
        <v> sq. ft.</v>
      </c>
      <c r="AF3563">
        <f>IFERROR(__xludf.DUMMYFUNCTION("VALUE(REGEXREPLACE(G3563,""[^[:digit:]]"", """"))"),1499.0)</f>
        <v>1499</v>
      </c>
      <c r="AG3563" s="7"/>
      <c r="AH3563" s="7"/>
      <c r="AI3563" s="7"/>
      <c r="AJ3563" s="7"/>
      <c r="AK3563" s="7"/>
      <c r="AL3563" s="7"/>
      <c r="AM3563" s="7"/>
      <c r="AN3563" s="7"/>
      <c r="AO3563" s="7"/>
      <c r="AP3563" s="7"/>
      <c r="AQ3563" s="7"/>
      <c r="AR3563" s="7"/>
    </row>
    <row r="3564">
      <c r="A3564" s="7" t="s">
        <v>72</v>
      </c>
      <c r="B3564" s="7" t="s">
        <v>720</v>
      </c>
      <c r="C3564" s="7">
        <f>4+1</f>
        <v>5</v>
      </c>
      <c r="D3564" s="7">
        <v>5.0</v>
      </c>
      <c r="E3564" s="7">
        <v>3.0</v>
      </c>
      <c r="F3564" s="7" t="s">
        <v>83</v>
      </c>
      <c r="G3564" s="7" t="s">
        <v>113</v>
      </c>
      <c r="H3564" s="9" t="s">
        <v>2979</v>
      </c>
      <c r="I3564" t="s">
        <v>3012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7" t="str">
        <f t="shared" si="1"/>
        <v>Built-up :</v>
      </c>
      <c r="AE3564" s="7" t="str">
        <f t="shared" si="2"/>
        <v> sq. ft.</v>
      </c>
      <c r="AF3564">
        <f>IFERROR(__xludf.DUMMYFUNCTION("VALUE(REGEXREPLACE(G3564,""[^[:digit:]]"", """"))"),2767.0)</f>
        <v>2767</v>
      </c>
      <c r="AG3564" s="7"/>
      <c r="AH3564" s="7"/>
      <c r="AI3564" s="7"/>
      <c r="AJ3564" s="7"/>
      <c r="AK3564" s="7"/>
      <c r="AL3564" s="7"/>
      <c r="AM3564" s="7"/>
      <c r="AN3564" s="7"/>
      <c r="AO3564" s="7"/>
      <c r="AP3564" s="7"/>
      <c r="AQ3564" s="7"/>
      <c r="AR3564" s="7"/>
      <c r="AS3564" s="7" t="s">
        <v>27</v>
      </c>
    </row>
    <row r="3565">
      <c r="A3565" s="7" t="s">
        <v>188</v>
      </c>
      <c r="B3565" s="7" t="s">
        <v>2373</v>
      </c>
      <c r="C3565" s="7">
        <f>4+2</f>
        <v>6</v>
      </c>
      <c r="D3565" s="7">
        <v>5.0</v>
      </c>
      <c r="E3565" s="7">
        <v>2.0</v>
      </c>
      <c r="F3565" s="7" t="s">
        <v>121</v>
      </c>
      <c r="G3565" s="7" t="s">
        <v>2374</v>
      </c>
      <c r="H3565" s="9" t="s">
        <v>2979</v>
      </c>
      <c r="I3565" t="s">
        <v>4281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7" t="str">
        <f t="shared" si="1"/>
        <v>Built-up :</v>
      </c>
      <c r="AE3565" s="7" t="str">
        <f t="shared" si="2"/>
        <v> sq. ft.</v>
      </c>
      <c r="AF3565">
        <f>IFERROR(__xludf.DUMMYFUNCTION("VALUE(REGEXREPLACE(G3565,""[^[:digit:]]"", """"))"),4227.0)</f>
        <v>4227</v>
      </c>
      <c r="AG3565" s="7"/>
      <c r="AH3565" s="7"/>
      <c r="AI3565" s="7"/>
      <c r="AJ3565" s="7"/>
      <c r="AK3565" s="7"/>
      <c r="AL3565" s="7"/>
      <c r="AM3565" s="7"/>
      <c r="AN3565" s="7"/>
      <c r="AO3565" s="7"/>
      <c r="AP3565" s="7"/>
      <c r="AQ3565" s="7"/>
      <c r="AR3565" s="7"/>
      <c r="AS3565" s="7" t="s">
        <v>27</v>
      </c>
    </row>
    <row r="3566">
      <c r="A3566" s="7" t="s">
        <v>72</v>
      </c>
      <c r="B3566" s="7" t="s">
        <v>125</v>
      </c>
      <c r="C3566" s="7">
        <f>4</f>
        <v>4</v>
      </c>
      <c r="D3566" s="7">
        <v>4.0</v>
      </c>
      <c r="E3566" s="7">
        <v>2.0</v>
      </c>
      <c r="F3566" s="7" t="s">
        <v>681</v>
      </c>
      <c r="G3566" s="7" t="s">
        <v>2375</v>
      </c>
      <c r="H3566" s="9" t="s">
        <v>2979</v>
      </c>
      <c r="I3566" t="s">
        <v>4282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7" t="str">
        <f t="shared" si="1"/>
        <v>Built-up :</v>
      </c>
      <c r="AE3566" s="7" t="str">
        <f t="shared" si="2"/>
        <v> sq. ft.</v>
      </c>
      <c r="AF3566">
        <f>IFERROR(__xludf.DUMMYFUNCTION("VALUE(REGEXREPLACE(G3566,""[^[:digit:]]"", """"))"),2447.0)</f>
        <v>2447</v>
      </c>
      <c r="AG3566" s="7"/>
      <c r="AH3566" s="7"/>
      <c r="AI3566" s="7"/>
      <c r="AJ3566" s="7"/>
      <c r="AK3566" s="7"/>
      <c r="AL3566" s="7"/>
      <c r="AM3566" s="7"/>
      <c r="AN3566" s="7"/>
      <c r="AO3566" s="7"/>
      <c r="AP3566" s="7"/>
      <c r="AQ3566" s="7"/>
      <c r="AR3566" s="7"/>
    </row>
    <row r="3567">
      <c r="A3567" s="7" t="s">
        <v>72</v>
      </c>
      <c r="B3567" s="7" t="s">
        <v>2376</v>
      </c>
      <c r="C3567" s="7">
        <f>3</f>
        <v>3</v>
      </c>
      <c r="D3567" s="7">
        <v>3.0</v>
      </c>
      <c r="E3567" s="7">
        <v>2.0</v>
      </c>
      <c r="F3567" s="7" t="s">
        <v>83</v>
      </c>
      <c r="G3567" s="7" t="s">
        <v>1538</v>
      </c>
      <c r="H3567" s="9" t="s">
        <v>2979</v>
      </c>
      <c r="I3567" t="s">
        <v>3767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  <c r="AA3567" s="7"/>
      <c r="AB3567" s="7"/>
      <c r="AC3567" s="7"/>
      <c r="AD3567" s="7" t="str">
        <f t="shared" si="1"/>
        <v>Built-up :</v>
      </c>
      <c r="AE3567" s="7" t="str">
        <f t="shared" si="2"/>
        <v> sq. ft.</v>
      </c>
      <c r="AF3567">
        <f>IFERROR(__xludf.DUMMYFUNCTION("VALUE(REGEXREPLACE(G3567,""[^[:digit:]]"", """"))"),1603.0)</f>
        <v>1603</v>
      </c>
      <c r="AG3567" s="7"/>
      <c r="AH3567" s="7"/>
      <c r="AI3567" s="7"/>
      <c r="AJ3567" s="7"/>
      <c r="AK3567" s="7"/>
      <c r="AL3567" s="7"/>
      <c r="AM3567" s="7"/>
      <c r="AN3567" s="7"/>
      <c r="AO3567" s="7"/>
      <c r="AP3567" s="7"/>
      <c r="AQ3567" s="7"/>
      <c r="AR3567" s="7"/>
      <c r="AS3567" s="7" t="s">
        <v>27</v>
      </c>
    </row>
    <row r="3568">
      <c r="A3568" s="7" t="s">
        <v>72</v>
      </c>
      <c r="B3568" s="7" t="s">
        <v>2377</v>
      </c>
      <c r="C3568" s="7">
        <f t="shared" ref="C3568:C3571" si="484">4+1</f>
        <v>5</v>
      </c>
      <c r="D3568" s="7">
        <v>4.0</v>
      </c>
      <c r="E3568" s="7">
        <v>2.0</v>
      </c>
      <c r="F3568" s="7" t="s">
        <v>83</v>
      </c>
      <c r="G3568" s="7" t="s">
        <v>238</v>
      </c>
      <c r="H3568" s="9" t="s">
        <v>2979</v>
      </c>
      <c r="I3568" t="s">
        <v>3070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  <c r="AA3568" s="7"/>
      <c r="AB3568" s="7"/>
      <c r="AC3568" s="7"/>
      <c r="AD3568" s="7" t="str">
        <f t="shared" si="1"/>
        <v>Built-up :</v>
      </c>
      <c r="AE3568" s="7" t="str">
        <f t="shared" si="2"/>
        <v> sq. ft.</v>
      </c>
      <c r="AF3568">
        <f>IFERROR(__xludf.DUMMYFUNCTION("VALUE(REGEXREPLACE(G3568,""[^[:digit:]]"", """"))"),2065.0)</f>
        <v>2065</v>
      </c>
      <c r="AG3568" s="7"/>
      <c r="AH3568" s="7"/>
      <c r="AI3568" s="7"/>
      <c r="AJ3568" s="7"/>
      <c r="AK3568" s="7"/>
      <c r="AL3568" s="7"/>
      <c r="AM3568" s="7"/>
      <c r="AN3568" s="7"/>
      <c r="AO3568" s="7"/>
      <c r="AP3568" s="7"/>
      <c r="AQ3568" s="7"/>
      <c r="AR3568" s="7"/>
      <c r="AS3568" s="7" t="s">
        <v>27</v>
      </c>
    </row>
    <row r="3569">
      <c r="A3569" s="7" t="s">
        <v>72</v>
      </c>
      <c r="B3569" s="7" t="s">
        <v>2378</v>
      </c>
      <c r="C3569" s="7">
        <f t="shared" si="484"/>
        <v>5</v>
      </c>
      <c r="D3569" s="7">
        <v>5.0</v>
      </c>
      <c r="E3569" s="7">
        <v>3.0</v>
      </c>
      <c r="F3569" s="7" t="s">
        <v>83</v>
      </c>
      <c r="G3569" s="7" t="s">
        <v>2097</v>
      </c>
      <c r="H3569" s="9" t="s">
        <v>2979</v>
      </c>
      <c r="I3569" t="s">
        <v>4109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7" t="str">
        <f t="shared" si="1"/>
        <v>Built-up :</v>
      </c>
      <c r="AE3569" s="7" t="str">
        <f t="shared" si="2"/>
        <v> sq. ft.</v>
      </c>
      <c r="AF3569">
        <f>IFERROR(__xludf.DUMMYFUNCTION("VALUE(REGEXREPLACE(G3569,""[^[:digit:]]"", """"))"),2766.0)</f>
        <v>2766</v>
      </c>
      <c r="AG3569" s="7"/>
      <c r="AH3569" s="7"/>
      <c r="AI3569" s="7"/>
      <c r="AJ3569" s="7"/>
      <c r="AK3569" s="7"/>
      <c r="AL3569" s="7"/>
      <c r="AM3569" s="7"/>
      <c r="AN3569" s="7"/>
      <c r="AO3569" s="7"/>
      <c r="AP3569" s="7"/>
      <c r="AQ3569" s="7"/>
      <c r="AR3569" s="7"/>
      <c r="AS3569" s="7" t="s">
        <v>27</v>
      </c>
    </row>
    <row r="3570">
      <c r="A3570" s="7" t="s">
        <v>72</v>
      </c>
      <c r="B3570" s="7" t="s">
        <v>2379</v>
      </c>
      <c r="C3570" s="7">
        <f t="shared" si="484"/>
        <v>5</v>
      </c>
      <c r="D3570" s="7">
        <v>4.0</v>
      </c>
      <c r="E3570" s="7">
        <v>3.0</v>
      </c>
      <c r="F3570" s="7" t="s">
        <v>83</v>
      </c>
      <c r="G3570" s="7" t="s">
        <v>84</v>
      </c>
      <c r="H3570" s="9" t="s">
        <v>2979</v>
      </c>
      <c r="I3570" t="s">
        <v>3001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7" t="str">
        <f t="shared" si="1"/>
        <v>Built-up :</v>
      </c>
      <c r="AE3570" s="7" t="str">
        <f t="shared" si="2"/>
        <v> sq. ft.</v>
      </c>
      <c r="AF3570">
        <f>IFERROR(__xludf.DUMMYFUNCTION("VALUE(REGEXREPLACE(G3570,""[^[:digit:]]"", """"))"),2163.0)</f>
        <v>2163</v>
      </c>
      <c r="AG3570" s="7"/>
      <c r="AH3570" s="7"/>
      <c r="AI3570" s="7"/>
      <c r="AJ3570" s="7"/>
      <c r="AK3570" s="7"/>
      <c r="AL3570" s="7"/>
      <c r="AM3570" s="7"/>
      <c r="AN3570" s="7"/>
      <c r="AO3570" s="7"/>
      <c r="AP3570" s="7"/>
      <c r="AQ3570" s="7"/>
      <c r="AR3570" s="7"/>
      <c r="AS3570" s="7" t="s">
        <v>27</v>
      </c>
    </row>
    <row r="3571">
      <c r="A3571" s="7" t="s">
        <v>72</v>
      </c>
      <c r="B3571" s="7" t="s">
        <v>2380</v>
      </c>
      <c r="C3571" s="7">
        <f t="shared" si="484"/>
        <v>5</v>
      </c>
      <c r="D3571" s="7">
        <v>4.0</v>
      </c>
      <c r="E3571" s="7">
        <v>3.0</v>
      </c>
      <c r="F3571" s="7" t="s">
        <v>83</v>
      </c>
      <c r="G3571" s="7" t="s">
        <v>84</v>
      </c>
      <c r="H3571" s="9" t="s">
        <v>2979</v>
      </c>
      <c r="I3571" t="s">
        <v>3001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7" t="str">
        <f t="shared" si="1"/>
        <v>Built-up :</v>
      </c>
      <c r="AE3571" s="7" t="str">
        <f t="shared" si="2"/>
        <v> sq. ft.</v>
      </c>
      <c r="AF3571">
        <f>IFERROR(__xludf.DUMMYFUNCTION("VALUE(REGEXREPLACE(G3571,""[^[:digit:]]"", """"))"),2163.0)</f>
        <v>2163</v>
      </c>
      <c r="AG3571" s="7"/>
      <c r="AH3571" s="7"/>
      <c r="AI3571" s="7"/>
      <c r="AJ3571" s="7"/>
      <c r="AK3571" s="7"/>
      <c r="AL3571" s="7"/>
      <c r="AM3571" s="7"/>
      <c r="AN3571" s="7"/>
      <c r="AO3571" s="7"/>
      <c r="AP3571" s="7"/>
      <c r="AQ3571" s="7"/>
      <c r="AR3571" s="7"/>
      <c r="AS3571" s="7" t="s">
        <v>27</v>
      </c>
    </row>
    <row r="3572">
      <c r="A3572" s="7" t="s">
        <v>72</v>
      </c>
      <c r="B3572" s="7" t="s">
        <v>2381</v>
      </c>
      <c r="C3572" s="7">
        <f t="shared" ref="C3572:C3573" si="485">4</f>
        <v>4</v>
      </c>
      <c r="D3572" s="7">
        <v>4.0</v>
      </c>
      <c r="E3572" s="7">
        <v>3.0</v>
      </c>
      <c r="F3572" s="7" t="s">
        <v>83</v>
      </c>
      <c r="G3572" s="7" t="s">
        <v>2097</v>
      </c>
      <c r="H3572" s="9" t="s">
        <v>2979</v>
      </c>
      <c r="I3572" t="s">
        <v>4109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7" t="str">
        <f t="shared" si="1"/>
        <v>Built-up :</v>
      </c>
      <c r="AE3572" s="7" t="str">
        <f t="shared" si="2"/>
        <v> sq. ft.</v>
      </c>
      <c r="AF3572">
        <f>IFERROR(__xludf.DUMMYFUNCTION("VALUE(REGEXREPLACE(G3572,""[^[:digit:]]"", """"))"),2766.0)</f>
        <v>2766</v>
      </c>
      <c r="AG3572" s="7"/>
      <c r="AH3572" s="7"/>
      <c r="AI3572" s="7"/>
      <c r="AJ3572" s="7"/>
      <c r="AK3572" s="7"/>
      <c r="AL3572" s="7"/>
      <c r="AM3572" s="7"/>
      <c r="AN3572" s="7"/>
      <c r="AO3572" s="7"/>
      <c r="AP3572" s="7"/>
      <c r="AQ3572" s="7"/>
      <c r="AR3572" s="7"/>
      <c r="AS3572" s="7" t="s">
        <v>27</v>
      </c>
    </row>
    <row r="3573">
      <c r="A3573" s="7" t="s">
        <v>104</v>
      </c>
      <c r="B3573" s="7" t="s">
        <v>715</v>
      </c>
      <c r="C3573" s="7">
        <f t="shared" si="485"/>
        <v>4</v>
      </c>
      <c r="D3573" s="7">
        <v>2.0</v>
      </c>
      <c r="E3573" s="9">
        <v>2.0</v>
      </c>
      <c r="F3573" s="7" t="s">
        <v>343</v>
      </c>
      <c r="G3573" s="7" t="s">
        <v>1732</v>
      </c>
      <c r="H3573" s="9" t="s">
        <v>2981</v>
      </c>
      <c r="I3573" t="s">
        <v>3889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 t="s">
        <v>3298</v>
      </c>
      <c r="T3573" s="7"/>
      <c r="U3573" s="7"/>
      <c r="V3573" s="7"/>
      <c r="W3573" s="7"/>
      <c r="X3573" s="7"/>
      <c r="Y3573" s="7"/>
      <c r="Z3573" s="7"/>
      <c r="AA3573" s="7"/>
      <c r="AB3573" s="7"/>
      <c r="AC3573" s="7"/>
      <c r="AD3573" s="7" t="str">
        <f t="shared" si="1"/>
        <v>Land area </v>
      </c>
      <c r="AE3573" s="7" t="str">
        <f t="shared" si="2"/>
        <v> sq. ft.</v>
      </c>
      <c r="AF3573">
        <f>IFERROR(__xludf.DUMMYFUNCTION("VALUE(REGEXREPLACE(G3573,""[^[:digit:]]"", """"))"),2265.0)</f>
        <v>2265</v>
      </c>
      <c r="AG3573" s="7"/>
      <c r="AH3573" s="7"/>
      <c r="AI3573" s="7"/>
      <c r="AJ3573" s="7"/>
      <c r="AK3573" s="7"/>
      <c r="AL3573" s="7"/>
      <c r="AM3573" s="7"/>
      <c r="AN3573" s="7"/>
      <c r="AO3573" s="7"/>
      <c r="AP3573" s="7"/>
      <c r="AQ3573" s="7"/>
      <c r="AR3573" s="7"/>
      <c r="AS3573" s="7" t="s">
        <v>103</v>
      </c>
    </row>
    <row r="3574">
      <c r="A3574" s="7" t="s">
        <v>33</v>
      </c>
      <c r="B3574" s="7" t="s">
        <v>132</v>
      </c>
      <c r="C3574" s="7">
        <f>3</f>
        <v>3</v>
      </c>
      <c r="D3574" s="7">
        <v>3.0</v>
      </c>
      <c r="E3574" s="7">
        <v>2.0</v>
      </c>
      <c r="F3574" s="7" t="s">
        <v>20</v>
      </c>
      <c r="G3574" s="7" t="s">
        <v>1882</v>
      </c>
      <c r="H3574" s="9" t="s">
        <v>2979</v>
      </c>
      <c r="I3574" t="s">
        <v>3977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  <c r="AA3574" s="7"/>
      <c r="AB3574" s="7"/>
      <c r="AC3574" s="7"/>
      <c r="AD3574" s="7" t="str">
        <f t="shared" si="1"/>
        <v>Built-up :</v>
      </c>
      <c r="AE3574" s="7" t="str">
        <f t="shared" si="2"/>
        <v> sq. ft.</v>
      </c>
      <c r="AF3574">
        <f>IFERROR(__xludf.DUMMYFUNCTION("VALUE(REGEXREPLACE(G3574,""[^[:digit:]]"", """"))"),1339.0)</f>
        <v>1339</v>
      </c>
      <c r="AG3574" s="7"/>
      <c r="AH3574" s="7"/>
      <c r="AI3574" s="7"/>
      <c r="AJ3574" s="7"/>
      <c r="AK3574" s="7"/>
      <c r="AL3574" s="7"/>
      <c r="AM3574" s="7"/>
      <c r="AN3574" s="7"/>
      <c r="AO3574" s="7"/>
      <c r="AP3574" s="7"/>
      <c r="AQ3574" s="7"/>
      <c r="AR3574" s="7"/>
      <c r="AS3574" s="7" t="s">
        <v>27</v>
      </c>
    </row>
    <row r="3575">
      <c r="A3575" s="7" t="s">
        <v>2307</v>
      </c>
      <c r="B3575" s="7" t="s">
        <v>477</v>
      </c>
      <c r="C3575" s="7">
        <f>5+1</f>
        <v>6</v>
      </c>
      <c r="D3575" s="7">
        <v>4.0</v>
      </c>
      <c r="E3575" s="9">
        <v>2.0</v>
      </c>
      <c r="F3575" s="7" t="s">
        <v>67</v>
      </c>
      <c r="G3575" s="7" t="s">
        <v>62</v>
      </c>
      <c r="H3575" s="9" t="s">
        <v>2981</v>
      </c>
      <c r="I3575" t="s">
        <v>2995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7" t="str">
        <f t="shared" si="1"/>
        <v>Land area </v>
      </c>
      <c r="AE3575" s="7" t="str">
        <f t="shared" si="2"/>
        <v> sq. ft.</v>
      </c>
      <c r="AF3575">
        <f>IFERROR(__xludf.DUMMYFUNCTION("VALUE(REGEXREPLACE(G3575,""[^[:digit:]]"", """"))"),6000.0)</f>
        <v>6000</v>
      </c>
      <c r="AG3575" s="7"/>
      <c r="AH3575" s="7"/>
      <c r="AI3575" s="7"/>
      <c r="AJ3575" s="7"/>
      <c r="AK3575" s="7"/>
      <c r="AL3575" s="7"/>
      <c r="AM3575" s="7"/>
      <c r="AN3575" s="7"/>
      <c r="AO3575" s="7"/>
      <c r="AP3575" s="7"/>
      <c r="AQ3575" s="7"/>
      <c r="AR3575" s="7"/>
      <c r="AS3575" s="7" t="s">
        <v>27</v>
      </c>
    </row>
    <row r="3576">
      <c r="A3576" s="7" t="s">
        <v>164</v>
      </c>
      <c r="B3576" s="7" t="s">
        <v>422</v>
      </c>
      <c r="C3576" s="7">
        <f>4+2</f>
        <v>6</v>
      </c>
      <c r="D3576" s="7">
        <v>4.0</v>
      </c>
      <c r="E3576" s="7">
        <v>2.0</v>
      </c>
      <c r="F3576" s="7" t="s">
        <v>83</v>
      </c>
      <c r="G3576" s="7" t="s">
        <v>2382</v>
      </c>
      <c r="H3576" s="9" t="s">
        <v>2979</v>
      </c>
      <c r="I3576" t="s">
        <v>4283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7" t="str">
        <f t="shared" si="1"/>
        <v>Built-up :</v>
      </c>
      <c r="AE3576" s="7" t="str">
        <f t="shared" si="2"/>
        <v> sq. ft.</v>
      </c>
      <c r="AF3576">
        <f>IFERROR(__xludf.DUMMYFUNCTION("VALUE(REGEXREPLACE(G3576,""[^[:digit:]]"", """"))"),2850.0)</f>
        <v>2850</v>
      </c>
      <c r="AG3576" s="7"/>
      <c r="AH3576" s="7"/>
      <c r="AI3576" s="7"/>
      <c r="AJ3576" s="7"/>
      <c r="AK3576" s="7"/>
      <c r="AL3576" s="7"/>
      <c r="AM3576" s="7"/>
      <c r="AN3576" s="7"/>
      <c r="AO3576" s="7"/>
      <c r="AP3576" s="7"/>
      <c r="AQ3576" s="7"/>
      <c r="AR3576" s="7"/>
      <c r="AS3576" s="7" t="s">
        <v>27</v>
      </c>
    </row>
    <row r="3577">
      <c r="A3577" s="7" t="s">
        <v>37</v>
      </c>
      <c r="B3577" s="7" t="s">
        <v>1060</v>
      </c>
      <c r="C3577" s="7">
        <f>6</f>
        <v>6</v>
      </c>
      <c r="D3577" s="7">
        <v>4.0</v>
      </c>
      <c r="E3577" s="7">
        <v>4.0</v>
      </c>
      <c r="F3577" s="7" t="s">
        <v>67</v>
      </c>
      <c r="G3577" s="7" t="s">
        <v>2383</v>
      </c>
      <c r="H3577" s="9" t="s">
        <v>2981</v>
      </c>
      <c r="I3577" t="s">
        <v>4284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7" t="str">
        <f t="shared" si="1"/>
        <v>Land area </v>
      </c>
      <c r="AE3577" s="7" t="str">
        <f t="shared" si="2"/>
        <v> sq. ft.</v>
      </c>
      <c r="AF3577">
        <f>IFERROR(__xludf.DUMMYFUNCTION("VALUE(REGEXREPLACE(G3577,""[^[:digit:]]"", """"))"),6860.0)</f>
        <v>6860</v>
      </c>
      <c r="AG3577" s="7"/>
      <c r="AH3577" s="7"/>
      <c r="AI3577" s="7"/>
      <c r="AJ3577" s="7"/>
      <c r="AK3577" s="7"/>
      <c r="AL3577" s="7"/>
      <c r="AM3577" s="7"/>
      <c r="AN3577" s="7"/>
      <c r="AO3577" s="7"/>
      <c r="AP3577" s="7"/>
      <c r="AQ3577" s="7"/>
      <c r="AR3577" s="7"/>
      <c r="AS3577" s="7" t="s">
        <v>27</v>
      </c>
    </row>
    <row r="3578">
      <c r="A3578" s="7" t="s">
        <v>100</v>
      </c>
      <c r="B3578" s="7" t="s">
        <v>1392</v>
      </c>
      <c r="C3578" s="7">
        <f>4</f>
        <v>4</v>
      </c>
      <c r="D3578" s="7">
        <v>4.0</v>
      </c>
      <c r="E3578" s="7">
        <v>3.0</v>
      </c>
      <c r="F3578" s="7" t="s">
        <v>93</v>
      </c>
      <c r="G3578" s="7" t="s">
        <v>1371</v>
      </c>
      <c r="H3578" s="9" t="s">
        <v>2979</v>
      </c>
      <c r="I3578" t="s">
        <v>3678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7" t="str">
        <f t="shared" si="1"/>
        <v>Built-up :</v>
      </c>
      <c r="AE3578" s="7" t="str">
        <f t="shared" si="2"/>
        <v> sq. ft.</v>
      </c>
      <c r="AF3578">
        <f>IFERROR(__xludf.DUMMYFUNCTION("VALUE(REGEXREPLACE(G3578,""[^[:digit:]]"", """"))"),1362.0)</f>
        <v>1362</v>
      </c>
      <c r="AG3578" s="7"/>
      <c r="AH3578" s="7"/>
      <c r="AI3578" s="7"/>
      <c r="AJ3578" s="7"/>
      <c r="AK3578" s="7"/>
      <c r="AL3578" s="7"/>
      <c r="AM3578" s="7"/>
      <c r="AN3578" s="7"/>
      <c r="AO3578" s="7"/>
      <c r="AP3578" s="7"/>
      <c r="AQ3578" s="7"/>
      <c r="AR3578" s="7"/>
      <c r="AS3578" s="7" t="s">
        <v>103</v>
      </c>
    </row>
    <row r="3579">
      <c r="A3579" s="7" t="s">
        <v>72</v>
      </c>
      <c r="B3579" s="7" t="s">
        <v>165</v>
      </c>
      <c r="C3579" s="7">
        <f>4+2</f>
        <v>6</v>
      </c>
      <c r="D3579" s="7">
        <v>5.0</v>
      </c>
      <c r="E3579" s="7">
        <v>3.0</v>
      </c>
      <c r="F3579" s="7" t="s">
        <v>30</v>
      </c>
      <c r="G3579" s="7" t="s">
        <v>147</v>
      </c>
      <c r="H3579" s="9" t="s">
        <v>2979</v>
      </c>
      <c r="I3579" t="s">
        <v>3027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  <c r="AA3579" s="7"/>
      <c r="AB3579" s="7"/>
      <c r="AC3579" s="7"/>
      <c r="AD3579" s="7" t="str">
        <f t="shared" si="1"/>
        <v>Built-up :</v>
      </c>
      <c r="AE3579" s="7" t="str">
        <f t="shared" si="2"/>
        <v> sq. ft.</v>
      </c>
      <c r="AF3579">
        <f>IFERROR(__xludf.DUMMYFUNCTION("VALUE(REGEXREPLACE(G3579,""[^[:digit:]]"", """"))"),4090.0)</f>
        <v>4090</v>
      </c>
      <c r="AG3579" s="7"/>
      <c r="AH3579" s="7"/>
      <c r="AI3579" s="7"/>
      <c r="AJ3579" s="7"/>
      <c r="AK3579" s="7"/>
      <c r="AL3579" s="7"/>
      <c r="AM3579" s="7"/>
      <c r="AN3579" s="7"/>
      <c r="AO3579" s="7"/>
      <c r="AP3579" s="7"/>
      <c r="AQ3579" s="7"/>
      <c r="AR3579" s="7"/>
      <c r="AS3579" s="7" t="s">
        <v>27</v>
      </c>
    </row>
    <row r="3580">
      <c r="A3580" s="7" t="s">
        <v>432</v>
      </c>
      <c r="B3580" s="7" t="s">
        <v>447</v>
      </c>
      <c r="C3580" s="7">
        <f>6+1</f>
        <v>7</v>
      </c>
      <c r="D3580" s="7">
        <v>6.0</v>
      </c>
      <c r="E3580" s="9">
        <v>2.0</v>
      </c>
      <c r="F3580" s="7" t="s">
        <v>43</v>
      </c>
      <c r="G3580" s="7" t="s">
        <v>2384</v>
      </c>
      <c r="H3580" s="9" t="s">
        <v>2979</v>
      </c>
      <c r="I3580" t="s">
        <v>4285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  <c r="AA3580" s="7"/>
      <c r="AB3580" s="7"/>
      <c r="AC3580" s="7"/>
      <c r="AD3580" s="7" t="str">
        <f t="shared" si="1"/>
        <v>Built-up :</v>
      </c>
      <c r="AE3580" s="7" t="str">
        <f t="shared" si="2"/>
        <v> sq. ft.</v>
      </c>
      <c r="AF3580">
        <f>IFERROR(__xludf.DUMMYFUNCTION("VALUE(REGEXREPLACE(G3580,""[^[:digit:]]"", """"))"),4900.0)</f>
        <v>4900</v>
      </c>
      <c r="AG3580" s="7"/>
      <c r="AH3580" s="7"/>
      <c r="AI3580" s="7"/>
      <c r="AJ3580" s="7"/>
      <c r="AK3580" s="7"/>
      <c r="AL3580" s="7"/>
      <c r="AM3580" s="7"/>
      <c r="AN3580" s="7"/>
      <c r="AO3580" s="7"/>
      <c r="AP3580" s="7"/>
      <c r="AQ3580" s="7"/>
      <c r="AR3580" s="7"/>
    </row>
    <row r="3581">
      <c r="A3581" s="7" t="s">
        <v>72</v>
      </c>
      <c r="B3581" s="7" t="s">
        <v>2385</v>
      </c>
      <c r="C3581" s="7">
        <f>3+1</f>
        <v>4</v>
      </c>
      <c r="E3581" s="9">
        <v>2.0</v>
      </c>
      <c r="F3581" s="7" t="s">
        <v>83</v>
      </c>
      <c r="G3581" s="7" t="s">
        <v>561</v>
      </c>
      <c r="H3581" s="9" t="s">
        <v>2979</v>
      </c>
      <c r="I3581" t="s">
        <v>3226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7" t="str">
        <f t="shared" si="1"/>
        <v>Built-up :</v>
      </c>
      <c r="AE3581" s="7" t="str">
        <f t="shared" si="2"/>
        <v> sq. ft.</v>
      </c>
      <c r="AF3581">
        <f>IFERROR(__xludf.DUMMYFUNCTION("VALUE(REGEXREPLACE(G3581,""[^[:digit:]]"", """"))"),2535.0)</f>
        <v>2535</v>
      </c>
      <c r="AG3581" s="7"/>
      <c r="AH3581" s="7"/>
      <c r="AI3581" s="7"/>
      <c r="AJ3581" s="7"/>
      <c r="AK3581" s="7"/>
      <c r="AL3581" s="7"/>
      <c r="AM3581" s="7"/>
      <c r="AN3581" s="7"/>
      <c r="AO3581" s="7"/>
      <c r="AP3581" s="7"/>
      <c r="AQ3581" s="7"/>
      <c r="AR3581" s="7"/>
      <c r="AS3581" s="7" t="s">
        <v>27</v>
      </c>
    </row>
    <row r="3582">
      <c r="A3582" s="7" t="s">
        <v>17</v>
      </c>
      <c r="B3582" s="7" t="s">
        <v>712</v>
      </c>
      <c r="C3582" s="7">
        <f t="shared" ref="C3582:C3583" si="486">2+1</f>
        <v>3</v>
      </c>
      <c r="D3582" s="7">
        <v>2.0</v>
      </c>
      <c r="E3582" s="7">
        <v>1.0</v>
      </c>
      <c r="F3582" s="7" t="s">
        <v>121</v>
      </c>
      <c r="G3582" s="7" t="s">
        <v>1813</v>
      </c>
      <c r="H3582" s="9" t="s">
        <v>2979</v>
      </c>
      <c r="I3582" t="s">
        <v>3936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7" t="str">
        <f t="shared" si="1"/>
        <v>Built-up :</v>
      </c>
      <c r="AE3582" s="7" t="str">
        <f t="shared" si="2"/>
        <v> sq. ft.</v>
      </c>
      <c r="AF3582">
        <f>IFERROR(__xludf.DUMMYFUNCTION("VALUE(REGEXREPLACE(G3582,""[^[:digit:]]"", """"))"),1299.0)</f>
        <v>1299</v>
      </c>
      <c r="AG3582" s="7"/>
      <c r="AH3582" s="7"/>
      <c r="AI3582" s="7"/>
      <c r="AJ3582" s="7"/>
      <c r="AK3582" s="7"/>
      <c r="AL3582" s="7"/>
      <c r="AM3582" s="7"/>
      <c r="AN3582" s="7"/>
      <c r="AO3582" s="7"/>
      <c r="AP3582" s="7"/>
      <c r="AQ3582" s="7"/>
      <c r="AR3582" s="7"/>
      <c r="AS3582" s="7" t="s">
        <v>22</v>
      </c>
    </row>
    <row r="3583">
      <c r="A3583" s="7" t="s">
        <v>17</v>
      </c>
      <c r="B3583" s="7" t="s">
        <v>189</v>
      </c>
      <c r="C3583" s="7">
        <f t="shared" si="486"/>
        <v>3</v>
      </c>
      <c r="D3583" s="7">
        <v>2.0</v>
      </c>
      <c r="E3583" s="7">
        <v>1.0</v>
      </c>
      <c r="F3583" s="7" t="s">
        <v>121</v>
      </c>
      <c r="G3583" s="7" t="s">
        <v>2386</v>
      </c>
      <c r="H3583" s="9" t="s">
        <v>2979</v>
      </c>
      <c r="I3583" t="s">
        <v>4286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7" t="str">
        <f t="shared" si="1"/>
        <v>Built-up :</v>
      </c>
      <c r="AE3583" s="7" t="str">
        <f t="shared" si="2"/>
        <v> sq. ft.</v>
      </c>
      <c r="AF3583">
        <f>IFERROR(__xludf.DUMMYFUNCTION("VALUE(REGEXREPLACE(G3583,""[^[:digit:]]"", """"))"),1190.0)</f>
        <v>1190</v>
      </c>
      <c r="AG3583" s="7"/>
      <c r="AH3583" s="7"/>
      <c r="AI3583" s="7"/>
      <c r="AJ3583" s="7"/>
      <c r="AK3583" s="7"/>
      <c r="AL3583" s="7"/>
      <c r="AM3583" s="7"/>
      <c r="AN3583" s="7"/>
      <c r="AO3583" s="7"/>
      <c r="AP3583" s="7"/>
      <c r="AQ3583" s="7"/>
      <c r="AR3583" s="7"/>
      <c r="AS3583" s="7" t="s">
        <v>22</v>
      </c>
    </row>
    <row r="3584">
      <c r="A3584" s="7" t="s">
        <v>100</v>
      </c>
      <c r="B3584" s="7" t="s">
        <v>236</v>
      </c>
      <c r="C3584" s="7">
        <f>5+1</f>
        <v>6</v>
      </c>
      <c r="D3584" s="7">
        <v>5.0</v>
      </c>
      <c r="E3584" s="9">
        <v>2.0</v>
      </c>
      <c r="F3584" s="7" t="s">
        <v>64</v>
      </c>
      <c r="G3584" s="7" t="s">
        <v>2387</v>
      </c>
      <c r="H3584" s="9" t="s">
        <v>2981</v>
      </c>
      <c r="I3584" t="s">
        <v>4287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7" t="str">
        <f t="shared" si="1"/>
        <v>Land area </v>
      </c>
      <c r="AE3584" s="7" t="str">
        <f t="shared" si="2"/>
        <v> sq. ft.</v>
      </c>
      <c r="AF3584">
        <f>IFERROR(__xludf.DUMMYFUNCTION("VALUE(REGEXREPLACE(G3584,""[^[:digit:]]"", """"))"),3960.0)</f>
        <v>3960</v>
      </c>
      <c r="AG3584" s="7"/>
      <c r="AH3584" s="7"/>
      <c r="AI3584" s="7"/>
      <c r="AJ3584" s="7"/>
      <c r="AK3584" s="7"/>
      <c r="AL3584" s="7"/>
      <c r="AM3584" s="7"/>
      <c r="AN3584" s="7"/>
      <c r="AO3584" s="7"/>
      <c r="AP3584" s="7"/>
      <c r="AQ3584" s="7"/>
      <c r="AR3584" s="7"/>
      <c r="AS3584" s="7" t="s">
        <v>103</v>
      </c>
    </row>
    <row r="3585">
      <c r="A3585" s="7" t="s">
        <v>32</v>
      </c>
      <c r="B3585" s="7" t="s">
        <v>2388</v>
      </c>
      <c r="C3585" s="7">
        <f>2+1</f>
        <v>3</v>
      </c>
      <c r="D3585" s="7">
        <v>2.0</v>
      </c>
      <c r="E3585" s="7">
        <v>2.0</v>
      </c>
      <c r="F3585" s="7" t="s">
        <v>20</v>
      </c>
      <c r="G3585" s="7" t="s">
        <v>242</v>
      </c>
      <c r="H3585" s="9" t="s">
        <v>2979</v>
      </c>
      <c r="I3585" t="s">
        <v>3072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  <c r="AA3585" s="7"/>
      <c r="AB3585" s="7"/>
      <c r="AC3585" s="7"/>
      <c r="AD3585" s="7" t="str">
        <f t="shared" si="1"/>
        <v>Built-up :</v>
      </c>
      <c r="AE3585" s="7" t="str">
        <f t="shared" si="2"/>
        <v> sq. ft.</v>
      </c>
      <c r="AF3585">
        <f>IFERROR(__xludf.DUMMYFUNCTION("VALUE(REGEXREPLACE(G3585,""[^[:digit:]]"", """"))"),650.0)</f>
        <v>650</v>
      </c>
      <c r="AG3585" s="7"/>
      <c r="AH3585" s="7"/>
      <c r="AI3585" s="7"/>
      <c r="AJ3585" s="7"/>
      <c r="AK3585" s="7"/>
      <c r="AL3585" s="7"/>
      <c r="AM3585" s="7"/>
      <c r="AN3585" s="7"/>
      <c r="AO3585" s="7"/>
      <c r="AP3585" s="7"/>
      <c r="AQ3585" s="7"/>
      <c r="AR3585" s="7"/>
      <c r="AS3585" s="7" t="s">
        <v>27</v>
      </c>
    </row>
    <row r="3586">
      <c r="A3586" s="7" t="s">
        <v>171</v>
      </c>
      <c r="B3586" s="7" t="s">
        <v>268</v>
      </c>
      <c r="C3586" s="7">
        <f>3</f>
        <v>3</v>
      </c>
      <c r="D3586" s="7">
        <v>2.0</v>
      </c>
      <c r="E3586" s="7">
        <v>2.0</v>
      </c>
      <c r="F3586" s="7" t="s">
        <v>121</v>
      </c>
      <c r="G3586" s="7" t="s">
        <v>2389</v>
      </c>
      <c r="H3586" s="9" t="s">
        <v>2979</v>
      </c>
      <c r="I3586" t="s">
        <v>4288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  <c r="AA3586" s="7"/>
      <c r="AB3586" s="7"/>
      <c r="AC3586" s="7"/>
      <c r="AD3586" s="7" t="str">
        <f t="shared" si="1"/>
        <v>Built-up :</v>
      </c>
      <c r="AE3586" s="7" t="str">
        <f t="shared" si="2"/>
        <v> sq. ft.</v>
      </c>
      <c r="AF3586">
        <f>IFERROR(__xludf.DUMMYFUNCTION("VALUE(REGEXREPLACE(G3586,""[^[:digit:]]"", """"))"),1059.0)</f>
        <v>1059</v>
      </c>
      <c r="AG3586" s="7"/>
      <c r="AH3586" s="7"/>
      <c r="AI3586" s="7"/>
      <c r="AJ3586" s="7"/>
      <c r="AK3586" s="7"/>
      <c r="AL3586" s="7"/>
      <c r="AM3586" s="7"/>
      <c r="AN3586" s="7"/>
      <c r="AO3586" s="7"/>
      <c r="AP3586" s="7"/>
      <c r="AQ3586" s="7"/>
      <c r="AR3586" s="7"/>
      <c r="AS3586" s="7" t="s">
        <v>27</v>
      </c>
    </row>
    <row r="3587">
      <c r="A3587" s="7" t="s">
        <v>17</v>
      </c>
      <c r="B3587" s="7" t="s">
        <v>329</v>
      </c>
      <c r="C3587" s="7">
        <f t="shared" ref="C3587:C3588" si="487">2+1</f>
        <v>3</v>
      </c>
      <c r="D3587" s="7">
        <v>2.0</v>
      </c>
      <c r="E3587" s="7">
        <v>1.0</v>
      </c>
      <c r="F3587" s="7" t="s">
        <v>121</v>
      </c>
      <c r="G3587" s="7" t="s">
        <v>505</v>
      </c>
      <c r="H3587" s="9" t="s">
        <v>2979</v>
      </c>
      <c r="I3587" t="s">
        <v>3199</v>
      </c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7" t="str">
        <f t="shared" si="1"/>
        <v>Built-up :</v>
      </c>
      <c r="AE3587" s="7" t="str">
        <f t="shared" si="2"/>
        <v> sq. ft.</v>
      </c>
      <c r="AF3587">
        <f>IFERROR(__xludf.DUMMYFUNCTION("VALUE(REGEXREPLACE(G3587,""[^[:digit:]]"", """"))"),900.0)</f>
        <v>900</v>
      </c>
      <c r="AG3587" s="7"/>
      <c r="AH3587" s="7"/>
      <c r="AI3587" s="7"/>
      <c r="AJ3587" s="7"/>
      <c r="AK3587" s="7"/>
      <c r="AL3587" s="7"/>
      <c r="AM3587" s="7"/>
      <c r="AN3587" s="7"/>
      <c r="AO3587" s="7"/>
      <c r="AP3587" s="7"/>
      <c r="AQ3587" s="7"/>
      <c r="AR3587" s="7"/>
      <c r="AS3587" s="7" t="s">
        <v>22</v>
      </c>
    </row>
    <row r="3588">
      <c r="A3588" s="7" t="s">
        <v>17</v>
      </c>
      <c r="B3588" s="7" t="s">
        <v>599</v>
      </c>
      <c r="C3588" s="7">
        <f t="shared" si="487"/>
        <v>3</v>
      </c>
      <c r="D3588" s="7">
        <v>1.0</v>
      </c>
      <c r="E3588" s="7">
        <v>1.0</v>
      </c>
      <c r="F3588" s="7" t="s">
        <v>121</v>
      </c>
      <c r="G3588" s="7" t="s">
        <v>242</v>
      </c>
      <c r="H3588" s="9" t="s">
        <v>2979</v>
      </c>
      <c r="I3588" t="s">
        <v>3072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7" t="str">
        <f t="shared" si="1"/>
        <v>Built-up :</v>
      </c>
      <c r="AE3588" s="7" t="str">
        <f t="shared" si="2"/>
        <v> sq. ft.</v>
      </c>
      <c r="AF3588">
        <f>IFERROR(__xludf.DUMMYFUNCTION("VALUE(REGEXREPLACE(G3588,""[^[:digit:]]"", """"))"),650.0)</f>
        <v>650</v>
      </c>
      <c r="AG3588" s="7"/>
      <c r="AH3588" s="7"/>
      <c r="AI3588" s="7"/>
      <c r="AJ3588" s="7"/>
      <c r="AK3588" s="7"/>
      <c r="AL3588" s="7"/>
      <c r="AM3588" s="7"/>
      <c r="AN3588" s="7"/>
      <c r="AO3588" s="7"/>
      <c r="AP3588" s="7"/>
      <c r="AQ3588" s="7"/>
      <c r="AR3588" s="7"/>
      <c r="AS3588" s="7" t="s">
        <v>22</v>
      </c>
    </row>
    <row r="3589">
      <c r="A3589" s="7" t="s">
        <v>72</v>
      </c>
      <c r="B3589" s="7" t="s">
        <v>134</v>
      </c>
      <c r="C3589" s="7">
        <f>3</f>
        <v>3</v>
      </c>
      <c r="D3589" s="7">
        <v>3.0</v>
      </c>
      <c r="E3589" s="9">
        <v>2.0</v>
      </c>
      <c r="F3589" s="7" t="s">
        <v>83</v>
      </c>
      <c r="G3589" s="7" t="s">
        <v>1105</v>
      </c>
      <c r="H3589" s="9" t="s">
        <v>2979</v>
      </c>
      <c r="I3589" t="s">
        <v>3506</v>
      </c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7" t="str">
        <f t="shared" si="1"/>
        <v>Built-up :</v>
      </c>
      <c r="AE3589" s="7" t="str">
        <f t="shared" si="2"/>
        <v> sq. ft.</v>
      </c>
      <c r="AF3589">
        <f>IFERROR(__xludf.DUMMYFUNCTION("VALUE(REGEXREPLACE(G3589,""[^[:digit:]]"", """"))"),2100.0)</f>
        <v>2100</v>
      </c>
      <c r="AG3589" s="7"/>
      <c r="AH3589" s="7"/>
      <c r="AI3589" s="7"/>
      <c r="AJ3589" s="7"/>
      <c r="AK3589" s="7"/>
      <c r="AL3589" s="7"/>
      <c r="AM3589" s="7"/>
      <c r="AN3589" s="7"/>
      <c r="AO3589" s="7"/>
      <c r="AP3589" s="7"/>
      <c r="AQ3589" s="7"/>
      <c r="AR3589" s="7"/>
      <c r="AS3589" s="7" t="s">
        <v>22</v>
      </c>
    </row>
    <row r="3590">
      <c r="A3590" s="7" t="s">
        <v>100</v>
      </c>
      <c r="B3590" s="7" t="s">
        <v>2390</v>
      </c>
      <c r="C3590" s="7">
        <f>1</f>
        <v>1</v>
      </c>
      <c r="D3590" s="7">
        <v>2.0</v>
      </c>
      <c r="E3590" s="7">
        <v>1.0</v>
      </c>
      <c r="F3590" s="7" t="s">
        <v>145</v>
      </c>
      <c r="G3590" s="7" t="s">
        <v>786</v>
      </c>
      <c r="H3590" s="9" t="s">
        <v>2979</v>
      </c>
      <c r="I3590" t="s">
        <v>3339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7" t="str">
        <f t="shared" si="1"/>
        <v>Built-up :</v>
      </c>
      <c r="AE3590" s="7" t="str">
        <f t="shared" si="2"/>
        <v> sq. ft.</v>
      </c>
      <c r="AF3590">
        <f>IFERROR(__xludf.DUMMYFUNCTION("VALUE(REGEXREPLACE(G3590,""[^[:digit:]]"", """"))"),775.0)</f>
        <v>775</v>
      </c>
      <c r="AG3590" s="7"/>
      <c r="AH3590" s="7"/>
      <c r="AI3590" s="7"/>
      <c r="AJ3590" s="7"/>
      <c r="AK3590" s="7"/>
      <c r="AL3590" s="7"/>
      <c r="AM3590" s="7"/>
      <c r="AN3590" s="7"/>
      <c r="AO3590" s="7"/>
      <c r="AP3590" s="7"/>
      <c r="AQ3590" s="7"/>
      <c r="AR3590" s="7"/>
      <c r="AS3590" s="7" t="s">
        <v>22</v>
      </c>
    </row>
    <row r="3591">
      <c r="A3591" s="7" t="s">
        <v>37</v>
      </c>
      <c r="B3591" s="7" t="s">
        <v>245</v>
      </c>
      <c r="C3591" s="7">
        <f>3</f>
        <v>3</v>
      </c>
      <c r="D3591" s="7">
        <v>2.0</v>
      </c>
      <c r="E3591" s="7">
        <v>1.0</v>
      </c>
      <c r="F3591" s="7" t="s">
        <v>93</v>
      </c>
      <c r="G3591" s="7" t="s">
        <v>471</v>
      </c>
      <c r="H3591" s="9" t="s">
        <v>2979</v>
      </c>
      <c r="I3591" t="s">
        <v>3179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  <c r="AA3591" s="7"/>
      <c r="AB3591" s="7"/>
      <c r="AC3591" s="7"/>
      <c r="AD3591" s="7" t="str">
        <f t="shared" si="1"/>
        <v>Built-up :</v>
      </c>
      <c r="AE3591" s="7" t="str">
        <f t="shared" si="2"/>
        <v> sq. ft.</v>
      </c>
      <c r="AF3591">
        <f>IFERROR(__xludf.DUMMYFUNCTION("VALUE(REGEXREPLACE(G3591,""[^[:digit:]]"", """"))"),1400.0)</f>
        <v>1400</v>
      </c>
      <c r="AG3591" s="7"/>
      <c r="AH3591" s="7"/>
      <c r="AI3591" s="7"/>
      <c r="AJ3591" s="7"/>
      <c r="AK3591" s="7"/>
      <c r="AL3591" s="7"/>
      <c r="AM3591" s="7"/>
      <c r="AN3591" s="7"/>
      <c r="AO3591" s="7"/>
      <c r="AP3591" s="7"/>
      <c r="AQ3591" s="7"/>
      <c r="AR3591" s="7"/>
      <c r="AS3591" s="7" t="s">
        <v>27</v>
      </c>
    </row>
    <row r="3592">
      <c r="A3592" s="7" t="s">
        <v>428</v>
      </c>
      <c r="B3592" s="7" t="s">
        <v>349</v>
      </c>
      <c r="C3592" s="7">
        <f>5</f>
        <v>5</v>
      </c>
      <c r="D3592" s="7">
        <v>4.0</v>
      </c>
      <c r="E3592" s="7">
        <v>6.0</v>
      </c>
      <c r="F3592" s="7" t="s">
        <v>43</v>
      </c>
      <c r="G3592" s="7" t="s">
        <v>478</v>
      </c>
      <c r="H3592" s="9" t="s">
        <v>2981</v>
      </c>
      <c r="I3592" t="s">
        <v>3183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  <c r="AA3592" s="7"/>
      <c r="AB3592" s="7"/>
      <c r="AC3592" s="7"/>
      <c r="AD3592" s="7" t="str">
        <f t="shared" si="1"/>
        <v>Land area </v>
      </c>
      <c r="AE3592" s="7" t="str">
        <f t="shared" si="2"/>
        <v> sq. ft.</v>
      </c>
      <c r="AF3592">
        <f>IFERROR(__xludf.DUMMYFUNCTION("VALUE(REGEXREPLACE(G3592,""[^[:digit:]]"", """"))"),3200.0)</f>
        <v>3200</v>
      </c>
      <c r="AG3592" s="7"/>
      <c r="AH3592" s="7"/>
      <c r="AI3592" s="7"/>
      <c r="AJ3592" s="7"/>
      <c r="AK3592" s="7"/>
      <c r="AL3592" s="7"/>
      <c r="AM3592" s="7"/>
      <c r="AN3592" s="7"/>
      <c r="AO3592" s="7"/>
      <c r="AP3592" s="7"/>
      <c r="AQ3592" s="7"/>
      <c r="AR3592" s="7"/>
      <c r="AS3592" s="7" t="s">
        <v>27</v>
      </c>
    </row>
    <row r="3593">
      <c r="A3593" s="7" t="s">
        <v>428</v>
      </c>
      <c r="B3593" s="7" t="s">
        <v>691</v>
      </c>
      <c r="C3593" s="7">
        <f>2</f>
        <v>2</v>
      </c>
      <c r="D3593" s="7">
        <v>1.0</v>
      </c>
      <c r="E3593" s="9">
        <v>2.0</v>
      </c>
      <c r="F3593" s="7" t="s">
        <v>169</v>
      </c>
      <c r="G3593" s="7" t="s">
        <v>2391</v>
      </c>
      <c r="H3593" s="9" t="s">
        <v>2981</v>
      </c>
      <c r="I3593" t="s">
        <v>3406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7" t="str">
        <f t="shared" si="1"/>
        <v>Land area </v>
      </c>
      <c r="AE3593" s="7" t="str">
        <f t="shared" si="2"/>
        <v> sq. ft.</v>
      </c>
      <c r="AF3593">
        <f>IFERROR(__xludf.DUMMYFUNCTION("VALUE(REGEXREPLACE(G3593,""[^[:digit:]]"", """"))"),750.0)</f>
        <v>750</v>
      </c>
      <c r="AG3593" s="7"/>
      <c r="AH3593" s="7"/>
      <c r="AI3593" s="7"/>
      <c r="AJ3593" s="7"/>
      <c r="AK3593" s="7"/>
      <c r="AL3593" s="7"/>
      <c r="AM3593" s="7"/>
      <c r="AN3593" s="7"/>
      <c r="AO3593" s="7"/>
      <c r="AP3593" s="7"/>
      <c r="AQ3593" s="7"/>
      <c r="AR3593" s="7"/>
    </row>
    <row r="3594">
      <c r="A3594" s="7" t="s">
        <v>72</v>
      </c>
      <c r="B3594" s="7" t="s">
        <v>2392</v>
      </c>
      <c r="C3594" s="7">
        <f>4+2</f>
        <v>6</v>
      </c>
      <c r="D3594" s="7">
        <v>4.0</v>
      </c>
      <c r="E3594" s="7">
        <v>3.0</v>
      </c>
      <c r="F3594" s="7" t="s">
        <v>83</v>
      </c>
      <c r="G3594" s="7" t="s">
        <v>1050</v>
      </c>
      <c r="H3594" s="9" t="s">
        <v>2979</v>
      </c>
      <c r="I3594" t="s">
        <v>3476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7" t="str">
        <f t="shared" si="1"/>
        <v>Built-up :</v>
      </c>
      <c r="AE3594" s="7" t="str">
        <f t="shared" si="2"/>
        <v> sq. ft.</v>
      </c>
      <c r="AF3594">
        <f>IFERROR(__xludf.DUMMYFUNCTION("VALUE(REGEXREPLACE(G3594,""[^[:digit:]]"", """"))"),2081.0)</f>
        <v>2081</v>
      </c>
      <c r="AG3594" s="7"/>
      <c r="AH3594" s="7"/>
      <c r="AI3594" s="7"/>
      <c r="AJ3594" s="7"/>
      <c r="AK3594" s="7"/>
      <c r="AL3594" s="7"/>
      <c r="AM3594" s="7"/>
      <c r="AN3594" s="7"/>
      <c r="AO3594" s="7"/>
      <c r="AP3594" s="7"/>
      <c r="AQ3594" s="7"/>
      <c r="AR3594" s="7"/>
      <c r="AS3594" s="7" t="s">
        <v>27</v>
      </c>
    </row>
    <row r="3595">
      <c r="A3595" s="7" t="s">
        <v>33</v>
      </c>
      <c r="B3595" s="7" t="s">
        <v>361</v>
      </c>
      <c r="C3595" s="7">
        <f t="shared" ref="C3595:C3596" si="488">3</f>
        <v>3</v>
      </c>
      <c r="D3595" s="7">
        <v>3.0</v>
      </c>
      <c r="E3595" s="7">
        <v>2.0</v>
      </c>
      <c r="F3595" s="7" t="s">
        <v>93</v>
      </c>
      <c r="G3595" s="7" t="s">
        <v>1156</v>
      </c>
      <c r="H3595" s="9" t="s">
        <v>2979</v>
      </c>
      <c r="I3595" t="s">
        <v>3545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7" t="str">
        <f t="shared" si="1"/>
        <v>Built-up :</v>
      </c>
      <c r="AE3595" s="7" t="str">
        <f t="shared" si="2"/>
        <v> sq. ft.</v>
      </c>
      <c r="AF3595">
        <f>IFERROR(__xludf.DUMMYFUNCTION("VALUE(REGEXREPLACE(G3595,""[^[:digit:]]"", """"))"),1003.0)</f>
        <v>1003</v>
      </c>
      <c r="AG3595" s="7"/>
      <c r="AH3595" s="7"/>
      <c r="AI3595" s="7"/>
      <c r="AJ3595" s="7"/>
      <c r="AK3595" s="7"/>
      <c r="AL3595" s="7"/>
      <c r="AM3595" s="7"/>
      <c r="AN3595" s="7"/>
      <c r="AO3595" s="7"/>
      <c r="AP3595" s="7"/>
      <c r="AQ3595" s="7"/>
      <c r="AR3595" s="7"/>
      <c r="AS3595" s="7" t="s">
        <v>103</v>
      </c>
    </row>
    <row r="3596">
      <c r="A3596" s="7" t="s">
        <v>33</v>
      </c>
      <c r="B3596" s="7" t="s">
        <v>677</v>
      </c>
      <c r="C3596" s="7">
        <f t="shared" si="488"/>
        <v>3</v>
      </c>
      <c r="D3596" s="7">
        <v>3.0</v>
      </c>
      <c r="E3596" s="7">
        <v>2.0</v>
      </c>
      <c r="F3596" s="7" t="s">
        <v>93</v>
      </c>
      <c r="G3596" s="7" t="s">
        <v>1156</v>
      </c>
      <c r="H3596" s="9" t="s">
        <v>2979</v>
      </c>
      <c r="I3596" t="s">
        <v>3545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7" t="str">
        <f t="shared" si="1"/>
        <v>Built-up :</v>
      </c>
      <c r="AE3596" s="7" t="str">
        <f t="shared" si="2"/>
        <v> sq. ft.</v>
      </c>
      <c r="AF3596">
        <f>IFERROR(__xludf.DUMMYFUNCTION("VALUE(REGEXREPLACE(G3596,""[^[:digit:]]"", """"))"),1003.0)</f>
        <v>1003</v>
      </c>
      <c r="AG3596" s="7"/>
      <c r="AH3596" s="7"/>
      <c r="AI3596" s="7"/>
      <c r="AJ3596" s="7"/>
      <c r="AK3596" s="7"/>
      <c r="AL3596" s="7"/>
      <c r="AM3596" s="7"/>
      <c r="AN3596" s="7"/>
      <c r="AO3596" s="7"/>
      <c r="AP3596" s="7"/>
      <c r="AQ3596" s="7"/>
      <c r="AR3596" s="7"/>
      <c r="AS3596" s="7" t="s">
        <v>103</v>
      </c>
    </row>
    <row r="3597">
      <c r="A3597" s="7" t="s">
        <v>100</v>
      </c>
      <c r="B3597" s="7" t="s">
        <v>648</v>
      </c>
      <c r="C3597" s="7">
        <f>4</f>
        <v>4</v>
      </c>
      <c r="D3597" s="7">
        <v>4.0</v>
      </c>
      <c r="E3597" s="7">
        <v>1.0</v>
      </c>
      <c r="F3597" s="7" t="s">
        <v>83</v>
      </c>
      <c r="G3597" s="7" t="s">
        <v>2393</v>
      </c>
      <c r="H3597" s="9" t="s">
        <v>2979</v>
      </c>
      <c r="I3597" t="s">
        <v>4289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  <c r="AA3597" s="7"/>
      <c r="AB3597" s="7"/>
      <c r="AC3597" s="7"/>
      <c r="AD3597" s="7" t="str">
        <f t="shared" si="1"/>
        <v>Built-up :</v>
      </c>
      <c r="AE3597" s="7" t="str">
        <f t="shared" si="2"/>
        <v> sq. ft.</v>
      </c>
      <c r="AF3597">
        <f>IFERROR(__xludf.DUMMYFUNCTION("VALUE(REGEXREPLACE(G3597,""[^[:digit:]]"", """"))"),1298.0)</f>
        <v>1298</v>
      </c>
      <c r="AG3597" s="7"/>
      <c r="AH3597" s="7"/>
      <c r="AI3597" s="7"/>
      <c r="AJ3597" s="7"/>
      <c r="AK3597" s="7"/>
      <c r="AL3597" s="7"/>
      <c r="AM3597" s="7"/>
      <c r="AN3597" s="7"/>
      <c r="AO3597" s="7"/>
      <c r="AP3597" s="7"/>
      <c r="AQ3597" s="7"/>
      <c r="AR3597" s="7"/>
      <c r="AS3597" s="7" t="s">
        <v>103</v>
      </c>
    </row>
    <row r="3598">
      <c r="A3598" s="7" t="s">
        <v>89</v>
      </c>
      <c r="B3598" s="7" t="s">
        <v>2394</v>
      </c>
      <c r="C3598" s="7">
        <f>3</f>
        <v>3</v>
      </c>
      <c r="D3598" s="7">
        <v>2.0</v>
      </c>
      <c r="E3598" s="7">
        <v>3.0</v>
      </c>
      <c r="F3598" s="7" t="s">
        <v>30</v>
      </c>
      <c r="G3598" s="7" t="s">
        <v>2247</v>
      </c>
      <c r="H3598" s="9" t="s">
        <v>2979</v>
      </c>
      <c r="I3598" t="s">
        <v>4205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  <c r="AA3598" s="7"/>
      <c r="AB3598" s="7"/>
      <c r="AC3598" s="7"/>
      <c r="AD3598" s="7" t="str">
        <f t="shared" si="1"/>
        <v>Built-up :</v>
      </c>
      <c r="AE3598" s="7" t="str">
        <f t="shared" si="2"/>
        <v> sq. ft.</v>
      </c>
      <c r="AF3598">
        <f>IFERROR(__xludf.DUMMYFUNCTION("VALUE(REGEXREPLACE(G3598,""[^[:digit:]]"", """"))"),1042.0)</f>
        <v>1042</v>
      </c>
      <c r="AG3598" s="7"/>
      <c r="AH3598" s="7"/>
      <c r="AI3598" s="7"/>
      <c r="AJ3598" s="7"/>
      <c r="AK3598" s="7"/>
      <c r="AL3598" s="7"/>
      <c r="AM3598" s="7"/>
      <c r="AN3598" s="7"/>
      <c r="AO3598" s="7"/>
      <c r="AP3598" s="7"/>
      <c r="AQ3598" s="7"/>
      <c r="AR3598" s="7"/>
      <c r="AS3598" s="7" t="s">
        <v>27</v>
      </c>
    </row>
    <row r="3599">
      <c r="A3599" s="7" t="s">
        <v>72</v>
      </c>
      <c r="B3599" s="7" t="s">
        <v>552</v>
      </c>
      <c r="C3599" s="7">
        <f t="shared" ref="C3599:C3600" si="489">2</f>
        <v>2</v>
      </c>
      <c r="D3599" s="7">
        <v>2.0</v>
      </c>
      <c r="E3599" s="7">
        <v>1.0</v>
      </c>
      <c r="F3599" s="7" t="s">
        <v>83</v>
      </c>
      <c r="G3599" s="7" t="s">
        <v>1449</v>
      </c>
      <c r="H3599" s="9" t="s">
        <v>2979</v>
      </c>
      <c r="I3599" t="s">
        <v>3721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7" t="str">
        <f t="shared" si="1"/>
        <v>Built-up :</v>
      </c>
      <c r="AE3599" s="7" t="str">
        <f t="shared" si="2"/>
        <v> sq. ft.</v>
      </c>
      <c r="AF3599">
        <f>IFERROR(__xludf.DUMMYFUNCTION("VALUE(REGEXREPLACE(G3599,""[^[:digit:]]"", """"))"),931.0)</f>
        <v>931</v>
      </c>
      <c r="AG3599" s="7"/>
      <c r="AH3599" s="7"/>
      <c r="AI3599" s="7"/>
      <c r="AJ3599" s="7"/>
      <c r="AK3599" s="7"/>
      <c r="AL3599" s="7"/>
      <c r="AM3599" s="7"/>
      <c r="AN3599" s="7"/>
      <c r="AO3599" s="7"/>
      <c r="AP3599" s="7"/>
      <c r="AQ3599" s="7"/>
      <c r="AR3599" s="7"/>
      <c r="AS3599" s="7" t="s">
        <v>22</v>
      </c>
    </row>
    <row r="3600">
      <c r="A3600" s="7" t="s">
        <v>164</v>
      </c>
      <c r="B3600" s="7" t="s">
        <v>2395</v>
      </c>
      <c r="C3600" s="7">
        <f t="shared" si="489"/>
        <v>2</v>
      </c>
      <c r="D3600" s="7">
        <v>3.0</v>
      </c>
      <c r="E3600" s="7">
        <v>1.0</v>
      </c>
      <c r="F3600" s="7" t="s">
        <v>121</v>
      </c>
      <c r="G3600" s="7" t="s">
        <v>1971</v>
      </c>
      <c r="H3600" s="9" t="s">
        <v>2979</v>
      </c>
      <c r="I3600" t="s">
        <v>4028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  <c r="AC3600" s="7"/>
      <c r="AD3600" s="7" t="str">
        <f t="shared" si="1"/>
        <v>Built-up :</v>
      </c>
      <c r="AE3600" s="7" t="str">
        <f t="shared" si="2"/>
        <v> sq. ft.</v>
      </c>
      <c r="AF3600">
        <f>IFERROR(__xludf.DUMMYFUNCTION("VALUE(REGEXREPLACE(G3600,""[^[:digit:]]"", """"))"),1464.0)</f>
        <v>1464</v>
      </c>
      <c r="AG3600" s="7"/>
      <c r="AH3600" s="7"/>
      <c r="AI3600" s="7"/>
      <c r="AJ3600" s="7"/>
      <c r="AK3600" s="7"/>
      <c r="AL3600" s="7"/>
      <c r="AM3600" s="7"/>
      <c r="AN3600" s="7"/>
      <c r="AO3600" s="7"/>
      <c r="AP3600" s="7"/>
      <c r="AQ3600" s="7"/>
      <c r="AR3600" s="7"/>
      <c r="AS3600" s="7" t="s">
        <v>22</v>
      </c>
    </row>
    <row r="3601">
      <c r="A3601" s="7" t="s">
        <v>164</v>
      </c>
      <c r="B3601" s="7" t="s">
        <v>255</v>
      </c>
      <c r="C3601" s="7">
        <f>4+1</f>
        <v>5</v>
      </c>
      <c r="D3601" s="7">
        <v>5.0</v>
      </c>
      <c r="E3601" s="7">
        <v>4.0</v>
      </c>
      <c r="F3601" s="7" t="s">
        <v>121</v>
      </c>
      <c r="G3601" s="7" t="s">
        <v>176</v>
      </c>
      <c r="H3601" s="9" t="s">
        <v>2979</v>
      </c>
      <c r="I3601" t="s">
        <v>3039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  <c r="AC3601" s="7"/>
      <c r="AD3601" s="7" t="str">
        <f t="shared" si="1"/>
        <v>Built-up :</v>
      </c>
      <c r="AE3601" s="7" t="str">
        <f t="shared" si="2"/>
        <v> sq. ft.</v>
      </c>
      <c r="AF3601">
        <f>IFERROR(__xludf.DUMMYFUNCTION("VALUE(REGEXREPLACE(G3601,""[^[:digit:]]"", """"))"),3000.0)</f>
        <v>3000</v>
      </c>
      <c r="AG3601" s="7"/>
      <c r="AH3601" s="7"/>
      <c r="AI3601" s="7"/>
      <c r="AJ3601" s="7"/>
      <c r="AK3601" s="7"/>
      <c r="AL3601" s="7"/>
      <c r="AM3601" s="7"/>
      <c r="AN3601" s="7"/>
      <c r="AO3601" s="7"/>
      <c r="AP3601" s="7"/>
      <c r="AQ3601" s="7"/>
      <c r="AR3601" s="7"/>
      <c r="AS3601" s="7" t="s">
        <v>22</v>
      </c>
    </row>
    <row r="3602">
      <c r="A3602" s="7" t="s">
        <v>23</v>
      </c>
      <c r="B3602" s="7" t="s">
        <v>239</v>
      </c>
      <c r="C3602" s="7">
        <f t="shared" ref="C3602:C3603" si="490">3+1</f>
        <v>4</v>
      </c>
      <c r="D3602" s="7">
        <v>4.0</v>
      </c>
      <c r="E3602" s="9">
        <v>2.0</v>
      </c>
      <c r="F3602" s="7" t="s">
        <v>121</v>
      </c>
      <c r="G3602" s="7" t="s">
        <v>656</v>
      </c>
      <c r="H3602" s="9" t="s">
        <v>2979</v>
      </c>
      <c r="I3602" t="s">
        <v>3269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  <c r="AC3602" s="7"/>
      <c r="AD3602" s="7" t="str">
        <f t="shared" si="1"/>
        <v>Built-up :</v>
      </c>
      <c r="AE3602" s="7" t="str">
        <f t="shared" si="2"/>
        <v> sq. ft.</v>
      </c>
      <c r="AF3602">
        <f>IFERROR(__xludf.DUMMYFUNCTION("VALUE(REGEXREPLACE(G3602,""[^[:digit:]]"", """"))"),1573.0)</f>
        <v>1573</v>
      </c>
      <c r="AG3602" s="7"/>
      <c r="AH3602" s="7"/>
      <c r="AI3602" s="7"/>
      <c r="AJ3602" s="7"/>
      <c r="AK3602" s="7"/>
      <c r="AL3602" s="7"/>
      <c r="AM3602" s="7"/>
      <c r="AN3602" s="7"/>
      <c r="AO3602" s="7"/>
      <c r="AP3602" s="7"/>
      <c r="AQ3602" s="7"/>
      <c r="AR3602" s="7"/>
      <c r="AS3602" s="7" t="s">
        <v>27</v>
      </c>
    </row>
    <row r="3603">
      <c r="A3603" s="7" t="s">
        <v>28</v>
      </c>
      <c r="B3603" s="7" t="s">
        <v>29</v>
      </c>
      <c r="C3603" s="7">
        <f t="shared" si="490"/>
        <v>4</v>
      </c>
      <c r="D3603" s="7">
        <v>5.0</v>
      </c>
      <c r="E3603" s="7">
        <v>2.0</v>
      </c>
      <c r="F3603" s="7" t="s">
        <v>83</v>
      </c>
      <c r="G3603" s="7" t="s">
        <v>97</v>
      </c>
      <c r="H3603" s="9" t="s">
        <v>2979</v>
      </c>
      <c r="I3603" t="s">
        <v>3005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  <c r="AA3603" s="7"/>
      <c r="AB3603" s="7"/>
      <c r="AC3603" s="7"/>
      <c r="AD3603" s="7" t="str">
        <f t="shared" si="1"/>
        <v>Built-up :</v>
      </c>
      <c r="AE3603" s="7" t="str">
        <f t="shared" si="2"/>
        <v> sq. ft.</v>
      </c>
      <c r="AF3603">
        <f>IFERROR(__xludf.DUMMYFUNCTION("VALUE(REGEXREPLACE(G3603,""[^[:digit:]]"", """"))"),1876.0)</f>
        <v>1876</v>
      </c>
      <c r="AG3603" s="7"/>
      <c r="AH3603" s="7"/>
      <c r="AI3603" s="7"/>
      <c r="AJ3603" s="7"/>
      <c r="AK3603" s="7"/>
      <c r="AL3603" s="7"/>
      <c r="AM3603" s="7"/>
      <c r="AN3603" s="7"/>
      <c r="AO3603" s="7"/>
      <c r="AP3603" s="7"/>
      <c r="AQ3603" s="7"/>
      <c r="AR3603" s="7"/>
      <c r="AS3603" s="7" t="s">
        <v>22</v>
      </c>
    </row>
    <row r="3604">
      <c r="A3604" s="7" t="s">
        <v>358</v>
      </c>
      <c r="B3604" s="7" t="s">
        <v>322</v>
      </c>
      <c r="C3604" s="7">
        <f>7</f>
        <v>7</v>
      </c>
      <c r="D3604" s="7">
        <v>6.0</v>
      </c>
      <c r="E3604" s="7">
        <v>5.0</v>
      </c>
      <c r="F3604" s="7" t="s">
        <v>90</v>
      </c>
      <c r="G3604" s="7" t="s">
        <v>2396</v>
      </c>
      <c r="H3604" s="9" t="s">
        <v>2979</v>
      </c>
      <c r="I3604" t="s">
        <v>4290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  <c r="AA3604" s="7"/>
      <c r="AB3604" s="7"/>
      <c r="AC3604" s="7"/>
      <c r="AD3604" s="7" t="str">
        <f t="shared" si="1"/>
        <v>Built-up :</v>
      </c>
      <c r="AE3604" s="7" t="str">
        <f t="shared" si="2"/>
        <v> sq. ft.</v>
      </c>
      <c r="AF3604">
        <f>IFERROR(__xludf.DUMMYFUNCTION("VALUE(REGEXREPLACE(G3604,""[^[:digit:]]"", """"))"),4068.0)</f>
        <v>4068</v>
      </c>
      <c r="AG3604" s="7"/>
      <c r="AH3604" s="7"/>
      <c r="AI3604" s="7"/>
      <c r="AJ3604" s="7"/>
      <c r="AK3604" s="7"/>
      <c r="AL3604" s="7"/>
      <c r="AM3604" s="7"/>
      <c r="AN3604" s="7"/>
      <c r="AO3604" s="7"/>
      <c r="AP3604" s="7"/>
      <c r="AQ3604" s="7"/>
      <c r="AR3604" s="7"/>
      <c r="AS3604" s="7" t="s">
        <v>103</v>
      </c>
    </row>
    <row r="3605">
      <c r="A3605" s="7" t="s">
        <v>33</v>
      </c>
      <c r="B3605" s="7" t="s">
        <v>1679</v>
      </c>
      <c r="E3605" s="7">
        <v>2.0</v>
      </c>
      <c r="F3605" s="7" t="s">
        <v>83</v>
      </c>
      <c r="G3605" s="7" t="s">
        <v>21</v>
      </c>
      <c r="H3605" s="9" t="s">
        <v>2979</v>
      </c>
      <c r="I3605" t="s">
        <v>2980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  <c r="AA3605" s="7"/>
      <c r="AB3605" s="7"/>
      <c r="AC3605" s="7"/>
      <c r="AD3605" s="7" t="str">
        <f t="shared" si="1"/>
        <v>Built-up :</v>
      </c>
      <c r="AE3605" s="7" t="str">
        <f t="shared" si="2"/>
        <v> sq. ft.</v>
      </c>
      <c r="AF3605">
        <f>IFERROR(__xludf.DUMMYFUNCTION("VALUE(REGEXREPLACE(G3605,""[^[:digit:]]"", """"))"),1335.0)</f>
        <v>1335</v>
      </c>
      <c r="AG3605" s="7"/>
      <c r="AH3605" s="7"/>
      <c r="AI3605" s="7"/>
      <c r="AJ3605" s="7"/>
      <c r="AK3605" s="7"/>
      <c r="AL3605" s="7"/>
      <c r="AM3605" s="7"/>
      <c r="AN3605" s="7"/>
      <c r="AO3605" s="7"/>
      <c r="AP3605" s="7"/>
      <c r="AQ3605" s="7"/>
      <c r="AR3605" s="7"/>
      <c r="AS3605" s="7" t="s">
        <v>103</v>
      </c>
    </row>
    <row r="3606">
      <c r="A3606" s="7" t="s">
        <v>33</v>
      </c>
      <c r="B3606" s="7" t="s">
        <v>599</v>
      </c>
      <c r="C3606" s="7">
        <f>3+1</f>
        <v>4</v>
      </c>
      <c r="D3606" s="7">
        <v>3.0</v>
      </c>
      <c r="E3606" s="7">
        <v>2.0</v>
      </c>
      <c r="F3606" s="7" t="s">
        <v>30</v>
      </c>
      <c r="G3606" s="7" t="s">
        <v>36</v>
      </c>
      <c r="H3606" s="9" t="s">
        <v>2979</v>
      </c>
      <c r="I3606" t="s">
        <v>2986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  <c r="AA3606" s="7"/>
      <c r="AB3606" s="7"/>
      <c r="AC3606" s="7"/>
      <c r="AD3606" s="7" t="str">
        <f t="shared" si="1"/>
        <v>Built-up :</v>
      </c>
      <c r="AE3606" s="7" t="str">
        <f t="shared" si="2"/>
        <v> sq. ft.</v>
      </c>
      <c r="AF3606">
        <f>IFERROR(__xludf.DUMMYFUNCTION("VALUE(REGEXREPLACE(G3606,""[^[:digit:]]"", """"))"),1513.0)</f>
        <v>1513</v>
      </c>
      <c r="AG3606" s="7"/>
      <c r="AH3606" s="7"/>
      <c r="AI3606" s="7"/>
      <c r="AJ3606" s="7"/>
      <c r="AK3606" s="7"/>
      <c r="AL3606" s="7"/>
      <c r="AM3606" s="7"/>
      <c r="AN3606" s="7"/>
      <c r="AO3606" s="7"/>
      <c r="AP3606" s="7"/>
      <c r="AQ3606" s="7"/>
      <c r="AR3606" s="7"/>
      <c r="AS3606" s="7" t="s">
        <v>27</v>
      </c>
    </row>
    <row r="3607">
      <c r="A3607" s="7" t="s">
        <v>23</v>
      </c>
      <c r="B3607" s="7" t="s">
        <v>2297</v>
      </c>
      <c r="C3607" s="7">
        <f>6+1</f>
        <v>7</v>
      </c>
      <c r="D3607" s="7">
        <v>8.0</v>
      </c>
      <c r="E3607" s="7">
        <v>6.0</v>
      </c>
      <c r="F3607" s="7" t="s">
        <v>67</v>
      </c>
      <c r="G3607" s="7" t="s">
        <v>1063</v>
      </c>
      <c r="H3607" s="9" t="s">
        <v>2981</v>
      </c>
      <c r="I3607" t="s">
        <v>3484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  <c r="AA3607" s="7"/>
      <c r="AB3607" s="7"/>
      <c r="AC3607" s="7"/>
      <c r="AD3607" s="7" t="str">
        <f t="shared" si="1"/>
        <v>Land area </v>
      </c>
      <c r="AE3607" s="7" t="str">
        <f t="shared" si="2"/>
        <v> sq. ft.</v>
      </c>
      <c r="AF3607">
        <f>IFERROR(__xludf.DUMMYFUNCTION("VALUE(REGEXREPLACE(G3607,""[^[:digit:]]"", """"))"),9000.0)</f>
        <v>9000</v>
      </c>
      <c r="AG3607" s="7"/>
      <c r="AH3607" s="7"/>
      <c r="AI3607" s="7"/>
      <c r="AJ3607" s="7"/>
      <c r="AK3607" s="7"/>
      <c r="AL3607" s="7"/>
      <c r="AM3607" s="7"/>
      <c r="AN3607" s="7"/>
      <c r="AO3607" s="7"/>
      <c r="AP3607" s="7"/>
      <c r="AQ3607" s="7"/>
      <c r="AR3607" s="7"/>
      <c r="AS3607" s="7" t="s">
        <v>27</v>
      </c>
    </row>
    <row r="3608">
      <c r="A3608" s="7" t="s">
        <v>100</v>
      </c>
      <c r="B3608" s="7" t="s">
        <v>1140</v>
      </c>
      <c r="C3608" s="7">
        <f>3</f>
        <v>3</v>
      </c>
      <c r="D3608" s="7">
        <v>2.0</v>
      </c>
      <c r="E3608" s="9">
        <v>2.0</v>
      </c>
      <c r="F3608" s="7" t="s">
        <v>20</v>
      </c>
      <c r="G3608" s="7" t="s">
        <v>491</v>
      </c>
      <c r="H3608" s="9" t="s">
        <v>2979</v>
      </c>
      <c r="I3608" t="s">
        <v>3190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  <c r="AA3608" s="7"/>
      <c r="AB3608" s="7"/>
      <c r="AC3608" s="7"/>
      <c r="AD3608" s="7" t="str">
        <f t="shared" si="1"/>
        <v>Built-up :</v>
      </c>
      <c r="AE3608" s="7" t="str">
        <f t="shared" si="2"/>
        <v> sq. ft.</v>
      </c>
      <c r="AF3608">
        <f>IFERROR(__xludf.DUMMYFUNCTION("VALUE(REGEXREPLACE(G3608,""[^[:digit:]]"", """"))"),950.0)</f>
        <v>950</v>
      </c>
      <c r="AG3608" s="7"/>
      <c r="AH3608" s="7"/>
      <c r="AI3608" s="7"/>
      <c r="AJ3608" s="7"/>
      <c r="AK3608" s="7"/>
      <c r="AL3608" s="7"/>
      <c r="AM3608" s="7"/>
      <c r="AN3608" s="7"/>
      <c r="AO3608" s="7"/>
      <c r="AP3608" s="7"/>
      <c r="AQ3608" s="7"/>
      <c r="AR3608" s="7"/>
    </row>
    <row r="3609">
      <c r="A3609" s="7" t="s">
        <v>23</v>
      </c>
      <c r="B3609" s="7" t="s">
        <v>616</v>
      </c>
      <c r="C3609" s="7">
        <f>5+1</f>
        <v>6</v>
      </c>
      <c r="D3609" s="7">
        <v>5.0</v>
      </c>
      <c r="E3609" s="7">
        <v>4.0</v>
      </c>
      <c r="F3609" s="7" t="s">
        <v>67</v>
      </c>
      <c r="G3609" s="7" t="s">
        <v>2397</v>
      </c>
      <c r="H3609" s="9" t="s">
        <v>2981</v>
      </c>
      <c r="I3609" t="s">
        <v>4291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  <c r="AA3609" s="7"/>
      <c r="AB3609" s="7"/>
      <c r="AC3609" s="7"/>
      <c r="AD3609" s="7" t="str">
        <f t="shared" si="1"/>
        <v>Land area </v>
      </c>
      <c r="AE3609" s="7" t="str">
        <f t="shared" si="2"/>
        <v> sq. ft.</v>
      </c>
      <c r="AF3609">
        <f>IFERROR(__xludf.DUMMYFUNCTION("VALUE(REGEXREPLACE(G3609,""[^[:digit:]]"", """"))"),8859.0)</f>
        <v>8859</v>
      </c>
      <c r="AG3609" s="7"/>
      <c r="AH3609" s="7"/>
      <c r="AI3609" s="7"/>
      <c r="AJ3609" s="7"/>
      <c r="AK3609" s="7"/>
      <c r="AL3609" s="7"/>
      <c r="AM3609" s="7"/>
      <c r="AN3609" s="7"/>
      <c r="AO3609" s="7"/>
      <c r="AP3609" s="7"/>
      <c r="AQ3609" s="7"/>
      <c r="AR3609" s="7"/>
      <c r="AS3609" s="7" t="s">
        <v>27</v>
      </c>
    </row>
    <row r="3610">
      <c r="A3610" s="7" t="s">
        <v>52</v>
      </c>
      <c r="B3610" s="7" t="s">
        <v>2398</v>
      </c>
      <c r="C3610" s="7">
        <f>3</f>
        <v>3</v>
      </c>
      <c r="D3610" s="7">
        <v>3.0</v>
      </c>
      <c r="E3610" s="7">
        <v>2.0</v>
      </c>
      <c r="F3610" s="7" t="s">
        <v>54</v>
      </c>
      <c r="G3610" s="7" t="s">
        <v>711</v>
      </c>
      <c r="H3610" s="9" t="s">
        <v>2981</v>
      </c>
      <c r="I3610" t="s">
        <v>3294</v>
      </c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  <c r="AA3610" s="7"/>
      <c r="AB3610" s="7"/>
      <c r="AC3610" s="7"/>
      <c r="AD3610" s="7" t="str">
        <f t="shared" si="1"/>
        <v>Land area </v>
      </c>
      <c r="AE3610" s="7" t="str">
        <f t="shared" si="2"/>
        <v> sq. ft.</v>
      </c>
      <c r="AF3610">
        <f>IFERROR(__xludf.DUMMYFUNCTION("VALUE(REGEXREPLACE(G3610,""[^[:digit:]]"", """"))"),1200.0)</f>
        <v>1200</v>
      </c>
      <c r="AG3610" s="7"/>
      <c r="AH3610" s="7"/>
      <c r="AI3610" s="7"/>
      <c r="AJ3610" s="7"/>
      <c r="AK3610" s="7"/>
      <c r="AL3610" s="7"/>
      <c r="AM3610" s="7"/>
      <c r="AN3610" s="7"/>
      <c r="AO3610" s="7"/>
      <c r="AP3610" s="7"/>
      <c r="AQ3610" s="7"/>
      <c r="AR3610" s="7"/>
      <c r="AS3610" s="7" t="s">
        <v>27</v>
      </c>
    </row>
    <row r="3611">
      <c r="A3611" s="7" t="s">
        <v>37</v>
      </c>
      <c r="B3611" s="7" t="s">
        <v>316</v>
      </c>
      <c r="C3611" s="7">
        <f>2</f>
        <v>2</v>
      </c>
      <c r="D3611" s="7">
        <v>2.0</v>
      </c>
      <c r="E3611" s="9">
        <v>2.0</v>
      </c>
      <c r="F3611" s="7" t="s">
        <v>20</v>
      </c>
      <c r="G3611" s="7" t="s">
        <v>1155</v>
      </c>
      <c r="H3611" s="9" t="s">
        <v>2979</v>
      </c>
      <c r="I3611" t="s">
        <v>3544</v>
      </c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  <c r="AA3611" s="7"/>
      <c r="AB3611" s="7"/>
      <c r="AC3611" s="7"/>
      <c r="AD3611" s="7" t="str">
        <f t="shared" si="1"/>
        <v>Built-up :</v>
      </c>
      <c r="AE3611" s="7" t="str">
        <f t="shared" si="2"/>
        <v> sq. ft.</v>
      </c>
      <c r="AF3611">
        <f>IFERROR(__xludf.DUMMYFUNCTION("VALUE(REGEXREPLACE(G3611,""[^[:digit:]]"", """"))"),783.0)</f>
        <v>783</v>
      </c>
      <c r="AG3611" s="7"/>
      <c r="AH3611" s="7"/>
      <c r="AI3611" s="7"/>
      <c r="AJ3611" s="7"/>
      <c r="AK3611" s="7"/>
      <c r="AL3611" s="7"/>
      <c r="AM3611" s="7"/>
      <c r="AN3611" s="7"/>
      <c r="AO3611" s="7"/>
      <c r="AP3611" s="7"/>
      <c r="AQ3611" s="7"/>
      <c r="AR3611" s="7"/>
    </row>
    <row r="3612">
      <c r="A3612" s="7" t="s">
        <v>72</v>
      </c>
      <c r="B3612" s="7" t="s">
        <v>599</v>
      </c>
      <c r="C3612" s="7">
        <f>2+1</f>
        <v>3</v>
      </c>
      <c r="D3612" s="7">
        <v>3.0</v>
      </c>
      <c r="E3612" s="7">
        <v>2.0</v>
      </c>
      <c r="F3612" s="7" t="s">
        <v>82</v>
      </c>
      <c r="G3612" s="7" t="s">
        <v>1502</v>
      </c>
      <c r="H3612" s="9" t="s">
        <v>2979</v>
      </c>
      <c r="I3612" t="s">
        <v>3748</v>
      </c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  <c r="AA3612" s="7"/>
      <c r="AB3612" s="7"/>
      <c r="AC3612" s="7"/>
      <c r="AD3612" s="7" t="str">
        <f t="shared" si="1"/>
        <v>Built-up :</v>
      </c>
      <c r="AE3612" s="7" t="str">
        <f t="shared" si="2"/>
        <v> sq. ft.</v>
      </c>
      <c r="AF3612">
        <f>IFERROR(__xludf.DUMMYFUNCTION("VALUE(REGEXREPLACE(G3612,""[^[:digit:]]"", """"))"),1583.0)</f>
        <v>1583</v>
      </c>
      <c r="AG3612" s="7"/>
      <c r="AH3612" s="7"/>
      <c r="AI3612" s="7"/>
      <c r="AJ3612" s="7"/>
      <c r="AK3612" s="7"/>
      <c r="AL3612" s="7"/>
      <c r="AM3612" s="7"/>
      <c r="AN3612" s="7"/>
      <c r="AO3612" s="7"/>
      <c r="AP3612" s="7"/>
      <c r="AQ3612" s="7"/>
      <c r="AR3612" s="7"/>
      <c r="AS3612" s="7" t="s">
        <v>27</v>
      </c>
    </row>
    <row r="3613">
      <c r="A3613" s="7" t="s">
        <v>17</v>
      </c>
      <c r="B3613" s="7" t="s">
        <v>214</v>
      </c>
      <c r="C3613" s="7">
        <f>2</f>
        <v>2</v>
      </c>
      <c r="D3613" s="7">
        <v>2.0</v>
      </c>
      <c r="E3613" s="7">
        <v>1.0</v>
      </c>
      <c r="F3613" s="7" t="s">
        <v>83</v>
      </c>
      <c r="G3613" s="7" t="s">
        <v>383</v>
      </c>
      <c r="H3613" s="9" t="s">
        <v>2979</v>
      </c>
      <c r="I3613" t="s">
        <v>3137</v>
      </c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  <c r="AA3613" s="7"/>
      <c r="AB3613" s="7"/>
      <c r="AC3613" s="7"/>
      <c r="AD3613" s="7" t="str">
        <f t="shared" si="1"/>
        <v>Built-up :</v>
      </c>
      <c r="AE3613" s="7" t="str">
        <f t="shared" si="2"/>
        <v> sq. ft.</v>
      </c>
      <c r="AF3613">
        <f>IFERROR(__xludf.DUMMYFUNCTION("VALUE(REGEXREPLACE(G3613,""[^[:digit:]]"", """"))"),1065.0)</f>
        <v>1065</v>
      </c>
      <c r="AG3613" s="7"/>
      <c r="AH3613" s="7"/>
      <c r="AI3613" s="7"/>
      <c r="AJ3613" s="7"/>
      <c r="AK3613" s="7"/>
      <c r="AL3613" s="7"/>
      <c r="AM3613" s="7"/>
      <c r="AN3613" s="7"/>
      <c r="AO3613" s="7"/>
      <c r="AP3613" s="7"/>
      <c r="AQ3613" s="7"/>
      <c r="AR3613" s="7"/>
      <c r="AS3613" s="7" t="s">
        <v>22</v>
      </c>
    </row>
    <row r="3614">
      <c r="A3614" s="7" t="s">
        <v>180</v>
      </c>
      <c r="B3614" s="7" t="s">
        <v>499</v>
      </c>
      <c r="C3614" s="7">
        <f t="shared" ref="C3614:C3616" si="491">3+1</f>
        <v>4</v>
      </c>
      <c r="D3614" s="7">
        <v>4.0</v>
      </c>
      <c r="E3614" s="7">
        <v>2.0</v>
      </c>
      <c r="F3614" s="7" t="s">
        <v>83</v>
      </c>
      <c r="G3614" s="7" t="s">
        <v>1280</v>
      </c>
      <c r="H3614" s="9" t="s">
        <v>2979</v>
      </c>
      <c r="I3614" t="s">
        <v>3619</v>
      </c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  <c r="AA3614" s="7"/>
      <c r="AB3614" s="7"/>
      <c r="AC3614" s="7"/>
      <c r="AD3614" s="7" t="str">
        <f t="shared" si="1"/>
        <v>Built-up :</v>
      </c>
      <c r="AE3614" s="7" t="str">
        <f t="shared" si="2"/>
        <v> sq. ft.</v>
      </c>
      <c r="AF3614">
        <f>IFERROR(__xludf.DUMMYFUNCTION("VALUE(REGEXREPLACE(G3614,""[^[:digit:]]"", """"))"),3285.0)</f>
        <v>3285</v>
      </c>
      <c r="AG3614" s="7"/>
      <c r="AH3614" s="7"/>
      <c r="AI3614" s="7"/>
      <c r="AJ3614" s="7"/>
      <c r="AK3614" s="7"/>
      <c r="AL3614" s="7"/>
      <c r="AM3614" s="7"/>
      <c r="AN3614" s="7"/>
      <c r="AO3614" s="7"/>
      <c r="AP3614" s="7"/>
      <c r="AQ3614" s="7"/>
      <c r="AR3614" s="7"/>
      <c r="AS3614" s="7" t="s">
        <v>27</v>
      </c>
    </row>
    <row r="3615">
      <c r="A3615" s="7" t="s">
        <v>180</v>
      </c>
      <c r="B3615" s="7" t="s">
        <v>1517</v>
      </c>
      <c r="C3615" s="7">
        <f t="shared" si="491"/>
        <v>4</v>
      </c>
      <c r="D3615" s="7">
        <v>4.0</v>
      </c>
      <c r="E3615" s="7">
        <v>2.0</v>
      </c>
      <c r="F3615" s="7" t="s">
        <v>83</v>
      </c>
      <c r="G3615" s="7" t="s">
        <v>2064</v>
      </c>
      <c r="H3615" s="9" t="s">
        <v>2979</v>
      </c>
      <c r="I3615" t="s">
        <v>4088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  <c r="AA3615" s="7"/>
      <c r="AB3615" s="7"/>
      <c r="AC3615" s="7"/>
      <c r="AD3615" s="7" t="str">
        <f t="shared" si="1"/>
        <v>Built-up :</v>
      </c>
      <c r="AE3615" s="7" t="str">
        <f t="shared" si="2"/>
        <v> sq. ft.</v>
      </c>
      <c r="AF3615">
        <f>IFERROR(__xludf.DUMMYFUNCTION("VALUE(REGEXREPLACE(G3615,""[^[:digit:]]"", """"))"),1626.0)</f>
        <v>1626</v>
      </c>
      <c r="AG3615" s="7"/>
      <c r="AH3615" s="7"/>
      <c r="AI3615" s="7"/>
      <c r="AJ3615" s="7"/>
      <c r="AK3615" s="7"/>
      <c r="AL3615" s="7"/>
      <c r="AM3615" s="7"/>
      <c r="AN3615" s="7"/>
      <c r="AO3615" s="7"/>
      <c r="AP3615" s="7"/>
      <c r="AQ3615" s="7"/>
      <c r="AR3615" s="7"/>
      <c r="AS3615" s="7" t="s">
        <v>22</v>
      </c>
    </row>
    <row r="3616">
      <c r="A3616" s="7" t="s">
        <v>17</v>
      </c>
      <c r="B3616" s="7" t="s">
        <v>125</v>
      </c>
      <c r="C3616" s="7">
        <f t="shared" si="491"/>
        <v>4</v>
      </c>
      <c r="D3616" s="7">
        <v>3.0</v>
      </c>
      <c r="E3616" s="7">
        <v>2.0</v>
      </c>
      <c r="F3616" s="7" t="s">
        <v>20</v>
      </c>
      <c r="G3616" s="7" t="s">
        <v>1029</v>
      </c>
      <c r="H3616" s="9" t="s">
        <v>2979</v>
      </c>
      <c r="I3616" t="s">
        <v>3465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  <c r="AA3616" s="7"/>
      <c r="AB3616" s="7"/>
      <c r="AC3616" s="7"/>
      <c r="AD3616" s="7" t="str">
        <f t="shared" si="1"/>
        <v>Built-up :</v>
      </c>
      <c r="AE3616" s="7" t="str">
        <f t="shared" si="2"/>
        <v> sq. ft.</v>
      </c>
      <c r="AF3616">
        <f>IFERROR(__xludf.DUMMYFUNCTION("VALUE(REGEXREPLACE(G3616,""[^[:digit:]]"", """"))"),1800.0)</f>
        <v>1800</v>
      </c>
      <c r="AG3616" s="7"/>
      <c r="AH3616" s="7"/>
      <c r="AI3616" s="7"/>
      <c r="AJ3616" s="7"/>
      <c r="AK3616" s="7"/>
      <c r="AL3616" s="7"/>
      <c r="AM3616" s="7"/>
      <c r="AN3616" s="7"/>
      <c r="AO3616" s="7"/>
      <c r="AP3616" s="7"/>
      <c r="AQ3616" s="7"/>
      <c r="AR3616" s="7"/>
      <c r="AS3616" s="7" t="s">
        <v>27</v>
      </c>
    </row>
    <row r="3617">
      <c r="A3617" s="7" t="s">
        <v>17</v>
      </c>
      <c r="B3617" s="7" t="s">
        <v>1146</v>
      </c>
      <c r="C3617" s="7">
        <f t="shared" ref="C3617:C3618" si="492">2</f>
        <v>2</v>
      </c>
      <c r="D3617" s="7">
        <v>2.0</v>
      </c>
      <c r="E3617" s="7">
        <v>2.0</v>
      </c>
      <c r="F3617" s="7" t="s">
        <v>83</v>
      </c>
      <c r="G3617" s="7" t="s">
        <v>930</v>
      </c>
      <c r="H3617" s="9" t="s">
        <v>2979</v>
      </c>
      <c r="I3617" t="s">
        <v>3412</v>
      </c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  <c r="AA3617" s="7"/>
      <c r="AB3617" s="7"/>
      <c r="AC3617" s="7"/>
      <c r="AD3617" s="7" t="str">
        <f t="shared" si="1"/>
        <v>Built-up :</v>
      </c>
      <c r="AE3617" s="7" t="str">
        <f t="shared" si="2"/>
        <v> sq. ft.</v>
      </c>
      <c r="AF3617">
        <f>IFERROR(__xludf.DUMMYFUNCTION("VALUE(REGEXREPLACE(G3617,""[^[:digit:]]"", """"))"),1270.0)</f>
        <v>1270</v>
      </c>
      <c r="AG3617" s="7"/>
      <c r="AH3617" s="7"/>
      <c r="AI3617" s="7"/>
      <c r="AJ3617" s="7"/>
      <c r="AK3617" s="7"/>
      <c r="AL3617" s="7"/>
      <c r="AM3617" s="7"/>
      <c r="AN3617" s="7"/>
      <c r="AO3617" s="7"/>
      <c r="AP3617" s="7"/>
      <c r="AQ3617" s="7"/>
      <c r="AR3617" s="7"/>
      <c r="AS3617" s="7" t="s">
        <v>22</v>
      </c>
    </row>
    <row r="3618">
      <c r="A3618" s="7" t="s">
        <v>188</v>
      </c>
      <c r="B3618" s="7" t="s">
        <v>790</v>
      </c>
      <c r="C3618" s="7">
        <f t="shared" si="492"/>
        <v>2</v>
      </c>
      <c r="D3618" s="7">
        <v>3.0</v>
      </c>
      <c r="E3618" s="7">
        <v>1.0</v>
      </c>
      <c r="F3618" s="7" t="s">
        <v>121</v>
      </c>
      <c r="G3618" s="7" t="s">
        <v>823</v>
      </c>
      <c r="H3618" s="9" t="s">
        <v>2979</v>
      </c>
      <c r="I3618" t="s">
        <v>3357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  <c r="AA3618" s="7"/>
      <c r="AB3618" s="7"/>
      <c r="AC3618" s="7"/>
      <c r="AD3618" s="7" t="str">
        <f t="shared" si="1"/>
        <v>Built-up :</v>
      </c>
      <c r="AE3618" s="7" t="str">
        <f t="shared" si="2"/>
        <v> sq. ft.</v>
      </c>
      <c r="AF3618">
        <f>IFERROR(__xludf.DUMMYFUNCTION("VALUE(REGEXREPLACE(G3618,""[^[:digit:]]"", """"))"),1509.0)</f>
        <v>1509</v>
      </c>
      <c r="AG3618" s="7"/>
      <c r="AH3618" s="7"/>
      <c r="AI3618" s="7"/>
      <c r="AJ3618" s="7"/>
      <c r="AK3618" s="7"/>
      <c r="AL3618" s="7"/>
      <c r="AM3618" s="7"/>
      <c r="AN3618" s="7"/>
      <c r="AO3618" s="7"/>
      <c r="AP3618" s="7"/>
      <c r="AQ3618" s="7"/>
      <c r="AR3618" s="7"/>
      <c r="AS3618" s="7" t="s">
        <v>22</v>
      </c>
    </row>
    <row r="3619">
      <c r="A3619" s="7" t="s">
        <v>33</v>
      </c>
      <c r="B3619" s="7" t="s">
        <v>56</v>
      </c>
      <c r="C3619" s="7">
        <f>5</f>
        <v>5</v>
      </c>
      <c r="D3619" s="7">
        <v>5.0</v>
      </c>
      <c r="E3619" s="9">
        <v>2.0</v>
      </c>
      <c r="F3619" s="7" t="s">
        <v>64</v>
      </c>
      <c r="G3619" s="7" t="s">
        <v>2399</v>
      </c>
      <c r="H3619" s="9" t="s">
        <v>2981</v>
      </c>
      <c r="I3619" t="s">
        <v>3183</v>
      </c>
      <c r="J3619" s="7"/>
      <c r="K3619" s="7"/>
      <c r="L3619" s="7"/>
      <c r="M3619" s="7"/>
      <c r="N3619" s="7"/>
      <c r="O3619" s="7"/>
      <c r="P3619" s="7"/>
      <c r="Q3619" s="7"/>
      <c r="R3619" s="7"/>
      <c r="S3619" s="7" t="s">
        <v>2993</v>
      </c>
      <c r="T3619" s="7"/>
      <c r="U3619" s="7"/>
      <c r="V3619" s="7"/>
      <c r="W3619" s="7"/>
      <c r="X3619" s="7"/>
      <c r="Y3619" s="7"/>
      <c r="Z3619" s="7"/>
      <c r="AA3619" s="7"/>
      <c r="AB3619" s="7"/>
      <c r="AC3619" s="7"/>
      <c r="AD3619" s="7" t="str">
        <f t="shared" si="1"/>
        <v>Land area </v>
      </c>
      <c r="AE3619" s="7" t="str">
        <f t="shared" si="2"/>
        <v> sq. ft.</v>
      </c>
      <c r="AF3619" s="7">
        <v>3200.0</v>
      </c>
      <c r="AG3619" s="7"/>
      <c r="AH3619" s="7"/>
      <c r="AI3619" s="7"/>
      <c r="AJ3619" s="7"/>
      <c r="AK3619" s="7"/>
      <c r="AL3619" s="7"/>
      <c r="AM3619" s="7"/>
      <c r="AN3619" s="7"/>
      <c r="AO3619" s="7"/>
      <c r="AP3619" s="7"/>
      <c r="AQ3619" s="7"/>
      <c r="AR3619" s="7"/>
    </row>
    <row r="3620">
      <c r="A3620" s="7" t="s">
        <v>48</v>
      </c>
      <c r="B3620" s="7" t="s">
        <v>655</v>
      </c>
      <c r="C3620" s="7">
        <f>5+1</f>
        <v>6</v>
      </c>
      <c r="D3620" s="7">
        <v>4.0</v>
      </c>
      <c r="E3620" s="7">
        <v>5.0</v>
      </c>
      <c r="F3620" s="7" t="s">
        <v>43</v>
      </c>
      <c r="G3620" s="7" t="s">
        <v>2400</v>
      </c>
      <c r="H3620" s="9" t="s">
        <v>2981</v>
      </c>
      <c r="I3620" t="s">
        <v>4292</v>
      </c>
      <c r="J3620" s="7"/>
      <c r="K3620" s="7"/>
      <c r="L3620" s="7"/>
      <c r="M3620" s="7"/>
      <c r="N3620" s="7"/>
      <c r="O3620" s="7"/>
      <c r="P3620" s="7"/>
      <c r="Q3620" s="7"/>
      <c r="R3620" s="7"/>
      <c r="S3620" s="7" t="s">
        <v>3298</v>
      </c>
      <c r="T3620" s="7"/>
      <c r="U3620" s="7"/>
      <c r="V3620" s="7"/>
      <c r="W3620" s="7"/>
      <c r="X3620" s="7"/>
      <c r="Y3620" s="7"/>
      <c r="Z3620" s="7"/>
      <c r="AA3620" s="7"/>
      <c r="AB3620" s="7"/>
      <c r="AC3620" s="7"/>
      <c r="AD3620" s="7" t="str">
        <f t="shared" si="1"/>
        <v>Land area </v>
      </c>
      <c r="AE3620" s="7" t="str">
        <f t="shared" si="2"/>
        <v> sq. ft.</v>
      </c>
      <c r="AF3620">
        <f>IFERROR(__xludf.DUMMYFUNCTION("VALUE(REGEXREPLACE(G3620,""[^[:digit:]]"", """"))"),4865.0)</f>
        <v>4865</v>
      </c>
      <c r="AG3620" s="7"/>
      <c r="AH3620" s="7"/>
      <c r="AI3620" s="7"/>
      <c r="AJ3620" s="7"/>
      <c r="AK3620" s="7"/>
      <c r="AL3620" s="7"/>
      <c r="AM3620" s="7"/>
      <c r="AN3620" s="7"/>
      <c r="AO3620" s="7"/>
      <c r="AP3620" s="7"/>
      <c r="AQ3620" s="7"/>
      <c r="AR3620" s="7"/>
      <c r="AS3620" s="7" t="s">
        <v>27</v>
      </c>
    </row>
    <row r="3621">
      <c r="A3621" s="7" t="s">
        <v>72</v>
      </c>
      <c r="B3621" s="7" t="s">
        <v>168</v>
      </c>
      <c r="C3621" s="7">
        <f>3</f>
        <v>3</v>
      </c>
      <c r="D3621" s="7">
        <v>2.0</v>
      </c>
      <c r="E3621" s="7">
        <v>1.0</v>
      </c>
      <c r="F3621" s="7" t="s">
        <v>30</v>
      </c>
      <c r="G3621" s="7" t="s">
        <v>2401</v>
      </c>
      <c r="H3621" s="9" t="s">
        <v>2979</v>
      </c>
      <c r="I3621" t="s">
        <v>4293</v>
      </c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  <c r="AA3621" s="7"/>
      <c r="AB3621" s="7"/>
      <c r="AC3621" s="7"/>
      <c r="AD3621" s="7" t="str">
        <f t="shared" si="1"/>
        <v>Built-up :</v>
      </c>
      <c r="AE3621" s="7" t="str">
        <f t="shared" si="2"/>
        <v> sq. ft.</v>
      </c>
      <c r="AF3621">
        <f>IFERROR(__xludf.DUMMYFUNCTION("VALUE(REGEXREPLACE(G3621,""[^[:digit:]]"", """"))"),1380.0)</f>
        <v>1380</v>
      </c>
      <c r="AG3621" s="7"/>
      <c r="AH3621" s="7"/>
      <c r="AI3621" s="7"/>
      <c r="AJ3621" s="7"/>
      <c r="AK3621" s="7"/>
      <c r="AL3621" s="7"/>
      <c r="AM3621" s="7"/>
      <c r="AN3621" s="7"/>
      <c r="AO3621" s="7"/>
      <c r="AP3621" s="7"/>
      <c r="AQ3621" s="7"/>
      <c r="AR3621" s="7"/>
      <c r="AS3621" s="7" t="s">
        <v>22</v>
      </c>
    </row>
    <row r="3622">
      <c r="A3622" s="7" t="s">
        <v>72</v>
      </c>
      <c r="B3622" s="7" t="s">
        <v>156</v>
      </c>
      <c r="C3622" s="7">
        <f>3+1</f>
        <v>4</v>
      </c>
      <c r="D3622" s="7">
        <v>3.0</v>
      </c>
      <c r="E3622" s="7">
        <v>2.0</v>
      </c>
      <c r="F3622" s="7" t="s">
        <v>30</v>
      </c>
      <c r="G3622" s="7" t="s">
        <v>2065</v>
      </c>
      <c r="H3622" s="9" t="s">
        <v>2979</v>
      </c>
      <c r="I3622" t="s">
        <v>4089</v>
      </c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  <c r="AA3622" s="7"/>
      <c r="AB3622" s="7"/>
      <c r="AC3622" s="7"/>
      <c r="AD3622" s="7" t="str">
        <f t="shared" si="1"/>
        <v>Built-up :</v>
      </c>
      <c r="AE3622" s="7" t="str">
        <f t="shared" si="2"/>
        <v> sq. ft.</v>
      </c>
      <c r="AF3622">
        <f>IFERROR(__xludf.DUMMYFUNCTION("VALUE(REGEXREPLACE(G3622,""[^[:digit:]]"", """"))"),1268.0)</f>
        <v>1268</v>
      </c>
      <c r="AG3622" s="7"/>
      <c r="AH3622" s="7"/>
      <c r="AI3622" s="7"/>
      <c r="AJ3622" s="7"/>
      <c r="AK3622" s="7"/>
      <c r="AL3622" s="7"/>
      <c r="AM3622" s="7"/>
      <c r="AN3622" s="7"/>
      <c r="AO3622" s="7"/>
      <c r="AP3622" s="7"/>
      <c r="AQ3622" s="7"/>
      <c r="AR3622" s="7"/>
      <c r="AS3622" s="7" t="s">
        <v>22</v>
      </c>
    </row>
    <row r="3623">
      <c r="A3623" s="7" t="s">
        <v>17</v>
      </c>
      <c r="B3623" s="7" t="s">
        <v>56</v>
      </c>
      <c r="C3623" s="7">
        <f>2+1</f>
        <v>3</v>
      </c>
      <c r="D3623" s="7">
        <v>2.0</v>
      </c>
      <c r="E3623" s="7">
        <v>1.0</v>
      </c>
      <c r="F3623" s="7" t="s">
        <v>83</v>
      </c>
      <c r="G3623" s="7" t="s">
        <v>959</v>
      </c>
      <c r="H3623" s="9" t="s">
        <v>2979</v>
      </c>
      <c r="I3623" t="s">
        <v>3427</v>
      </c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  <c r="AA3623" s="7"/>
      <c r="AB3623" s="7"/>
      <c r="AC3623" s="7"/>
      <c r="AD3623" s="7" t="str">
        <f t="shared" si="1"/>
        <v>Built-up :</v>
      </c>
      <c r="AE3623" s="7" t="str">
        <f t="shared" si="2"/>
        <v> sq. ft.</v>
      </c>
      <c r="AF3623">
        <f>IFERROR(__xludf.DUMMYFUNCTION("VALUE(REGEXREPLACE(G3623,""[^[:digit:]]"", """"))"),1259.0)</f>
        <v>1259</v>
      </c>
      <c r="AG3623" s="7"/>
      <c r="AH3623" s="7"/>
      <c r="AI3623" s="7"/>
      <c r="AJ3623" s="7"/>
      <c r="AK3623" s="7"/>
      <c r="AL3623" s="7"/>
      <c r="AM3623" s="7"/>
      <c r="AN3623" s="7"/>
      <c r="AO3623" s="7"/>
      <c r="AP3623" s="7"/>
      <c r="AQ3623" s="7"/>
      <c r="AR3623" s="7"/>
      <c r="AS3623" s="7" t="s">
        <v>27</v>
      </c>
    </row>
    <row r="3624">
      <c r="A3624" s="7" t="s">
        <v>32</v>
      </c>
      <c r="B3624" s="7" t="s">
        <v>2402</v>
      </c>
      <c r="C3624" s="7">
        <f>3</f>
        <v>3</v>
      </c>
      <c r="D3624" s="7">
        <v>2.0</v>
      </c>
      <c r="E3624" s="7">
        <v>2.0</v>
      </c>
      <c r="F3624" s="7" t="s">
        <v>121</v>
      </c>
      <c r="G3624" s="7" t="s">
        <v>2403</v>
      </c>
      <c r="H3624" s="9" t="s">
        <v>2979</v>
      </c>
      <c r="I3624" t="s">
        <v>4294</v>
      </c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  <c r="AA3624" s="7"/>
      <c r="AB3624" s="7"/>
      <c r="AC3624" s="7"/>
      <c r="AD3624" s="7" t="str">
        <f t="shared" si="1"/>
        <v>Built-up :</v>
      </c>
      <c r="AE3624" s="7" t="str">
        <f t="shared" si="2"/>
        <v> sq. ft.</v>
      </c>
      <c r="AF3624">
        <f>IFERROR(__xludf.DUMMYFUNCTION("VALUE(REGEXREPLACE(G3624,""[^[:digit:]]"", """"))"),1125.0)</f>
        <v>1125</v>
      </c>
      <c r="AG3624" s="7"/>
      <c r="AH3624" s="7"/>
      <c r="AI3624" s="7"/>
      <c r="AJ3624" s="7"/>
      <c r="AK3624" s="7"/>
      <c r="AL3624" s="7"/>
      <c r="AM3624" s="7"/>
      <c r="AN3624" s="7"/>
      <c r="AO3624" s="7"/>
      <c r="AP3624" s="7"/>
      <c r="AQ3624" s="7"/>
      <c r="AR3624" s="7"/>
      <c r="AS3624" s="7" t="s">
        <v>22</v>
      </c>
    </row>
    <row r="3625">
      <c r="A3625" s="7" t="s">
        <v>177</v>
      </c>
      <c r="B3625" s="7" t="s">
        <v>130</v>
      </c>
      <c r="C3625" s="7">
        <f>4+1</f>
        <v>5</v>
      </c>
      <c r="D3625" s="7">
        <v>5.0</v>
      </c>
      <c r="E3625" s="7">
        <v>3.0</v>
      </c>
      <c r="F3625" s="7" t="s">
        <v>30</v>
      </c>
      <c r="G3625" s="7" t="s">
        <v>2404</v>
      </c>
      <c r="H3625" s="9" t="s">
        <v>2979</v>
      </c>
      <c r="I3625" t="s">
        <v>4295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  <c r="AA3625" s="7"/>
      <c r="AB3625" s="7"/>
      <c r="AC3625" s="7"/>
      <c r="AD3625" s="7" t="str">
        <f t="shared" si="1"/>
        <v>Built-up :</v>
      </c>
      <c r="AE3625" s="7" t="str">
        <f t="shared" si="2"/>
        <v> sq. ft.</v>
      </c>
      <c r="AF3625">
        <f>IFERROR(__xludf.DUMMYFUNCTION("VALUE(REGEXREPLACE(G3625,""[^[:digit:]]"", """"))"),3349.0)</f>
        <v>3349</v>
      </c>
      <c r="AG3625" s="7"/>
      <c r="AH3625" s="7"/>
      <c r="AI3625" s="7"/>
      <c r="AJ3625" s="7"/>
      <c r="AK3625" s="7"/>
      <c r="AL3625" s="7"/>
      <c r="AM3625" s="7"/>
      <c r="AN3625" s="7"/>
      <c r="AO3625" s="7"/>
      <c r="AP3625" s="7"/>
      <c r="AQ3625" s="7"/>
      <c r="AR3625" s="7"/>
      <c r="AS3625" s="7" t="s">
        <v>22</v>
      </c>
    </row>
    <row r="3626">
      <c r="A3626" s="7" t="s">
        <v>100</v>
      </c>
      <c r="B3626" s="7" t="s">
        <v>1073</v>
      </c>
      <c r="C3626" s="7">
        <f>2</f>
        <v>2</v>
      </c>
      <c r="D3626" s="7">
        <v>2.0</v>
      </c>
      <c r="E3626" s="7">
        <v>1.0</v>
      </c>
      <c r="F3626" s="7" t="s">
        <v>82</v>
      </c>
      <c r="G3626" s="7" t="s">
        <v>1907</v>
      </c>
      <c r="H3626" s="9" t="s">
        <v>2979</v>
      </c>
      <c r="I3626" t="s">
        <v>3993</v>
      </c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  <c r="AA3626" s="7"/>
      <c r="AB3626" s="7"/>
      <c r="AC3626" s="7"/>
      <c r="AD3626" s="7" t="str">
        <f t="shared" si="1"/>
        <v>Built-up :</v>
      </c>
      <c r="AE3626" s="7" t="str">
        <f t="shared" si="2"/>
        <v> sq. ft.</v>
      </c>
      <c r="AF3626">
        <f>IFERROR(__xludf.DUMMYFUNCTION("VALUE(REGEXREPLACE(G3626,""[^[:digit:]]"", """"))"),860.0)</f>
        <v>860</v>
      </c>
      <c r="AG3626" s="7"/>
      <c r="AH3626" s="7"/>
      <c r="AI3626" s="7"/>
      <c r="AJ3626" s="7"/>
      <c r="AK3626" s="7"/>
      <c r="AL3626" s="7"/>
      <c r="AM3626" s="7"/>
      <c r="AN3626" s="7"/>
      <c r="AO3626" s="7"/>
      <c r="AP3626" s="7"/>
      <c r="AQ3626" s="7"/>
      <c r="AR3626" s="7"/>
      <c r="AS3626" s="7" t="s">
        <v>27</v>
      </c>
    </row>
    <row r="3627">
      <c r="A3627" s="7" t="s">
        <v>86</v>
      </c>
      <c r="B3627" s="7" t="s">
        <v>1122</v>
      </c>
      <c r="C3627" s="7">
        <f>3</f>
        <v>3</v>
      </c>
      <c r="D3627" s="7">
        <v>2.0</v>
      </c>
      <c r="E3627" s="7">
        <v>2.0</v>
      </c>
      <c r="F3627" s="7" t="s">
        <v>83</v>
      </c>
      <c r="G3627" s="7" t="s">
        <v>303</v>
      </c>
      <c r="H3627" s="9" t="s">
        <v>2979</v>
      </c>
      <c r="I3627" t="s">
        <v>3099</v>
      </c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  <c r="AA3627" s="7"/>
      <c r="AB3627" s="7"/>
      <c r="AC3627" s="7"/>
      <c r="AD3627" s="7" t="str">
        <f t="shared" si="1"/>
        <v>Built-up :</v>
      </c>
      <c r="AE3627" s="7" t="str">
        <f t="shared" si="2"/>
        <v> sq. ft.</v>
      </c>
      <c r="AF3627">
        <f>IFERROR(__xludf.DUMMYFUNCTION("VALUE(REGEXREPLACE(G3627,""[^[:digit:]]"", """"))"),1485.0)</f>
        <v>1485</v>
      </c>
      <c r="AG3627" s="7"/>
      <c r="AH3627" s="7"/>
      <c r="AI3627" s="7"/>
      <c r="AJ3627" s="7"/>
      <c r="AK3627" s="7"/>
      <c r="AL3627" s="7"/>
      <c r="AM3627" s="7"/>
      <c r="AN3627" s="7"/>
      <c r="AO3627" s="7"/>
      <c r="AP3627" s="7"/>
      <c r="AQ3627" s="7"/>
      <c r="AR3627" s="7"/>
    </row>
    <row r="3628">
      <c r="A3628" s="7" t="s">
        <v>17</v>
      </c>
      <c r="B3628" s="7" t="s">
        <v>2405</v>
      </c>
      <c r="C3628" s="7">
        <f>2</f>
        <v>2</v>
      </c>
      <c r="D3628" s="7">
        <v>2.0</v>
      </c>
      <c r="E3628" s="7">
        <v>2.0</v>
      </c>
      <c r="F3628" s="7" t="s">
        <v>83</v>
      </c>
      <c r="G3628" s="7" t="s">
        <v>380</v>
      </c>
      <c r="H3628" s="9" t="s">
        <v>2979</v>
      </c>
      <c r="I3628" t="s">
        <v>3135</v>
      </c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  <c r="AA3628" s="7"/>
      <c r="AB3628" s="7"/>
      <c r="AC3628" s="7"/>
      <c r="AD3628" s="7" t="str">
        <f t="shared" si="1"/>
        <v>Built-up :</v>
      </c>
      <c r="AE3628" s="7" t="str">
        <f t="shared" si="2"/>
        <v> sq. ft.</v>
      </c>
      <c r="AF3628">
        <f>IFERROR(__xludf.DUMMYFUNCTION("VALUE(REGEXREPLACE(G3628,""[^[:digit:]]"", """"))"),871.0)</f>
        <v>871</v>
      </c>
      <c r="AG3628" s="7"/>
      <c r="AH3628" s="7"/>
      <c r="AI3628" s="7"/>
      <c r="AJ3628" s="7"/>
      <c r="AK3628" s="7"/>
      <c r="AL3628" s="7"/>
      <c r="AM3628" s="7"/>
      <c r="AN3628" s="7"/>
      <c r="AO3628" s="7"/>
      <c r="AP3628" s="7"/>
      <c r="AQ3628" s="7"/>
      <c r="AR3628" s="7"/>
      <c r="AS3628" s="7" t="s">
        <v>27</v>
      </c>
    </row>
    <row r="3629">
      <c r="A3629" s="7" t="s">
        <v>17</v>
      </c>
      <c r="B3629" s="7" t="s">
        <v>81</v>
      </c>
      <c r="C3629" s="7">
        <f>2+1</f>
        <v>3</v>
      </c>
      <c r="D3629" s="7">
        <v>3.0</v>
      </c>
      <c r="E3629" s="7">
        <v>2.0</v>
      </c>
      <c r="F3629" s="7" t="s">
        <v>30</v>
      </c>
      <c r="G3629" s="7" t="s">
        <v>124</v>
      </c>
      <c r="H3629" s="9" t="s">
        <v>2979</v>
      </c>
      <c r="I3629" t="s">
        <v>3017</v>
      </c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  <c r="AA3629" s="7"/>
      <c r="AB3629" s="7"/>
      <c r="AC3629" s="7"/>
      <c r="AD3629" s="7" t="str">
        <f t="shared" si="1"/>
        <v>Built-up :</v>
      </c>
      <c r="AE3629" s="7" t="str">
        <f t="shared" si="2"/>
        <v> sq. ft.</v>
      </c>
      <c r="AF3629">
        <f>IFERROR(__xludf.DUMMYFUNCTION("VALUE(REGEXREPLACE(G3629,""[^[:digit:]]"", """"))"),2195.0)</f>
        <v>2195</v>
      </c>
      <c r="AG3629" s="7"/>
      <c r="AH3629" s="7"/>
      <c r="AI3629" s="7"/>
      <c r="AJ3629" s="7"/>
      <c r="AK3629" s="7"/>
      <c r="AL3629" s="7"/>
      <c r="AM3629" s="7"/>
      <c r="AN3629" s="7"/>
      <c r="AO3629" s="7"/>
      <c r="AP3629" s="7"/>
      <c r="AQ3629" s="7"/>
      <c r="AR3629" s="7"/>
      <c r="AS3629" s="7" t="s">
        <v>22</v>
      </c>
    </row>
    <row r="3630">
      <c r="A3630" s="7" t="s">
        <v>89</v>
      </c>
      <c r="B3630" s="7" t="s">
        <v>329</v>
      </c>
      <c r="C3630" s="7">
        <f>5</f>
        <v>5</v>
      </c>
      <c r="D3630" s="7">
        <v>4.0</v>
      </c>
      <c r="E3630" s="9">
        <v>2.0</v>
      </c>
      <c r="F3630" s="7" t="s">
        <v>90</v>
      </c>
      <c r="G3630" s="7" t="s">
        <v>91</v>
      </c>
      <c r="H3630" s="9" t="s">
        <v>2981</v>
      </c>
      <c r="I3630" t="s">
        <v>3003</v>
      </c>
      <c r="J3630" s="7"/>
      <c r="K3630" s="7"/>
      <c r="L3630" s="7"/>
      <c r="M3630" s="7"/>
      <c r="N3630" s="7"/>
      <c r="O3630" s="7"/>
      <c r="P3630" s="7"/>
      <c r="Q3630" s="7"/>
      <c r="R3630" s="7"/>
      <c r="S3630" s="7" t="s">
        <v>2990</v>
      </c>
      <c r="T3630" s="7"/>
      <c r="U3630" s="7"/>
      <c r="V3630" s="7"/>
      <c r="W3630" s="7"/>
      <c r="X3630" s="7"/>
      <c r="Y3630" s="7"/>
      <c r="Z3630" s="7"/>
      <c r="AA3630" s="7"/>
      <c r="AB3630" s="7"/>
      <c r="AC3630" s="7"/>
      <c r="AD3630" s="7" t="str">
        <f t="shared" si="1"/>
        <v>Land area </v>
      </c>
      <c r="AE3630" s="7" t="str">
        <f t="shared" si="2"/>
        <v> sq. ft.</v>
      </c>
      <c r="AF3630">
        <f>IFERROR(__xludf.DUMMYFUNCTION("VALUE(REGEXREPLACE(G3630,""[^[:digit:]]"", """"))"),2075.0)</f>
        <v>2075</v>
      </c>
      <c r="AG3630" s="7"/>
      <c r="AH3630" s="7"/>
      <c r="AI3630" s="7"/>
      <c r="AJ3630" s="7"/>
      <c r="AK3630" s="7"/>
      <c r="AL3630" s="7"/>
      <c r="AM3630" s="7"/>
      <c r="AN3630" s="7"/>
      <c r="AO3630" s="7"/>
      <c r="AP3630" s="7"/>
      <c r="AQ3630" s="7"/>
      <c r="AR3630" s="7"/>
      <c r="AS3630" s="7" t="s">
        <v>22</v>
      </c>
    </row>
    <row r="3631">
      <c r="A3631" s="7" t="s">
        <v>428</v>
      </c>
      <c r="B3631" s="7" t="s">
        <v>842</v>
      </c>
      <c r="C3631" s="7">
        <f>5+1</f>
        <v>6</v>
      </c>
      <c r="D3631" s="7">
        <v>6.0</v>
      </c>
      <c r="E3631" s="9">
        <v>2.0</v>
      </c>
      <c r="F3631" s="7" t="s">
        <v>25</v>
      </c>
      <c r="G3631" s="7" t="s">
        <v>68</v>
      </c>
      <c r="H3631" s="9" t="s">
        <v>2981</v>
      </c>
      <c r="I3631" t="s">
        <v>2996</v>
      </c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  <c r="AA3631" s="7"/>
      <c r="AB3631" s="7"/>
      <c r="AC3631" s="7"/>
      <c r="AD3631" s="7" t="str">
        <f t="shared" si="1"/>
        <v>Land area </v>
      </c>
      <c r="AE3631" s="7" t="str">
        <f t="shared" si="2"/>
        <v> sq. ft.</v>
      </c>
      <c r="AF3631">
        <f>IFERROR(__xludf.DUMMYFUNCTION("VALUE(REGEXREPLACE(G3631,""[^[:digit:]]"", """"))"),8500.0)</f>
        <v>8500</v>
      </c>
      <c r="AG3631" s="7"/>
      <c r="AH3631" s="7"/>
      <c r="AI3631" s="7"/>
      <c r="AJ3631" s="7"/>
      <c r="AK3631" s="7"/>
      <c r="AL3631" s="7"/>
      <c r="AM3631" s="7"/>
      <c r="AN3631" s="7"/>
      <c r="AO3631" s="7"/>
      <c r="AP3631" s="7"/>
      <c r="AQ3631" s="7"/>
      <c r="AR3631" s="7"/>
      <c r="AS3631" s="7" t="s">
        <v>27</v>
      </c>
    </row>
    <row r="3632">
      <c r="A3632" s="7" t="s">
        <v>2307</v>
      </c>
      <c r="B3632" s="7" t="s">
        <v>92</v>
      </c>
      <c r="C3632" s="7">
        <f>3</f>
        <v>3</v>
      </c>
      <c r="D3632" s="7">
        <v>2.0</v>
      </c>
      <c r="E3632" s="7">
        <v>1.0</v>
      </c>
      <c r="F3632" s="7" t="s">
        <v>20</v>
      </c>
      <c r="G3632" s="7" t="s">
        <v>157</v>
      </c>
      <c r="H3632" s="9" t="s">
        <v>2979</v>
      </c>
      <c r="I3632" t="s">
        <v>3031</v>
      </c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  <c r="AA3632" s="7"/>
      <c r="AB3632" s="7"/>
      <c r="AC3632" s="7"/>
      <c r="AD3632" s="7" t="str">
        <f t="shared" si="1"/>
        <v>Built-up :</v>
      </c>
      <c r="AE3632" s="7" t="str">
        <f t="shared" si="2"/>
        <v> sq. ft.</v>
      </c>
      <c r="AF3632">
        <f>IFERROR(__xludf.DUMMYFUNCTION("VALUE(REGEXREPLACE(G3632,""[^[:digit:]]"", """"))"),1050.0)</f>
        <v>1050</v>
      </c>
      <c r="AG3632" s="7"/>
      <c r="AH3632" s="7"/>
      <c r="AI3632" s="7"/>
      <c r="AJ3632" s="7"/>
      <c r="AK3632" s="7"/>
      <c r="AL3632" s="7"/>
      <c r="AM3632" s="7"/>
      <c r="AN3632" s="7"/>
      <c r="AO3632" s="7"/>
      <c r="AP3632" s="7"/>
      <c r="AQ3632" s="7"/>
      <c r="AR3632" s="7"/>
      <c r="AS3632" s="7" t="s">
        <v>27</v>
      </c>
    </row>
    <row r="3633">
      <c r="A3633" s="7" t="s">
        <v>2237</v>
      </c>
      <c r="B3633" s="7" t="s">
        <v>313</v>
      </c>
      <c r="C3633" s="7">
        <f>5+1</f>
        <v>6</v>
      </c>
      <c r="D3633" s="7">
        <v>7.0</v>
      </c>
      <c r="E3633" s="7">
        <v>6.0</v>
      </c>
      <c r="F3633" s="7" t="s">
        <v>67</v>
      </c>
      <c r="G3633" s="7" t="s">
        <v>2406</v>
      </c>
      <c r="H3633" s="9" t="s">
        <v>2981</v>
      </c>
      <c r="I3633" t="s">
        <v>4296</v>
      </c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  <c r="AA3633" s="7"/>
      <c r="AB3633" s="7"/>
      <c r="AC3633" s="7"/>
      <c r="AD3633" s="7" t="str">
        <f t="shared" si="1"/>
        <v>Land area </v>
      </c>
      <c r="AE3633" s="7" t="str">
        <f t="shared" si="2"/>
        <v> sq. ft.</v>
      </c>
      <c r="AF3633">
        <f>IFERROR(__xludf.DUMMYFUNCTION("VALUE(REGEXREPLACE(G3633,""[^[:digit:]]"", """"))"),8878.0)</f>
        <v>8878</v>
      </c>
      <c r="AG3633" s="7"/>
      <c r="AH3633" s="7"/>
      <c r="AI3633" s="7"/>
      <c r="AJ3633" s="7"/>
      <c r="AK3633" s="7"/>
      <c r="AL3633" s="7"/>
      <c r="AM3633" s="7"/>
      <c r="AN3633" s="7"/>
      <c r="AO3633" s="7"/>
      <c r="AP3633" s="7"/>
      <c r="AQ3633" s="7"/>
      <c r="AR3633" s="7"/>
      <c r="AS3633" s="7" t="s">
        <v>27</v>
      </c>
    </row>
    <row r="3634">
      <c r="A3634" s="7" t="s">
        <v>28</v>
      </c>
      <c r="B3634" s="7" t="s">
        <v>42</v>
      </c>
      <c r="C3634" s="7">
        <f t="shared" ref="C3634:C3636" si="493">4+1</f>
        <v>5</v>
      </c>
      <c r="D3634" s="7">
        <v>7.0</v>
      </c>
      <c r="E3634" s="9">
        <v>2.0</v>
      </c>
      <c r="F3634" s="7" t="s">
        <v>43</v>
      </c>
      <c r="G3634" s="7" t="s">
        <v>1028</v>
      </c>
      <c r="H3634" s="9" t="s">
        <v>2979</v>
      </c>
      <c r="I3634" t="s">
        <v>3464</v>
      </c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  <c r="AA3634" s="7"/>
      <c r="AB3634" s="7"/>
      <c r="AC3634" s="7"/>
      <c r="AD3634" s="7" t="str">
        <f t="shared" si="1"/>
        <v>Built-up :</v>
      </c>
      <c r="AE3634" s="7" t="str">
        <f t="shared" si="2"/>
        <v> sq. ft.</v>
      </c>
      <c r="AF3634">
        <f>IFERROR(__xludf.DUMMYFUNCTION("VALUE(REGEXREPLACE(G3634,""[^[:digit:]]"", """"))"),4400.0)</f>
        <v>4400</v>
      </c>
      <c r="AG3634" s="7"/>
      <c r="AH3634" s="7"/>
      <c r="AI3634" s="7"/>
      <c r="AJ3634" s="7"/>
      <c r="AK3634" s="7"/>
      <c r="AL3634" s="7"/>
      <c r="AM3634" s="7"/>
      <c r="AN3634" s="7"/>
      <c r="AO3634" s="7"/>
      <c r="AP3634" s="7"/>
      <c r="AQ3634" s="7"/>
      <c r="AR3634" s="7"/>
    </row>
    <row r="3635">
      <c r="A3635" s="7" t="s">
        <v>28</v>
      </c>
      <c r="B3635" s="7" t="s">
        <v>931</v>
      </c>
      <c r="C3635" s="7">
        <f t="shared" si="493"/>
        <v>5</v>
      </c>
      <c r="D3635" s="7">
        <v>5.0</v>
      </c>
      <c r="E3635" s="7">
        <v>3.0</v>
      </c>
      <c r="F3635" s="7" t="s">
        <v>43</v>
      </c>
      <c r="G3635" s="7" t="s">
        <v>2407</v>
      </c>
      <c r="H3635" s="9" t="s">
        <v>2979</v>
      </c>
      <c r="I3635" t="s">
        <v>4297</v>
      </c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  <c r="AA3635" s="7"/>
      <c r="AB3635" s="7"/>
      <c r="AC3635" s="7"/>
      <c r="AD3635" s="7" t="str">
        <f t="shared" si="1"/>
        <v>Built-up :</v>
      </c>
      <c r="AE3635" s="7" t="str">
        <f t="shared" si="2"/>
        <v> sq. ft.</v>
      </c>
      <c r="AF3635">
        <f>IFERROR(__xludf.DUMMYFUNCTION("VALUE(REGEXREPLACE(G3635,""[^[:digit:]]"", """"))"),3590.0)</f>
        <v>3590</v>
      </c>
      <c r="AG3635" s="7"/>
      <c r="AH3635" s="7"/>
      <c r="AI3635" s="7"/>
      <c r="AJ3635" s="7"/>
      <c r="AK3635" s="7"/>
      <c r="AL3635" s="7"/>
      <c r="AM3635" s="7"/>
      <c r="AN3635" s="7"/>
      <c r="AO3635" s="7"/>
      <c r="AP3635" s="7"/>
      <c r="AQ3635" s="7"/>
      <c r="AR3635" s="7"/>
      <c r="AS3635" s="7" t="s">
        <v>22</v>
      </c>
    </row>
    <row r="3636">
      <c r="A3636" s="7" t="s">
        <v>28</v>
      </c>
      <c r="B3636" s="7" t="s">
        <v>281</v>
      </c>
      <c r="C3636" s="7">
        <f t="shared" si="493"/>
        <v>5</v>
      </c>
      <c r="D3636" s="7">
        <v>5.0</v>
      </c>
      <c r="E3636" s="7">
        <v>2.0</v>
      </c>
      <c r="F3636" s="7" t="s">
        <v>43</v>
      </c>
      <c r="G3636" s="7" t="s">
        <v>944</v>
      </c>
      <c r="H3636" s="9" t="s">
        <v>2981</v>
      </c>
      <c r="I3636" t="s">
        <v>3419</v>
      </c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  <c r="AA3636" s="7"/>
      <c r="AB3636" s="7"/>
      <c r="AC3636" s="7"/>
      <c r="AD3636" s="7" t="str">
        <f t="shared" si="1"/>
        <v>Land area </v>
      </c>
      <c r="AE3636" s="7" t="str">
        <f t="shared" si="2"/>
        <v> sq. ft.</v>
      </c>
      <c r="AF3636">
        <f>IFERROR(__xludf.DUMMYFUNCTION("VALUE(REGEXREPLACE(G3636,""[^[:digit:]]"", """"))"),3800.0)</f>
        <v>3800</v>
      </c>
      <c r="AG3636" s="7"/>
      <c r="AH3636" s="7"/>
      <c r="AI3636" s="7"/>
      <c r="AJ3636" s="7"/>
      <c r="AK3636" s="7"/>
      <c r="AL3636" s="7"/>
      <c r="AM3636" s="7"/>
      <c r="AN3636" s="7"/>
      <c r="AO3636" s="7"/>
      <c r="AP3636" s="7"/>
      <c r="AQ3636" s="7"/>
      <c r="AR3636" s="7"/>
      <c r="AS3636" s="7" t="s">
        <v>22</v>
      </c>
    </row>
    <row r="3637">
      <c r="A3637" s="7" t="s">
        <v>28</v>
      </c>
      <c r="B3637" s="7" t="s">
        <v>372</v>
      </c>
      <c r="C3637" s="7">
        <f>1</f>
        <v>1</v>
      </c>
      <c r="D3637" s="7">
        <v>1.0</v>
      </c>
      <c r="E3637" s="7">
        <v>2.0</v>
      </c>
      <c r="F3637" s="7" t="s">
        <v>20</v>
      </c>
      <c r="G3637" s="7" t="s">
        <v>1127</v>
      </c>
      <c r="H3637" s="9" t="s">
        <v>2979</v>
      </c>
      <c r="I3637" t="s">
        <v>3521</v>
      </c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  <c r="AA3637" s="7"/>
      <c r="AB3637" s="7"/>
      <c r="AC3637" s="7"/>
      <c r="AD3637" s="7" t="str">
        <f t="shared" si="1"/>
        <v>Built-up :</v>
      </c>
      <c r="AE3637" s="7" t="str">
        <f t="shared" si="2"/>
        <v> sq. ft.</v>
      </c>
      <c r="AF3637">
        <f>IFERROR(__xludf.DUMMYFUNCTION("VALUE(REGEXREPLACE(G3637,""[^[:digit:]]"", """"))"),672.0)</f>
        <v>672</v>
      </c>
      <c r="AG3637" s="7"/>
      <c r="AH3637" s="7"/>
      <c r="AI3637" s="7"/>
      <c r="AJ3637" s="7"/>
      <c r="AK3637" s="7"/>
      <c r="AL3637" s="7"/>
      <c r="AM3637" s="7"/>
      <c r="AN3637" s="7"/>
      <c r="AO3637" s="7"/>
      <c r="AP3637" s="7"/>
      <c r="AQ3637" s="7"/>
      <c r="AR3637" s="7"/>
      <c r="AS3637" s="7" t="s">
        <v>22</v>
      </c>
    </row>
    <row r="3638">
      <c r="A3638" s="7" t="s">
        <v>17</v>
      </c>
      <c r="B3638" s="7" t="s">
        <v>386</v>
      </c>
      <c r="C3638" s="7">
        <f>4+1</f>
        <v>5</v>
      </c>
      <c r="D3638" s="7">
        <v>3.0</v>
      </c>
      <c r="E3638" s="7">
        <v>1.0</v>
      </c>
      <c r="F3638" s="7" t="s">
        <v>20</v>
      </c>
      <c r="G3638" s="7" t="s">
        <v>2064</v>
      </c>
      <c r="H3638" s="9" t="s">
        <v>2979</v>
      </c>
      <c r="I3638" t="s">
        <v>4088</v>
      </c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  <c r="AA3638" s="7"/>
      <c r="AB3638" s="7"/>
      <c r="AC3638" s="7"/>
      <c r="AD3638" s="7" t="str">
        <f t="shared" si="1"/>
        <v>Built-up :</v>
      </c>
      <c r="AE3638" s="7" t="str">
        <f t="shared" si="2"/>
        <v> sq. ft.</v>
      </c>
      <c r="AF3638">
        <f>IFERROR(__xludf.DUMMYFUNCTION("VALUE(REGEXREPLACE(G3638,""[^[:digit:]]"", """"))"),1626.0)</f>
        <v>1626</v>
      </c>
      <c r="AG3638" s="7"/>
      <c r="AH3638" s="7"/>
      <c r="AI3638" s="7"/>
      <c r="AJ3638" s="7"/>
      <c r="AK3638" s="7"/>
      <c r="AL3638" s="7"/>
      <c r="AM3638" s="7"/>
      <c r="AN3638" s="7"/>
      <c r="AO3638" s="7"/>
      <c r="AP3638" s="7"/>
      <c r="AQ3638" s="7"/>
      <c r="AR3638" s="7"/>
    </row>
    <row r="3639">
      <c r="A3639" s="7" t="s">
        <v>17</v>
      </c>
      <c r="B3639" s="7" t="s">
        <v>2408</v>
      </c>
      <c r="C3639" s="7">
        <f t="shared" ref="C3639:C3640" si="494">3+1</f>
        <v>4</v>
      </c>
      <c r="D3639" s="7">
        <v>3.0</v>
      </c>
      <c r="E3639" s="7">
        <v>2.0</v>
      </c>
      <c r="F3639" s="7" t="s">
        <v>20</v>
      </c>
      <c r="G3639" s="7" t="s">
        <v>334</v>
      </c>
      <c r="H3639" s="9" t="s">
        <v>2979</v>
      </c>
      <c r="I3639" t="s">
        <v>3112</v>
      </c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  <c r="AA3639" s="7"/>
      <c r="AB3639" s="7"/>
      <c r="AC3639" s="7"/>
      <c r="AD3639" s="7" t="str">
        <f t="shared" si="1"/>
        <v>Built-up :</v>
      </c>
      <c r="AE3639" s="7" t="str">
        <f t="shared" si="2"/>
        <v> sq. ft.</v>
      </c>
      <c r="AF3639">
        <f>IFERROR(__xludf.DUMMYFUNCTION("VALUE(REGEXREPLACE(G3639,""[^[:digit:]]"", """"))"),1496.0)</f>
        <v>1496</v>
      </c>
      <c r="AG3639" s="7"/>
      <c r="AH3639" s="7"/>
      <c r="AI3639" s="7"/>
      <c r="AJ3639" s="7"/>
      <c r="AK3639" s="7"/>
      <c r="AL3639" s="7"/>
      <c r="AM3639" s="7"/>
      <c r="AN3639" s="7"/>
      <c r="AO3639" s="7"/>
      <c r="AP3639" s="7"/>
      <c r="AQ3639" s="7"/>
      <c r="AR3639" s="7"/>
      <c r="AS3639" s="7" t="s">
        <v>27</v>
      </c>
    </row>
    <row r="3640">
      <c r="A3640" s="7" t="s">
        <v>267</v>
      </c>
      <c r="B3640" s="7" t="s">
        <v>902</v>
      </c>
      <c r="C3640" s="7">
        <f t="shared" si="494"/>
        <v>4</v>
      </c>
      <c r="D3640" s="7">
        <v>2.0</v>
      </c>
      <c r="E3640" s="7">
        <v>2.0</v>
      </c>
      <c r="F3640" s="7" t="s">
        <v>93</v>
      </c>
      <c r="G3640" s="7" t="s">
        <v>2409</v>
      </c>
      <c r="H3640" s="9" t="s">
        <v>2979</v>
      </c>
      <c r="I3640" t="s">
        <v>4298</v>
      </c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  <c r="AA3640" s="7"/>
      <c r="AB3640" s="7"/>
      <c r="AC3640" s="7"/>
      <c r="AD3640" s="7" t="str">
        <f t="shared" si="1"/>
        <v>Built-up :</v>
      </c>
      <c r="AE3640" s="7" t="str">
        <f t="shared" si="2"/>
        <v> sq. ft.</v>
      </c>
      <c r="AF3640">
        <f>IFERROR(__xludf.DUMMYFUNCTION("VALUE(REGEXREPLACE(G3640,""[^[:digit:]]"", """"))"),1355.0)</f>
        <v>1355</v>
      </c>
      <c r="AG3640" s="7"/>
      <c r="AH3640" s="7"/>
      <c r="AI3640" s="7"/>
      <c r="AJ3640" s="7"/>
      <c r="AK3640" s="7"/>
      <c r="AL3640" s="7"/>
      <c r="AM3640" s="7"/>
      <c r="AN3640" s="7"/>
      <c r="AO3640" s="7"/>
      <c r="AP3640" s="7"/>
      <c r="AQ3640" s="7"/>
      <c r="AR3640" s="7"/>
      <c r="AS3640" s="7" t="s">
        <v>27</v>
      </c>
    </row>
    <row r="3641">
      <c r="A3641" s="7" t="s">
        <v>72</v>
      </c>
      <c r="B3641" s="7" t="s">
        <v>63</v>
      </c>
      <c r="C3641" s="7">
        <f t="shared" ref="C3641:C3642" si="495">4+1</f>
        <v>5</v>
      </c>
      <c r="D3641" s="7">
        <v>6.0</v>
      </c>
      <c r="E3641" s="7">
        <v>3.0</v>
      </c>
      <c r="F3641" s="7" t="s">
        <v>83</v>
      </c>
      <c r="G3641" s="7" t="s">
        <v>926</v>
      </c>
      <c r="H3641" s="9" t="s">
        <v>2979</v>
      </c>
      <c r="I3641" t="s">
        <v>3408</v>
      </c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  <c r="AA3641" s="7"/>
      <c r="AB3641" s="7"/>
      <c r="AC3641" s="7"/>
      <c r="AD3641" s="7" t="str">
        <f t="shared" si="1"/>
        <v>Built-up :</v>
      </c>
      <c r="AE3641" s="7" t="str">
        <f t="shared" si="2"/>
        <v> sq. ft.</v>
      </c>
      <c r="AF3641">
        <f>IFERROR(__xludf.DUMMYFUNCTION("VALUE(REGEXREPLACE(G3641,""[^[:digit:]]"", """"))"),3401.0)</f>
        <v>3401</v>
      </c>
      <c r="AG3641" s="7"/>
      <c r="AH3641" s="7"/>
      <c r="AI3641" s="7"/>
      <c r="AJ3641" s="7"/>
      <c r="AK3641" s="7"/>
      <c r="AL3641" s="7"/>
      <c r="AM3641" s="7"/>
      <c r="AN3641" s="7"/>
      <c r="AO3641" s="7"/>
      <c r="AP3641" s="7"/>
      <c r="AQ3641" s="7"/>
      <c r="AR3641" s="7"/>
    </row>
    <row r="3642">
      <c r="A3642" s="7" t="s">
        <v>72</v>
      </c>
      <c r="B3642" s="7" t="s">
        <v>658</v>
      </c>
      <c r="C3642" s="7">
        <f t="shared" si="495"/>
        <v>5</v>
      </c>
      <c r="D3642" s="7">
        <v>6.0</v>
      </c>
      <c r="E3642" s="7">
        <v>2.0</v>
      </c>
      <c r="F3642" s="7" t="s">
        <v>83</v>
      </c>
      <c r="G3642" s="7" t="s">
        <v>926</v>
      </c>
      <c r="H3642" s="9" t="s">
        <v>2979</v>
      </c>
      <c r="I3642" t="s">
        <v>3408</v>
      </c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  <c r="AA3642" s="7"/>
      <c r="AB3642" s="7"/>
      <c r="AC3642" s="7"/>
      <c r="AD3642" s="7" t="str">
        <f t="shared" si="1"/>
        <v>Built-up :</v>
      </c>
      <c r="AE3642" s="7" t="str">
        <f t="shared" si="2"/>
        <v> sq. ft.</v>
      </c>
      <c r="AF3642">
        <f>IFERROR(__xludf.DUMMYFUNCTION("VALUE(REGEXREPLACE(G3642,""[^[:digit:]]"", """"))"),3401.0)</f>
        <v>3401</v>
      </c>
      <c r="AG3642" s="7"/>
      <c r="AH3642" s="7"/>
      <c r="AI3642" s="7"/>
      <c r="AJ3642" s="7"/>
      <c r="AK3642" s="7"/>
      <c r="AL3642" s="7"/>
      <c r="AM3642" s="7"/>
      <c r="AN3642" s="7"/>
      <c r="AO3642" s="7"/>
      <c r="AP3642" s="7"/>
      <c r="AQ3642" s="7"/>
      <c r="AR3642" s="7"/>
      <c r="AS3642" s="7" t="s">
        <v>27</v>
      </c>
    </row>
    <row r="3643">
      <c r="A3643" s="7" t="s">
        <v>72</v>
      </c>
      <c r="B3643" s="7" t="s">
        <v>174</v>
      </c>
      <c r="C3643" s="7">
        <f>5</f>
        <v>5</v>
      </c>
      <c r="D3643" s="7">
        <v>6.0</v>
      </c>
      <c r="E3643" s="9">
        <v>2.0</v>
      </c>
      <c r="F3643" s="7" t="s">
        <v>83</v>
      </c>
      <c r="G3643" s="7" t="s">
        <v>1501</v>
      </c>
      <c r="H3643" s="9" t="s">
        <v>2979</v>
      </c>
      <c r="I3643" t="s">
        <v>3747</v>
      </c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  <c r="AA3643" s="7"/>
      <c r="AB3643" s="7"/>
      <c r="AC3643" s="7"/>
      <c r="AD3643" s="7" t="str">
        <f t="shared" si="1"/>
        <v>Built-up :</v>
      </c>
      <c r="AE3643" s="7" t="str">
        <f t="shared" si="2"/>
        <v> sq. ft.</v>
      </c>
      <c r="AF3643">
        <f>IFERROR(__xludf.DUMMYFUNCTION("VALUE(REGEXREPLACE(G3643,""[^[:digit:]]"", """"))"),3137.0)</f>
        <v>3137</v>
      </c>
      <c r="AG3643" s="7"/>
      <c r="AH3643" s="7"/>
      <c r="AI3643" s="7"/>
      <c r="AJ3643" s="7"/>
      <c r="AK3643" s="7"/>
      <c r="AL3643" s="7"/>
      <c r="AM3643" s="7"/>
      <c r="AN3643" s="7"/>
      <c r="AO3643" s="7"/>
      <c r="AP3643" s="7"/>
      <c r="AQ3643" s="7"/>
      <c r="AR3643" s="7"/>
    </row>
    <row r="3644">
      <c r="A3644" s="7" t="s">
        <v>171</v>
      </c>
      <c r="B3644" s="7" t="s">
        <v>2410</v>
      </c>
      <c r="C3644" s="7">
        <f t="shared" ref="C3644:C3645" si="496">3</f>
        <v>3</v>
      </c>
      <c r="D3644" s="7">
        <v>2.0</v>
      </c>
      <c r="E3644" s="7">
        <v>1.0</v>
      </c>
      <c r="F3644" s="7" t="s">
        <v>83</v>
      </c>
      <c r="G3644" s="7" t="s">
        <v>2411</v>
      </c>
      <c r="H3644" s="9" t="s">
        <v>2979</v>
      </c>
      <c r="I3644" t="s">
        <v>4299</v>
      </c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  <c r="AA3644" s="7"/>
      <c r="AB3644" s="7"/>
      <c r="AC3644" s="7"/>
      <c r="AD3644" s="7" t="str">
        <f t="shared" si="1"/>
        <v>Built-up :</v>
      </c>
      <c r="AE3644" s="7" t="str">
        <f t="shared" si="2"/>
        <v> sq. ft.</v>
      </c>
      <c r="AF3644">
        <f>IFERROR(__xludf.DUMMYFUNCTION("VALUE(REGEXREPLACE(G3644,""[^[:digit:]]"", """"))"),947.0)</f>
        <v>947</v>
      </c>
      <c r="AG3644" s="7"/>
      <c r="AH3644" s="7"/>
      <c r="AI3644" s="7"/>
      <c r="AJ3644" s="7"/>
      <c r="AK3644" s="7"/>
      <c r="AL3644" s="7"/>
      <c r="AM3644" s="7"/>
      <c r="AN3644" s="7"/>
      <c r="AO3644" s="7"/>
      <c r="AP3644" s="7"/>
      <c r="AQ3644" s="7"/>
      <c r="AR3644" s="7"/>
    </row>
    <row r="3645">
      <c r="A3645" s="7" t="s">
        <v>709</v>
      </c>
      <c r="B3645" s="7" t="s">
        <v>1307</v>
      </c>
      <c r="C3645" s="7">
        <f t="shared" si="496"/>
        <v>3</v>
      </c>
      <c r="D3645" s="7">
        <v>2.0</v>
      </c>
      <c r="E3645" s="9">
        <v>2.0</v>
      </c>
      <c r="F3645" s="7" t="s">
        <v>1566</v>
      </c>
      <c r="G3645" s="7" t="s">
        <v>1964</v>
      </c>
      <c r="H3645" s="9" t="s">
        <v>2979</v>
      </c>
      <c r="I3645" t="s">
        <v>4024</v>
      </c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  <c r="AA3645" s="7"/>
      <c r="AB3645" s="7"/>
      <c r="AC3645" s="7"/>
      <c r="AD3645" s="7" t="str">
        <f t="shared" si="1"/>
        <v>Built-up :</v>
      </c>
      <c r="AE3645" s="7" t="str">
        <f t="shared" si="2"/>
        <v> sq. ft.</v>
      </c>
      <c r="AF3645">
        <f>IFERROR(__xludf.DUMMYFUNCTION("VALUE(REGEXREPLACE(G3645,""[^[:digit:]]"", """"))"),705.0)</f>
        <v>705</v>
      </c>
      <c r="AG3645" s="7"/>
      <c r="AH3645" s="7"/>
      <c r="AI3645" s="7"/>
      <c r="AJ3645" s="7"/>
      <c r="AK3645" s="7"/>
      <c r="AL3645" s="7"/>
      <c r="AM3645" s="7"/>
      <c r="AN3645" s="7"/>
      <c r="AO3645" s="7"/>
      <c r="AP3645" s="7"/>
      <c r="AQ3645" s="7"/>
      <c r="AR3645" s="7"/>
    </row>
    <row r="3646">
      <c r="A3646" s="7" t="s">
        <v>171</v>
      </c>
      <c r="B3646" s="7" t="s">
        <v>510</v>
      </c>
      <c r="C3646" s="7">
        <f>3+1</f>
        <v>4</v>
      </c>
      <c r="D3646" s="7">
        <v>2.0</v>
      </c>
      <c r="E3646" s="7">
        <v>2.0</v>
      </c>
      <c r="F3646" s="7" t="s">
        <v>83</v>
      </c>
      <c r="G3646" s="7" t="s">
        <v>491</v>
      </c>
      <c r="H3646" s="9" t="s">
        <v>2979</v>
      </c>
      <c r="I3646" t="s">
        <v>3190</v>
      </c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  <c r="AA3646" s="7"/>
      <c r="AB3646" s="7"/>
      <c r="AC3646" s="7"/>
      <c r="AD3646" s="7" t="str">
        <f t="shared" si="1"/>
        <v>Built-up :</v>
      </c>
      <c r="AE3646" s="7" t="str">
        <f t="shared" si="2"/>
        <v> sq. ft.</v>
      </c>
      <c r="AF3646">
        <f>IFERROR(__xludf.DUMMYFUNCTION("VALUE(REGEXREPLACE(G3646,""[^[:digit:]]"", """"))"),950.0)</f>
        <v>950</v>
      </c>
      <c r="AG3646" s="7"/>
      <c r="AH3646" s="7"/>
      <c r="AI3646" s="7"/>
      <c r="AJ3646" s="7"/>
      <c r="AK3646" s="7"/>
      <c r="AL3646" s="7"/>
      <c r="AM3646" s="7"/>
      <c r="AN3646" s="7"/>
      <c r="AO3646" s="7"/>
      <c r="AP3646" s="7"/>
      <c r="AQ3646" s="7"/>
      <c r="AR3646" s="7"/>
      <c r="AS3646" s="7" t="s">
        <v>103</v>
      </c>
    </row>
    <row r="3647">
      <c r="A3647" s="7" t="s">
        <v>23</v>
      </c>
      <c r="B3647" s="7" t="s">
        <v>1038</v>
      </c>
      <c r="C3647" s="7">
        <f>6+1</f>
        <v>7</v>
      </c>
      <c r="D3647" s="7">
        <v>8.0</v>
      </c>
      <c r="E3647" s="7">
        <v>4.0</v>
      </c>
      <c r="F3647" s="7" t="s">
        <v>67</v>
      </c>
      <c r="G3647" s="7" t="s">
        <v>2412</v>
      </c>
      <c r="H3647" s="9" t="s">
        <v>2979</v>
      </c>
      <c r="I3647" t="s">
        <v>4300</v>
      </c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  <c r="AA3647" s="7"/>
      <c r="AB3647" s="7"/>
      <c r="AC3647" s="7"/>
      <c r="AD3647" s="7" t="str">
        <f t="shared" si="1"/>
        <v>Built-up :</v>
      </c>
      <c r="AE3647" s="7" t="str">
        <f t="shared" si="2"/>
        <v> sq. ft.</v>
      </c>
      <c r="AF3647">
        <f>IFERROR(__xludf.DUMMYFUNCTION("VALUE(REGEXREPLACE(G3647,""[^[:digit:]]"", """"))"),7378.0)</f>
        <v>7378</v>
      </c>
      <c r="AG3647" s="7"/>
      <c r="AH3647" s="7"/>
      <c r="AI3647" s="7"/>
      <c r="AJ3647" s="7"/>
      <c r="AK3647" s="7"/>
      <c r="AL3647" s="7"/>
      <c r="AM3647" s="7"/>
      <c r="AN3647" s="7"/>
      <c r="AO3647" s="7"/>
      <c r="AP3647" s="7"/>
      <c r="AQ3647" s="7"/>
      <c r="AR3647" s="7"/>
      <c r="AS3647" s="7" t="s">
        <v>27</v>
      </c>
    </row>
    <row r="3648">
      <c r="A3648" s="7" t="s">
        <v>37</v>
      </c>
      <c r="B3648" s="7" t="s">
        <v>81</v>
      </c>
      <c r="C3648" s="7">
        <f>2+1</f>
        <v>3</v>
      </c>
      <c r="D3648" s="7">
        <v>3.0</v>
      </c>
      <c r="E3648" s="7">
        <v>2.0</v>
      </c>
      <c r="F3648" s="7" t="s">
        <v>20</v>
      </c>
      <c r="G3648" s="7" t="s">
        <v>216</v>
      </c>
      <c r="H3648" s="9" t="s">
        <v>2979</v>
      </c>
      <c r="I3648" t="s">
        <v>3057</v>
      </c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  <c r="AA3648" s="7"/>
      <c r="AB3648" s="7"/>
      <c r="AC3648" s="7"/>
      <c r="AD3648" s="7" t="str">
        <f t="shared" si="1"/>
        <v>Built-up :</v>
      </c>
      <c r="AE3648" s="7" t="str">
        <f t="shared" si="2"/>
        <v> sq. ft.</v>
      </c>
      <c r="AF3648">
        <f>IFERROR(__xludf.DUMMYFUNCTION("VALUE(REGEXREPLACE(G3648,""[^[:digit:]]"", """"))"),1442.0)</f>
        <v>1442</v>
      </c>
      <c r="AG3648" s="7"/>
      <c r="AH3648" s="7"/>
      <c r="AI3648" s="7"/>
      <c r="AJ3648" s="7"/>
      <c r="AK3648" s="7"/>
      <c r="AL3648" s="7"/>
      <c r="AM3648" s="7"/>
      <c r="AN3648" s="7"/>
      <c r="AO3648" s="7"/>
      <c r="AP3648" s="7"/>
      <c r="AQ3648" s="7"/>
      <c r="AR3648" s="7"/>
    </row>
    <row r="3649">
      <c r="A3649" s="7" t="s">
        <v>37</v>
      </c>
      <c r="B3649" s="7" t="s">
        <v>2413</v>
      </c>
      <c r="C3649" s="7">
        <f t="shared" ref="C3649:C3651" si="497">3+1</f>
        <v>4</v>
      </c>
      <c r="D3649" s="7">
        <v>4.0</v>
      </c>
      <c r="E3649" s="7">
        <v>2.0</v>
      </c>
      <c r="F3649" s="7" t="s">
        <v>20</v>
      </c>
      <c r="G3649" s="7" t="s">
        <v>624</v>
      </c>
      <c r="H3649" s="9" t="s">
        <v>2979</v>
      </c>
      <c r="I3649" t="s">
        <v>3254</v>
      </c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  <c r="AA3649" s="7"/>
      <c r="AB3649" s="7"/>
      <c r="AC3649" s="7"/>
      <c r="AD3649" s="7" t="str">
        <f t="shared" si="1"/>
        <v>Built-up :</v>
      </c>
      <c r="AE3649" s="7" t="str">
        <f t="shared" si="2"/>
        <v> sq. ft.</v>
      </c>
      <c r="AF3649">
        <f>IFERROR(__xludf.DUMMYFUNCTION("VALUE(REGEXREPLACE(G3649,""[^[:digit:]]"", """"))"),2426.0)</f>
        <v>2426</v>
      </c>
      <c r="AG3649" s="7"/>
      <c r="AH3649" s="7"/>
      <c r="AI3649" s="7"/>
      <c r="AJ3649" s="7"/>
      <c r="AK3649" s="7"/>
      <c r="AL3649" s="7"/>
      <c r="AM3649" s="7"/>
      <c r="AN3649" s="7"/>
      <c r="AO3649" s="7"/>
      <c r="AP3649" s="7"/>
      <c r="AQ3649" s="7"/>
      <c r="AR3649" s="7"/>
      <c r="AS3649" s="7" t="s">
        <v>27</v>
      </c>
    </row>
    <row r="3650">
      <c r="A3650" s="7" t="s">
        <v>37</v>
      </c>
      <c r="B3650" s="7" t="s">
        <v>900</v>
      </c>
      <c r="C3650" s="7">
        <f t="shared" si="497"/>
        <v>4</v>
      </c>
      <c r="D3650" s="7">
        <v>5.0</v>
      </c>
      <c r="E3650" s="7">
        <v>3.0</v>
      </c>
      <c r="F3650" s="7" t="s">
        <v>20</v>
      </c>
      <c r="G3650" s="7" t="s">
        <v>2414</v>
      </c>
      <c r="H3650" s="9" t="s">
        <v>2979</v>
      </c>
      <c r="I3650" t="s">
        <v>4301</v>
      </c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  <c r="AA3650" s="7"/>
      <c r="AB3650" s="7"/>
      <c r="AC3650" s="7"/>
      <c r="AD3650" s="7" t="str">
        <f t="shared" si="1"/>
        <v>Built-up :</v>
      </c>
      <c r="AE3650" s="7" t="str">
        <f t="shared" si="2"/>
        <v> sq. ft.</v>
      </c>
      <c r="AF3650">
        <f>IFERROR(__xludf.DUMMYFUNCTION("VALUE(REGEXREPLACE(G3650,""[^[:digit:]]"", """"))"),2954.0)</f>
        <v>2954</v>
      </c>
      <c r="AG3650" s="7"/>
      <c r="AH3650" s="7"/>
      <c r="AI3650" s="7"/>
      <c r="AJ3650" s="7"/>
      <c r="AK3650" s="7"/>
      <c r="AL3650" s="7"/>
      <c r="AM3650" s="7"/>
      <c r="AN3650" s="7"/>
      <c r="AO3650" s="7"/>
      <c r="AP3650" s="7"/>
      <c r="AQ3650" s="7"/>
      <c r="AR3650" s="7"/>
      <c r="AS3650" s="7" t="s">
        <v>27</v>
      </c>
    </row>
    <row r="3651">
      <c r="A3651" s="7" t="s">
        <v>37</v>
      </c>
      <c r="B3651" s="7" t="s">
        <v>63</v>
      </c>
      <c r="C3651" s="7">
        <f t="shared" si="497"/>
        <v>4</v>
      </c>
      <c r="D3651" s="7">
        <v>4.0</v>
      </c>
      <c r="E3651" s="7">
        <v>2.0</v>
      </c>
      <c r="F3651" s="7" t="s">
        <v>20</v>
      </c>
      <c r="G3651" s="7" t="s">
        <v>624</v>
      </c>
      <c r="H3651" s="9" t="s">
        <v>2979</v>
      </c>
      <c r="I3651" t="s">
        <v>3254</v>
      </c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  <c r="AA3651" s="7"/>
      <c r="AB3651" s="7"/>
      <c r="AC3651" s="7"/>
      <c r="AD3651" s="7" t="str">
        <f t="shared" si="1"/>
        <v>Built-up :</v>
      </c>
      <c r="AE3651" s="7" t="str">
        <f t="shared" si="2"/>
        <v> sq. ft.</v>
      </c>
      <c r="AF3651">
        <f>IFERROR(__xludf.DUMMYFUNCTION("VALUE(REGEXREPLACE(G3651,""[^[:digit:]]"", """"))"),2426.0)</f>
        <v>2426</v>
      </c>
      <c r="AG3651" s="7"/>
      <c r="AH3651" s="7"/>
      <c r="AI3651" s="7"/>
      <c r="AJ3651" s="7"/>
      <c r="AK3651" s="7"/>
      <c r="AL3651" s="7"/>
      <c r="AM3651" s="7"/>
      <c r="AN3651" s="7"/>
      <c r="AO3651" s="7"/>
      <c r="AP3651" s="7"/>
      <c r="AQ3651" s="7"/>
      <c r="AR3651" s="7"/>
      <c r="AS3651" s="7" t="s">
        <v>27</v>
      </c>
    </row>
    <row r="3652">
      <c r="A3652" s="7" t="s">
        <v>104</v>
      </c>
      <c r="B3652" s="7" t="s">
        <v>2415</v>
      </c>
      <c r="C3652" s="7">
        <f>5+2</f>
        <v>7</v>
      </c>
      <c r="D3652" s="7">
        <v>5.0</v>
      </c>
      <c r="E3652" s="7">
        <v>4.0</v>
      </c>
      <c r="F3652" s="7" t="s">
        <v>90</v>
      </c>
      <c r="G3652" s="7" t="s">
        <v>283</v>
      </c>
      <c r="H3652" s="9" t="s">
        <v>2981</v>
      </c>
      <c r="I3652" t="s">
        <v>3091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 t="s">
        <v>2990</v>
      </c>
      <c r="T3652" s="7"/>
      <c r="U3652" s="7"/>
      <c r="V3652" s="7"/>
      <c r="W3652" s="7"/>
      <c r="X3652" s="7"/>
      <c r="Y3652" s="7"/>
      <c r="Z3652" s="7"/>
      <c r="AA3652" s="7"/>
      <c r="AB3652" s="7"/>
      <c r="AC3652" s="7"/>
      <c r="AD3652" s="7" t="str">
        <f t="shared" si="1"/>
        <v>Land area </v>
      </c>
      <c r="AE3652" s="7" t="str">
        <f t="shared" si="2"/>
        <v> sq. ft.</v>
      </c>
      <c r="AF3652">
        <f>IFERROR(__xludf.DUMMYFUNCTION("VALUE(REGEXREPLACE(G3652,""[^[:digit:]]"", """"))"),2275.0)</f>
        <v>2275</v>
      </c>
      <c r="AG3652" s="7"/>
      <c r="AH3652" s="7"/>
      <c r="AI3652" s="7"/>
      <c r="AJ3652" s="7"/>
      <c r="AK3652" s="7"/>
      <c r="AL3652" s="7"/>
      <c r="AM3652" s="7"/>
      <c r="AN3652" s="7"/>
      <c r="AO3652" s="7"/>
      <c r="AP3652" s="7"/>
      <c r="AQ3652" s="7"/>
      <c r="AR3652" s="7"/>
      <c r="AS3652" s="7" t="s">
        <v>27</v>
      </c>
    </row>
    <row r="3653">
      <c r="A3653" s="7" t="s">
        <v>72</v>
      </c>
      <c r="B3653" s="7" t="s">
        <v>78</v>
      </c>
      <c r="C3653" s="7">
        <f t="shared" ref="C3653:C3654" si="498">5+1</f>
        <v>6</v>
      </c>
      <c r="D3653" s="7">
        <v>4.0</v>
      </c>
      <c r="E3653" s="7">
        <v>2.0</v>
      </c>
      <c r="F3653" s="7" t="s">
        <v>83</v>
      </c>
      <c r="G3653" s="7" t="s">
        <v>176</v>
      </c>
      <c r="H3653" s="9" t="s">
        <v>2979</v>
      </c>
      <c r="I3653" t="s">
        <v>3039</v>
      </c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  <c r="AA3653" s="7"/>
      <c r="AB3653" s="7"/>
      <c r="AC3653" s="7"/>
      <c r="AD3653" s="7" t="str">
        <f t="shared" si="1"/>
        <v>Built-up :</v>
      </c>
      <c r="AE3653" s="7" t="str">
        <f t="shared" si="2"/>
        <v> sq. ft.</v>
      </c>
      <c r="AF3653">
        <f>IFERROR(__xludf.DUMMYFUNCTION("VALUE(REGEXREPLACE(G3653,""[^[:digit:]]"", """"))"),3000.0)</f>
        <v>3000</v>
      </c>
      <c r="AG3653" s="7"/>
      <c r="AH3653" s="7"/>
      <c r="AI3653" s="7"/>
      <c r="AJ3653" s="7"/>
      <c r="AK3653" s="7"/>
      <c r="AL3653" s="7"/>
      <c r="AM3653" s="7"/>
      <c r="AN3653" s="7"/>
      <c r="AO3653" s="7"/>
      <c r="AP3653" s="7"/>
      <c r="AQ3653" s="7"/>
      <c r="AR3653" s="7"/>
      <c r="AS3653" s="7" t="s">
        <v>22</v>
      </c>
    </row>
    <row r="3654">
      <c r="A3654" s="7" t="s">
        <v>692</v>
      </c>
      <c r="B3654" s="7" t="s">
        <v>75</v>
      </c>
      <c r="C3654" s="7">
        <f t="shared" si="498"/>
        <v>6</v>
      </c>
      <c r="D3654" s="7">
        <v>5.0</v>
      </c>
      <c r="E3654" s="7">
        <v>2.0</v>
      </c>
      <c r="F3654" s="7" t="s">
        <v>64</v>
      </c>
      <c r="G3654" s="7" t="s">
        <v>1747</v>
      </c>
      <c r="H3654" s="9" t="s">
        <v>2981</v>
      </c>
      <c r="I3654" t="s">
        <v>3146</v>
      </c>
      <c r="J3654" s="7"/>
      <c r="K3654" s="7"/>
      <c r="L3654" s="7"/>
      <c r="M3654" s="7"/>
      <c r="N3654" s="7"/>
      <c r="O3654" s="7"/>
      <c r="P3654" s="7"/>
      <c r="Q3654" s="7"/>
      <c r="R3654" s="7"/>
      <c r="S3654" s="7" t="s">
        <v>3188</v>
      </c>
      <c r="T3654" s="7"/>
      <c r="U3654" s="7"/>
      <c r="V3654" s="7"/>
      <c r="W3654" s="7"/>
      <c r="X3654" s="7"/>
      <c r="Y3654" s="7"/>
      <c r="Z3654" s="7"/>
      <c r="AA3654" s="7"/>
      <c r="AB3654" s="7"/>
      <c r="AC3654" s="7"/>
      <c r="AD3654" s="7" t="str">
        <f t="shared" si="1"/>
        <v>Land area </v>
      </c>
      <c r="AE3654" s="7" t="str">
        <f t="shared" si="2"/>
        <v> sq. ft.</v>
      </c>
      <c r="AF3654">
        <f>IFERROR(__xludf.DUMMYFUNCTION("VALUE(REGEXREPLACE(G3654,""[^[:digit:]]"", """"))"),4590.0)</f>
        <v>4590</v>
      </c>
      <c r="AG3654" s="7"/>
      <c r="AH3654" s="7"/>
      <c r="AI3654" s="7"/>
      <c r="AJ3654" s="7"/>
      <c r="AK3654" s="7"/>
      <c r="AL3654" s="7"/>
      <c r="AM3654" s="7"/>
      <c r="AN3654" s="7"/>
      <c r="AO3654" s="7"/>
      <c r="AP3654" s="7"/>
      <c r="AQ3654" s="7"/>
      <c r="AR3654" s="7"/>
      <c r="AS3654" s="7" t="s">
        <v>27</v>
      </c>
    </row>
    <row r="3655">
      <c r="A3655" s="7" t="s">
        <v>1241</v>
      </c>
      <c r="B3655" s="7" t="s">
        <v>329</v>
      </c>
      <c r="C3655" s="7">
        <f>2+1</f>
        <v>3</v>
      </c>
      <c r="D3655" s="7">
        <v>2.0</v>
      </c>
      <c r="E3655" s="7">
        <v>2.0</v>
      </c>
      <c r="F3655" s="7" t="s">
        <v>20</v>
      </c>
      <c r="G3655" s="7" t="s">
        <v>1024</v>
      </c>
      <c r="H3655" s="9" t="s">
        <v>2981</v>
      </c>
      <c r="I3655" t="s">
        <v>3460</v>
      </c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  <c r="AA3655" s="7"/>
      <c r="AB3655" s="7"/>
      <c r="AC3655" s="7"/>
      <c r="AD3655" s="7" t="str">
        <f t="shared" si="1"/>
        <v>Land area </v>
      </c>
      <c r="AE3655" s="7" t="str">
        <f t="shared" si="2"/>
        <v> sq. ft.</v>
      </c>
      <c r="AF3655">
        <f>IFERROR(__xludf.DUMMYFUNCTION("VALUE(REGEXREPLACE(G3655,""[^[:digit:]]"", """"))"),2000.0)</f>
        <v>2000</v>
      </c>
      <c r="AG3655" s="7"/>
      <c r="AH3655" s="7"/>
      <c r="AI3655" s="7"/>
      <c r="AJ3655" s="7"/>
      <c r="AK3655" s="7"/>
      <c r="AL3655" s="7"/>
      <c r="AM3655" s="7"/>
      <c r="AN3655" s="7"/>
      <c r="AO3655" s="7"/>
      <c r="AP3655" s="7"/>
      <c r="AQ3655" s="7"/>
      <c r="AR3655" s="7"/>
      <c r="AS3655" s="7" t="s">
        <v>103</v>
      </c>
    </row>
    <row r="3656">
      <c r="A3656" s="7" t="s">
        <v>1241</v>
      </c>
      <c r="B3656" s="7" t="s">
        <v>134</v>
      </c>
      <c r="C3656" s="7">
        <f>3+1</f>
        <v>4</v>
      </c>
      <c r="D3656" s="7">
        <v>2.0</v>
      </c>
      <c r="E3656" s="7">
        <v>2.0</v>
      </c>
      <c r="F3656" s="7" t="s">
        <v>121</v>
      </c>
      <c r="G3656" s="7" t="s">
        <v>1578</v>
      </c>
      <c r="H3656" s="9" t="s">
        <v>2979</v>
      </c>
      <c r="I3656" t="s">
        <v>3790</v>
      </c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  <c r="AA3656" s="7"/>
      <c r="AB3656" s="7"/>
      <c r="AC3656" s="7"/>
      <c r="AD3656" s="7" t="str">
        <f t="shared" si="1"/>
        <v>Built-up :</v>
      </c>
      <c r="AE3656" s="7" t="str">
        <f t="shared" si="2"/>
        <v> sq. ft.</v>
      </c>
      <c r="AF3656">
        <f>IFERROR(__xludf.DUMMYFUNCTION("VALUE(REGEXREPLACE(G3656,""[^[:digit:]]"", """"))"),1539.0)</f>
        <v>1539</v>
      </c>
      <c r="AG3656" s="7"/>
      <c r="AH3656" s="7"/>
      <c r="AI3656" s="7"/>
      <c r="AJ3656" s="7"/>
      <c r="AK3656" s="7"/>
      <c r="AL3656" s="7"/>
      <c r="AM3656" s="7"/>
      <c r="AN3656" s="7"/>
      <c r="AO3656" s="7"/>
      <c r="AP3656" s="7"/>
      <c r="AQ3656" s="7"/>
      <c r="AR3656" s="7"/>
      <c r="AS3656" s="7" t="s">
        <v>27</v>
      </c>
    </row>
    <row r="3657">
      <c r="A3657" s="7" t="s">
        <v>77</v>
      </c>
      <c r="B3657" s="7" t="s">
        <v>2015</v>
      </c>
      <c r="C3657" s="7">
        <f>7+1</f>
        <v>8</v>
      </c>
      <c r="D3657" s="7">
        <v>8.0</v>
      </c>
      <c r="E3657" s="7">
        <v>4.0</v>
      </c>
      <c r="F3657" s="7" t="s">
        <v>1036</v>
      </c>
      <c r="G3657" s="7" t="s">
        <v>2416</v>
      </c>
      <c r="H3657" s="9" t="s">
        <v>2981</v>
      </c>
      <c r="I3657" t="s">
        <v>4040</v>
      </c>
      <c r="J3657" s="7"/>
      <c r="K3657" s="7"/>
      <c r="L3657" s="7"/>
      <c r="M3657" s="7"/>
      <c r="N3657" s="7"/>
      <c r="O3657" s="7"/>
      <c r="P3657" s="7"/>
      <c r="Q3657" s="7"/>
      <c r="R3657" s="7"/>
      <c r="S3657" s="7" t="s">
        <v>3382</v>
      </c>
      <c r="T3657" s="7"/>
      <c r="U3657" s="7"/>
      <c r="V3657" s="7"/>
      <c r="W3657" s="7"/>
      <c r="X3657" s="7"/>
      <c r="Y3657" s="7"/>
      <c r="Z3657" s="7"/>
      <c r="AA3657" s="7"/>
      <c r="AB3657" s="7"/>
      <c r="AC3657" s="7"/>
      <c r="AD3657" s="7" t="str">
        <f t="shared" si="1"/>
        <v>Land area </v>
      </c>
      <c r="AE3657" s="7" t="str">
        <f t="shared" si="2"/>
        <v> sq. ft.</v>
      </c>
      <c r="AF3657" s="7">
        <v>3300.0</v>
      </c>
      <c r="AG3657" s="7"/>
      <c r="AH3657" s="7"/>
      <c r="AI3657" s="7"/>
      <c r="AJ3657" s="7"/>
      <c r="AK3657" s="7"/>
      <c r="AL3657" s="7"/>
      <c r="AM3657" s="7"/>
      <c r="AN3657" s="7"/>
      <c r="AO3657" s="7"/>
      <c r="AP3657" s="7"/>
      <c r="AQ3657" s="7"/>
      <c r="AR3657" s="7"/>
      <c r="AS3657" s="7" t="s">
        <v>27</v>
      </c>
    </row>
    <row r="3658">
      <c r="A3658" s="7" t="s">
        <v>33</v>
      </c>
      <c r="B3658" s="7" t="s">
        <v>45</v>
      </c>
      <c r="C3658" s="7">
        <f t="shared" ref="C3658:C3660" si="499">5</f>
        <v>5</v>
      </c>
      <c r="D3658" s="7">
        <v>4.0</v>
      </c>
      <c r="E3658" s="9">
        <v>2.0</v>
      </c>
      <c r="F3658" s="7" t="s">
        <v>562</v>
      </c>
      <c r="G3658" s="7" t="s">
        <v>2417</v>
      </c>
      <c r="H3658" s="9" t="s">
        <v>2981</v>
      </c>
      <c r="I3658" t="s">
        <v>3164</v>
      </c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  <c r="AA3658" s="7"/>
      <c r="AB3658" s="7"/>
      <c r="AC3658" s="7"/>
      <c r="AD3658" s="7" t="str">
        <f t="shared" si="1"/>
        <v>Land area </v>
      </c>
      <c r="AE3658" s="7" t="str">
        <f t="shared" si="2"/>
        <v> sq. ft.</v>
      </c>
      <c r="AF3658">
        <f>IFERROR(__xludf.DUMMYFUNCTION("VALUE(REGEXREPLACE(G3658,""[^[:digit:]]"", """"))"),2040.0)</f>
        <v>2040</v>
      </c>
      <c r="AG3658" s="7"/>
      <c r="AH3658" s="7"/>
      <c r="AI3658" s="7"/>
      <c r="AJ3658" s="7"/>
      <c r="AK3658" s="7"/>
      <c r="AL3658" s="7"/>
      <c r="AM3658" s="7"/>
      <c r="AN3658" s="7"/>
      <c r="AO3658" s="7"/>
      <c r="AP3658" s="7"/>
      <c r="AQ3658" s="7"/>
      <c r="AR3658" s="7"/>
      <c r="AS3658" s="7" t="s">
        <v>27</v>
      </c>
    </row>
    <row r="3659">
      <c r="A3659" s="7" t="s">
        <v>33</v>
      </c>
      <c r="B3659" s="7" t="s">
        <v>399</v>
      </c>
      <c r="C3659" s="7">
        <f t="shared" si="499"/>
        <v>5</v>
      </c>
      <c r="D3659" s="7">
        <v>4.0</v>
      </c>
      <c r="E3659" s="9">
        <v>2.0</v>
      </c>
      <c r="F3659" s="7" t="s">
        <v>562</v>
      </c>
      <c r="G3659" s="7" t="s">
        <v>1194</v>
      </c>
      <c r="H3659" s="9" t="s">
        <v>2981</v>
      </c>
      <c r="I3659" t="s">
        <v>3571</v>
      </c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  <c r="AA3659" s="7"/>
      <c r="AB3659" s="7"/>
      <c r="AC3659" s="7"/>
      <c r="AD3659" s="7" t="str">
        <f t="shared" si="1"/>
        <v>Land area </v>
      </c>
      <c r="AE3659" s="7" t="str">
        <f t="shared" si="2"/>
        <v> sq. ft.</v>
      </c>
      <c r="AF3659">
        <f>IFERROR(__xludf.DUMMYFUNCTION("VALUE(REGEXREPLACE(G3659,""[^[:digit:]]"", """"))"),2160.0)</f>
        <v>2160</v>
      </c>
      <c r="AG3659" s="7"/>
      <c r="AH3659" s="7"/>
      <c r="AI3659" s="7"/>
      <c r="AJ3659" s="7"/>
      <c r="AK3659" s="7"/>
      <c r="AL3659" s="7"/>
      <c r="AM3659" s="7"/>
      <c r="AN3659" s="7"/>
      <c r="AO3659" s="7"/>
      <c r="AP3659" s="7"/>
      <c r="AQ3659" s="7"/>
      <c r="AR3659" s="7"/>
      <c r="AS3659" s="7" t="s">
        <v>27</v>
      </c>
    </row>
    <row r="3660">
      <c r="A3660" s="7" t="s">
        <v>33</v>
      </c>
      <c r="B3660" s="7" t="s">
        <v>158</v>
      </c>
      <c r="C3660" s="7">
        <f t="shared" si="499"/>
        <v>5</v>
      </c>
      <c r="D3660" s="7">
        <v>4.0</v>
      </c>
      <c r="E3660" s="9">
        <v>2.0</v>
      </c>
      <c r="F3660" s="7" t="s">
        <v>562</v>
      </c>
      <c r="G3660" s="7" t="s">
        <v>2417</v>
      </c>
      <c r="H3660" s="9" t="s">
        <v>2981</v>
      </c>
      <c r="I3660" t="s">
        <v>3164</v>
      </c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  <c r="AA3660" s="7"/>
      <c r="AB3660" s="7"/>
      <c r="AC3660" s="7"/>
      <c r="AD3660" s="7" t="str">
        <f t="shared" si="1"/>
        <v>Land area </v>
      </c>
      <c r="AE3660" s="7" t="str">
        <f t="shared" si="2"/>
        <v> sq. ft.</v>
      </c>
      <c r="AF3660">
        <f>IFERROR(__xludf.DUMMYFUNCTION("VALUE(REGEXREPLACE(G3660,""[^[:digit:]]"", """"))"),2040.0)</f>
        <v>2040</v>
      </c>
      <c r="AG3660" s="7"/>
      <c r="AH3660" s="7"/>
      <c r="AI3660" s="7"/>
      <c r="AJ3660" s="7"/>
      <c r="AK3660" s="7"/>
      <c r="AL3660" s="7"/>
      <c r="AM3660" s="7"/>
      <c r="AN3660" s="7"/>
      <c r="AO3660" s="7"/>
      <c r="AP3660" s="7"/>
      <c r="AQ3660" s="7"/>
      <c r="AR3660" s="7"/>
      <c r="AS3660" s="7" t="s">
        <v>27</v>
      </c>
    </row>
    <row r="3661">
      <c r="A3661" s="7" t="s">
        <v>33</v>
      </c>
      <c r="B3661" s="7" t="s">
        <v>356</v>
      </c>
      <c r="C3661" s="7">
        <f>4</f>
        <v>4</v>
      </c>
      <c r="D3661" s="7">
        <v>4.0</v>
      </c>
      <c r="E3661" s="7">
        <v>2.0</v>
      </c>
      <c r="F3661" s="7" t="s">
        <v>562</v>
      </c>
      <c r="G3661" s="7" t="s">
        <v>1193</v>
      </c>
      <c r="H3661" s="9" t="s">
        <v>2981</v>
      </c>
      <c r="I3661" t="s">
        <v>3570</v>
      </c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  <c r="AA3661" s="7"/>
      <c r="AB3661" s="7"/>
      <c r="AC3661" s="7"/>
      <c r="AD3661" s="7" t="str">
        <f t="shared" si="1"/>
        <v>Land area </v>
      </c>
      <c r="AE3661" s="7" t="str">
        <f t="shared" si="2"/>
        <v> sq. ft.</v>
      </c>
      <c r="AF3661">
        <f>IFERROR(__xludf.DUMMYFUNCTION("VALUE(REGEXREPLACE(G3661,""[^[:digit:]]"", """"))"),1840.0)</f>
        <v>1840</v>
      </c>
      <c r="AG3661" s="7"/>
      <c r="AH3661" s="7"/>
      <c r="AI3661" s="7"/>
      <c r="AJ3661" s="7"/>
      <c r="AK3661" s="7"/>
      <c r="AL3661" s="7"/>
      <c r="AM3661" s="7"/>
      <c r="AN3661" s="7"/>
      <c r="AO3661" s="7"/>
      <c r="AP3661" s="7"/>
      <c r="AQ3661" s="7"/>
      <c r="AR3661" s="7"/>
      <c r="AS3661" s="7" t="s">
        <v>27</v>
      </c>
    </row>
    <row r="3662">
      <c r="A3662" s="7" t="s">
        <v>33</v>
      </c>
      <c r="B3662" s="7" t="s">
        <v>125</v>
      </c>
      <c r="C3662" s="7">
        <f>5+1</f>
        <v>6</v>
      </c>
      <c r="D3662" s="7">
        <v>6.0</v>
      </c>
      <c r="E3662" s="9">
        <v>2.0</v>
      </c>
      <c r="F3662" s="7" t="s">
        <v>562</v>
      </c>
      <c r="G3662" s="7" t="s">
        <v>1774</v>
      </c>
      <c r="H3662" s="9" t="s">
        <v>2981</v>
      </c>
      <c r="I3662" t="s">
        <v>3630</v>
      </c>
      <c r="J3662" s="7"/>
      <c r="K3662" s="7"/>
      <c r="L3662" s="7"/>
      <c r="M3662" s="7"/>
      <c r="N3662" s="7"/>
      <c r="O3662" s="7"/>
      <c r="P3662" s="7"/>
      <c r="Q3662" s="7"/>
      <c r="R3662" s="7"/>
      <c r="S3662" s="7" t="s">
        <v>2993</v>
      </c>
      <c r="T3662" s="7"/>
      <c r="U3662" s="7"/>
      <c r="V3662" s="7"/>
      <c r="W3662" s="7"/>
      <c r="X3662" s="7"/>
      <c r="Y3662" s="7"/>
      <c r="Z3662" s="7"/>
      <c r="AA3662" s="7"/>
      <c r="AB3662" s="7"/>
      <c r="AC3662" s="7"/>
      <c r="AD3662" s="7" t="str">
        <f t="shared" si="1"/>
        <v>Land area </v>
      </c>
      <c r="AE3662" s="7" t="str">
        <f t="shared" si="2"/>
        <v> sq. ft.</v>
      </c>
      <c r="AF3662">
        <f>IFERROR(__xludf.DUMMYFUNCTION("VALUE(REGEXREPLACE(G3662,""[^[:digit:]]"", """"))"),3480.0)</f>
        <v>3480</v>
      </c>
      <c r="AG3662" s="7"/>
      <c r="AH3662" s="7"/>
      <c r="AI3662" s="7"/>
      <c r="AJ3662" s="7"/>
      <c r="AK3662" s="7"/>
      <c r="AL3662" s="7"/>
      <c r="AM3662" s="7"/>
      <c r="AN3662" s="7"/>
      <c r="AO3662" s="7"/>
      <c r="AP3662" s="7"/>
      <c r="AQ3662" s="7"/>
      <c r="AR3662" s="7"/>
      <c r="AS3662" s="7" t="s">
        <v>27</v>
      </c>
    </row>
    <row r="3663">
      <c r="A3663" s="7" t="s">
        <v>33</v>
      </c>
      <c r="B3663" s="7" t="s">
        <v>144</v>
      </c>
      <c r="C3663" s="7">
        <f t="shared" ref="C3663:C3664" si="500">5</f>
        <v>5</v>
      </c>
      <c r="D3663" s="7">
        <v>4.0</v>
      </c>
      <c r="E3663" s="9">
        <v>2.0</v>
      </c>
      <c r="F3663" s="7" t="s">
        <v>562</v>
      </c>
      <c r="G3663" s="7" t="s">
        <v>2417</v>
      </c>
      <c r="H3663" s="9" t="s">
        <v>2981</v>
      </c>
      <c r="I3663" t="s">
        <v>3164</v>
      </c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  <c r="AA3663" s="7"/>
      <c r="AB3663" s="7"/>
      <c r="AC3663" s="7"/>
      <c r="AD3663" s="7" t="str">
        <f t="shared" si="1"/>
        <v>Land area </v>
      </c>
      <c r="AE3663" s="7" t="str">
        <f t="shared" si="2"/>
        <v> sq. ft.</v>
      </c>
      <c r="AF3663">
        <f>IFERROR(__xludf.DUMMYFUNCTION("VALUE(REGEXREPLACE(G3663,""[^[:digit:]]"", """"))"),2040.0)</f>
        <v>2040</v>
      </c>
      <c r="AG3663" s="7"/>
      <c r="AH3663" s="7"/>
      <c r="AI3663" s="7"/>
      <c r="AJ3663" s="7"/>
      <c r="AK3663" s="7"/>
      <c r="AL3663" s="7"/>
      <c r="AM3663" s="7"/>
      <c r="AN3663" s="7"/>
      <c r="AO3663" s="7"/>
      <c r="AP3663" s="7"/>
      <c r="AQ3663" s="7"/>
      <c r="AR3663" s="7"/>
      <c r="AS3663" s="7" t="s">
        <v>27</v>
      </c>
    </row>
    <row r="3664">
      <c r="A3664" s="7" t="s">
        <v>177</v>
      </c>
      <c r="B3664" s="7" t="s">
        <v>281</v>
      </c>
      <c r="C3664" s="7">
        <f t="shared" si="500"/>
        <v>5</v>
      </c>
      <c r="D3664" s="7">
        <v>4.0</v>
      </c>
      <c r="E3664" s="9">
        <v>2.0</v>
      </c>
      <c r="F3664" s="7" t="s">
        <v>169</v>
      </c>
      <c r="G3664" s="7" t="s">
        <v>2418</v>
      </c>
      <c r="H3664" s="9" t="s">
        <v>2981</v>
      </c>
      <c r="I3664" t="s">
        <v>4302</v>
      </c>
      <c r="J3664" s="7"/>
      <c r="K3664" s="7"/>
      <c r="L3664" s="7"/>
      <c r="M3664" s="7"/>
      <c r="N3664" s="7"/>
      <c r="O3664" s="7"/>
      <c r="P3664" s="7"/>
      <c r="Q3664" s="7"/>
      <c r="R3664" s="7"/>
      <c r="S3664" s="7" t="s">
        <v>3188</v>
      </c>
      <c r="T3664" s="7"/>
      <c r="U3664" s="7"/>
      <c r="V3664" s="7"/>
      <c r="W3664" s="7"/>
      <c r="X3664" s="7"/>
      <c r="Y3664" s="7"/>
      <c r="Z3664" s="7"/>
      <c r="AA3664" s="7"/>
      <c r="AB3664" s="7"/>
      <c r="AC3664" s="7"/>
      <c r="AD3664" s="7" t="str">
        <f t="shared" si="1"/>
        <v>Land area </v>
      </c>
      <c r="AE3664" s="7" t="str">
        <f t="shared" si="2"/>
        <v> sq. ft.</v>
      </c>
      <c r="AF3664">
        <f>IFERROR(__xludf.DUMMYFUNCTION("VALUE(REGEXREPLACE(G3664,""[^[:digit:]]"", """"))"),2590.0)</f>
        <v>2590</v>
      </c>
      <c r="AG3664" s="7"/>
      <c r="AH3664" s="7"/>
      <c r="AI3664" s="7"/>
      <c r="AJ3664" s="7"/>
      <c r="AK3664" s="7"/>
      <c r="AL3664" s="7"/>
      <c r="AM3664" s="7"/>
      <c r="AN3664" s="7"/>
      <c r="AO3664" s="7"/>
      <c r="AP3664" s="7"/>
      <c r="AQ3664" s="7"/>
      <c r="AR3664" s="7"/>
      <c r="AS3664" s="7" t="s">
        <v>27</v>
      </c>
    </row>
    <row r="3665">
      <c r="A3665" s="7" t="s">
        <v>86</v>
      </c>
      <c r="B3665" s="7" t="s">
        <v>2419</v>
      </c>
      <c r="C3665" s="7">
        <f>3+1</f>
        <v>4</v>
      </c>
      <c r="D3665" s="7">
        <v>2.0</v>
      </c>
      <c r="E3665" s="7">
        <v>1.0</v>
      </c>
      <c r="F3665" s="7" t="s">
        <v>20</v>
      </c>
      <c r="G3665" s="7" t="s">
        <v>471</v>
      </c>
      <c r="H3665" s="9" t="s">
        <v>2979</v>
      </c>
      <c r="I3665" t="s">
        <v>3179</v>
      </c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  <c r="AA3665" s="7"/>
      <c r="AB3665" s="7"/>
      <c r="AC3665" s="7"/>
      <c r="AD3665" s="7" t="str">
        <f t="shared" si="1"/>
        <v>Built-up :</v>
      </c>
      <c r="AE3665" s="7" t="str">
        <f t="shared" si="2"/>
        <v> sq. ft.</v>
      </c>
      <c r="AF3665">
        <f>IFERROR(__xludf.DUMMYFUNCTION("VALUE(REGEXREPLACE(G3665,""[^[:digit:]]"", """"))"),1400.0)</f>
        <v>1400</v>
      </c>
      <c r="AG3665" s="7"/>
      <c r="AH3665" s="7"/>
      <c r="AI3665" s="7"/>
      <c r="AJ3665" s="7"/>
      <c r="AK3665" s="7"/>
      <c r="AL3665" s="7"/>
      <c r="AM3665" s="7"/>
      <c r="AN3665" s="7"/>
      <c r="AO3665" s="7"/>
      <c r="AP3665" s="7"/>
      <c r="AQ3665" s="7"/>
      <c r="AR3665" s="7"/>
      <c r="AS3665" s="7" t="s">
        <v>27</v>
      </c>
    </row>
    <row r="3666">
      <c r="A3666" s="7" t="s">
        <v>65</v>
      </c>
      <c r="B3666" s="7" t="s">
        <v>281</v>
      </c>
      <c r="C3666" s="7">
        <f>4</f>
        <v>4</v>
      </c>
      <c r="D3666" s="7">
        <v>4.0</v>
      </c>
      <c r="E3666" s="7">
        <v>3.0</v>
      </c>
      <c r="F3666" s="7" t="s">
        <v>30</v>
      </c>
      <c r="G3666" s="7" t="s">
        <v>2420</v>
      </c>
      <c r="H3666" s="9" t="s">
        <v>2981</v>
      </c>
      <c r="I3666" t="s">
        <v>4303</v>
      </c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  <c r="AA3666" s="7"/>
      <c r="AB3666" s="7"/>
      <c r="AC3666" s="7"/>
      <c r="AD3666" s="7" t="str">
        <f t="shared" si="1"/>
        <v>Land area </v>
      </c>
      <c r="AE3666" s="7" t="str">
        <f t="shared" si="2"/>
        <v> sq. ft.</v>
      </c>
      <c r="AF3666">
        <f>IFERROR(__xludf.DUMMYFUNCTION("VALUE(REGEXREPLACE(G3666,""[^[:digit:]]"", """"))"),3788.0)</f>
        <v>3788</v>
      </c>
      <c r="AG3666" s="7"/>
      <c r="AH3666" s="7"/>
      <c r="AI3666" s="7"/>
      <c r="AJ3666" s="7"/>
      <c r="AK3666" s="7"/>
      <c r="AL3666" s="7"/>
      <c r="AM3666" s="7"/>
      <c r="AN3666" s="7"/>
      <c r="AO3666" s="7"/>
      <c r="AP3666" s="7"/>
      <c r="AQ3666" s="7"/>
      <c r="AR3666" s="7"/>
      <c r="AS3666" s="7" t="s">
        <v>27</v>
      </c>
    </row>
    <row r="3667">
      <c r="A3667" s="7" t="s">
        <v>65</v>
      </c>
      <c r="B3667" s="7" t="s">
        <v>1553</v>
      </c>
      <c r="C3667" s="7">
        <f>6+1</f>
        <v>7</v>
      </c>
      <c r="D3667" s="7">
        <v>6.0</v>
      </c>
      <c r="E3667" s="7">
        <v>4.0</v>
      </c>
      <c r="F3667" s="7" t="s">
        <v>67</v>
      </c>
      <c r="G3667" s="7" t="s">
        <v>2421</v>
      </c>
      <c r="H3667" s="9" t="s">
        <v>2981</v>
      </c>
      <c r="I3667" t="s">
        <v>4304</v>
      </c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  <c r="AA3667" s="7"/>
      <c r="AB3667" s="7"/>
      <c r="AC3667" s="7"/>
      <c r="AD3667" s="7" t="str">
        <f t="shared" si="1"/>
        <v>Land area </v>
      </c>
      <c r="AE3667" s="7" t="str">
        <f t="shared" si="2"/>
        <v> sq. ft.</v>
      </c>
      <c r="AF3667">
        <f>IFERROR(__xludf.DUMMYFUNCTION("VALUE(REGEXREPLACE(G3667,""[^[:digit:]]"", """"))"),28313.0)</f>
        <v>28313</v>
      </c>
      <c r="AG3667" s="7"/>
      <c r="AH3667" s="7"/>
      <c r="AI3667" s="7"/>
      <c r="AJ3667" s="7"/>
      <c r="AK3667" s="7"/>
      <c r="AL3667" s="7"/>
      <c r="AM3667" s="7"/>
      <c r="AN3667" s="7"/>
      <c r="AO3667" s="7"/>
      <c r="AP3667" s="7"/>
      <c r="AQ3667" s="7"/>
      <c r="AR3667" s="7"/>
      <c r="AS3667" s="7" t="s">
        <v>103</v>
      </c>
    </row>
    <row r="3668">
      <c r="A3668" s="7" t="s">
        <v>17</v>
      </c>
      <c r="B3668" s="7" t="s">
        <v>536</v>
      </c>
      <c r="C3668" s="7">
        <f>1</f>
        <v>1</v>
      </c>
      <c r="D3668" s="7">
        <v>1.0</v>
      </c>
      <c r="E3668" s="9">
        <v>2.0</v>
      </c>
      <c r="F3668" s="7" t="s">
        <v>121</v>
      </c>
      <c r="G3668" s="7" t="s">
        <v>2251</v>
      </c>
      <c r="H3668" s="9" t="s">
        <v>2979</v>
      </c>
      <c r="I3668" t="s">
        <v>4207</v>
      </c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  <c r="AA3668" s="7"/>
      <c r="AB3668" s="7"/>
      <c r="AC3668" s="7"/>
      <c r="AD3668" s="7" t="str">
        <f t="shared" si="1"/>
        <v>Built-up :</v>
      </c>
      <c r="AE3668" s="7" t="str">
        <f t="shared" si="2"/>
        <v> sq. ft.</v>
      </c>
      <c r="AF3668">
        <f>IFERROR(__xludf.DUMMYFUNCTION("VALUE(REGEXREPLACE(G3668,""[^[:digit:]]"", """"))"),454.0)</f>
        <v>454</v>
      </c>
      <c r="AG3668" s="7"/>
      <c r="AH3668" s="7"/>
      <c r="AI3668" s="7"/>
      <c r="AJ3668" s="7"/>
      <c r="AK3668" s="7"/>
      <c r="AL3668" s="7"/>
      <c r="AM3668" s="7"/>
      <c r="AN3668" s="7"/>
      <c r="AO3668" s="7"/>
      <c r="AP3668" s="7"/>
      <c r="AQ3668" s="7"/>
      <c r="AR3668" s="7"/>
      <c r="AS3668" s="7" t="s">
        <v>27</v>
      </c>
    </row>
    <row r="3669">
      <c r="A3669" s="7" t="s">
        <v>188</v>
      </c>
      <c r="B3669" s="7" t="s">
        <v>573</v>
      </c>
      <c r="C3669" s="7">
        <f>4+1</f>
        <v>5</v>
      </c>
      <c r="D3669" s="7">
        <v>6.0</v>
      </c>
      <c r="E3669" s="7">
        <v>2.0</v>
      </c>
      <c r="F3669" s="7" t="s">
        <v>121</v>
      </c>
      <c r="G3669" s="7" t="s">
        <v>2374</v>
      </c>
      <c r="H3669" s="9" t="s">
        <v>2979</v>
      </c>
      <c r="I3669" t="s">
        <v>4281</v>
      </c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  <c r="AA3669" s="7"/>
      <c r="AB3669" s="7"/>
      <c r="AC3669" s="7"/>
      <c r="AD3669" s="7" t="str">
        <f t="shared" si="1"/>
        <v>Built-up :</v>
      </c>
      <c r="AE3669" s="7" t="str">
        <f t="shared" si="2"/>
        <v> sq. ft.</v>
      </c>
      <c r="AF3669">
        <f>IFERROR(__xludf.DUMMYFUNCTION("VALUE(REGEXREPLACE(G3669,""[^[:digit:]]"", """"))"),4227.0)</f>
        <v>4227</v>
      </c>
      <c r="AG3669" s="7"/>
      <c r="AH3669" s="7"/>
      <c r="AI3669" s="7"/>
      <c r="AJ3669" s="7"/>
      <c r="AK3669" s="7"/>
      <c r="AL3669" s="7"/>
      <c r="AM3669" s="7"/>
      <c r="AN3669" s="7"/>
      <c r="AO3669" s="7"/>
      <c r="AP3669" s="7"/>
      <c r="AQ3669" s="7"/>
      <c r="AR3669" s="7"/>
      <c r="AS3669" s="7" t="s">
        <v>22</v>
      </c>
    </row>
    <row r="3670">
      <c r="A3670" s="7" t="s">
        <v>17</v>
      </c>
      <c r="B3670" s="7" t="s">
        <v>2422</v>
      </c>
      <c r="C3670" s="7">
        <f>2+2</f>
        <v>4</v>
      </c>
      <c r="D3670" s="7">
        <v>2.0</v>
      </c>
      <c r="E3670" s="9">
        <v>2.0</v>
      </c>
      <c r="F3670" s="7" t="s">
        <v>121</v>
      </c>
      <c r="G3670" s="7" t="s">
        <v>2423</v>
      </c>
      <c r="H3670" s="9" t="s">
        <v>2979</v>
      </c>
      <c r="I3670" t="s">
        <v>4305</v>
      </c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  <c r="AA3670" s="7"/>
      <c r="AB3670" s="7"/>
      <c r="AC3670" s="7"/>
      <c r="AD3670" s="7" t="str">
        <f t="shared" si="1"/>
        <v>Built-up :</v>
      </c>
      <c r="AE3670" s="7" t="str">
        <f t="shared" si="2"/>
        <v> sq. ft.</v>
      </c>
      <c r="AF3670">
        <f>IFERROR(__xludf.DUMMYFUNCTION("VALUE(REGEXREPLACE(G3670,""[^[:digit:]]"", """"))"),1347.0)</f>
        <v>1347</v>
      </c>
      <c r="AG3670" s="7"/>
      <c r="AH3670" s="7"/>
      <c r="AI3670" s="7"/>
      <c r="AJ3670" s="7"/>
      <c r="AK3670" s="7"/>
      <c r="AL3670" s="7"/>
      <c r="AM3670" s="7"/>
      <c r="AN3670" s="7"/>
      <c r="AO3670" s="7"/>
      <c r="AP3670" s="7"/>
      <c r="AQ3670" s="7"/>
      <c r="AR3670" s="7"/>
      <c r="AS3670" s="7" t="s">
        <v>27</v>
      </c>
    </row>
    <row r="3671">
      <c r="A3671" s="7" t="s">
        <v>33</v>
      </c>
      <c r="B3671" s="7" t="s">
        <v>1603</v>
      </c>
      <c r="C3671" s="7">
        <f>1+1</f>
        <v>2</v>
      </c>
      <c r="D3671" s="7">
        <v>1.0</v>
      </c>
      <c r="E3671" s="7">
        <v>1.0</v>
      </c>
      <c r="F3671" s="7" t="s">
        <v>354</v>
      </c>
      <c r="G3671" s="7" t="s">
        <v>1210</v>
      </c>
      <c r="H3671" s="9" t="s">
        <v>2979</v>
      </c>
      <c r="I3671" t="s">
        <v>3579</v>
      </c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  <c r="AA3671" s="7"/>
      <c r="AB3671" s="7"/>
      <c r="AC3671" s="7"/>
      <c r="AD3671" s="7" t="str">
        <f t="shared" si="1"/>
        <v>Built-up :</v>
      </c>
      <c r="AE3671" s="7" t="str">
        <f t="shared" si="2"/>
        <v> sq. ft.</v>
      </c>
      <c r="AF3671">
        <f>IFERROR(__xludf.DUMMYFUNCTION("VALUE(REGEXREPLACE(G3671,""[^[:digit:]]"", """"))"),680.0)</f>
        <v>680</v>
      </c>
      <c r="AG3671" s="7"/>
      <c r="AH3671" s="7"/>
      <c r="AI3671" s="7"/>
      <c r="AJ3671" s="7"/>
      <c r="AK3671" s="7"/>
      <c r="AL3671" s="7"/>
      <c r="AM3671" s="7"/>
      <c r="AN3671" s="7"/>
      <c r="AO3671" s="7"/>
      <c r="AP3671" s="7"/>
      <c r="AQ3671" s="7"/>
      <c r="AR3671" s="7"/>
      <c r="AS3671" s="7" t="s">
        <v>27</v>
      </c>
    </row>
    <row r="3672">
      <c r="A3672" s="7" t="s">
        <v>177</v>
      </c>
      <c r="B3672" s="7" t="s">
        <v>1736</v>
      </c>
      <c r="C3672" s="7">
        <f>6+1</f>
        <v>7</v>
      </c>
      <c r="D3672" s="7">
        <v>8.0</v>
      </c>
      <c r="E3672" s="9">
        <v>2.0</v>
      </c>
      <c r="F3672" s="7" t="s">
        <v>25</v>
      </c>
      <c r="G3672" s="7" t="s">
        <v>514</v>
      </c>
      <c r="H3672" s="9" t="s">
        <v>2981</v>
      </c>
      <c r="I3672" t="s">
        <v>3202</v>
      </c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  <c r="AA3672" s="7"/>
      <c r="AB3672" s="7"/>
      <c r="AC3672" s="7"/>
      <c r="AD3672" s="7" t="str">
        <f t="shared" si="1"/>
        <v>Land area </v>
      </c>
      <c r="AE3672" s="7" t="str">
        <f t="shared" si="2"/>
        <v> sq. ft.</v>
      </c>
      <c r="AF3672">
        <f>IFERROR(__xludf.DUMMYFUNCTION("VALUE(REGEXREPLACE(G3672,""[^[:digit:]]"", """"))"),11500.0)</f>
        <v>11500</v>
      </c>
      <c r="AG3672" s="7"/>
      <c r="AH3672" s="7"/>
      <c r="AI3672" s="7"/>
      <c r="AJ3672" s="7"/>
      <c r="AK3672" s="7"/>
      <c r="AL3672" s="7"/>
      <c r="AM3672" s="7"/>
      <c r="AN3672" s="7"/>
      <c r="AO3672" s="7"/>
      <c r="AP3672" s="7"/>
      <c r="AQ3672" s="7"/>
      <c r="AR3672" s="7"/>
      <c r="AS3672" s="7" t="s">
        <v>27</v>
      </c>
    </row>
    <row r="3673">
      <c r="A3673" s="7" t="s">
        <v>72</v>
      </c>
      <c r="B3673" s="7" t="s">
        <v>433</v>
      </c>
      <c r="C3673" s="7">
        <f>4+2</f>
        <v>6</v>
      </c>
      <c r="D3673" s="7">
        <v>6.0</v>
      </c>
      <c r="E3673" s="7">
        <v>4.0</v>
      </c>
      <c r="F3673" s="7" t="s">
        <v>25</v>
      </c>
      <c r="G3673" s="7" t="s">
        <v>434</v>
      </c>
      <c r="H3673" s="9" t="s">
        <v>2981</v>
      </c>
      <c r="I3673" t="s">
        <v>3160</v>
      </c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  <c r="AA3673" s="7"/>
      <c r="AB3673" s="7"/>
      <c r="AC3673" s="7"/>
      <c r="AD3673" s="7" t="str">
        <f t="shared" si="1"/>
        <v>Land area </v>
      </c>
      <c r="AE3673" s="7" t="str">
        <f t="shared" si="2"/>
        <v> sq. ft.</v>
      </c>
      <c r="AF3673">
        <f>IFERROR(__xludf.DUMMYFUNCTION("VALUE(REGEXREPLACE(G3673,""[^[:digit:]]"", """"))"),8611.0)</f>
        <v>8611</v>
      </c>
      <c r="AG3673" s="7"/>
      <c r="AH3673" s="7"/>
      <c r="AI3673" s="7"/>
      <c r="AJ3673" s="7"/>
      <c r="AK3673" s="7"/>
      <c r="AL3673" s="7"/>
      <c r="AM3673" s="7"/>
      <c r="AN3673" s="7"/>
      <c r="AO3673" s="7"/>
      <c r="AP3673" s="7"/>
      <c r="AQ3673" s="7"/>
      <c r="AR3673" s="7"/>
      <c r="AS3673" s="7" t="s">
        <v>22</v>
      </c>
    </row>
    <row r="3674">
      <c r="A3674" s="7" t="s">
        <v>23</v>
      </c>
      <c r="B3674" s="7" t="s">
        <v>298</v>
      </c>
      <c r="C3674" s="7">
        <f>5+1</f>
        <v>6</v>
      </c>
      <c r="D3674" s="7">
        <v>6.0</v>
      </c>
      <c r="E3674" s="9">
        <v>2.0</v>
      </c>
      <c r="F3674" s="7" t="s">
        <v>25</v>
      </c>
      <c r="G3674" s="7" t="s">
        <v>2424</v>
      </c>
      <c r="H3674" s="9" t="s">
        <v>2981</v>
      </c>
      <c r="I3674" t="s">
        <v>4306</v>
      </c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  <c r="AA3674" s="7"/>
      <c r="AB3674" s="7"/>
      <c r="AC3674" s="7"/>
      <c r="AD3674" s="7" t="str">
        <f t="shared" si="1"/>
        <v>Land area </v>
      </c>
      <c r="AE3674" s="7" t="str">
        <f t="shared" si="2"/>
        <v> sq. ft.</v>
      </c>
      <c r="AF3674">
        <f>IFERROR(__xludf.DUMMYFUNCTION("VALUE(REGEXREPLACE(G3674,""[^[:digit:]]"", """"))"),5994.0)</f>
        <v>5994</v>
      </c>
      <c r="AG3674" s="7"/>
      <c r="AH3674" s="7"/>
      <c r="AI3674" s="7"/>
      <c r="AJ3674" s="7"/>
      <c r="AK3674" s="7"/>
      <c r="AL3674" s="7"/>
      <c r="AM3674" s="7"/>
      <c r="AN3674" s="7"/>
      <c r="AO3674" s="7"/>
      <c r="AP3674" s="7"/>
      <c r="AQ3674" s="7"/>
      <c r="AR3674" s="7"/>
      <c r="AS3674" s="7" t="s">
        <v>27</v>
      </c>
    </row>
    <row r="3675">
      <c r="A3675" s="7" t="s">
        <v>177</v>
      </c>
      <c r="B3675" s="7" t="s">
        <v>1983</v>
      </c>
      <c r="C3675" s="7">
        <f t="shared" ref="C3675:C3676" si="501">6+1</f>
        <v>7</v>
      </c>
      <c r="D3675" s="7">
        <v>5.0</v>
      </c>
      <c r="E3675" s="9">
        <v>2.0</v>
      </c>
      <c r="F3675" s="7" t="s">
        <v>25</v>
      </c>
      <c r="G3675" s="7" t="s">
        <v>2425</v>
      </c>
      <c r="H3675" s="9" t="s">
        <v>2981</v>
      </c>
      <c r="I3675" t="s">
        <v>4307</v>
      </c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  <c r="AA3675" s="7"/>
      <c r="AB3675" s="7"/>
      <c r="AC3675" s="7"/>
      <c r="AD3675" s="7" t="str">
        <f t="shared" si="1"/>
        <v>Land area </v>
      </c>
      <c r="AE3675" s="7" t="str">
        <f t="shared" si="2"/>
        <v> sq. ft.</v>
      </c>
      <c r="AF3675">
        <f>IFERROR(__xludf.DUMMYFUNCTION("VALUE(REGEXREPLACE(G3675,""[^[:digit:]]"", """"))"),6500.0)</f>
        <v>6500</v>
      </c>
      <c r="AG3675" s="7"/>
      <c r="AH3675" s="7"/>
      <c r="AI3675" s="7"/>
      <c r="AJ3675" s="7"/>
      <c r="AK3675" s="7"/>
      <c r="AL3675" s="7"/>
      <c r="AM3675" s="7"/>
      <c r="AN3675" s="7"/>
      <c r="AO3675" s="7"/>
      <c r="AP3675" s="7"/>
      <c r="AQ3675" s="7"/>
      <c r="AR3675" s="7"/>
      <c r="AS3675" s="7" t="s">
        <v>27</v>
      </c>
    </row>
    <row r="3676">
      <c r="A3676" s="7" t="s">
        <v>72</v>
      </c>
      <c r="B3676" s="7" t="s">
        <v>532</v>
      </c>
      <c r="C3676" s="7">
        <f t="shared" si="501"/>
        <v>7</v>
      </c>
      <c r="D3676" s="7">
        <v>6.0</v>
      </c>
      <c r="E3676" s="9">
        <v>2.0</v>
      </c>
      <c r="F3676" s="7" t="s">
        <v>25</v>
      </c>
      <c r="G3676" s="7" t="s">
        <v>219</v>
      </c>
      <c r="H3676" s="9" t="s">
        <v>2981</v>
      </c>
      <c r="I3676" t="s">
        <v>3059</v>
      </c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  <c r="AA3676" s="7"/>
      <c r="AB3676" s="7"/>
      <c r="AC3676" s="7"/>
      <c r="AD3676" s="7" t="str">
        <f t="shared" si="1"/>
        <v>Land area </v>
      </c>
      <c r="AE3676" s="7" t="str">
        <f t="shared" si="2"/>
        <v> sq. ft.</v>
      </c>
      <c r="AF3676">
        <f>IFERROR(__xludf.DUMMYFUNCTION("VALUE(REGEXREPLACE(G3676,""[^[:digit:]]"", """"))"),7000.0)</f>
        <v>7000</v>
      </c>
      <c r="AG3676" s="7"/>
      <c r="AH3676" s="7"/>
      <c r="AI3676" s="7"/>
      <c r="AJ3676" s="7"/>
      <c r="AK3676" s="7"/>
      <c r="AL3676" s="7"/>
      <c r="AM3676" s="7"/>
      <c r="AN3676" s="7"/>
      <c r="AO3676" s="7"/>
      <c r="AP3676" s="7"/>
      <c r="AQ3676" s="7"/>
      <c r="AR3676" s="7"/>
      <c r="AS3676" s="7" t="s">
        <v>27</v>
      </c>
    </row>
    <row r="3677">
      <c r="A3677" s="7" t="s">
        <v>155</v>
      </c>
      <c r="B3677" s="7" t="s">
        <v>1894</v>
      </c>
      <c r="C3677" s="7">
        <f>3+1</f>
        <v>4</v>
      </c>
      <c r="D3677" s="7">
        <v>3.0</v>
      </c>
      <c r="E3677" s="7">
        <v>2.0</v>
      </c>
      <c r="F3677" s="7" t="s">
        <v>83</v>
      </c>
      <c r="G3677" s="7" t="s">
        <v>1072</v>
      </c>
      <c r="H3677" s="9" t="s">
        <v>2979</v>
      </c>
      <c r="I3677" t="s">
        <v>3489</v>
      </c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  <c r="AA3677" s="7"/>
      <c r="AB3677" s="7"/>
      <c r="AC3677" s="7"/>
      <c r="AD3677" s="7" t="str">
        <f t="shared" si="1"/>
        <v>Built-up :</v>
      </c>
      <c r="AE3677" s="7" t="str">
        <f t="shared" si="2"/>
        <v> sq. ft.</v>
      </c>
      <c r="AF3677">
        <f>IFERROR(__xludf.DUMMYFUNCTION("VALUE(REGEXREPLACE(G3677,""[^[:digit:]]"", """"))"),1535.0)</f>
        <v>1535</v>
      </c>
      <c r="AG3677" s="7"/>
      <c r="AH3677" s="7"/>
      <c r="AI3677" s="7"/>
      <c r="AJ3677" s="7"/>
      <c r="AK3677" s="7"/>
      <c r="AL3677" s="7"/>
      <c r="AM3677" s="7"/>
      <c r="AN3677" s="7"/>
      <c r="AO3677" s="7"/>
      <c r="AP3677" s="7"/>
      <c r="AQ3677" s="7"/>
      <c r="AR3677" s="7"/>
      <c r="AS3677" s="7" t="s">
        <v>27</v>
      </c>
    </row>
    <row r="3678">
      <c r="A3678" s="7" t="s">
        <v>188</v>
      </c>
      <c r="B3678" s="7" t="s">
        <v>156</v>
      </c>
      <c r="C3678" s="7">
        <f>2</f>
        <v>2</v>
      </c>
      <c r="D3678" s="7">
        <v>2.0</v>
      </c>
      <c r="E3678" s="7">
        <v>1.0</v>
      </c>
      <c r="F3678" s="7" t="s">
        <v>121</v>
      </c>
      <c r="G3678" s="7" t="s">
        <v>2426</v>
      </c>
      <c r="H3678" s="9" t="s">
        <v>2979</v>
      </c>
      <c r="I3678" t="s">
        <v>4308</v>
      </c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  <c r="AA3678" s="7"/>
      <c r="AB3678" s="7"/>
      <c r="AC3678" s="7"/>
      <c r="AD3678" s="7" t="str">
        <f t="shared" si="1"/>
        <v>Built-up :</v>
      </c>
      <c r="AE3678" s="7" t="str">
        <f t="shared" si="2"/>
        <v> sq. ft.</v>
      </c>
      <c r="AF3678">
        <f>IFERROR(__xludf.DUMMYFUNCTION("VALUE(REGEXREPLACE(G3678,""[^[:digit:]]"", """"))"),937.0)</f>
        <v>937</v>
      </c>
      <c r="AG3678" s="7"/>
      <c r="AH3678" s="7"/>
      <c r="AI3678" s="7"/>
      <c r="AJ3678" s="7"/>
      <c r="AK3678" s="7"/>
      <c r="AL3678" s="7"/>
      <c r="AM3678" s="7"/>
      <c r="AN3678" s="7"/>
      <c r="AO3678" s="7"/>
      <c r="AP3678" s="7"/>
      <c r="AQ3678" s="7"/>
      <c r="AR3678" s="7"/>
    </row>
    <row r="3679">
      <c r="A3679" s="7" t="s">
        <v>33</v>
      </c>
      <c r="B3679" s="7" t="s">
        <v>1011</v>
      </c>
      <c r="C3679" s="7">
        <f>3</f>
        <v>3</v>
      </c>
      <c r="D3679" s="7">
        <v>2.0</v>
      </c>
      <c r="E3679" s="7">
        <v>1.0</v>
      </c>
      <c r="F3679" s="7" t="s">
        <v>503</v>
      </c>
      <c r="G3679" s="7" t="s">
        <v>2427</v>
      </c>
      <c r="H3679" s="9" t="s">
        <v>2981</v>
      </c>
      <c r="I3679" t="s">
        <v>3772</v>
      </c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  <c r="AA3679" s="7"/>
      <c r="AB3679" s="7"/>
      <c r="AC3679" s="7"/>
      <c r="AD3679" s="7" t="str">
        <f t="shared" si="1"/>
        <v>Land area </v>
      </c>
      <c r="AE3679" s="7" t="str">
        <f t="shared" si="2"/>
        <v> sq. ft.</v>
      </c>
      <c r="AF3679">
        <f>IFERROR(__xludf.DUMMYFUNCTION("VALUE(REGEXREPLACE(G3679,""[^[:digit:]]"", """"))"),952.0)</f>
        <v>952</v>
      </c>
      <c r="AG3679" s="7"/>
      <c r="AH3679" s="7"/>
      <c r="AI3679" s="7"/>
      <c r="AJ3679" s="7"/>
      <c r="AK3679" s="7"/>
      <c r="AL3679" s="7"/>
      <c r="AM3679" s="7"/>
      <c r="AN3679" s="7"/>
      <c r="AO3679" s="7"/>
      <c r="AP3679" s="7"/>
      <c r="AQ3679" s="7"/>
      <c r="AR3679" s="7"/>
      <c r="AS3679" s="7" t="s">
        <v>27</v>
      </c>
    </row>
    <row r="3680">
      <c r="A3680" s="7" t="s">
        <v>33</v>
      </c>
      <c r="B3680" s="7" t="s">
        <v>507</v>
      </c>
      <c r="C3680" s="7">
        <f>4</f>
        <v>4</v>
      </c>
      <c r="D3680" s="7">
        <v>2.0</v>
      </c>
      <c r="E3680" s="7">
        <v>1.0</v>
      </c>
      <c r="F3680" s="7" t="s">
        <v>96</v>
      </c>
      <c r="G3680" s="7" t="s">
        <v>1777</v>
      </c>
      <c r="H3680" s="9" t="s">
        <v>2981</v>
      </c>
      <c r="I3680" t="s">
        <v>3919</v>
      </c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  <c r="AA3680" s="7"/>
      <c r="AB3680" s="7"/>
      <c r="AC3680" s="7"/>
      <c r="AD3680" s="7" t="str">
        <f t="shared" si="1"/>
        <v>Land area </v>
      </c>
      <c r="AE3680" s="7" t="str">
        <f t="shared" si="2"/>
        <v> sq. ft.</v>
      </c>
      <c r="AF3680">
        <f>IFERROR(__xludf.DUMMYFUNCTION("VALUE(REGEXREPLACE(G3680,""[^[:digit:]]"", """"))"),1252.0)</f>
        <v>1252</v>
      </c>
      <c r="AG3680" s="7"/>
      <c r="AH3680" s="7"/>
      <c r="AI3680" s="7"/>
      <c r="AJ3680" s="7"/>
      <c r="AK3680" s="7"/>
      <c r="AL3680" s="7"/>
      <c r="AM3680" s="7"/>
      <c r="AN3680" s="7"/>
      <c r="AO3680" s="7"/>
      <c r="AP3680" s="7"/>
      <c r="AQ3680" s="7"/>
      <c r="AR3680" s="7"/>
      <c r="AS3680" s="7" t="s">
        <v>22</v>
      </c>
    </row>
    <row r="3681">
      <c r="A3681" s="7" t="s">
        <v>104</v>
      </c>
      <c r="B3681" s="7" t="s">
        <v>361</v>
      </c>
      <c r="C3681" s="7">
        <f>3</f>
        <v>3</v>
      </c>
      <c r="D3681" s="7">
        <v>2.0</v>
      </c>
      <c r="E3681" s="7">
        <v>2.0</v>
      </c>
      <c r="F3681" s="7" t="s">
        <v>385</v>
      </c>
      <c r="G3681" s="7" t="s">
        <v>1012</v>
      </c>
      <c r="H3681" s="9" t="s">
        <v>2979</v>
      </c>
      <c r="I3681" t="s">
        <v>3455</v>
      </c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  <c r="AA3681" s="7"/>
      <c r="AB3681" s="7"/>
      <c r="AC3681" s="7"/>
      <c r="AD3681" s="7" t="str">
        <f t="shared" si="1"/>
        <v>Built-up :</v>
      </c>
      <c r="AE3681" s="7" t="str">
        <f t="shared" si="2"/>
        <v> sq. ft.</v>
      </c>
      <c r="AF3681">
        <f>IFERROR(__xludf.DUMMYFUNCTION("VALUE(REGEXREPLACE(G3681,""[^[:digit:]]"", """"))"),1027.0)</f>
        <v>1027</v>
      </c>
      <c r="AG3681" s="7"/>
      <c r="AH3681" s="7"/>
      <c r="AI3681" s="7"/>
      <c r="AJ3681" s="7"/>
      <c r="AK3681" s="7"/>
      <c r="AL3681" s="7"/>
      <c r="AM3681" s="7"/>
      <c r="AN3681" s="7"/>
      <c r="AO3681" s="7"/>
      <c r="AP3681" s="7"/>
      <c r="AQ3681" s="7"/>
      <c r="AR3681" s="7"/>
      <c r="AS3681" s="7" t="s">
        <v>103</v>
      </c>
    </row>
    <row r="3682">
      <c r="A3682" s="7" t="s">
        <v>104</v>
      </c>
      <c r="B3682" s="7" t="s">
        <v>239</v>
      </c>
      <c r="C3682" s="7">
        <f t="shared" ref="C3682:C3683" si="502">3+1</f>
        <v>4</v>
      </c>
      <c r="D3682" s="7">
        <v>4.0</v>
      </c>
      <c r="E3682" s="7">
        <v>2.0</v>
      </c>
      <c r="F3682" s="7" t="s">
        <v>470</v>
      </c>
      <c r="G3682" s="7" t="s">
        <v>1077</v>
      </c>
      <c r="H3682" s="9" t="s">
        <v>2979</v>
      </c>
      <c r="I3682" t="s">
        <v>3491</v>
      </c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  <c r="AA3682" s="7"/>
      <c r="AB3682" s="7"/>
      <c r="AC3682" s="7"/>
      <c r="AD3682" s="7" t="str">
        <f t="shared" si="1"/>
        <v>Built-up :</v>
      </c>
      <c r="AE3682" s="7" t="str">
        <f t="shared" si="2"/>
        <v> sq. ft.</v>
      </c>
      <c r="AF3682">
        <f>IFERROR(__xludf.DUMMYFUNCTION("VALUE(REGEXREPLACE(G3682,""[^[:digit:]]"", """"))"),2600.0)</f>
        <v>2600</v>
      </c>
      <c r="AG3682" s="7"/>
      <c r="AH3682" s="7"/>
      <c r="AI3682" s="7"/>
      <c r="AJ3682" s="7"/>
      <c r="AK3682" s="7"/>
      <c r="AL3682" s="7"/>
      <c r="AM3682" s="7"/>
      <c r="AN3682" s="7"/>
      <c r="AO3682" s="7"/>
      <c r="AP3682" s="7"/>
      <c r="AQ3682" s="7"/>
      <c r="AR3682" s="7"/>
      <c r="AS3682" s="7" t="s">
        <v>27</v>
      </c>
    </row>
    <row r="3683">
      <c r="A3683" s="7" t="s">
        <v>52</v>
      </c>
      <c r="B3683" s="7" t="s">
        <v>277</v>
      </c>
      <c r="C3683" s="7">
        <f t="shared" si="502"/>
        <v>4</v>
      </c>
      <c r="D3683" s="7">
        <v>4.0</v>
      </c>
      <c r="E3683" s="7">
        <v>3.0</v>
      </c>
      <c r="F3683" s="7" t="s">
        <v>93</v>
      </c>
      <c r="G3683" s="7" t="s">
        <v>2428</v>
      </c>
      <c r="H3683" s="9" t="s">
        <v>2979</v>
      </c>
      <c r="I3683" t="s">
        <v>4309</v>
      </c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  <c r="AA3683" s="7"/>
      <c r="AB3683" s="7"/>
      <c r="AC3683" s="7"/>
      <c r="AD3683" s="7" t="str">
        <f t="shared" si="1"/>
        <v>Built-up :</v>
      </c>
      <c r="AE3683" s="7" t="str">
        <f t="shared" si="2"/>
        <v> sq. ft.</v>
      </c>
      <c r="AF3683">
        <f>IFERROR(__xludf.DUMMYFUNCTION("VALUE(REGEXREPLACE(G3683,""[^[:digit:]]"", """"))"),2034.0)</f>
        <v>2034</v>
      </c>
      <c r="AG3683" s="7"/>
      <c r="AH3683" s="7"/>
      <c r="AI3683" s="7"/>
      <c r="AJ3683" s="7"/>
      <c r="AK3683" s="7"/>
      <c r="AL3683" s="7"/>
      <c r="AM3683" s="7"/>
      <c r="AN3683" s="7"/>
      <c r="AO3683" s="7"/>
      <c r="AP3683" s="7"/>
      <c r="AQ3683" s="7"/>
      <c r="AR3683" s="7"/>
      <c r="AS3683" s="7" t="s">
        <v>22</v>
      </c>
    </row>
    <row r="3684">
      <c r="A3684" s="7" t="s">
        <v>33</v>
      </c>
      <c r="B3684" s="7" t="s">
        <v>229</v>
      </c>
      <c r="C3684" s="7">
        <f>3</f>
        <v>3</v>
      </c>
      <c r="D3684" s="7">
        <v>3.0</v>
      </c>
      <c r="E3684" s="7">
        <v>2.0</v>
      </c>
      <c r="F3684" s="7" t="s">
        <v>20</v>
      </c>
      <c r="G3684" s="7" t="s">
        <v>2074</v>
      </c>
      <c r="H3684" s="9" t="s">
        <v>2979</v>
      </c>
      <c r="I3684" t="s">
        <v>4097</v>
      </c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  <c r="AA3684" s="7"/>
      <c r="AB3684" s="7"/>
      <c r="AC3684" s="7"/>
      <c r="AD3684" s="7" t="str">
        <f t="shared" si="1"/>
        <v>Built-up :</v>
      </c>
      <c r="AE3684" s="7" t="str">
        <f t="shared" si="2"/>
        <v> sq. ft.</v>
      </c>
      <c r="AF3684">
        <f>IFERROR(__xludf.DUMMYFUNCTION("VALUE(REGEXREPLACE(G3684,""[^[:digit:]]"", """"))"),1521.0)</f>
        <v>1521</v>
      </c>
      <c r="AG3684" s="7"/>
      <c r="AH3684" s="7"/>
      <c r="AI3684" s="7"/>
      <c r="AJ3684" s="7"/>
      <c r="AK3684" s="7"/>
      <c r="AL3684" s="7"/>
      <c r="AM3684" s="7"/>
      <c r="AN3684" s="7"/>
      <c r="AO3684" s="7"/>
      <c r="AP3684" s="7"/>
      <c r="AQ3684" s="7"/>
      <c r="AR3684" s="7"/>
      <c r="AS3684" s="7" t="s">
        <v>27</v>
      </c>
    </row>
    <row r="3685">
      <c r="A3685" s="7" t="s">
        <v>23</v>
      </c>
      <c r="B3685" s="7" t="s">
        <v>313</v>
      </c>
      <c r="C3685" s="7">
        <f>4+1</f>
        <v>5</v>
      </c>
      <c r="D3685" s="7">
        <v>3.0</v>
      </c>
      <c r="E3685" s="9">
        <v>2.0</v>
      </c>
      <c r="F3685" s="7" t="s">
        <v>169</v>
      </c>
      <c r="G3685" s="7" t="s">
        <v>2429</v>
      </c>
      <c r="H3685" s="9" t="s">
        <v>2979</v>
      </c>
      <c r="I3685" t="s">
        <v>4310</v>
      </c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  <c r="AA3685" s="7"/>
      <c r="AB3685" s="7"/>
      <c r="AC3685" s="7"/>
      <c r="AD3685" s="7" t="str">
        <f t="shared" si="1"/>
        <v>Built-up :</v>
      </c>
      <c r="AE3685" s="7" t="str">
        <f t="shared" si="2"/>
        <v> sq. ft.</v>
      </c>
      <c r="AF3685">
        <f>IFERROR(__xludf.DUMMYFUNCTION("VALUE(REGEXREPLACE(G3685,""[^[:digit:]]"", """"))"),4055.0)</f>
        <v>4055</v>
      </c>
      <c r="AG3685" s="7"/>
      <c r="AH3685" s="7"/>
      <c r="AI3685" s="7"/>
      <c r="AJ3685" s="7"/>
      <c r="AK3685" s="7"/>
      <c r="AL3685" s="7"/>
      <c r="AM3685" s="7"/>
      <c r="AN3685" s="7"/>
      <c r="AO3685" s="7"/>
      <c r="AP3685" s="7"/>
      <c r="AQ3685" s="7"/>
      <c r="AR3685" s="7"/>
      <c r="AS3685" s="7" t="s">
        <v>27</v>
      </c>
    </row>
    <row r="3686">
      <c r="A3686" s="7" t="s">
        <v>33</v>
      </c>
      <c r="B3686" s="7" t="s">
        <v>174</v>
      </c>
      <c r="C3686" s="7">
        <f>6+1</f>
        <v>7</v>
      </c>
      <c r="D3686" s="7">
        <v>6.0</v>
      </c>
      <c r="E3686" s="9">
        <v>2.0</v>
      </c>
      <c r="F3686" s="7" t="s">
        <v>43</v>
      </c>
      <c r="G3686" s="7" t="s">
        <v>2430</v>
      </c>
      <c r="H3686" s="9" t="s">
        <v>2981</v>
      </c>
      <c r="I3686" t="s">
        <v>4311</v>
      </c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  <c r="AA3686" s="7"/>
      <c r="AB3686" s="7"/>
      <c r="AC3686" s="7"/>
      <c r="AD3686" s="7" t="str">
        <f t="shared" si="1"/>
        <v>Land area </v>
      </c>
      <c r="AE3686" s="7" t="str">
        <f t="shared" si="2"/>
        <v> sq. ft.</v>
      </c>
      <c r="AF3686">
        <f>IFERROR(__xludf.DUMMYFUNCTION("VALUE(REGEXREPLACE(G3686,""[^[:digit:]]"", """"))"),4983.0)</f>
        <v>4983</v>
      </c>
      <c r="AG3686" s="7"/>
      <c r="AH3686" s="7"/>
      <c r="AI3686" s="7"/>
      <c r="AJ3686" s="7"/>
      <c r="AK3686" s="7"/>
      <c r="AL3686" s="7"/>
      <c r="AM3686" s="7"/>
      <c r="AN3686" s="7"/>
      <c r="AO3686" s="7"/>
      <c r="AP3686" s="7"/>
      <c r="AQ3686" s="7"/>
      <c r="AR3686" s="7"/>
      <c r="AS3686" s="7" t="s">
        <v>103</v>
      </c>
    </row>
    <row r="3687">
      <c r="A3687" s="7" t="s">
        <v>33</v>
      </c>
      <c r="B3687" s="7" t="s">
        <v>227</v>
      </c>
      <c r="C3687" s="7">
        <f t="shared" ref="C3687:C3689" si="503">5</f>
        <v>5</v>
      </c>
      <c r="D3687" s="7">
        <v>4.0</v>
      </c>
      <c r="E3687" s="9">
        <v>2.0</v>
      </c>
      <c r="F3687" s="7" t="s">
        <v>562</v>
      </c>
      <c r="G3687" s="7" t="s">
        <v>2145</v>
      </c>
      <c r="H3687" s="9" t="s">
        <v>2981</v>
      </c>
      <c r="I3687" t="s">
        <v>4138</v>
      </c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  <c r="AA3687" s="7"/>
      <c r="AB3687" s="7"/>
      <c r="AC3687" s="7"/>
      <c r="AD3687" s="7" t="str">
        <f t="shared" si="1"/>
        <v>Land area </v>
      </c>
      <c r="AE3687" s="7" t="str">
        <f t="shared" si="2"/>
        <v> sq. ft.</v>
      </c>
      <c r="AF3687">
        <f>IFERROR(__xludf.DUMMYFUNCTION("VALUE(REGEXREPLACE(G3687,""[^[:digit:]]"", """"))"),4040.0)</f>
        <v>4040</v>
      </c>
      <c r="AG3687" s="7"/>
      <c r="AH3687" s="7"/>
      <c r="AI3687" s="7"/>
      <c r="AJ3687" s="7"/>
      <c r="AK3687" s="7"/>
      <c r="AL3687" s="7"/>
      <c r="AM3687" s="7"/>
      <c r="AN3687" s="7"/>
      <c r="AO3687" s="7"/>
      <c r="AP3687" s="7"/>
      <c r="AQ3687" s="7"/>
      <c r="AR3687" s="7"/>
      <c r="AS3687" s="7" t="s">
        <v>27</v>
      </c>
    </row>
    <row r="3688">
      <c r="A3688" s="7" t="s">
        <v>33</v>
      </c>
      <c r="B3688" s="7" t="s">
        <v>144</v>
      </c>
      <c r="C3688" s="7">
        <f t="shared" si="503"/>
        <v>5</v>
      </c>
      <c r="D3688" s="7">
        <v>4.0</v>
      </c>
      <c r="E3688" s="9">
        <v>2.0</v>
      </c>
      <c r="F3688" s="7" t="s">
        <v>562</v>
      </c>
      <c r="G3688" s="7" t="s">
        <v>2417</v>
      </c>
      <c r="H3688" s="9" t="s">
        <v>2981</v>
      </c>
      <c r="I3688" t="s">
        <v>3164</v>
      </c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  <c r="AA3688" s="7"/>
      <c r="AB3688" s="7"/>
      <c r="AC3688" s="7"/>
      <c r="AD3688" s="7" t="str">
        <f t="shared" si="1"/>
        <v>Land area </v>
      </c>
      <c r="AE3688" s="7" t="str">
        <f t="shared" si="2"/>
        <v> sq. ft.</v>
      </c>
      <c r="AF3688">
        <f>IFERROR(__xludf.DUMMYFUNCTION("VALUE(REGEXREPLACE(G3688,""[^[:digit:]]"", """"))"),2040.0)</f>
        <v>2040</v>
      </c>
      <c r="AG3688" s="7"/>
      <c r="AH3688" s="7"/>
      <c r="AI3688" s="7"/>
      <c r="AJ3688" s="7"/>
      <c r="AK3688" s="7"/>
      <c r="AL3688" s="7"/>
      <c r="AM3688" s="7"/>
      <c r="AN3688" s="7"/>
      <c r="AO3688" s="7"/>
      <c r="AP3688" s="7"/>
      <c r="AQ3688" s="7"/>
      <c r="AR3688" s="7"/>
      <c r="AS3688" s="7" t="s">
        <v>27</v>
      </c>
    </row>
    <row r="3689">
      <c r="A3689" s="7" t="s">
        <v>33</v>
      </c>
      <c r="B3689" s="7" t="s">
        <v>281</v>
      </c>
      <c r="C3689" s="7">
        <f t="shared" si="503"/>
        <v>5</v>
      </c>
      <c r="D3689" s="7">
        <v>4.0</v>
      </c>
      <c r="E3689" s="9">
        <v>2.0</v>
      </c>
      <c r="F3689" s="7" t="s">
        <v>273</v>
      </c>
      <c r="G3689" s="7" t="s">
        <v>2431</v>
      </c>
      <c r="H3689" s="9" t="s">
        <v>2981</v>
      </c>
      <c r="I3689" t="s">
        <v>4312</v>
      </c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  <c r="AA3689" s="7"/>
      <c r="AB3689" s="7"/>
      <c r="AC3689" s="7"/>
      <c r="AD3689" s="7" t="str">
        <f t="shared" si="1"/>
        <v>Land area </v>
      </c>
      <c r="AE3689" s="7" t="str">
        <f t="shared" si="2"/>
        <v> sq. ft.</v>
      </c>
      <c r="AF3689">
        <f>IFERROR(__xludf.DUMMYFUNCTION("VALUE(REGEXREPLACE(G3689,""[^[:digit:]]"", """"))"),4590.0)</f>
        <v>4590</v>
      </c>
      <c r="AG3689" s="7"/>
      <c r="AH3689" s="7"/>
      <c r="AI3689" s="7"/>
      <c r="AJ3689" s="7"/>
      <c r="AK3689" s="7"/>
      <c r="AL3689" s="7"/>
      <c r="AM3689" s="7"/>
      <c r="AN3689" s="7"/>
      <c r="AO3689" s="7"/>
      <c r="AP3689" s="7"/>
      <c r="AQ3689" s="7"/>
      <c r="AR3689" s="7"/>
      <c r="AS3689" s="7" t="s">
        <v>27</v>
      </c>
    </row>
    <row r="3690">
      <c r="A3690" s="7" t="s">
        <v>32</v>
      </c>
      <c r="B3690" s="7" t="s">
        <v>967</v>
      </c>
      <c r="C3690" s="7">
        <f>4</f>
        <v>4</v>
      </c>
      <c r="D3690" s="7">
        <v>3.0</v>
      </c>
      <c r="E3690" s="9">
        <v>2.0</v>
      </c>
      <c r="F3690" s="7" t="s">
        <v>54</v>
      </c>
      <c r="G3690" s="7" t="s">
        <v>1119</v>
      </c>
      <c r="H3690" s="9" t="s">
        <v>2981</v>
      </c>
      <c r="I3690" t="s">
        <v>3516</v>
      </c>
      <c r="J3690" s="7"/>
      <c r="K3690" s="7"/>
      <c r="L3690" s="7"/>
      <c r="M3690" s="7"/>
      <c r="N3690" s="7"/>
      <c r="O3690" s="7"/>
      <c r="P3690" s="7"/>
      <c r="Q3690" s="7"/>
      <c r="R3690" s="7"/>
      <c r="S3690" s="7" t="s">
        <v>3121</v>
      </c>
      <c r="T3690" s="7"/>
      <c r="U3690" s="7"/>
      <c r="V3690" s="7"/>
      <c r="W3690" s="7"/>
      <c r="X3690" s="7"/>
      <c r="Y3690" s="7"/>
      <c r="Z3690" s="7"/>
      <c r="AA3690" s="7"/>
      <c r="AB3690" s="7"/>
      <c r="AC3690" s="7"/>
      <c r="AD3690" s="7" t="str">
        <f t="shared" si="1"/>
        <v>Land area </v>
      </c>
      <c r="AE3690" s="7" t="str">
        <f t="shared" si="2"/>
        <v> sq. ft.</v>
      </c>
      <c r="AF3690">
        <f>IFERROR(__xludf.DUMMYFUNCTION("VALUE(REGEXREPLACE(G3690,""[^[:digit:]]"", """"))"),2070.0)</f>
        <v>2070</v>
      </c>
      <c r="AG3690" s="7"/>
      <c r="AH3690" s="7"/>
      <c r="AI3690" s="7"/>
      <c r="AJ3690" s="7"/>
      <c r="AK3690" s="7"/>
      <c r="AL3690" s="7"/>
      <c r="AM3690" s="7"/>
      <c r="AN3690" s="7"/>
      <c r="AO3690" s="7"/>
      <c r="AP3690" s="7"/>
      <c r="AQ3690" s="7"/>
      <c r="AR3690" s="7"/>
      <c r="AS3690" s="7" t="s">
        <v>103</v>
      </c>
    </row>
    <row r="3691">
      <c r="A3691" s="7" t="s">
        <v>33</v>
      </c>
      <c r="B3691" s="7" t="s">
        <v>712</v>
      </c>
      <c r="C3691" s="7">
        <f t="shared" ref="C3691:C3700" si="504">3+1</f>
        <v>4</v>
      </c>
      <c r="D3691" s="7">
        <v>5.0</v>
      </c>
      <c r="E3691" s="7">
        <v>3.0</v>
      </c>
      <c r="F3691" s="7" t="s">
        <v>83</v>
      </c>
      <c r="G3691" s="7" t="s">
        <v>2432</v>
      </c>
      <c r="H3691" s="9" t="s">
        <v>2979</v>
      </c>
      <c r="I3691" t="s">
        <v>4313</v>
      </c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  <c r="AA3691" s="7"/>
      <c r="AB3691" s="7"/>
      <c r="AC3691" s="7"/>
      <c r="AD3691" s="7" t="str">
        <f t="shared" si="1"/>
        <v>Built-up :</v>
      </c>
      <c r="AE3691" s="7" t="str">
        <f t="shared" si="2"/>
        <v> sq. ft.</v>
      </c>
      <c r="AF3691">
        <f>IFERROR(__xludf.DUMMYFUNCTION("VALUE(REGEXREPLACE(G3691,""[^[:digit:]]"", """"))"),3141.0)</f>
        <v>3141</v>
      </c>
      <c r="AG3691" s="7"/>
      <c r="AH3691" s="7"/>
      <c r="AI3691" s="7"/>
      <c r="AJ3691" s="7"/>
      <c r="AK3691" s="7"/>
      <c r="AL3691" s="7"/>
      <c r="AM3691" s="7"/>
      <c r="AN3691" s="7"/>
      <c r="AO3691" s="7"/>
      <c r="AP3691" s="7"/>
      <c r="AQ3691" s="7"/>
      <c r="AR3691" s="7"/>
      <c r="AS3691" s="7" t="s">
        <v>27</v>
      </c>
    </row>
    <row r="3692">
      <c r="A3692" s="7" t="s">
        <v>33</v>
      </c>
      <c r="B3692" s="7" t="s">
        <v>236</v>
      </c>
      <c r="C3692" s="7">
        <f t="shared" si="504"/>
        <v>4</v>
      </c>
      <c r="D3692" s="7">
        <v>4.0</v>
      </c>
      <c r="E3692" s="7">
        <v>3.0</v>
      </c>
      <c r="F3692" s="7" t="s">
        <v>83</v>
      </c>
      <c r="G3692" s="7" t="s">
        <v>2432</v>
      </c>
      <c r="H3692" s="9" t="s">
        <v>2979</v>
      </c>
      <c r="I3692" t="s">
        <v>4313</v>
      </c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  <c r="AA3692" s="7"/>
      <c r="AB3692" s="7"/>
      <c r="AC3692" s="7"/>
      <c r="AD3692" s="7" t="str">
        <f t="shared" si="1"/>
        <v>Built-up :</v>
      </c>
      <c r="AE3692" s="7" t="str">
        <f t="shared" si="2"/>
        <v> sq. ft.</v>
      </c>
      <c r="AF3692">
        <f>IFERROR(__xludf.DUMMYFUNCTION("VALUE(REGEXREPLACE(G3692,""[^[:digit:]]"", """"))"),3141.0)</f>
        <v>3141</v>
      </c>
      <c r="AG3692" s="7"/>
      <c r="AH3692" s="7"/>
      <c r="AI3692" s="7"/>
      <c r="AJ3692" s="7"/>
      <c r="AK3692" s="7"/>
      <c r="AL3692" s="7"/>
      <c r="AM3692" s="7"/>
      <c r="AN3692" s="7"/>
      <c r="AO3692" s="7"/>
      <c r="AP3692" s="7"/>
      <c r="AQ3692" s="7"/>
      <c r="AR3692" s="7"/>
      <c r="AS3692" s="7" t="s">
        <v>27</v>
      </c>
    </row>
    <row r="3693">
      <c r="A3693" s="7" t="s">
        <v>33</v>
      </c>
      <c r="B3693" s="7" t="s">
        <v>279</v>
      </c>
      <c r="C3693" s="7">
        <f t="shared" si="504"/>
        <v>4</v>
      </c>
      <c r="D3693" s="7">
        <v>4.0</v>
      </c>
      <c r="E3693" s="7">
        <v>3.0</v>
      </c>
      <c r="F3693" s="7" t="s">
        <v>83</v>
      </c>
      <c r="G3693" s="7" t="s">
        <v>404</v>
      </c>
      <c r="H3693" s="9" t="s">
        <v>2979</v>
      </c>
      <c r="I3693" t="s">
        <v>3147</v>
      </c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  <c r="AA3693" s="7"/>
      <c r="AB3693" s="7"/>
      <c r="AC3693" s="7"/>
      <c r="AD3693" s="7" t="str">
        <f t="shared" si="1"/>
        <v>Built-up :</v>
      </c>
      <c r="AE3693" s="7" t="str">
        <f t="shared" si="2"/>
        <v> sq. ft.</v>
      </c>
      <c r="AF3693">
        <f>IFERROR(__xludf.DUMMYFUNCTION("VALUE(REGEXREPLACE(G3693,""[^[:digit:]]"", """"))"),1878.0)</f>
        <v>1878</v>
      </c>
      <c r="AG3693" s="7"/>
      <c r="AH3693" s="7"/>
      <c r="AI3693" s="7"/>
      <c r="AJ3693" s="7"/>
      <c r="AK3693" s="7"/>
      <c r="AL3693" s="7"/>
      <c r="AM3693" s="7"/>
      <c r="AN3693" s="7"/>
      <c r="AO3693" s="7"/>
      <c r="AP3693" s="7"/>
      <c r="AQ3693" s="7"/>
      <c r="AR3693" s="7"/>
      <c r="AS3693" s="7" t="s">
        <v>27</v>
      </c>
    </row>
    <row r="3694">
      <c r="A3694" s="7" t="s">
        <v>33</v>
      </c>
      <c r="B3694" s="7" t="s">
        <v>243</v>
      </c>
      <c r="C3694" s="7">
        <f t="shared" si="504"/>
        <v>4</v>
      </c>
      <c r="D3694" s="7">
        <v>4.0</v>
      </c>
      <c r="E3694" s="7">
        <v>3.0</v>
      </c>
      <c r="F3694" s="7" t="s">
        <v>83</v>
      </c>
      <c r="G3694" s="7" t="s">
        <v>404</v>
      </c>
      <c r="H3694" s="9" t="s">
        <v>2979</v>
      </c>
      <c r="I3694" t="s">
        <v>3147</v>
      </c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  <c r="AA3694" s="7"/>
      <c r="AB3694" s="7"/>
      <c r="AC3694" s="7"/>
      <c r="AD3694" s="7" t="str">
        <f t="shared" si="1"/>
        <v>Built-up :</v>
      </c>
      <c r="AE3694" s="7" t="str">
        <f t="shared" si="2"/>
        <v> sq. ft.</v>
      </c>
      <c r="AF3694">
        <f>IFERROR(__xludf.DUMMYFUNCTION("VALUE(REGEXREPLACE(G3694,""[^[:digit:]]"", """"))"),1878.0)</f>
        <v>1878</v>
      </c>
      <c r="AG3694" s="7"/>
      <c r="AH3694" s="7"/>
      <c r="AI3694" s="7"/>
      <c r="AJ3694" s="7"/>
      <c r="AK3694" s="7"/>
      <c r="AL3694" s="7"/>
      <c r="AM3694" s="7"/>
      <c r="AN3694" s="7"/>
      <c r="AO3694" s="7"/>
      <c r="AP3694" s="7"/>
      <c r="AQ3694" s="7"/>
      <c r="AR3694" s="7"/>
      <c r="AS3694" s="7" t="s">
        <v>27</v>
      </c>
    </row>
    <row r="3695">
      <c r="A3695" s="7" t="s">
        <v>33</v>
      </c>
      <c r="B3695" s="7" t="s">
        <v>53</v>
      </c>
      <c r="C3695" s="7">
        <f t="shared" si="504"/>
        <v>4</v>
      </c>
      <c r="D3695" s="7">
        <v>4.0</v>
      </c>
      <c r="E3695" s="7">
        <v>3.0</v>
      </c>
      <c r="F3695" s="7" t="s">
        <v>83</v>
      </c>
      <c r="G3695" s="7" t="s">
        <v>2252</v>
      </c>
      <c r="H3695" s="9" t="s">
        <v>2979</v>
      </c>
      <c r="I3695" t="s">
        <v>4208</v>
      </c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  <c r="AA3695" s="7"/>
      <c r="AB3695" s="7"/>
      <c r="AC3695" s="7"/>
      <c r="AD3695" s="7" t="str">
        <f t="shared" si="1"/>
        <v>Built-up :</v>
      </c>
      <c r="AE3695" s="7" t="str">
        <f t="shared" si="2"/>
        <v> sq. ft.</v>
      </c>
      <c r="AF3695">
        <f>IFERROR(__xludf.DUMMYFUNCTION("VALUE(REGEXREPLACE(G3695,""[^[:digit:]]"", """"))"),2021.0)</f>
        <v>2021</v>
      </c>
      <c r="AG3695" s="7"/>
      <c r="AH3695" s="7"/>
      <c r="AI3695" s="7"/>
      <c r="AJ3695" s="7"/>
      <c r="AK3695" s="7"/>
      <c r="AL3695" s="7"/>
      <c r="AM3695" s="7"/>
      <c r="AN3695" s="7"/>
      <c r="AO3695" s="7"/>
      <c r="AP3695" s="7"/>
      <c r="AQ3695" s="7"/>
      <c r="AR3695" s="7"/>
      <c r="AS3695" s="7" t="s">
        <v>27</v>
      </c>
    </row>
    <row r="3696">
      <c r="A3696" s="7" t="s">
        <v>33</v>
      </c>
      <c r="B3696" s="7" t="s">
        <v>156</v>
      </c>
      <c r="C3696" s="7">
        <f t="shared" si="504"/>
        <v>4</v>
      </c>
      <c r="D3696" s="7">
        <v>3.0</v>
      </c>
      <c r="E3696" s="7">
        <v>2.0</v>
      </c>
      <c r="F3696" s="7" t="s">
        <v>83</v>
      </c>
      <c r="G3696" s="7" t="s">
        <v>21</v>
      </c>
      <c r="H3696" s="9" t="s">
        <v>2979</v>
      </c>
      <c r="I3696" t="s">
        <v>2980</v>
      </c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  <c r="AA3696" s="7"/>
      <c r="AB3696" s="7"/>
      <c r="AC3696" s="7"/>
      <c r="AD3696" s="7" t="str">
        <f t="shared" si="1"/>
        <v>Built-up :</v>
      </c>
      <c r="AE3696" s="7" t="str">
        <f t="shared" si="2"/>
        <v> sq. ft.</v>
      </c>
      <c r="AF3696">
        <f>IFERROR(__xludf.DUMMYFUNCTION("VALUE(REGEXREPLACE(G3696,""[^[:digit:]]"", """"))"),1335.0)</f>
        <v>1335</v>
      </c>
      <c r="AG3696" s="7"/>
      <c r="AH3696" s="7"/>
      <c r="AI3696" s="7"/>
      <c r="AJ3696" s="7"/>
      <c r="AK3696" s="7"/>
      <c r="AL3696" s="7"/>
      <c r="AM3696" s="7"/>
      <c r="AN3696" s="7"/>
      <c r="AO3696" s="7"/>
      <c r="AP3696" s="7"/>
      <c r="AQ3696" s="7"/>
      <c r="AR3696" s="7"/>
      <c r="AS3696" s="7" t="s">
        <v>22</v>
      </c>
    </row>
    <row r="3697">
      <c r="A3697" s="7" t="s">
        <v>33</v>
      </c>
      <c r="B3697" s="7" t="s">
        <v>191</v>
      </c>
      <c r="C3697" s="7">
        <f t="shared" si="504"/>
        <v>4</v>
      </c>
      <c r="D3697" s="7">
        <v>3.0</v>
      </c>
      <c r="E3697" s="7">
        <v>2.0</v>
      </c>
      <c r="F3697" s="7" t="s">
        <v>83</v>
      </c>
      <c r="G3697" s="7" t="s">
        <v>760</v>
      </c>
      <c r="H3697" s="9" t="s">
        <v>2979</v>
      </c>
      <c r="I3697" t="s">
        <v>3323</v>
      </c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  <c r="AA3697" s="7"/>
      <c r="AB3697" s="7"/>
      <c r="AC3697" s="7"/>
      <c r="AD3697" s="7" t="str">
        <f t="shared" si="1"/>
        <v>Built-up :</v>
      </c>
      <c r="AE3697" s="7" t="str">
        <f t="shared" si="2"/>
        <v> sq. ft.</v>
      </c>
      <c r="AF3697">
        <f>IFERROR(__xludf.DUMMYFUNCTION("VALUE(REGEXREPLACE(G3697,""[^[:digit:]]"", """"))"),1450.0)</f>
        <v>1450</v>
      </c>
      <c r="AG3697" s="7"/>
      <c r="AH3697" s="7"/>
      <c r="AI3697" s="7"/>
      <c r="AJ3697" s="7"/>
      <c r="AK3697" s="7"/>
      <c r="AL3697" s="7"/>
      <c r="AM3697" s="7"/>
      <c r="AN3697" s="7"/>
      <c r="AO3697" s="7"/>
      <c r="AP3697" s="7"/>
      <c r="AQ3697" s="7"/>
      <c r="AR3697" s="7"/>
      <c r="AS3697" s="7" t="s">
        <v>22</v>
      </c>
    </row>
    <row r="3698">
      <c r="A3698" s="7" t="s">
        <v>33</v>
      </c>
      <c r="B3698" s="7" t="s">
        <v>138</v>
      </c>
      <c r="C3698" s="7">
        <f t="shared" si="504"/>
        <v>4</v>
      </c>
      <c r="D3698" s="7">
        <v>3.0</v>
      </c>
      <c r="E3698" s="7">
        <v>2.0</v>
      </c>
      <c r="F3698" s="7" t="s">
        <v>83</v>
      </c>
      <c r="G3698" s="7" t="s">
        <v>1324</v>
      </c>
      <c r="H3698" s="9" t="s">
        <v>2979</v>
      </c>
      <c r="I3698" t="s">
        <v>3648</v>
      </c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  <c r="AA3698" s="7"/>
      <c r="AB3698" s="7"/>
      <c r="AC3698" s="7"/>
      <c r="AD3698" s="7" t="str">
        <f t="shared" si="1"/>
        <v>Built-up :</v>
      </c>
      <c r="AE3698" s="7" t="str">
        <f t="shared" si="2"/>
        <v> sq. ft.</v>
      </c>
      <c r="AF3698">
        <f>IFERROR(__xludf.DUMMYFUNCTION("VALUE(REGEXREPLACE(G3698,""[^[:digit:]]"", """"))"),1508.0)</f>
        <v>1508</v>
      </c>
      <c r="AG3698" s="7"/>
      <c r="AH3698" s="7"/>
      <c r="AI3698" s="7"/>
      <c r="AJ3698" s="7"/>
      <c r="AK3698" s="7"/>
      <c r="AL3698" s="7"/>
      <c r="AM3698" s="7"/>
      <c r="AN3698" s="7"/>
      <c r="AO3698" s="7"/>
      <c r="AP3698" s="7"/>
      <c r="AQ3698" s="7"/>
      <c r="AR3698" s="7"/>
      <c r="AS3698" s="7" t="s">
        <v>103</v>
      </c>
    </row>
    <row r="3699">
      <c r="A3699" s="7" t="s">
        <v>33</v>
      </c>
      <c r="B3699" s="7" t="s">
        <v>229</v>
      </c>
      <c r="C3699" s="7">
        <f t="shared" si="504"/>
        <v>4</v>
      </c>
      <c r="D3699" s="7">
        <v>3.0</v>
      </c>
      <c r="E3699" s="7">
        <v>2.0</v>
      </c>
      <c r="F3699" s="7" t="s">
        <v>83</v>
      </c>
      <c r="G3699" s="7" t="s">
        <v>1324</v>
      </c>
      <c r="H3699" s="9" t="s">
        <v>2979</v>
      </c>
      <c r="I3699" t="s">
        <v>3648</v>
      </c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  <c r="AA3699" s="7"/>
      <c r="AB3699" s="7"/>
      <c r="AC3699" s="7"/>
      <c r="AD3699" s="7" t="str">
        <f t="shared" si="1"/>
        <v>Built-up :</v>
      </c>
      <c r="AE3699" s="7" t="str">
        <f t="shared" si="2"/>
        <v> sq. ft.</v>
      </c>
      <c r="AF3699">
        <f>IFERROR(__xludf.DUMMYFUNCTION("VALUE(REGEXREPLACE(G3699,""[^[:digit:]]"", """"))"),1508.0)</f>
        <v>1508</v>
      </c>
      <c r="AG3699" s="7"/>
      <c r="AH3699" s="7"/>
      <c r="AI3699" s="7"/>
      <c r="AJ3699" s="7"/>
      <c r="AK3699" s="7"/>
      <c r="AL3699" s="7"/>
      <c r="AM3699" s="7"/>
      <c r="AN3699" s="7"/>
      <c r="AO3699" s="7"/>
      <c r="AP3699" s="7"/>
      <c r="AQ3699" s="7"/>
      <c r="AR3699" s="7"/>
      <c r="AS3699" s="7" t="s">
        <v>22</v>
      </c>
    </row>
    <row r="3700">
      <c r="A3700" s="7" t="s">
        <v>33</v>
      </c>
      <c r="B3700" s="7" t="s">
        <v>191</v>
      </c>
      <c r="C3700" s="7">
        <f t="shared" si="504"/>
        <v>4</v>
      </c>
      <c r="D3700" s="7">
        <v>3.0</v>
      </c>
      <c r="E3700" s="7">
        <v>2.0</v>
      </c>
      <c r="F3700" s="7" t="s">
        <v>83</v>
      </c>
      <c r="G3700" s="7" t="s">
        <v>1324</v>
      </c>
      <c r="H3700" s="9" t="s">
        <v>2979</v>
      </c>
      <c r="I3700" t="s">
        <v>3648</v>
      </c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  <c r="AA3700" s="7"/>
      <c r="AB3700" s="7"/>
      <c r="AC3700" s="7"/>
      <c r="AD3700" s="7" t="str">
        <f t="shared" si="1"/>
        <v>Built-up :</v>
      </c>
      <c r="AE3700" s="7" t="str">
        <f t="shared" si="2"/>
        <v> sq. ft.</v>
      </c>
      <c r="AF3700">
        <f>IFERROR(__xludf.DUMMYFUNCTION("VALUE(REGEXREPLACE(G3700,""[^[:digit:]]"", """"))"),1508.0)</f>
        <v>1508</v>
      </c>
      <c r="AG3700" s="7"/>
      <c r="AH3700" s="7"/>
      <c r="AI3700" s="7"/>
      <c r="AJ3700" s="7"/>
      <c r="AK3700" s="7"/>
      <c r="AL3700" s="7"/>
      <c r="AM3700" s="7"/>
      <c r="AN3700" s="7"/>
      <c r="AO3700" s="7"/>
      <c r="AP3700" s="7"/>
      <c r="AQ3700" s="7"/>
      <c r="AR3700" s="7"/>
      <c r="AS3700" s="7" t="s">
        <v>22</v>
      </c>
    </row>
    <row r="3701">
      <c r="A3701" s="7" t="s">
        <v>164</v>
      </c>
      <c r="B3701" s="7" t="s">
        <v>567</v>
      </c>
      <c r="C3701" s="7">
        <f>4+1</f>
        <v>5</v>
      </c>
      <c r="D3701" s="7">
        <v>6.0</v>
      </c>
      <c r="E3701" s="7">
        <v>1.0</v>
      </c>
      <c r="F3701" s="7" t="s">
        <v>20</v>
      </c>
      <c r="G3701" s="7" t="s">
        <v>568</v>
      </c>
      <c r="H3701" s="9" t="s">
        <v>2979</v>
      </c>
      <c r="I3701" t="s">
        <v>3229</v>
      </c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  <c r="AA3701" s="7"/>
      <c r="AB3701" s="7"/>
      <c r="AC3701" s="7"/>
      <c r="AD3701" s="7" t="str">
        <f t="shared" si="1"/>
        <v>Built-up :</v>
      </c>
      <c r="AE3701" s="7" t="str">
        <f t="shared" si="2"/>
        <v> sq. ft.</v>
      </c>
      <c r="AF3701">
        <f>IFERROR(__xludf.DUMMYFUNCTION("VALUE(REGEXREPLACE(G3701,""[^[:digit:]]"", """"))"),2982.0)</f>
        <v>2982</v>
      </c>
      <c r="AG3701" s="7"/>
      <c r="AH3701" s="7"/>
      <c r="AI3701" s="7"/>
      <c r="AJ3701" s="7"/>
      <c r="AK3701" s="7"/>
      <c r="AL3701" s="7"/>
      <c r="AM3701" s="7"/>
      <c r="AN3701" s="7"/>
      <c r="AO3701" s="7"/>
      <c r="AP3701" s="7"/>
      <c r="AQ3701" s="7"/>
      <c r="AR3701" s="7"/>
      <c r="AS3701" s="7" t="s">
        <v>22</v>
      </c>
    </row>
    <row r="3702">
      <c r="A3702" s="7" t="s">
        <v>1014</v>
      </c>
      <c r="B3702" s="7" t="s">
        <v>92</v>
      </c>
      <c r="C3702" s="7">
        <f>3</f>
        <v>3</v>
      </c>
      <c r="D3702" s="7">
        <v>2.0</v>
      </c>
      <c r="E3702" s="9">
        <v>2.0</v>
      </c>
      <c r="F3702" s="7" t="s">
        <v>83</v>
      </c>
      <c r="G3702" s="7" t="s">
        <v>2202</v>
      </c>
      <c r="H3702" s="9" t="s">
        <v>2979</v>
      </c>
      <c r="I3702" t="s">
        <v>4176</v>
      </c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  <c r="AA3702" s="7"/>
      <c r="AB3702" s="7"/>
      <c r="AC3702" s="7"/>
      <c r="AD3702" s="7" t="str">
        <f t="shared" si="1"/>
        <v>Built-up :</v>
      </c>
      <c r="AE3702" s="7" t="str">
        <f t="shared" si="2"/>
        <v> sq. ft.</v>
      </c>
      <c r="AF3702">
        <f>IFERROR(__xludf.DUMMYFUNCTION("VALUE(REGEXREPLACE(G3702,""[^[:digit:]]"", """"))"),978.0)</f>
        <v>978</v>
      </c>
      <c r="AG3702" s="7"/>
      <c r="AH3702" s="7"/>
      <c r="AI3702" s="7"/>
      <c r="AJ3702" s="7"/>
      <c r="AK3702" s="7"/>
      <c r="AL3702" s="7"/>
      <c r="AM3702" s="7"/>
      <c r="AN3702" s="7"/>
      <c r="AO3702" s="7"/>
      <c r="AP3702" s="7"/>
      <c r="AQ3702" s="7"/>
      <c r="AR3702" s="7"/>
    </row>
    <row r="3703">
      <c r="A3703" s="7" t="s">
        <v>2433</v>
      </c>
      <c r="B3703" s="7" t="s">
        <v>78</v>
      </c>
      <c r="C3703" s="7">
        <f>4+1</f>
        <v>5</v>
      </c>
      <c r="D3703" s="7">
        <v>3.0</v>
      </c>
      <c r="E3703" s="7">
        <v>4.0</v>
      </c>
      <c r="F3703" s="7" t="s">
        <v>54</v>
      </c>
      <c r="G3703" s="7" t="s">
        <v>344</v>
      </c>
      <c r="H3703" s="9" t="s">
        <v>2981</v>
      </c>
      <c r="I3703" t="s">
        <v>3118</v>
      </c>
      <c r="J3703" s="7"/>
      <c r="K3703" s="7"/>
      <c r="L3703" s="7"/>
      <c r="M3703" s="7"/>
      <c r="N3703" s="7"/>
      <c r="O3703" s="7"/>
      <c r="P3703" s="7"/>
      <c r="Q3703" s="7"/>
      <c r="R3703" s="7"/>
      <c r="S3703" s="7" t="s">
        <v>2993</v>
      </c>
      <c r="T3703" s="7"/>
      <c r="U3703" s="7"/>
      <c r="V3703" s="7"/>
      <c r="W3703" s="7"/>
      <c r="X3703" s="7"/>
      <c r="Y3703" s="7"/>
      <c r="Z3703" s="7"/>
      <c r="AA3703" s="7"/>
      <c r="AB3703" s="7"/>
      <c r="AC3703" s="7"/>
      <c r="AD3703" s="7" t="str">
        <f t="shared" si="1"/>
        <v>Land area </v>
      </c>
      <c r="AE3703" s="7" t="str">
        <f t="shared" si="2"/>
        <v> sq. ft.</v>
      </c>
      <c r="AF3703">
        <f>IFERROR(__xludf.DUMMYFUNCTION("VALUE(REGEXREPLACE(G3703,""[^[:digit:]]"", """"))"),2480.0)</f>
        <v>2480</v>
      </c>
      <c r="AG3703" s="7"/>
      <c r="AH3703" s="7"/>
      <c r="AI3703" s="7"/>
      <c r="AJ3703" s="7"/>
      <c r="AK3703" s="7"/>
      <c r="AL3703" s="7"/>
      <c r="AM3703" s="7"/>
      <c r="AN3703" s="7"/>
      <c r="AO3703" s="7"/>
      <c r="AP3703" s="7"/>
      <c r="AQ3703" s="7"/>
      <c r="AR3703" s="7"/>
      <c r="AS3703" s="7" t="s">
        <v>103</v>
      </c>
    </row>
    <row r="3704">
      <c r="A3704" s="7" t="s">
        <v>177</v>
      </c>
      <c r="B3704" s="7" t="s">
        <v>953</v>
      </c>
      <c r="C3704" s="7">
        <f>1+1</f>
        <v>2</v>
      </c>
      <c r="D3704" s="7">
        <v>1.0</v>
      </c>
      <c r="E3704" s="7">
        <v>1.0</v>
      </c>
      <c r="F3704" s="7" t="s">
        <v>83</v>
      </c>
      <c r="G3704" s="7" t="s">
        <v>408</v>
      </c>
      <c r="H3704" s="9" t="s">
        <v>2979</v>
      </c>
      <c r="I3704" t="s">
        <v>3149</v>
      </c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  <c r="AA3704" s="7"/>
      <c r="AB3704" s="7"/>
      <c r="AC3704" s="7"/>
      <c r="AD3704" s="7" t="str">
        <f t="shared" si="1"/>
        <v>Built-up :</v>
      </c>
      <c r="AE3704" s="7" t="str">
        <f t="shared" si="2"/>
        <v> sq. ft.</v>
      </c>
      <c r="AF3704">
        <f>IFERROR(__xludf.DUMMYFUNCTION("VALUE(REGEXREPLACE(G3704,""[^[:digit:]]"", """"))"),710.0)</f>
        <v>710</v>
      </c>
      <c r="AG3704" s="7"/>
      <c r="AH3704" s="7"/>
      <c r="AI3704" s="7"/>
      <c r="AJ3704" s="7"/>
      <c r="AK3704" s="7"/>
      <c r="AL3704" s="7"/>
      <c r="AM3704" s="7"/>
      <c r="AN3704" s="7"/>
      <c r="AO3704" s="7"/>
      <c r="AP3704" s="7"/>
      <c r="AQ3704" s="7"/>
      <c r="AR3704" s="7"/>
      <c r="AS3704" s="7" t="s">
        <v>22</v>
      </c>
    </row>
    <row r="3705">
      <c r="A3705" s="7" t="s">
        <v>148</v>
      </c>
      <c r="B3705" s="7" t="s">
        <v>193</v>
      </c>
      <c r="C3705" s="7">
        <f t="shared" ref="C3705:C3706" si="505">6</f>
        <v>6</v>
      </c>
      <c r="D3705" s="7">
        <v>6.0</v>
      </c>
      <c r="E3705" s="7">
        <v>3.0</v>
      </c>
      <c r="F3705" s="7" t="s">
        <v>2434</v>
      </c>
      <c r="G3705" s="7" t="s">
        <v>1121</v>
      </c>
      <c r="H3705" s="9" t="s">
        <v>2981</v>
      </c>
      <c r="I3705" t="s">
        <v>3518</v>
      </c>
      <c r="J3705" s="7"/>
      <c r="K3705" s="7"/>
      <c r="L3705" s="7"/>
      <c r="M3705" s="7"/>
      <c r="N3705" s="7"/>
      <c r="O3705" s="7"/>
      <c r="P3705" s="7"/>
      <c r="Q3705" s="7"/>
      <c r="R3705" s="7"/>
      <c r="S3705" s="7" t="s">
        <v>3121</v>
      </c>
      <c r="T3705" s="7"/>
      <c r="U3705" s="7"/>
      <c r="V3705" s="7"/>
      <c r="W3705" s="7"/>
      <c r="X3705" s="7"/>
      <c r="Y3705" s="7"/>
      <c r="Z3705" s="7"/>
      <c r="AA3705" s="7"/>
      <c r="AB3705" s="7"/>
      <c r="AC3705" s="7"/>
      <c r="AD3705" s="7" t="str">
        <f t="shared" si="1"/>
        <v>Land area </v>
      </c>
      <c r="AE3705" s="7" t="str">
        <f t="shared" si="2"/>
        <v> sq. ft.</v>
      </c>
      <c r="AF3705">
        <f>IFERROR(__xludf.DUMMYFUNCTION("VALUE(REGEXREPLACE(G3705,""[^[:digit:]]"", """"))"),2270.0)</f>
        <v>2270</v>
      </c>
      <c r="AG3705" s="7"/>
      <c r="AH3705" s="7"/>
      <c r="AI3705" s="7"/>
      <c r="AJ3705" s="7"/>
      <c r="AK3705" s="7"/>
      <c r="AL3705" s="7"/>
      <c r="AM3705" s="7"/>
      <c r="AN3705" s="7"/>
      <c r="AO3705" s="7"/>
      <c r="AP3705" s="7"/>
      <c r="AQ3705" s="7"/>
      <c r="AR3705" s="7"/>
      <c r="AS3705" s="7" t="s">
        <v>27</v>
      </c>
    </row>
    <row r="3706">
      <c r="A3706" s="7" t="s">
        <v>428</v>
      </c>
      <c r="B3706" s="7" t="s">
        <v>931</v>
      </c>
      <c r="C3706" s="7">
        <f t="shared" si="505"/>
        <v>6</v>
      </c>
      <c r="D3706" s="7">
        <v>4.0</v>
      </c>
      <c r="E3706" s="7">
        <v>5.0</v>
      </c>
      <c r="F3706" s="7" t="s">
        <v>282</v>
      </c>
      <c r="G3706" s="7" t="s">
        <v>2435</v>
      </c>
      <c r="H3706" s="9" t="s">
        <v>2981</v>
      </c>
      <c r="I3706" t="s">
        <v>4314</v>
      </c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  <c r="AA3706" s="7"/>
      <c r="AB3706" s="7"/>
      <c r="AC3706" s="7"/>
      <c r="AD3706" s="7" t="str">
        <f t="shared" si="1"/>
        <v>Land area </v>
      </c>
      <c r="AE3706" s="7" t="str">
        <f t="shared" si="2"/>
        <v> sq. ft.</v>
      </c>
      <c r="AF3706">
        <f>IFERROR(__xludf.DUMMYFUNCTION("VALUE(REGEXREPLACE(G3706,""[^[:digit:]]"", """"))"),4112.0)</f>
        <v>4112</v>
      </c>
      <c r="AG3706" s="7"/>
      <c r="AH3706" s="7"/>
      <c r="AI3706" s="7"/>
      <c r="AJ3706" s="7"/>
      <c r="AK3706" s="7"/>
      <c r="AL3706" s="7"/>
      <c r="AM3706" s="7"/>
      <c r="AN3706" s="7"/>
      <c r="AO3706" s="7"/>
      <c r="AP3706" s="7"/>
      <c r="AQ3706" s="7"/>
      <c r="AR3706" s="7"/>
      <c r="AS3706" s="7" t="s">
        <v>27</v>
      </c>
    </row>
    <row r="3707">
      <c r="A3707" s="7" t="s">
        <v>428</v>
      </c>
      <c r="B3707" s="7" t="s">
        <v>327</v>
      </c>
      <c r="C3707" s="7">
        <f>4+1</f>
        <v>5</v>
      </c>
      <c r="D3707" s="7">
        <v>4.0</v>
      </c>
      <c r="E3707" s="9">
        <v>2.0</v>
      </c>
      <c r="F3707" s="7" t="s">
        <v>54</v>
      </c>
      <c r="G3707" s="7" t="s">
        <v>344</v>
      </c>
      <c r="H3707" s="9" t="s">
        <v>2981</v>
      </c>
      <c r="I3707" t="s">
        <v>3118</v>
      </c>
      <c r="J3707" s="7"/>
      <c r="K3707" s="7"/>
      <c r="L3707" s="7"/>
      <c r="M3707" s="7"/>
      <c r="N3707" s="7"/>
      <c r="O3707" s="7"/>
      <c r="P3707" s="7"/>
      <c r="Q3707" s="7"/>
      <c r="R3707" s="7"/>
      <c r="S3707" s="7" t="s">
        <v>2993</v>
      </c>
      <c r="T3707" s="7"/>
      <c r="U3707" s="7"/>
      <c r="V3707" s="7"/>
      <c r="W3707" s="7"/>
      <c r="X3707" s="7"/>
      <c r="Y3707" s="7"/>
      <c r="Z3707" s="7"/>
      <c r="AA3707" s="7"/>
      <c r="AB3707" s="7"/>
      <c r="AC3707" s="7"/>
      <c r="AD3707" s="7" t="str">
        <f t="shared" si="1"/>
        <v>Land area </v>
      </c>
      <c r="AE3707" s="7" t="str">
        <f t="shared" si="2"/>
        <v> sq. ft.</v>
      </c>
      <c r="AF3707">
        <f>IFERROR(__xludf.DUMMYFUNCTION("VALUE(REGEXREPLACE(G3707,""[^[:digit:]]"", """"))"),2480.0)</f>
        <v>2480</v>
      </c>
      <c r="AG3707" s="7"/>
      <c r="AH3707" s="7"/>
      <c r="AI3707" s="7"/>
      <c r="AJ3707" s="7"/>
      <c r="AK3707" s="7"/>
      <c r="AL3707" s="7"/>
      <c r="AM3707" s="7"/>
      <c r="AN3707" s="7"/>
      <c r="AO3707" s="7"/>
      <c r="AP3707" s="7"/>
      <c r="AQ3707" s="7"/>
      <c r="AR3707" s="7"/>
      <c r="AS3707" s="7" t="s">
        <v>103</v>
      </c>
    </row>
    <row r="3708">
      <c r="A3708" s="7" t="s">
        <v>23</v>
      </c>
      <c r="B3708" s="7" t="s">
        <v>2436</v>
      </c>
      <c r="C3708" s="7">
        <f t="shared" ref="C3708:C3709" si="506">5+1</f>
        <v>6</v>
      </c>
      <c r="D3708" s="7">
        <v>7.0</v>
      </c>
      <c r="E3708" s="7">
        <v>4.0</v>
      </c>
      <c r="F3708" s="7" t="s">
        <v>67</v>
      </c>
      <c r="G3708" s="7" t="s">
        <v>1828</v>
      </c>
      <c r="H3708" s="9" t="s">
        <v>2981</v>
      </c>
      <c r="I3708" t="s">
        <v>3943</v>
      </c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  <c r="AA3708" s="7"/>
      <c r="AB3708" s="7"/>
      <c r="AC3708" s="7"/>
      <c r="AD3708" s="7" t="str">
        <f t="shared" si="1"/>
        <v>Land area </v>
      </c>
      <c r="AE3708" s="7" t="str">
        <f t="shared" si="2"/>
        <v> sq. ft.</v>
      </c>
      <c r="AF3708">
        <f>IFERROR(__xludf.DUMMYFUNCTION("VALUE(REGEXREPLACE(G3708,""[^[:digit:]]"", """"))"),4600.0)</f>
        <v>4600</v>
      </c>
      <c r="AG3708" s="7"/>
      <c r="AH3708" s="7"/>
      <c r="AI3708" s="7"/>
      <c r="AJ3708" s="7"/>
      <c r="AK3708" s="7"/>
      <c r="AL3708" s="7"/>
      <c r="AM3708" s="7"/>
      <c r="AN3708" s="7"/>
      <c r="AO3708" s="7"/>
      <c r="AP3708" s="7"/>
      <c r="AQ3708" s="7"/>
      <c r="AR3708" s="7"/>
      <c r="AS3708" s="7" t="s">
        <v>103</v>
      </c>
    </row>
    <row r="3709">
      <c r="A3709" s="7" t="s">
        <v>23</v>
      </c>
      <c r="B3709" s="7" t="s">
        <v>1096</v>
      </c>
      <c r="C3709" s="7">
        <f t="shared" si="506"/>
        <v>6</v>
      </c>
      <c r="D3709" s="7">
        <v>5.0</v>
      </c>
      <c r="E3709" s="7">
        <v>6.0</v>
      </c>
      <c r="F3709" s="7" t="s">
        <v>25</v>
      </c>
      <c r="G3709" s="7" t="s">
        <v>264</v>
      </c>
      <c r="H3709" s="9" t="s">
        <v>2981</v>
      </c>
      <c r="I3709" t="s">
        <v>3082</v>
      </c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  <c r="AA3709" s="7"/>
      <c r="AB3709" s="7"/>
      <c r="AC3709" s="7"/>
      <c r="AD3709" s="7" t="str">
        <f t="shared" si="1"/>
        <v>Land area </v>
      </c>
      <c r="AE3709" s="7" t="str">
        <f t="shared" si="2"/>
        <v> sq. ft.</v>
      </c>
      <c r="AF3709">
        <f>IFERROR(__xludf.DUMMYFUNCTION("VALUE(REGEXREPLACE(G3709,""[^[:digit:]]"", """"))"),10000.0)</f>
        <v>10000</v>
      </c>
      <c r="AG3709" s="7"/>
      <c r="AH3709" s="7"/>
      <c r="AI3709" s="7"/>
      <c r="AJ3709" s="7"/>
      <c r="AK3709" s="7"/>
      <c r="AL3709" s="7"/>
      <c r="AM3709" s="7"/>
      <c r="AN3709" s="7"/>
      <c r="AO3709" s="7"/>
      <c r="AP3709" s="7"/>
      <c r="AQ3709" s="7"/>
      <c r="AR3709" s="7"/>
      <c r="AS3709" s="7" t="s">
        <v>27</v>
      </c>
    </row>
    <row r="3710">
      <c r="A3710" s="7" t="s">
        <v>432</v>
      </c>
      <c r="B3710" s="7" t="s">
        <v>149</v>
      </c>
      <c r="C3710" s="7">
        <f>5</f>
        <v>5</v>
      </c>
      <c r="D3710" s="7">
        <v>5.0</v>
      </c>
      <c r="E3710" s="9">
        <v>2.0</v>
      </c>
      <c r="F3710" s="7" t="s">
        <v>1036</v>
      </c>
      <c r="G3710" s="7" t="s">
        <v>721</v>
      </c>
      <c r="H3710" s="9" t="s">
        <v>2981</v>
      </c>
      <c r="I3710" t="s">
        <v>3300</v>
      </c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  <c r="AA3710" s="7"/>
      <c r="AB3710" s="7"/>
      <c r="AC3710" s="7"/>
      <c r="AD3710" s="7" t="str">
        <f t="shared" si="1"/>
        <v>Land area </v>
      </c>
      <c r="AE3710" s="7" t="str">
        <f t="shared" si="2"/>
        <v> sq. ft.</v>
      </c>
      <c r="AF3710">
        <f>IFERROR(__xludf.DUMMYFUNCTION("VALUE(REGEXREPLACE(G3710,""[^[:digit:]]"", """"))"),2200.0)</f>
        <v>2200</v>
      </c>
      <c r="AG3710" s="7"/>
      <c r="AH3710" s="7"/>
      <c r="AI3710" s="7"/>
      <c r="AJ3710" s="7"/>
      <c r="AK3710" s="7"/>
      <c r="AL3710" s="7"/>
      <c r="AM3710" s="7"/>
      <c r="AN3710" s="7"/>
      <c r="AO3710" s="7"/>
      <c r="AP3710" s="7"/>
      <c r="AQ3710" s="7"/>
      <c r="AR3710" s="7"/>
    </row>
    <row r="3711">
      <c r="A3711" s="7" t="s">
        <v>432</v>
      </c>
      <c r="B3711" s="7" t="s">
        <v>165</v>
      </c>
      <c r="C3711" s="7">
        <f>4</f>
        <v>4</v>
      </c>
      <c r="D3711" s="7">
        <v>4.0</v>
      </c>
      <c r="E3711" s="9">
        <v>2.0</v>
      </c>
      <c r="F3711" s="7" t="s">
        <v>25</v>
      </c>
      <c r="G3711" s="7" t="s">
        <v>2437</v>
      </c>
      <c r="H3711" s="9" t="s">
        <v>2981</v>
      </c>
      <c r="I3711" t="s">
        <v>4315</v>
      </c>
      <c r="J3711" s="7"/>
      <c r="K3711" s="7"/>
      <c r="L3711" s="7"/>
      <c r="M3711" s="7"/>
      <c r="N3711" s="7"/>
      <c r="O3711" s="7"/>
      <c r="P3711" s="7"/>
      <c r="Q3711" s="7"/>
      <c r="R3711" s="7"/>
      <c r="S3711" s="7" t="s">
        <v>4316</v>
      </c>
      <c r="T3711" s="7"/>
      <c r="U3711" s="7"/>
      <c r="V3711" s="7"/>
      <c r="W3711" s="7"/>
      <c r="X3711" s="7"/>
      <c r="Y3711" s="7"/>
      <c r="Z3711" s="7"/>
      <c r="AA3711" s="7"/>
      <c r="AB3711" s="7"/>
      <c r="AC3711" s="7"/>
      <c r="AD3711" s="7" t="str">
        <f t="shared" si="1"/>
        <v>Land area </v>
      </c>
      <c r="AE3711" s="7" t="str">
        <f t="shared" si="2"/>
        <v> sq. ft.</v>
      </c>
      <c r="AF3711">
        <f>IFERROR(__xludf.DUMMYFUNCTION("VALUE(REGEXREPLACE(G3711,""[^[:digit:]]"", """"))"),3066.0)</f>
        <v>3066</v>
      </c>
      <c r="AG3711" s="7"/>
      <c r="AH3711" s="7"/>
      <c r="AI3711" s="7"/>
      <c r="AJ3711" s="7"/>
      <c r="AK3711" s="7"/>
      <c r="AL3711" s="7"/>
      <c r="AM3711" s="7"/>
      <c r="AN3711" s="7"/>
      <c r="AO3711" s="7"/>
      <c r="AP3711" s="7"/>
      <c r="AQ3711" s="7"/>
      <c r="AR3711" s="7"/>
      <c r="AS3711" s="7" t="s">
        <v>22</v>
      </c>
    </row>
    <row r="3712">
      <c r="A3712" s="7" t="s">
        <v>177</v>
      </c>
      <c r="B3712" s="7" t="s">
        <v>2438</v>
      </c>
      <c r="E3712" s="9">
        <v>2.0</v>
      </c>
      <c r="F3712" s="7" t="s">
        <v>667</v>
      </c>
      <c r="G3712" s="7" t="s">
        <v>2439</v>
      </c>
      <c r="H3712" s="9" t="s">
        <v>2981</v>
      </c>
      <c r="I3712" t="s">
        <v>4317</v>
      </c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  <c r="AA3712" s="7"/>
      <c r="AB3712" s="7"/>
      <c r="AC3712" s="7"/>
      <c r="AD3712" s="7" t="str">
        <f t="shared" si="1"/>
        <v>Land area </v>
      </c>
      <c r="AE3712" s="7" t="str">
        <f t="shared" si="2"/>
        <v> sq. ft.</v>
      </c>
      <c r="AF3712">
        <f>IFERROR(__xludf.DUMMYFUNCTION("VALUE(REGEXREPLACE(G3712,""[^[:digit:]]"", """"))"),12141.0)</f>
        <v>12141</v>
      </c>
      <c r="AG3712" s="7"/>
      <c r="AH3712" s="7"/>
      <c r="AI3712" s="7"/>
      <c r="AJ3712" s="7"/>
      <c r="AK3712" s="7"/>
      <c r="AL3712" s="7"/>
      <c r="AM3712" s="7"/>
      <c r="AN3712" s="7"/>
      <c r="AO3712" s="7"/>
      <c r="AP3712" s="7"/>
      <c r="AQ3712" s="7"/>
      <c r="AR3712" s="7"/>
    </row>
    <row r="3713">
      <c r="A3713" s="7" t="s">
        <v>23</v>
      </c>
      <c r="B3713" s="7" t="s">
        <v>292</v>
      </c>
      <c r="E3713" s="9">
        <v>2.0</v>
      </c>
      <c r="F3713" s="7" t="s">
        <v>1453</v>
      </c>
      <c r="G3713" s="7" t="s">
        <v>2440</v>
      </c>
      <c r="H3713" s="9" t="s">
        <v>2981</v>
      </c>
      <c r="I3713" t="s">
        <v>4318</v>
      </c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  <c r="AA3713" s="7"/>
      <c r="AB3713" s="7"/>
      <c r="AC3713" s="7"/>
      <c r="AD3713" s="7" t="str">
        <f t="shared" si="1"/>
        <v>Land area </v>
      </c>
      <c r="AE3713" s="7" t="str">
        <f t="shared" si="2"/>
        <v> sq. ft.</v>
      </c>
      <c r="AF3713">
        <f>IFERROR(__xludf.DUMMYFUNCTION("VALUE(REGEXREPLACE(G3713,""[^[:digit:]]"", """"))"),4123.0)</f>
        <v>4123</v>
      </c>
      <c r="AG3713" s="7"/>
      <c r="AH3713" s="7"/>
      <c r="AI3713" s="7"/>
      <c r="AJ3713" s="7"/>
      <c r="AK3713" s="7"/>
      <c r="AL3713" s="7"/>
      <c r="AM3713" s="7"/>
      <c r="AN3713" s="7"/>
      <c r="AO3713" s="7"/>
      <c r="AP3713" s="7"/>
      <c r="AQ3713" s="7"/>
      <c r="AR3713" s="7"/>
    </row>
    <row r="3714">
      <c r="A3714" s="7" t="s">
        <v>23</v>
      </c>
      <c r="B3714" s="7" t="s">
        <v>2441</v>
      </c>
      <c r="C3714" s="7">
        <f>5+1</f>
        <v>6</v>
      </c>
      <c r="D3714" s="7">
        <v>6.0</v>
      </c>
      <c r="E3714" s="7">
        <v>6.0</v>
      </c>
      <c r="F3714" s="7" t="s">
        <v>312</v>
      </c>
      <c r="G3714" s="7" t="s">
        <v>2442</v>
      </c>
      <c r="H3714" s="9" t="s">
        <v>2979</v>
      </c>
      <c r="I3714" t="s">
        <v>4319</v>
      </c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  <c r="AA3714" s="7"/>
      <c r="AB3714" s="7"/>
      <c r="AC3714" s="7"/>
      <c r="AD3714" s="7" t="str">
        <f t="shared" si="1"/>
        <v>Built-up :</v>
      </c>
      <c r="AE3714" s="7" t="str">
        <f t="shared" si="2"/>
        <v> sq. ft.</v>
      </c>
      <c r="AF3714">
        <f>IFERROR(__xludf.DUMMYFUNCTION("VALUE(REGEXREPLACE(G3714,""[^[:digit:]]"", """"))"),4853.0)</f>
        <v>4853</v>
      </c>
      <c r="AG3714" s="7"/>
      <c r="AH3714" s="7"/>
      <c r="AI3714" s="7"/>
      <c r="AJ3714" s="7"/>
      <c r="AK3714" s="7"/>
      <c r="AL3714" s="7"/>
      <c r="AM3714" s="7"/>
      <c r="AN3714" s="7"/>
      <c r="AO3714" s="7"/>
      <c r="AP3714" s="7"/>
      <c r="AQ3714" s="7"/>
      <c r="AR3714" s="7"/>
      <c r="AS3714" s="7" t="s">
        <v>27</v>
      </c>
    </row>
    <row r="3715">
      <c r="A3715" s="7" t="s">
        <v>188</v>
      </c>
      <c r="B3715" s="7" t="s">
        <v>245</v>
      </c>
      <c r="C3715" s="7">
        <f>1</f>
        <v>1</v>
      </c>
      <c r="D3715" s="7">
        <v>1.0</v>
      </c>
      <c r="E3715" s="7">
        <v>1.0</v>
      </c>
      <c r="F3715" s="7" t="s">
        <v>83</v>
      </c>
      <c r="G3715" s="7" t="s">
        <v>1569</v>
      </c>
      <c r="H3715" s="9" t="s">
        <v>2979</v>
      </c>
      <c r="I3715" t="s">
        <v>3786</v>
      </c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  <c r="AA3715" s="7"/>
      <c r="AB3715" s="7"/>
      <c r="AC3715" s="7"/>
      <c r="AD3715" s="7" t="str">
        <f t="shared" si="1"/>
        <v>Built-up :</v>
      </c>
      <c r="AE3715" s="7" t="str">
        <f t="shared" si="2"/>
        <v> sq. ft.</v>
      </c>
      <c r="AF3715">
        <f>IFERROR(__xludf.DUMMYFUNCTION("VALUE(REGEXREPLACE(G3715,""[^[:digit:]]"", """"))"),538.0)</f>
        <v>538</v>
      </c>
      <c r="AG3715" s="7"/>
      <c r="AH3715" s="7"/>
      <c r="AI3715" s="7"/>
      <c r="AJ3715" s="7"/>
      <c r="AK3715" s="7"/>
      <c r="AL3715" s="7"/>
      <c r="AM3715" s="7"/>
      <c r="AN3715" s="7"/>
      <c r="AO3715" s="7"/>
      <c r="AP3715" s="7"/>
      <c r="AQ3715" s="7"/>
      <c r="AR3715" s="7"/>
      <c r="AS3715" s="7" t="s">
        <v>103</v>
      </c>
    </row>
    <row r="3716">
      <c r="A3716" s="7" t="s">
        <v>428</v>
      </c>
      <c r="B3716" s="7" t="s">
        <v>1124</v>
      </c>
      <c r="C3716" s="7">
        <f t="shared" ref="C3716:C3717" si="507">3</f>
        <v>3</v>
      </c>
      <c r="D3716" s="7">
        <v>2.0</v>
      </c>
      <c r="E3716" s="7">
        <v>2.0</v>
      </c>
      <c r="F3716" s="7" t="s">
        <v>83</v>
      </c>
      <c r="G3716" s="7" t="s">
        <v>2443</v>
      </c>
      <c r="H3716" s="9" t="s">
        <v>2979</v>
      </c>
      <c r="I3716" t="s">
        <v>4320</v>
      </c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  <c r="AA3716" s="7"/>
      <c r="AB3716" s="7"/>
      <c r="AC3716" s="7"/>
      <c r="AD3716" s="7" t="str">
        <f t="shared" si="1"/>
        <v>Built-up :</v>
      </c>
      <c r="AE3716" s="7" t="str">
        <f t="shared" si="2"/>
        <v> sq. ft.</v>
      </c>
      <c r="AF3716">
        <f>IFERROR(__xludf.DUMMYFUNCTION("VALUE(REGEXREPLACE(G3716,""[^[:digit:]]"", """"))"),3003.0)</f>
        <v>3003</v>
      </c>
      <c r="AG3716" s="7"/>
      <c r="AH3716" s="7"/>
      <c r="AI3716" s="7"/>
      <c r="AJ3716" s="7"/>
      <c r="AK3716" s="7"/>
      <c r="AL3716" s="7"/>
      <c r="AM3716" s="7"/>
      <c r="AN3716" s="7"/>
      <c r="AO3716" s="7"/>
      <c r="AP3716" s="7"/>
      <c r="AQ3716" s="7"/>
      <c r="AR3716" s="7"/>
      <c r="AS3716" s="7" t="s">
        <v>22</v>
      </c>
    </row>
    <row r="3717">
      <c r="A3717" s="7" t="s">
        <v>709</v>
      </c>
      <c r="B3717" s="7" t="s">
        <v>733</v>
      </c>
      <c r="C3717" s="7">
        <f t="shared" si="507"/>
        <v>3</v>
      </c>
      <c r="D3717" s="7">
        <v>2.0</v>
      </c>
      <c r="E3717" s="7">
        <v>1.0</v>
      </c>
      <c r="F3717" s="7" t="s">
        <v>30</v>
      </c>
      <c r="G3717" s="7" t="s">
        <v>471</v>
      </c>
      <c r="H3717" s="9" t="s">
        <v>2979</v>
      </c>
      <c r="I3717" t="s">
        <v>3179</v>
      </c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  <c r="AA3717" s="7"/>
      <c r="AB3717" s="7"/>
      <c r="AC3717" s="7"/>
      <c r="AD3717" s="7" t="str">
        <f t="shared" si="1"/>
        <v>Built-up :</v>
      </c>
      <c r="AE3717" s="7" t="str">
        <f t="shared" si="2"/>
        <v> sq. ft.</v>
      </c>
      <c r="AF3717">
        <f>IFERROR(__xludf.DUMMYFUNCTION("VALUE(REGEXREPLACE(G3717,""[^[:digit:]]"", """"))"),1400.0)</f>
        <v>1400</v>
      </c>
      <c r="AG3717" s="7"/>
      <c r="AH3717" s="7"/>
      <c r="AI3717" s="7"/>
      <c r="AJ3717" s="7"/>
      <c r="AK3717" s="7"/>
      <c r="AL3717" s="7"/>
      <c r="AM3717" s="7"/>
      <c r="AN3717" s="7"/>
      <c r="AO3717" s="7"/>
      <c r="AP3717" s="7"/>
      <c r="AQ3717" s="7"/>
      <c r="AR3717" s="7"/>
      <c r="AS3717" s="7" t="s">
        <v>27</v>
      </c>
    </row>
    <row r="3718">
      <c r="A3718" s="7" t="s">
        <v>709</v>
      </c>
      <c r="B3718" s="7" t="s">
        <v>563</v>
      </c>
      <c r="C3718" s="7">
        <f>2</f>
        <v>2</v>
      </c>
      <c r="D3718" s="7">
        <v>2.0</v>
      </c>
      <c r="E3718" s="7">
        <v>1.0</v>
      </c>
      <c r="F3718" s="7" t="s">
        <v>30</v>
      </c>
      <c r="G3718" s="7" t="s">
        <v>1688</v>
      </c>
      <c r="H3718" s="9" t="s">
        <v>2979</v>
      </c>
      <c r="I3718" t="s">
        <v>3858</v>
      </c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  <c r="AA3718" s="7"/>
      <c r="AB3718" s="7"/>
      <c r="AC3718" s="7"/>
      <c r="AD3718" s="7" t="str">
        <f t="shared" si="1"/>
        <v>Built-up :</v>
      </c>
      <c r="AE3718" s="7" t="str">
        <f t="shared" si="2"/>
        <v> sq. ft.</v>
      </c>
      <c r="AF3718">
        <f>IFERROR(__xludf.DUMMYFUNCTION("VALUE(REGEXREPLACE(G3718,""[^[:digit:]]"", """"))"),1250.0)</f>
        <v>1250</v>
      </c>
      <c r="AG3718" s="7"/>
      <c r="AH3718" s="7"/>
      <c r="AI3718" s="7"/>
      <c r="AJ3718" s="7"/>
      <c r="AK3718" s="7"/>
      <c r="AL3718" s="7"/>
      <c r="AM3718" s="7"/>
      <c r="AN3718" s="7"/>
      <c r="AO3718" s="7"/>
      <c r="AP3718" s="7"/>
      <c r="AQ3718" s="7"/>
      <c r="AR3718" s="7"/>
      <c r="AS3718" s="7" t="s">
        <v>27</v>
      </c>
    </row>
    <row r="3719">
      <c r="A3719" s="7" t="s">
        <v>33</v>
      </c>
      <c r="B3719" s="7" t="s">
        <v>1551</v>
      </c>
      <c r="C3719" s="7">
        <f>3</f>
        <v>3</v>
      </c>
      <c r="D3719" s="7">
        <v>2.0</v>
      </c>
      <c r="E3719" s="7">
        <v>1.0</v>
      </c>
      <c r="F3719" s="7" t="s">
        <v>354</v>
      </c>
      <c r="G3719" s="7" t="s">
        <v>892</v>
      </c>
      <c r="H3719" s="9" t="s">
        <v>2979</v>
      </c>
      <c r="I3719" t="s">
        <v>3391</v>
      </c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  <c r="AA3719" s="7"/>
      <c r="AB3719" s="7"/>
      <c r="AC3719" s="7"/>
      <c r="AD3719" s="7" t="str">
        <f t="shared" si="1"/>
        <v>Built-up :</v>
      </c>
      <c r="AE3719" s="7" t="str">
        <f t="shared" si="2"/>
        <v> sq. ft.</v>
      </c>
      <c r="AF3719">
        <f>IFERROR(__xludf.DUMMYFUNCTION("VALUE(REGEXREPLACE(G3719,""[^[:digit:]]"", """"))"),1098.0)</f>
        <v>1098</v>
      </c>
      <c r="AG3719" s="7"/>
      <c r="AH3719" s="7"/>
      <c r="AI3719" s="7"/>
      <c r="AJ3719" s="7"/>
      <c r="AK3719" s="7"/>
      <c r="AL3719" s="7"/>
      <c r="AM3719" s="7"/>
      <c r="AN3719" s="7"/>
      <c r="AO3719" s="7"/>
      <c r="AP3719" s="7"/>
      <c r="AQ3719" s="7"/>
      <c r="AR3719" s="7"/>
      <c r="AS3719" s="7" t="s">
        <v>27</v>
      </c>
    </row>
    <row r="3720">
      <c r="A3720" s="7" t="s">
        <v>188</v>
      </c>
      <c r="B3720" s="7" t="s">
        <v>349</v>
      </c>
      <c r="C3720" s="7">
        <f>2</f>
        <v>2</v>
      </c>
      <c r="D3720" s="7">
        <v>2.0</v>
      </c>
      <c r="E3720" s="7">
        <v>2.0</v>
      </c>
      <c r="F3720" s="7" t="s">
        <v>83</v>
      </c>
      <c r="G3720" s="7" t="s">
        <v>1245</v>
      </c>
      <c r="H3720" s="9" t="s">
        <v>2979</v>
      </c>
      <c r="I3720" t="s">
        <v>3603</v>
      </c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  <c r="AA3720" s="7"/>
      <c r="AB3720" s="7"/>
      <c r="AC3720" s="7"/>
      <c r="AD3720" s="7" t="str">
        <f t="shared" si="1"/>
        <v>Built-up :</v>
      </c>
      <c r="AE3720" s="7" t="str">
        <f t="shared" si="2"/>
        <v> sq. ft.</v>
      </c>
      <c r="AF3720">
        <f>IFERROR(__xludf.DUMMYFUNCTION("VALUE(REGEXREPLACE(G3720,""[^[:digit:]]"", """"))"),807.0)</f>
        <v>807</v>
      </c>
      <c r="AG3720" s="7"/>
      <c r="AH3720" s="7"/>
      <c r="AI3720" s="7"/>
      <c r="AJ3720" s="7"/>
      <c r="AK3720" s="7"/>
      <c r="AL3720" s="7"/>
      <c r="AM3720" s="7"/>
      <c r="AN3720" s="7"/>
      <c r="AO3720" s="7"/>
      <c r="AP3720" s="7"/>
      <c r="AQ3720" s="7"/>
      <c r="AR3720" s="7"/>
      <c r="AS3720" s="7" t="s">
        <v>22</v>
      </c>
    </row>
    <row r="3721">
      <c r="A3721" s="7" t="s">
        <v>188</v>
      </c>
      <c r="B3721" s="7" t="s">
        <v>641</v>
      </c>
      <c r="C3721" s="7">
        <f>1</f>
        <v>1</v>
      </c>
      <c r="D3721" s="7">
        <v>1.0</v>
      </c>
      <c r="E3721" s="7">
        <v>1.0</v>
      </c>
      <c r="F3721" s="7" t="s">
        <v>93</v>
      </c>
      <c r="H3721" s="9" t="s">
        <v>2984</v>
      </c>
      <c r="I3721" t="s">
        <v>2985</v>
      </c>
      <c r="AD3721" s="7" t="str">
        <f t="shared" si="1"/>
        <v/>
      </c>
      <c r="AE3721" s="7" t="str">
        <f t="shared" si="2"/>
        <v/>
      </c>
      <c r="AF3721">
        <f>IFERROR(__xludf.DUMMYFUNCTION("VALUE(REGEXREPLACE(G3721,""[^[:digit:]]"", """"))"),0.0)</f>
        <v>0</v>
      </c>
    </row>
    <row r="3722">
      <c r="A3722" s="7" t="s">
        <v>188</v>
      </c>
      <c r="B3722" s="7" t="s">
        <v>134</v>
      </c>
      <c r="C3722" s="7">
        <f>1+1</f>
        <v>2</v>
      </c>
      <c r="D3722" s="7">
        <v>1.0</v>
      </c>
      <c r="E3722" s="7">
        <v>1.0</v>
      </c>
      <c r="F3722" s="7" t="s">
        <v>83</v>
      </c>
      <c r="G3722" s="7" t="s">
        <v>2444</v>
      </c>
      <c r="H3722" s="9" t="s">
        <v>2979</v>
      </c>
      <c r="I3722" t="s">
        <v>4321</v>
      </c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  <c r="AA3722" s="7"/>
      <c r="AB3722" s="7"/>
      <c r="AC3722" s="7"/>
      <c r="AD3722" s="7" t="str">
        <f t="shared" si="1"/>
        <v>Built-up :</v>
      </c>
      <c r="AE3722" s="7" t="str">
        <f t="shared" si="2"/>
        <v> sq. ft.</v>
      </c>
      <c r="AF3722">
        <f>IFERROR(__xludf.DUMMYFUNCTION("VALUE(REGEXREPLACE(G3722,""[^[:digit:]]"", """"))"),689.0)</f>
        <v>689</v>
      </c>
      <c r="AG3722" s="7"/>
      <c r="AH3722" s="7"/>
      <c r="AI3722" s="7"/>
      <c r="AJ3722" s="7"/>
      <c r="AK3722" s="7"/>
      <c r="AL3722" s="7"/>
      <c r="AM3722" s="7"/>
      <c r="AN3722" s="7"/>
      <c r="AO3722" s="7"/>
      <c r="AP3722" s="7"/>
      <c r="AQ3722" s="7"/>
      <c r="AR3722" s="7"/>
      <c r="AS3722" s="7" t="s">
        <v>27</v>
      </c>
    </row>
    <row r="3723">
      <c r="A3723" s="7" t="s">
        <v>188</v>
      </c>
      <c r="B3723" s="7" t="s">
        <v>284</v>
      </c>
      <c r="C3723" s="7">
        <f>1</f>
        <v>1</v>
      </c>
      <c r="D3723" s="7">
        <v>1.0</v>
      </c>
      <c r="E3723" s="7">
        <v>1.0</v>
      </c>
      <c r="F3723" s="7" t="s">
        <v>93</v>
      </c>
      <c r="G3723" s="7" t="s">
        <v>929</v>
      </c>
      <c r="H3723" s="9" t="s">
        <v>2979</v>
      </c>
      <c r="I3723" t="s">
        <v>3411</v>
      </c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  <c r="AA3723" s="7"/>
      <c r="AB3723" s="7"/>
      <c r="AC3723" s="7"/>
      <c r="AD3723" s="7" t="str">
        <f t="shared" si="1"/>
        <v>Built-up :</v>
      </c>
      <c r="AE3723" s="7" t="str">
        <f t="shared" si="2"/>
        <v> sq. ft.</v>
      </c>
      <c r="AF3723">
        <f>IFERROR(__xludf.DUMMYFUNCTION("VALUE(REGEXREPLACE(G3723,""[^[:digit:]]"", """"))"),624.0)</f>
        <v>624</v>
      </c>
      <c r="AG3723" s="7"/>
      <c r="AH3723" s="7"/>
      <c r="AI3723" s="7"/>
      <c r="AJ3723" s="7"/>
      <c r="AK3723" s="7"/>
      <c r="AL3723" s="7"/>
      <c r="AM3723" s="7"/>
      <c r="AN3723" s="7"/>
      <c r="AO3723" s="7"/>
      <c r="AP3723" s="7"/>
      <c r="AQ3723" s="7"/>
      <c r="AR3723" s="7"/>
      <c r="AS3723" s="7" t="s">
        <v>27</v>
      </c>
    </row>
    <row r="3724">
      <c r="A3724" s="7" t="s">
        <v>143</v>
      </c>
      <c r="B3724" s="7" t="s">
        <v>2363</v>
      </c>
      <c r="C3724" s="7">
        <f>3</f>
        <v>3</v>
      </c>
      <c r="D3724" s="7">
        <v>2.0</v>
      </c>
      <c r="E3724" s="7">
        <v>1.0</v>
      </c>
      <c r="F3724" s="7" t="s">
        <v>83</v>
      </c>
      <c r="G3724" s="7" t="s">
        <v>2445</v>
      </c>
      <c r="H3724" s="9" t="s">
        <v>2979</v>
      </c>
      <c r="I3724" t="s">
        <v>4322</v>
      </c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  <c r="AA3724" s="7"/>
      <c r="AB3724" s="7"/>
      <c r="AC3724" s="7"/>
      <c r="AD3724" s="7" t="str">
        <f t="shared" si="1"/>
        <v>Built-up :</v>
      </c>
      <c r="AE3724" s="7" t="str">
        <f t="shared" si="2"/>
        <v> sq. ft.</v>
      </c>
      <c r="AF3724">
        <f>IFERROR(__xludf.DUMMYFUNCTION("VALUE(REGEXREPLACE(G3724,""[^[:digit:]]"", """"))"),865.0)</f>
        <v>865</v>
      </c>
      <c r="AG3724" s="7"/>
      <c r="AH3724" s="7"/>
      <c r="AI3724" s="7"/>
      <c r="AJ3724" s="7"/>
      <c r="AK3724" s="7"/>
      <c r="AL3724" s="7"/>
      <c r="AM3724" s="7"/>
      <c r="AN3724" s="7"/>
      <c r="AO3724" s="7"/>
      <c r="AP3724" s="7"/>
      <c r="AQ3724" s="7"/>
      <c r="AR3724" s="7"/>
      <c r="AS3724" s="7" t="s">
        <v>27</v>
      </c>
    </row>
    <row r="3725">
      <c r="A3725" s="7" t="s">
        <v>32</v>
      </c>
      <c r="B3725" s="7" t="s">
        <v>967</v>
      </c>
      <c r="C3725" s="7">
        <f>2</f>
        <v>2</v>
      </c>
      <c r="D3725" s="7">
        <v>2.0</v>
      </c>
      <c r="E3725" s="9">
        <v>2.0</v>
      </c>
      <c r="F3725" s="7" t="s">
        <v>93</v>
      </c>
      <c r="G3725" s="7" t="s">
        <v>2030</v>
      </c>
      <c r="H3725" s="9" t="s">
        <v>2979</v>
      </c>
      <c r="I3725" t="s">
        <v>4066</v>
      </c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  <c r="AA3725" s="7"/>
      <c r="AB3725" s="7"/>
      <c r="AC3725" s="7"/>
      <c r="AD3725" s="7" t="str">
        <f t="shared" si="1"/>
        <v>Built-up :</v>
      </c>
      <c r="AE3725" s="7" t="str">
        <f t="shared" si="2"/>
        <v> sq. ft.</v>
      </c>
      <c r="AF3725">
        <f>IFERROR(__xludf.DUMMYFUNCTION("VALUE(REGEXREPLACE(G3725,""[^[:digit:]]"", """"))"),803.0)</f>
        <v>803</v>
      </c>
      <c r="AG3725" s="7"/>
      <c r="AH3725" s="7"/>
      <c r="AI3725" s="7"/>
      <c r="AJ3725" s="7"/>
      <c r="AK3725" s="7"/>
      <c r="AL3725" s="7"/>
      <c r="AM3725" s="7"/>
      <c r="AN3725" s="7"/>
      <c r="AO3725" s="7"/>
      <c r="AP3725" s="7"/>
      <c r="AQ3725" s="7"/>
      <c r="AR3725" s="7"/>
    </row>
    <row r="3726">
      <c r="A3726" s="7" t="s">
        <v>100</v>
      </c>
      <c r="B3726" s="7" t="s">
        <v>639</v>
      </c>
      <c r="C3726" s="7">
        <f t="shared" ref="C3726:C3727" si="508">3</f>
        <v>3</v>
      </c>
      <c r="D3726" s="7">
        <v>2.0</v>
      </c>
      <c r="E3726" s="7">
        <v>2.0</v>
      </c>
      <c r="F3726" s="7" t="s">
        <v>20</v>
      </c>
      <c r="G3726" s="7" t="s">
        <v>491</v>
      </c>
      <c r="H3726" s="9" t="s">
        <v>2979</v>
      </c>
      <c r="I3726" t="s">
        <v>3190</v>
      </c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  <c r="AA3726" s="7"/>
      <c r="AB3726" s="7"/>
      <c r="AC3726" s="7"/>
      <c r="AD3726" s="7" t="str">
        <f t="shared" si="1"/>
        <v>Built-up :</v>
      </c>
      <c r="AE3726" s="7" t="str">
        <f t="shared" si="2"/>
        <v> sq. ft.</v>
      </c>
      <c r="AF3726">
        <f>IFERROR(__xludf.DUMMYFUNCTION("VALUE(REGEXREPLACE(G3726,""[^[:digit:]]"", """"))"),950.0)</f>
        <v>950</v>
      </c>
      <c r="AG3726" s="7"/>
      <c r="AH3726" s="7"/>
      <c r="AI3726" s="7"/>
      <c r="AJ3726" s="7"/>
      <c r="AK3726" s="7"/>
      <c r="AL3726" s="7"/>
      <c r="AM3726" s="7"/>
      <c r="AN3726" s="7"/>
      <c r="AO3726" s="7"/>
      <c r="AP3726" s="7"/>
      <c r="AQ3726" s="7"/>
      <c r="AR3726" s="7"/>
      <c r="AS3726" s="7" t="s">
        <v>27</v>
      </c>
    </row>
    <row r="3727">
      <c r="A3727" s="7" t="s">
        <v>709</v>
      </c>
      <c r="B3727" s="7" t="s">
        <v>139</v>
      </c>
      <c r="C3727" s="7">
        <f t="shared" si="508"/>
        <v>3</v>
      </c>
      <c r="D3727" s="7">
        <v>2.0</v>
      </c>
      <c r="E3727" s="7">
        <v>2.0</v>
      </c>
      <c r="F3727" s="7" t="s">
        <v>93</v>
      </c>
      <c r="G3727" s="7" t="s">
        <v>2351</v>
      </c>
      <c r="H3727" s="9" t="s">
        <v>2979</v>
      </c>
      <c r="I3727" t="s">
        <v>4269</v>
      </c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  <c r="AA3727" s="7"/>
      <c r="AB3727" s="7"/>
      <c r="AC3727" s="7"/>
      <c r="AD3727" s="7" t="str">
        <f t="shared" si="1"/>
        <v>Built-up :</v>
      </c>
      <c r="AE3727" s="7" t="str">
        <f t="shared" si="2"/>
        <v> sq. ft.</v>
      </c>
      <c r="AF3727">
        <f>IFERROR(__xludf.DUMMYFUNCTION("VALUE(REGEXREPLACE(G3727,""[^[:digit:]]"", """"))"),1209.0)</f>
        <v>1209</v>
      </c>
      <c r="AG3727" s="7"/>
      <c r="AH3727" s="7"/>
      <c r="AI3727" s="7"/>
      <c r="AJ3727" s="7"/>
      <c r="AK3727" s="7"/>
      <c r="AL3727" s="7"/>
      <c r="AM3727" s="7"/>
      <c r="AN3727" s="7"/>
      <c r="AO3727" s="7"/>
      <c r="AP3727" s="7"/>
      <c r="AQ3727" s="7"/>
      <c r="AR3727" s="7"/>
      <c r="AS3727" s="7" t="s">
        <v>22</v>
      </c>
    </row>
    <row r="3728">
      <c r="A3728" s="7" t="s">
        <v>143</v>
      </c>
      <c r="B3728" s="7" t="s">
        <v>2446</v>
      </c>
      <c r="C3728" s="7">
        <f>1+1</f>
        <v>2</v>
      </c>
      <c r="D3728" s="7">
        <v>1.0</v>
      </c>
      <c r="E3728" s="9">
        <v>2.0</v>
      </c>
      <c r="F3728" s="7" t="s">
        <v>20</v>
      </c>
      <c r="H3728" s="9" t="s">
        <v>2984</v>
      </c>
      <c r="I3728" t="s">
        <v>2985</v>
      </c>
      <c r="AD3728" s="7" t="str">
        <f t="shared" si="1"/>
        <v/>
      </c>
      <c r="AE3728" s="7" t="str">
        <f t="shared" si="2"/>
        <v/>
      </c>
      <c r="AF3728">
        <f>IFERROR(__xludf.DUMMYFUNCTION("VALUE(REGEXREPLACE(G3728,""[^[:digit:]]"", """"))"),0.0)</f>
        <v>0</v>
      </c>
      <c r="AS3728" s="7" t="s">
        <v>27</v>
      </c>
    </row>
    <row r="3729">
      <c r="A3729" s="7" t="s">
        <v>432</v>
      </c>
      <c r="B3729" s="7" t="s">
        <v>120</v>
      </c>
      <c r="C3729" s="7">
        <f>5</f>
        <v>5</v>
      </c>
      <c r="D3729" s="7">
        <v>5.0</v>
      </c>
      <c r="E3729" s="9">
        <v>2.0</v>
      </c>
      <c r="F3729" s="7" t="s">
        <v>43</v>
      </c>
      <c r="G3729" s="7" t="s">
        <v>498</v>
      </c>
      <c r="H3729" s="9" t="s">
        <v>2979</v>
      </c>
      <c r="I3729" t="s">
        <v>3196</v>
      </c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  <c r="AA3729" s="7"/>
      <c r="AB3729" s="7"/>
      <c r="AC3729" s="7"/>
      <c r="AD3729" s="7" t="str">
        <f t="shared" si="1"/>
        <v>Built-up :</v>
      </c>
      <c r="AE3729" s="7" t="str">
        <f t="shared" si="2"/>
        <v> sq. ft.</v>
      </c>
      <c r="AF3729">
        <f>IFERROR(__xludf.DUMMYFUNCTION("VALUE(REGEXREPLACE(G3729,""[^[:digit:]]"", """"))"),4000.0)</f>
        <v>4000</v>
      </c>
      <c r="AG3729" s="7"/>
      <c r="AH3729" s="7"/>
      <c r="AI3729" s="7"/>
      <c r="AJ3729" s="7"/>
      <c r="AK3729" s="7"/>
      <c r="AL3729" s="7"/>
      <c r="AM3729" s="7"/>
      <c r="AN3729" s="7"/>
      <c r="AO3729" s="7"/>
      <c r="AP3729" s="7"/>
      <c r="AQ3729" s="7"/>
      <c r="AR3729" s="7"/>
      <c r="AS3729" s="7" t="s">
        <v>27</v>
      </c>
    </row>
    <row r="3730">
      <c r="A3730" s="7" t="s">
        <v>23</v>
      </c>
      <c r="B3730" s="7" t="s">
        <v>243</v>
      </c>
      <c r="C3730" s="7">
        <f t="shared" ref="C3730:C3731" si="509">3+1</f>
        <v>4</v>
      </c>
      <c r="D3730" s="7">
        <v>4.0</v>
      </c>
      <c r="E3730" s="7">
        <v>2.0</v>
      </c>
      <c r="F3730" s="7" t="s">
        <v>121</v>
      </c>
      <c r="G3730" s="7" t="s">
        <v>656</v>
      </c>
      <c r="H3730" s="9" t="s">
        <v>2979</v>
      </c>
      <c r="I3730" t="s">
        <v>3269</v>
      </c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  <c r="AA3730" s="7"/>
      <c r="AB3730" s="7"/>
      <c r="AC3730" s="7"/>
      <c r="AD3730" s="7" t="str">
        <f t="shared" si="1"/>
        <v>Built-up :</v>
      </c>
      <c r="AE3730" s="7" t="str">
        <f t="shared" si="2"/>
        <v> sq. ft.</v>
      </c>
      <c r="AF3730">
        <f>IFERROR(__xludf.DUMMYFUNCTION("VALUE(REGEXREPLACE(G3730,""[^[:digit:]]"", """"))"),1573.0)</f>
        <v>1573</v>
      </c>
      <c r="AG3730" s="7"/>
      <c r="AH3730" s="7"/>
      <c r="AI3730" s="7"/>
      <c r="AJ3730" s="7"/>
      <c r="AK3730" s="7"/>
      <c r="AL3730" s="7"/>
      <c r="AM3730" s="7"/>
      <c r="AN3730" s="7"/>
      <c r="AO3730" s="7"/>
      <c r="AP3730" s="7"/>
      <c r="AQ3730" s="7"/>
      <c r="AR3730" s="7"/>
      <c r="AS3730" s="7" t="s">
        <v>27</v>
      </c>
    </row>
    <row r="3731">
      <c r="A3731" s="7" t="s">
        <v>28</v>
      </c>
      <c r="B3731" s="7" t="s">
        <v>132</v>
      </c>
      <c r="C3731" s="7">
        <f t="shared" si="509"/>
        <v>4</v>
      </c>
      <c r="D3731" s="7">
        <v>4.0</v>
      </c>
      <c r="E3731" s="7">
        <v>2.0</v>
      </c>
      <c r="F3731" s="7" t="s">
        <v>30</v>
      </c>
      <c r="G3731" s="7" t="s">
        <v>1190</v>
      </c>
      <c r="H3731" s="9" t="s">
        <v>2979</v>
      </c>
      <c r="I3731" t="s">
        <v>3568</v>
      </c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  <c r="AA3731" s="7"/>
      <c r="AB3731" s="7"/>
      <c r="AC3731" s="7"/>
      <c r="AD3731" s="7" t="str">
        <f t="shared" si="1"/>
        <v>Built-up :</v>
      </c>
      <c r="AE3731" s="7" t="str">
        <f t="shared" si="2"/>
        <v> sq. ft.</v>
      </c>
      <c r="AF3731">
        <f>IFERROR(__xludf.DUMMYFUNCTION("VALUE(REGEXREPLACE(G3731,""[^[:digit:]]"", """"))"),1710.0)</f>
        <v>1710</v>
      </c>
      <c r="AG3731" s="7"/>
      <c r="AH3731" s="7"/>
      <c r="AI3731" s="7"/>
      <c r="AJ3731" s="7"/>
      <c r="AK3731" s="7"/>
      <c r="AL3731" s="7"/>
      <c r="AM3731" s="7"/>
      <c r="AN3731" s="7"/>
      <c r="AO3731" s="7"/>
      <c r="AP3731" s="7"/>
      <c r="AQ3731" s="7"/>
      <c r="AR3731" s="7"/>
      <c r="AS3731" s="7" t="s">
        <v>27</v>
      </c>
    </row>
    <row r="3732">
      <c r="A3732" s="7" t="s">
        <v>72</v>
      </c>
      <c r="B3732" s="7" t="s">
        <v>63</v>
      </c>
      <c r="C3732" s="7">
        <f>5+1</f>
        <v>6</v>
      </c>
      <c r="D3732" s="7">
        <v>6.0</v>
      </c>
      <c r="E3732" s="9">
        <v>2.0</v>
      </c>
      <c r="F3732" s="7" t="s">
        <v>562</v>
      </c>
      <c r="G3732" s="7" t="s">
        <v>2447</v>
      </c>
      <c r="H3732" s="9" t="s">
        <v>2979</v>
      </c>
      <c r="I3732" t="s">
        <v>4323</v>
      </c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  <c r="AA3732" s="7"/>
      <c r="AB3732" s="7"/>
      <c r="AC3732" s="7"/>
      <c r="AD3732" s="7" t="str">
        <f t="shared" si="1"/>
        <v>Built-up :</v>
      </c>
      <c r="AE3732" s="7" t="str">
        <f t="shared" si="2"/>
        <v> sq. ft.</v>
      </c>
      <c r="AF3732">
        <f>IFERROR(__xludf.DUMMYFUNCTION("VALUE(REGEXREPLACE(G3732,""[^[:digit:]]"", """"))"),3735.0)</f>
        <v>3735</v>
      </c>
      <c r="AG3732" s="7"/>
      <c r="AH3732" s="7"/>
      <c r="AI3732" s="7"/>
      <c r="AJ3732" s="7"/>
      <c r="AK3732" s="7"/>
      <c r="AL3732" s="7"/>
      <c r="AM3732" s="7"/>
      <c r="AN3732" s="7"/>
      <c r="AO3732" s="7"/>
      <c r="AP3732" s="7"/>
      <c r="AQ3732" s="7"/>
      <c r="AR3732" s="7"/>
      <c r="AS3732" s="7" t="s">
        <v>27</v>
      </c>
    </row>
    <row r="3733">
      <c r="A3733" s="7" t="s">
        <v>33</v>
      </c>
      <c r="B3733" s="7" t="s">
        <v>620</v>
      </c>
      <c r="C3733" s="7">
        <f t="shared" ref="C3733:C3734" si="510">3+1</f>
        <v>4</v>
      </c>
      <c r="D3733" s="7">
        <v>2.0</v>
      </c>
      <c r="E3733" s="9">
        <v>2.0</v>
      </c>
      <c r="F3733" s="7" t="s">
        <v>83</v>
      </c>
      <c r="G3733" s="7" t="s">
        <v>21</v>
      </c>
      <c r="H3733" s="9" t="s">
        <v>2979</v>
      </c>
      <c r="I3733" t="s">
        <v>2980</v>
      </c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  <c r="AA3733" s="7"/>
      <c r="AB3733" s="7"/>
      <c r="AC3733" s="7"/>
      <c r="AD3733" s="7" t="str">
        <f t="shared" si="1"/>
        <v>Built-up :</v>
      </c>
      <c r="AE3733" s="7" t="str">
        <f t="shared" si="2"/>
        <v> sq. ft.</v>
      </c>
      <c r="AF3733">
        <f>IFERROR(__xludf.DUMMYFUNCTION("VALUE(REGEXREPLACE(G3733,""[^[:digit:]]"", """"))"),1335.0)</f>
        <v>1335</v>
      </c>
      <c r="AG3733" s="7"/>
      <c r="AH3733" s="7"/>
      <c r="AI3733" s="7"/>
      <c r="AJ3733" s="7"/>
      <c r="AK3733" s="7"/>
      <c r="AL3733" s="7"/>
      <c r="AM3733" s="7"/>
      <c r="AN3733" s="7"/>
      <c r="AO3733" s="7"/>
      <c r="AP3733" s="7"/>
      <c r="AQ3733" s="7"/>
      <c r="AR3733" s="7"/>
      <c r="AS3733" s="7" t="s">
        <v>27</v>
      </c>
    </row>
    <row r="3734">
      <c r="A3734" s="7" t="s">
        <v>33</v>
      </c>
      <c r="B3734" s="7" t="s">
        <v>329</v>
      </c>
      <c r="C3734" s="7">
        <f t="shared" si="510"/>
        <v>4</v>
      </c>
      <c r="D3734" s="7">
        <v>3.0</v>
      </c>
      <c r="E3734" s="7">
        <v>2.0</v>
      </c>
      <c r="F3734" s="7" t="s">
        <v>83</v>
      </c>
      <c r="G3734" s="7" t="s">
        <v>1324</v>
      </c>
      <c r="H3734" s="9" t="s">
        <v>2979</v>
      </c>
      <c r="I3734" t="s">
        <v>3648</v>
      </c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  <c r="AA3734" s="7"/>
      <c r="AB3734" s="7"/>
      <c r="AC3734" s="7"/>
      <c r="AD3734" s="7" t="str">
        <f t="shared" si="1"/>
        <v>Built-up :</v>
      </c>
      <c r="AE3734" s="7" t="str">
        <f t="shared" si="2"/>
        <v> sq. ft.</v>
      </c>
      <c r="AF3734">
        <f>IFERROR(__xludf.DUMMYFUNCTION("VALUE(REGEXREPLACE(G3734,""[^[:digit:]]"", """"))"),1508.0)</f>
        <v>1508</v>
      </c>
      <c r="AG3734" s="7"/>
      <c r="AH3734" s="7"/>
      <c r="AI3734" s="7"/>
      <c r="AJ3734" s="7"/>
      <c r="AK3734" s="7"/>
      <c r="AL3734" s="7"/>
      <c r="AM3734" s="7"/>
      <c r="AN3734" s="7"/>
      <c r="AO3734" s="7"/>
      <c r="AP3734" s="7"/>
      <c r="AQ3734" s="7"/>
      <c r="AR3734" s="7"/>
      <c r="AS3734" s="7" t="s">
        <v>27</v>
      </c>
    </row>
    <row r="3735">
      <c r="A3735" s="7" t="s">
        <v>17</v>
      </c>
      <c r="B3735" s="7" t="s">
        <v>38</v>
      </c>
      <c r="C3735" s="7">
        <f>5+1</f>
        <v>6</v>
      </c>
      <c r="D3735" s="7">
        <v>6.0</v>
      </c>
      <c r="E3735" s="9">
        <v>2.0</v>
      </c>
      <c r="F3735" s="7" t="s">
        <v>30</v>
      </c>
      <c r="G3735" s="7" t="s">
        <v>2448</v>
      </c>
      <c r="H3735" s="9" t="s">
        <v>2979</v>
      </c>
      <c r="I3735" t="s">
        <v>4324</v>
      </c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  <c r="AA3735" s="7"/>
      <c r="AB3735" s="7"/>
      <c r="AC3735" s="7"/>
      <c r="AD3735" s="7" t="str">
        <f t="shared" si="1"/>
        <v>Built-up :</v>
      </c>
      <c r="AE3735" s="7" t="str">
        <f t="shared" si="2"/>
        <v> sq. ft.</v>
      </c>
      <c r="AF3735">
        <f>IFERROR(__xludf.DUMMYFUNCTION("VALUE(REGEXREPLACE(G3735,""[^[:digit:]]"", """"))"),4427.0)</f>
        <v>4427</v>
      </c>
      <c r="AG3735" s="7"/>
      <c r="AH3735" s="7"/>
      <c r="AI3735" s="7"/>
      <c r="AJ3735" s="7"/>
      <c r="AK3735" s="7"/>
      <c r="AL3735" s="7"/>
      <c r="AM3735" s="7"/>
      <c r="AN3735" s="7"/>
      <c r="AO3735" s="7"/>
      <c r="AP3735" s="7"/>
      <c r="AQ3735" s="7"/>
      <c r="AR3735" s="7"/>
      <c r="AS3735" s="7" t="s">
        <v>27</v>
      </c>
    </row>
    <row r="3736">
      <c r="A3736" s="7" t="s">
        <v>23</v>
      </c>
      <c r="B3736" s="7" t="s">
        <v>842</v>
      </c>
      <c r="C3736" s="7">
        <f>5+2</f>
        <v>7</v>
      </c>
      <c r="D3736" s="7">
        <v>7.0</v>
      </c>
      <c r="E3736" s="7">
        <v>8.0</v>
      </c>
      <c r="F3736" s="7" t="s">
        <v>25</v>
      </c>
      <c r="G3736" s="7" t="s">
        <v>219</v>
      </c>
      <c r="H3736" s="9" t="s">
        <v>2981</v>
      </c>
      <c r="I3736" t="s">
        <v>3059</v>
      </c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  <c r="AA3736" s="7"/>
      <c r="AB3736" s="7"/>
      <c r="AC3736" s="7"/>
      <c r="AD3736" s="7" t="str">
        <f t="shared" si="1"/>
        <v>Land area </v>
      </c>
      <c r="AE3736" s="7" t="str">
        <f t="shared" si="2"/>
        <v> sq. ft.</v>
      </c>
      <c r="AF3736">
        <f>IFERROR(__xludf.DUMMYFUNCTION("VALUE(REGEXREPLACE(G3736,""[^[:digit:]]"", """"))"),7000.0)</f>
        <v>7000</v>
      </c>
      <c r="AG3736" s="7"/>
      <c r="AH3736" s="7"/>
      <c r="AI3736" s="7"/>
      <c r="AJ3736" s="7"/>
      <c r="AK3736" s="7"/>
      <c r="AL3736" s="7"/>
      <c r="AM3736" s="7"/>
      <c r="AN3736" s="7"/>
      <c r="AO3736" s="7"/>
      <c r="AP3736" s="7"/>
      <c r="AQ3736" s="7"/>
      <c r="AR3736" s="7"/>
      <c r="AS3736" s="7" t="s">
        <v>27</v>
      </c>
    </row>
    <row r="3737">
      <c r="A3737" s="7" t="s">
        <v>89</v>
      </c>
      <c r="B3737" s="7" t="s">
        <v>221</v>
      </c>
      <c r="C3737" s="7">
        <f>2+1</f>
        <v>3</v>
      </c>
      <c r="D3737" s="7">
        <v>2.0</v>
      </c>
      <c r="E3737" s="7">
        <v>2.0</v>
      </c>
      <c r="F3737" s="7" t="s">
        <v>20</v>
      </c>
      <c r="G3737" s="7" t="s">
        <v>764</v>
      </c>
      <c r="H3737" s="9" t="s">
        <v>2979</v>
      </c>
      <c r="I3737" t="s">
        <v>3325</v>
      </c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  <c r="AA3737" s="7"/>
      <c r="AB3737" s="7"/>
      <c r="AC3737" s="7"/>
      <c r="AD3737" s="7" t="str">
        <f t="shared" si="1"/>
        <v>Built-up :</v>
      </c>
      <c r="AE3737" s="7" t="str">
        <f t="shared" si="2"/>
        <v> sq. ft.</v>
      </c>
      <c r="AF3737">
        <f>IFERROR(__xludf.DUMMYFUNCTION("VALUE(REGEXREPLACE(G3737,""[^[:digit:]]"", """"))"),1025.0)</f>
        <v>1025</v>
      </c>
      <c r="AG3737" s="7"/>
      <c r="AH3737" s="7"/>
      <c r="AI3737" s="7"/>
      <c r="AJ3737" s="7"/>
      <c r="AK3737" s="7"/>
      <c r="AL3737" s="7"/>
      <c r="AM3737" s="7"/>
      <c r="AN3737" s="7"/>
      <c r="AO3737" s="7"/>
      <c r="AP3737" s="7"/>
      <c r="AQ3737" s="7"/>
      <c r="AR3737" s="7"/>
      <c r="AS3737" s="7" t="s">
        <v>27</v>
      </c>
    </row>
    <row r="3738">
      <c r="A3738" s="7" t="s">
        <v>262</v>
      </c>
      <c r="B3738" s="7" t="s">
        <v>2449</v>
      </c>
      <c r="C3738" s="7">
        <f>6+1</f>
        <v>7</v>
      </c>
      <c r="D3738" s="7">
        <v>6.0</v>
      </c>
      <c r="E3738" s="7">
        <v>4.0</v>
      </c>
      <c r="F3738" s="7" t="s">
        <v>25</v>
      </c>
      <c r="G3738" s="7" t="s">
        <v>2450</v>
      </c>
      <c r="H3738" s="9" t="s">
        <v>2981</v>
      </c>
      <c r="I3738" t="s">
        <v>4325</v>
      </c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  <c r="AA3738" s="7"/>
      <c r="AB3738" s="7"/>
      <c r="AC3738" s="7"/>
      <c r="AD3738" s="7" t="str">
        <f t="shared" si="1"/>
        <v>Land area </v>
      </c>
      <c r="AE3738" s="7" t="str">
        <f t="shared" si="2"/>
        <v> sq. ft.</v>
      </c>
      <c r="AF3738">
        <f>IFERROR(__xludf.DUMMYFUNCTION("VALUE(REGEXREPLACE(G3738,""[^[:digit:]]"", """"))"),9709.0)</f>
        <v>9709</v>
      </c>
      <c r="AG3738" s="7"/>
      <c r="AH3738" s="7"/>
      <c r="AI3738" s="7"/>
      <c r="AJ3738" s="7"/>
      <c r="AK3738" s="7"/>
      <c r="AL3738" s="7"/>
      <c r="AM3738" s="7"/>
      <c r="AN3738" s="7"/>
      <c r="AO3738" s="7"/>
      <c r="AP3738" s="7"/>
      <c r="AQ3738" s="7"/>
      <c r="AR3738" s="7"/>
      <c r="AS3738" s="7" t="s">
        <v>27</v>
      </c>
    </row>
    <row r="3739">
      <c r="A3739" s="7" t="s">
        <v>32</v>
      </c>
      <c r="B3739" s="7" t="s">
        <v>2285</v>
      </c>
      <c r="C3739" s="7">
        <f>3+1</f>
        <v>4</v>
      </c>
      <c r="D3739" s="7">
        <v>3.0</v>
      </c>
      <c r="E3739" s="7">
        <v>2.0</v>
      </c>
      <c r="F3739" s="7" t="s">
        <v>20</v>
      </c>
      <c r="G3739" s="7" t="s">
        <v>1384</v>
      </c>
      <c r="H3739" s="9" t="s">
        <v>2979</v>
      </c>
      <c r="I3739" t="s">
        <v>3683</v>
      </c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  <c r="AA3739" s="7"/>
      <c r="AB3739" s="7"/>
      <c r="AC3739" s="7"/>
      <c r="AD3739" s="7" t="str">
        <f t="shared" si="1"/>
        <v>Built-up :</v>
      </c>
      <c r="AE3739" s="7" t="str">
        <f t="shared" si="2"/>
        <v> sq. ft.</v>
      </c>
      <c r="AF3739">
        <f>IFERROR(__xludf.DUMMYFUNCTION("VALUE(REGEXREPLACE(G3739,""[^[:digit:]]"", """"))"),1054.0)</f>
        <v>1054</v>
      </c>
      <c r="AG3739" s="7"/>
      <c r="AH3739" s="7"/>
      <c r="AI3739" s="7"/>
      <c r="AJ3739" s="7"/>
      <c r="AK3739" s="7"/>
      <c r="AL3739" s="7"/>
      <c r="AM3739" s="7"/>
      <c r="AN3739" s="7"/>
      <c r="AO3739" s="7"/>
      <c r="AP3739" s="7"/>
      <c r="AQ3739" s="7"/>
      <c r="AR3739" s="7"/>
      <c r="AS3739" s="7" t="s">
        <v>103</v>
      </c>
    </row>
    <row r="3740">
      <c r="A3740" s="7" t="s">
        <v>148</v>
      </c>
      <c r="B3740" s="7" t="s">
        <v>712</v>
      </c>
      <c r="C3740" s="7">
        <f t="shared" ref="C3740:C3741" si="511">3</f>
        <v>3</v>
      </c>
      <c r="D3740" s="7">
        <v>3.0</v>
      </c>
      <c r="E3740" s="7">
        <v>2.0</v>
      </c>
      <c r="F3740" s="7" t="s">
        <v>470</v>
      </c>
      <c r="G3740" s="7" t="s">
        <v>1999</v>
      </c>
      <c r="H3740" s="9" t="s">
        <v>2979</v>
      </c>
      <c r="I3740" t="s">
        <v>4045</v>
      </c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  <c r="AA3740" s="7"/>
      <c r="AB3740" s="7"/>
      <c r="AC3740" s="7"/>
      <c r="AD3740" s="7" t="str">
        <f t="shared" si="1"/>
        <v>Built-up :</v>
      </c>
      <c r="AE3740" s="7" t="str">
        <f t="shared" si="2"/>
        <v> sq. ft.</v>
      </c>
      <c r="AF3740">
        <f>IFERROR(__xludf.DUMMYFUNCTION("VALUE(REGEXREPLACE(G3740,""[^[:digit:]]"", """"))"),2800.0)</f>
        <v>2800</v>
      </c>
      <c r="AG3740" s="7"/>
      <c r="AH3740" s="7"/>
      <c r="AI3740" s="7"/>
      <c r="AJ3740" s="7"/>
      <c r="AK3740" s="7"/>
      <c r="AL3740" s="7"/>
      <c r="AM3740" s="7"/>
      <c r="AN3740" s="7"/>
      <c r="AO3740" s="7"/>
      <c r="AP3740" s="7"/>
      <c r="AQ3740" s="7"/>
      <c r="AR3740" s="7"/>
      <c r="AS3740" s="7" t="s">
        <v>27</v>
      </c>
    </row>
    <row r="3741">
      <c r="A3741" s="7" t="s">
        <v>28</v>
      </c>
      <c r="B3741" s="7" t="s">
        <v>1266</v>
      </c>
      <c r="C3741" s="7">
        <f t="shared" si="511"/>
        <v>3</v>
      </c>
      <c r="D3741" s="7">
        <v>3.0</v>
      </c>
      <c r="E3741" s="7">
        <v>2.0</v>
      </c>
      <c r="F3741" s="7" t="s">
        <v>93</v>
      </c>
      <c r="G3741" s="7" t="s">
        <v>490</v>
      </c>
      <c r="H3741" s="9" t="s">
        <v>2979</v>
      </c>
      <c r="I3741" t="s">
        <v>3189</v>
      </c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  <c r="AA3741" s="7"/>
      <c r="AB3741" s="7"/>
      <c r="AC3741" s="7"/>
      <c r="AD3741" s="7" t="str">
        <f t="shared" si="1"/>
        <v>Built-up :</v>
      </c>
      <c r="AE3741" s="7" t="str">
        <f t="shared" si="2"/>
        <v> sq. ft.</v>
      </c>
      <c r="AF3741">
        <f>IFERROR(__xludf.DUMMYFUNCTION("VALUE(REGEXREPLACE(G3741,""[^[:digit:]]"", """"))"),1378.0)</f>
        <v>1378</v>
      </c>
      <c r="AG3741" s="7"/>
      <c r="AH3741" s="7"/>
      <c r="AI3741" s="7"/>
      <c r="AJ3741" s="7"/>
      <c r="AK3741" s="7"/>
      <c r="AL3741" s="7"/>
      <c r="AM3741" s="7"/>
      <c r="AN3741" s="7"/>
      <c r="AO3741" s="7"/>
      <c r="AP3741" s="7"/>
      <c r="AQ3741" s="7"/>
      <c r="AR3741" s="7"/>
      <c r="AS3741" s="7" t="s">
        <v>22</v>
      </c>
    </row>
    <row r="3742">
      <c r="A3742" s="7" t="s">
        <v>28</v>
      </c>
      <c r="B3742" s="7" t="s">
        <v>953</v>
      </c>
      <c r="C3742" s="7">
        <f>3+1</f>
        <v>4</v>
      </c>
      <c r="D3742" s="7">
        <v>2.0</v>
      </c>
      <c r="E3742" s="7">
        <v>2.0</v>
      </c>
      <c r="F3742" s="7" t="s">
        <v>93</v>
      </c>
      <c r="G3742" s="7" t="s">
        <v>1153</v>
      </c>
      <c r="H3742" s="9" t="s">
        <v>2979</v>
      </c>
      <c r="I3742" t="s">
        <v>3542</v>
      </c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  <c r="AA3742" s="7"/>
      <c r="AB3742" s="7"/>
      <c r="AC3742" s="7"/>
      <c r="AD3742" s="7" t="str">
        <f t="shared" si="1"/>
        <v>Built-up :</v>
      </c>
      <c r="AE3742" s="7" t="str">
        <f t="shared" si="2"/>
        <v> sq. ft.</v>
      </c>
      <c r="AF3742">
        <f>IFERROR(__xludf.DUMMYFUNCTION("VALUE(REGEXREPLACE(G3742,""[^[:digit:]]"", """"))"),1356.0)</f>
        <v>1356</v>
      </c>
      <c r="AG3742" s="7"/>
      <c r="AH3742" s="7"/>
      <c r="AI3742" s="7"/>
      <c r="AJ3742" s="7"/>
      <c r="AK3742" s="7"/>
      <c r="AL3742" s="7"/>
      <c r="AM3742" s="7"/>
      <c r="AN3742" s="7"/>
      <c r="AO3742" s="7"/>
      <c r="AP3742" s="7"/>
      <c r="AQ3742" s="7"/>
      <c r="AR3742" s="7"/>
      <c r="AS3742" s="7" t="s">
        <v>27</v>
      </c>
    </row>
    <row r="3743">
      <c r="A3743" s="7" t="s">
        <v>23</v>
      </c>
      <c r="B3743" s="7" t="s">
        <v>2451</v>
      </c>
      <c r="C3743" s="7">
        <f>5+2</f>
        <v>7</v>
      </c>
      <c r="D3743" s="7">
        <v>7.0</v>
      </c>
      <c r="E3743" s="7">
        <v>4.0</v>
      </c>
      <c r="F3743" s="7" t="s">
        <v>61</v>
      </c>
      <c r="G3743" s="7" t="s">
        <v>1738</v>
      </c>
      <c r="H3743" s="9" t="s">
        <v>2981</v>
      </c>
      <c r="I3743" t="s">
        <v>3893</v>
      </c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  <c r="AA3743" s="7"/>
      <c r="AB3743" s="7"/>
      <c r="AC3743" s="7"/>
      <c r="AD3743" s="7" t="str">
        <f t="shared" si="1"/>
        <v>Land area </v>
      </c>
      <c r="AE3743" s="7" t="str">
        <f t="shared" si="2"/>
        <v> sq. ft.</v>
      </c>
      <c r="AF3743">
        <f>IFERROR(__xludf.DUMMYFUNCTION("VALUE(REGEXREPLACE(G3743,""[^[:digit:]]"", """"))"),6100.0)</f>
        <v>6100</v>
      </c>
      <c r="AG3743" s="7"/>
      <c r="AH3743" s="7"/>
      <c r="AI3743" s="7"/>
      <c r="AJ3743" s="7"/>
      <c r="AK3743" s="7"/>
      <c r="AL3743" s="7"/>
      <c r="AM3743" s="7"/>
      <c r="AN3743" s="7"/>
      <c r="AO3743" s="7"/>
      <c r="AP3743" s="7"/>
      <c r="AQ3743" s="7"/>
      <c r="AR3743" s="7"/>
      <c r="AS3743" s="7" t="s">
        <v>27</v>
      </c>
    </row>
    <row r="3744">
      <c r="A3744" s="7" t="s">
        <v>23</v>
      </c>
      <c r="B3744" s="7" t="s">
        <v>151</v>
      </c>
      <c r="C3744" s="7">
        <f>4+2</f>
        <v>6</v>
      </c>
      <c r="D3744" s="7">
        <v>5.0</v>
      </c>
      <c r="E3744" s="7">
        <v>4.0</v>
      </c>
      <c r="F3744" s="7" t="s">
        <v>61</v>
      </c>
      <c r="G3744" s="7" t="s">
        <v>1314</v>
      </c>
      <c r="H3744" s="9" t="s">
        <v>2981</v>
      </c>
      <c r="I3744" t="s">
        <v>3640</v>
      </c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  <c r="AA3744" s="7"/>
      <c r="AB3744" s="7"/>
      <c r="AC3744" s="7"/>
      <c r="AD3744" s="7" t="str">
        <f t="shared" si="1"/>
        <v>Land area </v>
      </c>
      <c r="AE3744" s="7" t="str">
        <f t="shared" si="2"/>
        <v> sq. ft.</v>
      </c>
      <c r="AF3744">
        <f>IFERROR(__xludf.DUMMYFUNCTION("VALUE(REGEXREPLACE(G3744,""[^[:digit:]]"", """"))"),4200.0)</f>
        <v>4200</v>
      </c>
      <c r="AG3744" s="7"/>
      <c r="AH3744" s="7"/>
      <c r="AI3744" s="7"/>
      <c r="AJ3744" s="7"/>
      <c r="AK3744" s="7"/>
      <c r="AL3744" s="7"/>
      <c r="AM3744" s="7"/>
      <c r="AN3744" s="7"/>
      <c r="AO3744" s="7"/>
      <c r="AP3744" s="7"/>
      <c r="AQ3744" s="7"/>
      <c r="AR3744" s="7"/>
      <c r="AS3744" s="7" t="s">
        <v>27</v>
      </c>
    </row>
    <row r="3745">
      <c r="A3745" s="7" t="s">
        <v>1661</v>
      </c>
      <c r="B3745" s="7" t="s">
        <v>2452</v>
      </c>
      <c r="C3745" s="7">
        <f>7+1</f>
        <v>8</v>
      </c>
      <c r="D3745" s="7">
        <v>6.0</v>
      </c>
      <c r="E3745" s="9">
        <v>2.0</v>
      </c>
      <c r="F3745" s="7" t="s">
        <v>25</v>
      </c>
      <c r="G3745" s="7" t="s">
        <v>2453</v>
      </c>
      <c r="H3745" s="9" t="s">
        <v>2981</v>
      </c>
      <c r="I3745" t="s">
        <v>4326</v>
      </c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  <c r="AA3745" s="7"/>
      <c r="AB3745" s="7"/>
      <c r="AC3745" s="7"/>
      <c r="AD3745" s="7" t="str">
        <f t="shared" si="1"/>
        <v>Land area </v>
      </c>
      <c r="AE3745" s="7" t="str">
        <f t="shared" si="2"/>
        <v> sq. ft.</v>
      </c>
      <c r="AF3745">
        <f>IFERROR(__xludf.DUMMYFUNCTION("VALUE(REGEXREPLACE(G3745,""[^[:digit:]]"", """"))"),12240.0)</f>
        <v>12240</v>
      </c>
      <c r="AG3745" s="7"/>
      <c r="AH3745" s="7"/>
      <c r="AI3745" s="7"/>
      <c r="AJ3745" s="7"/>
      <c r="AK3745" s="7"/>
      <c r="AL3745" s="7"/>
      <c r="AM3745" s="7"/>
      <c r="AN3745" s="7"/>
      <c r="AO3745" s="7"/>
      <c r="AP3745" s="7"/>
      <c r="AQ3745" s="7"/>
      <c r="AR3745" s="7"/>
    </row>
    <row r="3746">
      <c r="A3746" s="7" t="s">
        <v>72</v>
      </c>
      <c r="B3746" s="7" t="s">
        <v>329</v>
      </c>
      <c r="C3746" s="7">
        <f>3</f>
        <v>3</v>
      </c>
      <c r="D3746" s="7">
        <v>2.0</v>
      </c>
      <c r="E3746" s="7">
        <v>1.0</v>
      </c>
      <c r="F3746" s="7" t="s">
        <v>30</v>
      </c>
      <c r="G3746" s="7" t="s">
        <v>135</v>
      </c>
      <c r="H3746" s="9" t="s">
        <v>2979</v>
      </c>
      <c r="I3746" t="s">
        <v>3023</v>
      </c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  <c r="AA3746" s="7"/>
      <c r="AB3746" s="7"/>
      <c r="AC3746" s="7"/>
      <c r="AD3746" s="7" t="str">
        <f t="shared" si="1"/>
        <v>Built-up :</v>
      </c>
      <c r="AE3746" s="7" t="str">
        <f t="shared" si="2"/>
        <v> sq. ft.</v>
      </c>
      <c r="AF3746">
        <f>IFERROR(__xludf.DUMMYFUNCTION("VALUE(REGEXREPLACE(G3746,""[^[:digit:]]"", """"))"),1200.0)</f>
        <v>1200</v>
      </c>
      <c r="AG3746" s="7"/>
      <c r="AH3746" s="7"/>
      <c r="AI3746" s="7"/>
      <c r="AJ3746" s="7"/>
      <c r="AK3746" s="7"/>
      <c r="AL3746" s="7"/>
      <c r="AM3746" s="7"/>
      <c r="AN3746" s="7"/>
      <c r="AO3746" s="7"/>
      <c r="AP3746" s="7"/>
      <c r="AQ3746" s="7"/>
      <c r="AR3746" s="7"/>
      <c r="AS3746" s="7" t="s">
        <v>27</v>
      </c>
    </row>
    <row r="3747">
      <c r="A3747" s="7" t="s">
        <v>65</v>
      </c>
      <c r="B3747" s="7" t="s">
        <v>1240</v>
      </c>
      <c r="E3747" s="9">
        <v>2.0</v>
      </c>
      <c r="F3747" s="7" t="s">
        <v>667</v>
      </c>
      <c r="G3747" s="7" t="s">
        <v>2454</v>
      </c>
      <c r="H3747" s="9" t="s">
        <v>2981</v>
      </c>
      <c r="I3747" t="s">
        <v>4327</v>
      </c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  <c r="AA3747" s="7"/>
      <c r="AB3747" s="7"/>
      <c r="AC3747" s="7"/>
      <c r="AD3747" s="7" t="str">
        <f t="shared" si="1"/>
        <v>Land area </v>
      </c>
      <c r="AE3747" s="7" t="str">
        <f t="shared" si="2"/>
        <v> sq. ft.</v>
      </c>
      <c r="AF3747">
        <f>IFERROR(__xludf.DUMMYFUNCTION("VALUE(REGEXREPLACE(G3747,""[^[:digit:]]"", """"))"),21582.0)</f>
        <v>21582</v>
      </c>
      <c r="AG3747" s="7"/>
      <c r="AH3747" s="7"/>
      <c r="AI3747" s="7"/>
      <c r="AJ3747" s="7"/>
      <c r="AK3747" s="7"/>
      <c r="AL3747" s="7"/>
      <c r="AM3747" s="7"/>
      <c r="AN3747" s="7"/>
      <c r="AO3747" s="7"/>
      <c r="AP3747" s="7"/>
      <c r="AQ3747" s="7"/>
      <c r="AR3747" s="7"/>
    </row>
    <row r="3748">
      <c r="A3748" s="7" t="s">
        <v>428</v>
      </c>
      <c r="B3748" s="7" t="s">
        <v>221</v>
      </c>
      <c r="C3748" s="7">
        <f>2+1</f>
        <v>3</v>
      </c>
      <c r="D3748" s="7">
        <v>2.0</v>
      </c>
      <c r="E3748" s="9">
        <v>2.0</v>
      </c>
      <c r="F3748" s="7" t="s">
        <v>20</v>
      </c>
      <c r="G3748" s="7" t="s">
        <v>1759</v>
      </c>
      <c r="H3748" s="9" t="s">
        <v>2979</v>
      </c>
      <c r="I3748" t="s">
        <v>3908</v>
      </c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  <c r="AA3748" s="7"/>
      <c r="AB3748" s="7"/>
      <c r="AC3748" s="7"/>
      <c r="AD3748" s="7" t="str">
        <f t="shared" si="1"/>
        <v>Built-up :</v>
      </c>
      <c r="AE3748" s="7" t="str">
        <f t="shared" si="2"/>
        <v> sq. ft.</v>
      </c>
      <c r="AF3748">
        <f>IFERROR(__xludf.DUMMYFUNCTION("VALUE(REGEXREPLACE(G3748,""[^[:digit:]]"", """"))"),840.0)</f>
        <v>840</v>
      </c>
      <c r="AG3748" s="7"/>
      <c r="AH3748" s="7"/>
      <c r="AI3748" s="7"/>
      <c r="AJ3748" s="7"/>
      <c r="AK3748" s="7"/>
      <c r="AL3748" s="7"/>
      <c r="AM3748" s="7"/>
      <c r="AN3748" s="7"/>
      <c r="AO3748" s="7"/>
      <c r="AP3748" s="7"/>
      <c r="AQ3748" s="7"/>
      <c r="AR3748" s="7"/>
      <c r="AS3748" s="7" t="s">
        <v>27</v>
      </c>
    </row>
    <row r="3749">
      <c r="A3749" s="7" t="s">
        <v>177</v>
      </c>
      <c r="B3749" s="7" t="s">
        <v>2455</v>
      </c>
      <c r="C3749" s="7">
        <f>5+2</f>
        <v>7</v>
      </c>
      <c r="D3749" s="7">
        <v>6.0</v>
      </c>
      <c r="E3749" s="7">
        <v>5.0</v>
      </c>
      <c r="F3749" s="7" t="s">
        <v>25</v>
      </c>
      <c r="G3749" s="7" t="s">
        <v>696</v>
      </c>
      <c r="H3749" s="9" t="s">
        <v>2981</v>
      </c>
      <c r="I3749" t="s">
        <v>3288</v>
      </c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  <c r="AA3749" s="7"/>
      <c r="AB3749" s="7"/>
      <c r="AC3749" s="7"/>
      <c r="AD3749" s="7" t="str">
        <f t="shared" si="1"/>
        <v>Land area </v>
      </c>
      <c r="AE3749" s="7" t="str">
        <f t="shared" si="2"/>
        <v> sq. ft.</v>
      </c>
      <c r="AF3749">
        <f>IFERROR(__xludf.DUMMYFUNCTION("VALUE(REGEXREPLACE(G3749,""[^[:digit:]]"", """"))"),8000.0)</f>
        <v>8000</v>
      </c>
      <c r="AG3749" s="7"/>
      <c r="AH3749" s="7"/>
      <c r="AI3749" s="7"/>
      <c r="AJ3749" s="7"/>
      <c r="AK3749" s="7"/>
      <c r="AL3749" s="7"/>
      <c r="AM3749" s="7"/>
      <c r="AN3749" s="7"/>
      <c r="AO3749" s="7"/>
      <c r="AP3749" s="7"/>
      <c r="AQ3749" s="7"/>
      <c r="AR3749" s="7"/>
    </row>
    <row r="3750">
      <c r="A3750" s="7" t="s">
        <v>188</v>
      </c>
      <c r="B3750" s="7" t="s">
        <v>499</v>
      </c>
      <c r="C3750" s="7">
        <f>3+2</f>
        <v>5</v>
      </c>
      <c r="D3750" s="7">
        <v>5.0</v>
      </c>
      <c r="E3750" s="9">
        <v>2.0</v>
      </c>
      <c r="F3750" s="7" t="s">
        <v>121</v>
      </c>
      <c r="G3750" s="7" t="s">
        <v>2456</v>
      </c>
      <c r="H3750" s="9" t="s">
        <v>2979</v>
      </c>
      <c r="I3750" t="s">
        <v>4328</v>
      </c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  <c r="AA3750" s="7"/>
      <c r="AB3750" s="7"/>
      <c r="AC3750" s="7"/>
      <c r="AD3750" s="7" t="str">
        <f t="shared" si="1"/>
        <v>Built-up :</v>
      </c>
      <c r="AE3750" s="7" t="str">
        <f t="shared" si="2"/>
        <v> sq. ft.</v>
      </c>
      <c r="AF3750">
        <f>IFERROR(__xludf.DUMMYFUNCTION("VALUE(REGEXREPLACE(G3750,""[^[:digit:]]"", """"))"),2645.0)</f>
        <v>2645</v>
      </c>
      <c r="AG3750" s="7"/>
      <c r="AH3750" s="7"/>
      <c r="AI3750" s="7"/>
      <c r="AJ3750" s="7"/>
      <c r="AK3750" s="7"/>
      <c r="AL3750" s="7"/>
      <c r="AM3750" s="7"/>
      <c r="AN3750" s="7"/>
      <c r="AO3750" s="7"/>
      <c r="AP3750" s="7"/>
      <c r="AQ3750" s="7"/>
      <c r="AR3750" s="7"/>
      <c r="AS3750" s="7" t="s">
        <v>27</v>
      </c>
    </row>
    <row r="3751">
      <c r="A3751" s="7" t="s">
        <v>89</v>
      </c>
      <c r="B3751" s="7" t="s">
        <v>761</v>
      </c>
      <c r="C3751" s="7">
        <f>3</f>
        <v>3</v>
      </c>
      <c r="D3751" s="7">
        <v>2.0</v>
      </c>
      <c r="E3751" s="7">
        <v>1.0</v>
      </c>
      <c r="F3751" s="7" t="s">
        <v>93</v>
      </c>
      <c r="G3751" s="7" t="s">
        <v>1271</v>
      </c>
      <c r="H3751" s="9" t="s">
        <v>2979</v>
      </c>
      <c r="I3751" t="s">
        <v>3614</v>
      </c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  <c r="AA3751" s="7"/>
      <c r="AB3751" s="7"/>
      <c r="AC3751" s="7"/>
      <c r="AD3751" s="7" t="str">
        <f t="shared" si="1"/>
        <v>Built-up :</v>
      </c>
      <c r="AE3751" s="7" t="str">
        <f t="shared" si="2"/>
        <v> sq. ft.</v>
      </c>
      <c r="AF3751">
        <f>IFERROR(__xludf.DUMMYFUNCTION("VALUE(REGEXREPLACE(G3751,""[^[:digit:]]"", """"))"),1074.0)</f>
        <v>1074</v>
      </c>
      <c r="AG3751" s="7"/>
      <c r="AH3751" s="7"/>
      <c r="AI3751" s="7"/>
      <c r="AJ3751" s="7"/>
      <c r="AK3751" s="7"/>
      <c r="AL3751" s="7"/>
      <c r="AM3751" s="7"/>
      <c r="AN3751" s="7"/>
      <c r="AO3751" s="7"/>
      <c r="AP3751" s="7"/>
      <c r="AQ3751" s="7"/>
      <c r="AR3751" s="7"/>
      <c r="AS3751" s="7" t="s">
        <v>27</v>
      </c>
    </row>
    <row r="3752">
      <c r="A3752" s="7" t="s">
        <v>104</v>
      </c>
      <c r="B3752" s="7" t="s">
        <v>149</v>
      </c>
      <c r="C3752" s="7">
        <f>5+1</f>
        <v>6</v>
      </c>
      <c r="D3752" s="7">
        <v>6.0</v>
      </c>
      <c r="E3752" s="7">
        <v>4.0</v>
      </c>
      <c r="F3752" s="7" t="s">
        <v>736</v>
      </c>
      <c r="G3752" s="7" t="s">
        <v>1631</v>
      </c>
      <c r="H3752" s="9" t="s">
        <v>2981</v>
      </c>
      <c r="I3752" t="s">
        <v>3825</v>
      </c>
      <c r="J3752" s="7"/>
      <c r="K3752" s="7"/>
      <c r="L3752" s="7"/>
      <c r="M3752" s="7"/>
      <c r="N3752" s="7"/>
      <c r="O3752" s="7"/>
      <c r="P3752" s="7"/>
      <c r="Q3752" s="7"/>
      <c r="R3752" s="7"/>
      <c r="S3752" s="7" t="s">
        <v>3101</v>
      </c>
      <c r="T3752" s="7"/>
      <c r="U3752" s="7"/>
      <c r="V3752" s="7"/>
      <c r="W3752" s="7"/>
      <c r="X3752" s="7"/>
      <c r="Y3752" s="7"/>
      <c r="Z3752" s="7"/>
      <c r="AA3752" s="7"/>
      <c r="AB3752" s="7"/>
      <c r="AC3752" s="7"/>
      <c r="AD3752" s="7" t="str">
        <f t="shared" si="1"/>
        <v>Land area </v>
      </c>
      <c r="AE3752" s="7" t="str">
        <f t="shared" si="2"/>
        <v> sq. ft.</v>
      </c>
      <c r="AF3752">
        <f>IFERROR(__xludf.DUMMYFUNCTION("VALUE(REGEXREPLACE(G3752,""[^[:digit:]]"", """"))"),5585.0)</f>
        <v>5585</v>
      </c>
      <c r="AG3752" s="7"/>
      <c r="AH3752" s="7"/>
      <c r="AI3752" s="7"/>
      <c r="AJ3752" s="7"/>
      <c r="AK3752" s="7"/>
      <c r="AL3752" s="7"/>
      <c r="AM3752" s="7"/>
      <c r="AN3752" s="7"/>
      <c r="AO3752" s="7"/>
      <c r="AP3752" s="7"/>
      <c r="AQ3752" s="7"/>
      <c r="AR3752" s="7"/>
      <c r="AS3752" s="7" t="s">
        <v>22</v>
      </c>
    </row>
    <row r="3753">
      <c r="A3753" s="7" t="s">
        <v>37</v>
      </c>
      <c r="B3753" s="7" t="s">
        <v>807</v>
      </c>
      <c r="C3753" s="7">
        <f t="shared" ref="C3753:C3754" si="512">2</f>
        <v>2</v>
      </c>
      <c r="D3753" s="7">
        <v>2.0</v>
      </c>
      <c r="E3753" s="7">
        <v>1.0</v>
      </c>
      <c r="F3753" s="7" t="s">
        <v>30</v>
      </c>
      <c r="G3753" s="7" t="s">
        <v>2457</v>
      </c>
      <c r="H3753" s="9" t="s">
        <v>2981</v>
      </c>
      <c r="I3753" t="s">
        <v>4329</v>
      </c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  <c r="AA3753" s="7"/>
      <c r="AB3753" s="7"/>
      <c r="AC3753" s="7"/>
      <c r="AD3753" s="7" t="str">
        <f t="shared" si="1"/>
        <v>Land area </v>
      </c>
      <c r="AE3753" s="7" t="str">
        <f t="shared" si="2"/>
        <v> sq. ft.</v>
      </c>
      <c r="AF3753">
        <f>IFERROR(__xludf.DUMMYFUNCTION("VALUE(REGEXREPLACE(G3753,""[^[:digit:]]"", """"))"),1045.0)</f>
        <v>1045</v>
      </c>
      <c r="AG3753" s="7"/>
      <c r="AH3753" s="7"/>
      <c r="AI3753" s="7"/>
      <c r="AJ3753" s="7"/>
      <c r="AK3753" s="7"/>
      <c r="AL3753" s="7"/>
      <c r="AM3753" s="7"/>
      <c r="AN3753" s="7"/>
      <c r="AO3753" s="7"/>
      <c r="AP3753" s="7"/>
      <c r="AQ3753" s="7"/>
      <c r="AR3753" s="7"/>
      <c r="AS3753" s="7" t="s">
        <v>27</v>
      </c>
    </row>
    <row r="3754">
      <c r="A3754" s="7" t="s">
        <v>368</v>
      </c>
      <c r="B3754" s="7" t="s">
        <v>172</v>
      </c>
      <c r="C3754" s="7">
        <f t="shared" si="512"/>
        <v>2</v>
      </c>
      <c r="D3754" s="7">
        <v>2.0</v>
      </c>
      <c r="E3754" s="7">
        <v>1.0</v>
      </c>
      <c r="F3754" s="7" t="s">
        <v>20</v>
      </c>
      <c r="G3754" s="7" t="s">
        <v>1567</v>
      </c>
      <c r="H3754" s="9" t="s">
        <v>2979</v>
      </c>
      <c r="I3754" t="s">
        <v>3785</v>
      </c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  <c r="AA3754" s="7"/>
      <c r="AB3754" s="7"/>
      <c r="AC3754" s="7"/>
      <c r="AD3754" s="7" t="str">
        <f t="shared" si="1"/>
        <v>Built-up :</v>
      </c>
      <c r="AE3754" s="7" t="str">
        <f t="shared" si="2"/>
        <v> sq. ft.</v>
      </c>
      <c r="AF3754">
        <f>IFERROR(__xludf.DUMMYFUNCTION("VALUE(REGEXREPLACE(G3754,""[^[:digit:]]"", """"))"),861.0)</f>
        <v>861</v>
      </c>
      <c r="AG3754" s="7"/>
      <c r="AH3754" s="7"/>
      <c r="AI3754" s="7"/>
      <c r="AJ3754" s="7"/>
      <c r="AK3754" s="7"/>
      <c r="AL3754" s="7"/>
      <c r="AM3754" s="7"/>
      <c r="AN3754" s="7"/>
      <c r="AO3754" s="7"/>
      <c r="AP3754" s="7"/>
      <c r="AQ3754" s="7"/>
      <c r="AR3754" s="7"/>
      <c r="AS3754" s="7" t="s">
        <v>27</v>
      </c>
    </row>
    <row r="3755">
      <c r="A3755" s="7" t="s">
        <v>171</v>
      </c>
      <c r="B3755" s="7" t="s">
        <v>156</v>
      </c>
      <c r="C3755" s="7">
        <f t="shared" ref="C3755:C3756" si="513">4</f>
        <v>4</v>
      </c>
      <c r="D3755" s="7">
        <v>4.0</v>
      </c>
      <c r="E3755" s="9">
        <v>2.0</v>
      </c>
      <c r="F3755" s="7" t="s">
        <v>54</v>
      </c>
      <c r="G3755" s="7" t="s">
        <v>211</v>
      </c>
      <c r="H3755" s="9" t="s">
        <v>2981</v>
      </c>
      <c r="I3755" t="s">
        <v>2992</v>
      </c>
      <c r="J3755" s="7"/>
      <c r="K3755" s="7"/>
      <c r="L3755" s="7"/>
      <c r="M3755" s="7"/>
      <c r="N3755" s="7"/>
      <c r="O3755" s="7"/>
      <c r="P3755" s="7"/>
      <c r="Q3755" s="7"/>
      <c r="R3755" s="7"/>
      <c r="S3755" s="7" t="s">
        <v>2993</v>
      </c>
      <c r="T3755" s="7"/>
      <c r="U3755" s="7"/>
      <c r="V3755" s="7"/>
      <c r="W3755" s="7"/>
      <c r="X3755" s="7"/>
      <c r="Y3755" s="7"/>
      <c r="Z3755" s="7"/>
      <c r="AA3755" s="7"/>
      <c r="AB3755" s="7"/>
      <c r="AC3755" s="7"/>
      <c r="AD3755" s="7" t="str">
        <f t="shared" si="1"/>
        <v>Land area </v>
      </c>
      <c r="AE3755" s="7" t="str">
        <f t="shared" si="2"/>
        <v> sq. ft.</v>
      </c>
      <c r="AF3755">
        <f>IFERROR(__xludf.DUMMYFUNCTION("VALUE(REGEXREPLACE(G3755,""[^[:digit:]]"", """"))"),2280.0)</f>
        <v>2280</v>
      </c>
      <c r="AG3755" s="7"/>
      <c r="AH3755" s="7"/>
      <c r="AI3755" s="7"/>
      <c r="AJ3755" s="7"/>
      <c r="AK3755" s="7"/>
      <c r="AL3755" s="7"/>
      <c r="AM3755" s="7"/>
      <c r="AN3755" s="7"/>
      <c r="AO3755" s="7"/>
      <c r="AP3755" s="7"/>
      <c r="AQ3755" s="7"/>
      <c r="AR3755" s="7"/>
      <c r="AS3755" s="7" t="s">
        <v>27</v>
      </c>
    </row>
    <row r="3756">
      <c r="A3756" s="7" t="s">
        <v>267</v>
      </c>
      <c r="B3756" s="7" t="s">
        <v>78</v>
      </c>
      <c r="C3756" s="7">
        <f t="shared" si="513"/>
        <v>4</v>
      </c>
      <c r="D3756" s="7">
        <v>5.0</v>
      </c>
      <c r="E3756" s="9">
        <v>2.0</v>
      </c>
      <c r="F3756" s="7" t="s">
        <v>83</v>
      </c>
      <c r="G3756" s="7" t="s">
        <v>307</v>
      </c>
      <c r="H3756" s="9" t="s">
        <v>2979</v>
      </c>
      <c r="I3756" t="s">
        <v>3102</v>
      </c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  <c r="AA3756" s="7"/>
      <c r="AB3756" s="7"/>
      <c r="AC3756" s="7"/>
      <c r="AD3756" s="7" t="str">
        <f t="shared" si="1"/>
        <v>Built-up :</v>
      </c>
      <c r="AE3756" s="7" t="str">
        <f t="shared" si="2"/>
        <v> sq. ft.</v>
      </c>
      <c r="AF3756">
        <f>IFERROR(__xludf.DUMMYFUNCTION("VALUE(REGEXREPLACE(G3756,""[^[:digit:]]"", """"))"),2500.0)</f>
        <v>2500</v>
      </c>
      <c r="AG3756" s="7"/>
      <c r="AH3756" s="7"/>
      <c r="AI3756" s="7"/>
      <c r="AJ3756" s="7"/>
      <c r="AK3756" s="7"/>
      <c r="AL3756" s="7"/>
      <c r="AM3756" s="7"/>
      <c r="AN3756" s="7"/>
      <c r="AO3756" s="7"/>
      <c r="AP3756" s="7"/>
      <c r="AQ3756" s="7"/>
      <c r="AR3756" s="7"/>
      <c r="AS3756" s="7" t="s">
        <v>22</v>
      </c>
    </row>
    <row r="3757">
      <c r="A3757" s="7" t="s">
        <v>177</v>
      </c>
      <c r="B3757" s="7" t="s">
        <v>78</v>
      </c>
      <c r="C3757" s="7">
        <f>3</f>
        <v>3</v>
      </c>
      <c r="D3757" s="7">
        <v>3.0</v>
      </c>
      <c r="E3757" s="7">
        <v>2.0</v>
      </c>
      <c r="F3757" s="7" t="s">
        <v>470</v>
      </c>
      <c r="G3757" s="7" t="s">
        <v>1132</v>
      </c>
      <c r="H3757" s="9" t="s">
        <v>2979</v>
      </c>
      <c r="I3757" t="s">
        <v>3525</v>
      </c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  <c r="AA3757" s="7"/>
      <c r="AB3757" s="7"/>
      <c r="AC3757" s="7"/>
      <c r="AD3757" s="7" t="str">
        <f t="shared" si="1"/>
        <v>Built-up :</v>
      </c>
      <c r="AE3757" s="7" t="str">
        <f t="shared" si="2"/>
        <v> sq. ft.</v>
      </c>
      <c r="AF3757">
        <f>IFERROR(__xludf.DUMMYFUNCTION("VALUE(REGEXREPLACE(G3757,""[^[:digit:]]"", """"))"),1600.0)</f>
        <v>1600</v>
      </c>
      <c r="AG3757" s="7"/>
      <c r="AH3757" s="7"/>
      <c r="AI3757" s="7"/>
      <c r="AJ3757" s="7"/>
      <c r="AK3757" s="7"/>
      <c r="AL3757" s="7"/>
      <c r="AM3757" s="7"/>
      <c r="AN3757" s="7"/>
      <c r="AO3757" s="7"/>
      <c r="AP3757" s="7"/>
      <c r="AQ3757" s="7"/>
      <c r="AR3757" s="7"/>
    </row>
    <row r="3758">
      <c r="A3758" s="7" t="s">
        <v>86</v>
      </c>
      <c r="B3758" s="7" t="s">
        <v>2458</v>
      </c>
      <c r="C3758" s="7">
        <f>2</f>
        <v>2</v>
      </c>
      <c r="D3758" s="7">
        <v>2.0</v>
      </c>
      <c r="E3758" s="7">
        <v>1.0</v>
      </c>
      <c r="F3758" s="7" t="s">
        <v>20</v>
      </c>
      <c r="G3758" s="7" t="s">
        <v>416</v>
      </c>
      <c r="H3758" s="9" t="s">
        <v>2979</v>
      </c>
      <c r="I3758" t="s">
        <v>3153</v>
      </c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  <c r="AA3758" s="7"/>
      <c r="AB3758" s="7"/>
      <c r="AC3758" s="7"/>
      <c r="AD3758" s="7" t="str">
        <f t="shared" si="1"/>
        <v>Built-up :</v>
      </c>
      <c r="AE3758" s="7" t="str">
        <f t="shared" si="2"/>
        <v> sq. ft.</v>
      </c>
      <c r="AF3758">
        <f>IFERROR(__xludf.DUMMYFUNCTION("VALUE(REGEXREPLACE(G3758,""[^[:digit:]]"", """"))"),823.0)</f>
        <v>823</v>
      </c>
      <c r="AG3758" s="7"/>
      <c r="AH3758" s="7"/>
      <c r="AI3758" s="7"/>
      <c r="AJ3758" s="7"/>
      <c r="AK3758" s="7"/>
      <c r="AL3758" s="7"/>
      <c r="AM3758" s="7"/>
      <c r="AN3758" s="7"/>
      <c r="AO3758" s="7"/>
      <c r="AP3758" s="7"/>
      <c r="AQ3758" s="7"/>
      <c r="AR3758" s="7"/>
      <c r="AS3758" s="7" t="s">
        <v>27</v>
      </c>
    </row>
    <row r="3759">
      <c r="A3759" s="7" t="s">
        <v>41</v>
      </c>
      <c r="B3759" s="7" t="s">
        <v>1328</v>
      </c>
      <c r="C3759" s="7">
        <f>3</f>
        <v>3</v>
      </c>
      <c r="D3759" s="7">
        <v>2.0</v>
      </c>
      <c r="E3759" s="7">
        <v>1.0</v>
      </c>
      <c r="F3759" s="7" t="s">
        <v>83</v>
      </c>
      <c r="H3759" s="9" t="s">
        <v>2984</v>
      </c>
      <c r="I3759" t="s">
        <v>2985</v>
      </c>
      <c r="AD3759" s="7" t="str">
        <f t="shared" si="1"/>
        <v/>
      </c>
      <c r="AE3759" s="7" t="str">
        <f t="shared" si="2"/>
        <v/>
      </c>
      <c r="AF3759">
        <f>IFERROR(__xludf.DUMMYFUNCTION("VALUE(REGEXREPLACE(G3759,""[^[:digit:]]"", """"))"),0.0)</f>
        <v>0</v>
      </c>
      <c r="AS3759" s="7" t="s">
        <v>22</v>
      </c>
    </row>
    <row r="3760">
      <c r="A3760" s="7" t="s">
        <v>17</v>
      </c>
      <c r="B3760" s="7" t="s">
        <v>53</v>
      </c>
      <c r="C3760" s="7">
        <f>3+2</f>
        <v>5</v>
      </c>
      <c r="D3760" s="7">
        <v>4.0</v>
      </c>
      <c r="E3760" s="7">
        <v>2.0</v>
      </c>
      <c r="F3760" s="7" t="s">
        <v>30</v>
      </c>
      <c r="G3760" s="7" t="s">
        <v>829</v>
      </c>
      <c r="H3760" s="9" t="s">
        <v>2979</v>
      </c>
      <c r="I3760" t="s">
        <v>3359</v>
      </c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  <c r="AA3760" s="7"/>
      <c r="AB3760" s="7"/>
      <c r="AC3760" s="7"/>
      <c r="AD3760" s="7" t="str">
        <f t="shared" si="1"/>
        <v>Built-up :</v>
      </c>
      <c r="AE3760" s="7" t="str">
        <f t="shared" si="2"/>
        <v> sq. ft.</v>
      </c>
      <c r="AF3760">
        <f>IFERROR(__xludf.DUMMYFUNCTION("VALUE(REGEXREPLACE(G3760,""[^[:digit:]]"", """"))"),2615.0)</f>
        <v>2615</v>
      </c>
      <c r="AG3760" s="7"/>
      <c r="AH3760" s="7"/>
      <c r="AI3760" s="7"/>
      <c r="AJ3760" s="7"/>
      <c r="AK3760" s="7"/>
      <c r="AL3760" s="7"/>
      <c r="AM3760" s="7"/>
      <c r="AN3760" s="7"/>
      <c r="AO3760" s="7"/>
      <c r="AP3760" s="7"/>
      <c r="AQ3760" s="7"/>
      <c r="AR3760" s="7"/>
      <c r="AS3760" s="7" t="s">
        <v>27</v>
      </c>
    </row>
    <row r="3761">
      <c r="A3761" s="7" t="s">
        <v>100</v>
      </c>
      <c r="B3761" s="7" t="s">
        <v>1032</v>
      </c>
      <c r="C3761" s="7">
        <f>7</f>
        <v>7</v>
      </c>
      <c r="D3761" s="7">
        <v>5.0</v>
      </c>
      <c r="E3761" s="9">
        <v>2.0</v>
      </c>
      <c r="F3761" s="7" t="s">
        <v>67</v>
      </c>
      <c r="G3761" s="7" t="s">
        <v>62</v>
      </c>
      <c r="H3761" s="9" t="s">
        <v>2981</v>
      </c>
      <c r="I3761" t="s">
        <v>2995</v>
      </c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  <c r="AA3761" s="7"/>
      <c r="AB3761" s="7"/>
      <c r="AC3761" s="7"/>
      <c r="AD3761" s="7" t="str">
        <f t="shared" si="1"/>
        <v>Land area </v>
      </c>
      <c r="AE3761" s="7" t="str">
        <f t="shared" si="2"/>
        <v> sq. ft.</v>
      </c>
      <c r="AF3761">
        <f>IFERROR(__xludf.DUMMYFUNCTION("VALUE(REGEXREPLACE(G3761,""[^[:digit:]]"", """"))"),6000.0)</f>
        <v>6000</v>
      </c>
      <c r="AG3761" s="7"/>
      <c r="AH3761" s="7"/>
      <c r="AI3761" s="7"/>
      <c r="AJ3761" s="7"/>
      <c r="AK3761" s="7"/>
      <c r="AL3761" s="7"/>
      <c r="AM3761" s="7"/>
      <c r="AN3761" s="7"/>
      <c r="AO3761" s="7"/>
      <c r="AP3761" s="7"/>
      <c r="AQ3761" s="7"/>
      <c r="AR3761" s="7"/>
      <c r="AS3761" s="7" t="s">
        <v>27</v>
      </c>
    </row>
    <row r="3762">
      <c r="A3762" s="7" t="s">
        <v>100</v>
      </c>
      <c r="B3762" s="7" t="s">
        <v>2459</v>
      </c>
      <c r="E3762" s="9">
        <v>2.0</v>
      </c>
      <c r="F3762" s="7" t="s">
        <v>667</v>
      </c>
      <c r="G3762" s="7" t="s">
        <v>2460</v>
      </c>
      <c r="H3762" s="9" t="s">
        <v>2981</v>
      </c>
      <c r="I3762" t="s">
        <v>4330</v>
      </c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  <c r="AA3762" s="7"/>
      <c r="AB3762" s="7"/>
      <c r="AC3762" s="7"/>
      <c r="AD3762" s="7" t="str">
        <f t="shared" si="1"/>
        <v>Land area </v>
      </c>
      <c r="AE3762" s="7" t="str">
        <f t="shared" si="2"/>
        <v> sq. ft.</v>
      </c>
      <c r="AF3762">
        <f>IFERROR(__xludf.DUMMYFUNCTION("VALUE(REGEXREPLACE(G3762,""[^[:digit:]]"", """"))"),1385.0)</f>
        <v>1385</v>
      </c>
      <c r="AG3762" s="7"/>
      <c r="AH3762" s="7"/>
      <c r="AI3762" s="7"/>
      <c r="AJ3762" s="7"/>
      <c r="AK3762" s="7"/>
      <c r="AL3762" s="7"/>
      <c r="AM3762" s="7"/>
      <c r="AN3762" s="7"/>
      <c r="AO3762" s="7"/>
      <c r="AP3762" s="7"/>
      <c r="AQ3762" s="7"/>
      <c r="AR3762" s="7"/>
    </row>
    <row r="3763">
      <c r="A3763" s="7" t="s">
        <v>432</v>
      </c>
      <c r="B3763" s="7" t="s">
        <v>165</v>
      </c>
      <c r="C3763" s="7">
        <f>4+1</f>
        <v>5</v>
      </c>
      <c r="D3763" s="7">
        <v>5.0</v>
      </c>
      <c r="E3763" s="7">
        <v>2.0</v>
      </c>
      <c r="F3763" s="7" t="s">
        <v>443</v>
      </c>
      <c r="G3763" s="7" t="s">
        <v>2066</v>
      </c>
      <c r="H3763" s="9" t="s">
        <v>2981</v>
      </c>
      <c r="I3763" t="s">
        <v>4090</v>
      </c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  <c r="AA3763" s="7"/>
      <c r="AB3763" s="7"/>
      <c r="AC3763" s="7"/>
      <c r="AD3763" s="7" t="str">
        <f t="shared" si="1"/>
        <v>Land area </v>
      </c>
      <c r="AE3763" s="7" t="str">
        <f t="shared" si="2"/>
        <v> sq. ft.</v>
      </c>
      <c r="AF3763">
        <f>IFERROR(__xludf.DUMMYFUNCTION("VALUE(REGEXREPLACE(G3763,""[^[:digit:]]"", """"))"),2500.0)</f>
        <v>2500</v>
      </c>
      <c r="AG3763" s="7"/>
      <c r="AH3763" s="7"/>
      <c r="AI3763" s="7"/>
      <c r="AJ3763" s="7"/>
      <c r="AK3763" s="7"/>
      <c r="AL3763" s="7"/>
      <c r="AM3763" s="7"/>
      <c r="AN3763" s="7"/>
      <c r="AO3763" s="7"/>
      <c r="AP3763" s="7"/>
      <c r="AQ3763" s="7"/>
      <c r="AR3763" s="7"/>
      <c r="AS3763" s="7" t="s">
        <v>103</v>
      </c>
    </row>
    <row r="3764">
      <c r="A3764" s="7" t="s">
        <v>109</v>
      </c>
      <c r="B3764" s="7" t="s">
        <v>890</v>
      </c>
      <c r="C3764" s="7">
        <f t="shared" ref="C3764:C3765" si="514">3</f>
        <v>3</v>
      </c>
      <c r="D3764" s="7">
        <v>2.0</v>
      </c>
      <c r="E3764" s="9">
        <v>2.0</v>
      </c>
      <c r="F3764" s="7" t="s">
        <v>83</v>
      </c>
      <c r="G3764" s="7" t="s">
        <v>734</v>
      </c>
      <c r="H3764" s="9" t="s">
        <v>2979</v>
      </c>
      <c r="I3764" t="s">
        <v>3308</v>
      </c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  <c r="AA3764" s="7"/>
      <c r="AB3764" s="7"/>
      <c r="AC3764" s="7"/>
      <c r="AD3764" s="7" t="str">
        <f t="shared" si="1"/>
        <v>Built-up :</v>
      </c>
      <c r="AE3764" s="7" t="str">
        <f t="shared" si="2"/>
        <v> sq. ft.</v>
      </c>
      <c r="AF3764">
        <f>IFERROR(__xludf.DUMMYFUNCTION("VALUE(REGEXREPLACE(G3764,""[^[:digit:]]"", """"))"),1100.0)</f>
        <v>1100</v>
      </c>
      <c r="AG3764" s="7"/>
      <c r="AH3764" s="7"/>
      <c r="AI3764" s="7"/>
      <c r="AJ3764" s="7"/>
      <c r="AK3764" s="7"/>
      <c r="AL3764" s="7"/>
      <c r="AM3764" s="7"/>
      <c r="AN3764" s="7"/>
      <c r="AO3764" s="7"/>
      <c r="AP3764" s="7"/>
      <c r="AQ3764" s="7"/>
      <c r="AR3764" s="7"/>
      <c r="AS3764" s="7" t="s">
        <v>27</v>
      </c>
    </row>
    <row r="3765">
      <c r="A3765" s="7" t="s">
        <v>33</v>
      </c>
      <c r="B3765" s="7" t="s">
        <v>1073</v>
      </c>
      <c r="C3765" s="7">
        <f t="shared" si="514"/>
        <v>3</v>
      </c>
      <c r="D3765" s="7">
        <v>2.0</v>
      </c>
      <c r="E3765" s="7">
        <v>2.0</v>
      </c>
      <c r="F3765" s="7" t="s">
        <v>93</v>
      </c>
      <c r="G3765" s="7" t="s">
        <v>734</v>
      </c>
      <c r="H3765" s="9" t="s">
        <v>2979</v>
      </c>
      <c r="I3765" t="s">
        <v>3308</v>
      </c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  <c r="AA3765" s="7"/>
      <c r="AB3765" s="7"/>
      <c r="AC3765" s="7"/>
      <c r="AD3765" s="7" t="str">
        <f t="shared" si="1"/>
        <v>Built-up :</v>
      </c>
      <c r="AE3765" s="7" t="str">
        <f t="shared" si="2"/>
        <v> sq. ft.</v>
      </c>
      <c r="AF3765">
        <f>IFERROR(__xludf.DUMMYFUNCTION("VALUE(REGEXREPLACE(G3765,""[^[:digit:]]"", """"))"),1100.0)</f>
        <v>1100</v>
      </c>
      <c r="AG3765" s="7"/>
      <c r="AH3765" s="7"/>
      <c r="AI3765" s="7"/>
      <c r="AJ3765" s="7"/>
      <c r="AK3765" s="7"/>
      <c r="AL3765" s="7"/>
      <c r="AM3765" s="7"/>
      <c r="AN3765" s="7"/>
      <c r="AO3765" s="7"/>
      <c r="AP3765" s="7"/>
      <c r="AQ3765" s="7"/>
      <c r="AR3765" s="7"/>
      <c r="AS3765" s="7" t="s">
        <v>103</v>
      </c>
    </row>
    <row r="3766">
      <c r="A3766" s="7" t="s">
        <v>267</v>
      </c>
      <c r="B3766" s="7" t="s">
        <v>85</v>
      </c>
      <c r="C3766" s="7">
        <f>5</f>
        <v>5</v>
      </c>
      <c r="D3766" s="7">
        <v>3.0</v>
      </c>
      <c r="E3766" s="7">
        <v>2.0</v>
      </c>
      <c r="F3766" s="7" t="s">
        <v>169</v>
      </c>
      <c r="G3766" s="7" t="s">
        <v>2461</v>
      </c>
      <c r="H3766" s="9" t="s">
        <v>2981</v>
      </c>
      <c r="I3766" t="s">
        <v>3299</v>
      </c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  <c r="AA3766" s="7"/>
      <c r="AB3766" s="7"/>
      <c r="AC3766" s="7"/>
      <c r="AD3766" s="7" t="str">
        <f t="shared" si="1"/>
        <v>Land area </v>
      </c>
      <c r="AE3766" s="7" t="str">
        <f t="shared" si="2"/>
        <v> sq. ft.</v>
      </c>
      <c r="AF3766" s="7">
        <v>1870.0</v>
      </c>
      <c r="AG3766" s="7"/>
      <c r="AH3766" s="7"/>
      <c r="AI3766" s="7"/>
      <c r="AJ3766" s="7"/>
      <c r="AK3766" s="7"/>
      <c r="AL3766" s="7"/>
      <c r="AM3766" s="7"/>
      <c r="AN3766" s="7"/>
      <c r="AO3766" s="7"/>
      <c r="AP3766" s="7"/>
      <c r="AQ3766" s="7"/>
      <c r="AR3766" s="7"/>
      <c r="AS3766" s="7" t="s">
        <v>103</v>
      </c>
    </row>
    <row r="3767">
      <c r="A3767" s="7" t="s">
        <v>23</v>
      </c>
      <c r="B3767" s="7" t="s">
        <v>350</v>
      </c>
      <c r="C3767" s="7">
        <f>6+1</f>
        <v>7</v>
      </c>
      <c r="D3767" s="7">
        <v>7.0</v>
      </c>
      <c r="E3767" s="9">
        <v>2.0</v>
      </c>
      <c r="F3767" s="7" t="s">
        <v>25</v>
      </c>
      <c r="G3767" s="7" t="s">
        <v>430</v>
      </c>
      <c r="H3767" s="9" t="s">
        <v>2981</v>
      </c>
      <c r="I3767" t="s">
        <v>3158</v>
      </c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  <c r="AA3767" s="7"/>
      <c r="AB3767" s="7"/>
      <c r="AC3767" s="7"/>
      <c r="AD3767" s="7" t="str">
        <f t="shared" si="1"/>
        <v>Land area </v>
      </c>
      <c r="AE3767" s="7" t="str">
        <f t="shared" si="2"/>
        <v> sq. ft.</v>
      </c>
      <c r="AF3767">
        <f>IFERROR(__xludf.DUMMYFUNCTION("VALUE(REGEXREPLACE(G3767,""[^[:digit:]]"", """"))"),6300.0)</f>
        <v>6300</v>
      </c>
      <c r="AG3767" s="7"/>
      <c r="AH3767" s="7"/>
      <c r="AI3767" s="7"/>
      <c r="AJ3767" s="7"/>
      <c r="AK3767" s="7"/>
      <c r="AL3767" s="7"/>
      <c r="AM3767" s="7"/>
      <c r="AN3767" s="7"/>
      <c r="AO3767" s="7"/>
      <c r="AP3767" s="7"/>
      <c r="AQ3767" s="7"/>
      <c r="AR3767" s="7"/>
      <c r="AS3767" s="7" t="s">
        <v>27</v>
      </c>
    </row>
    <row r="3768">
      <c r="A3768" s="7" t="s">
        <v>23</v>
      </c>
      <c r="B3768" s="7" t="s">
        <v>2174</v>
      </c>
      <c r="C3768" s="7">
        <f>7+1</f>
        <v>8</v>
      </c>
      <c r="D3768" s="7">
        <v>10.0</v>
      </c>
      <c r="E3768" s="9">
        <v>2.0</v>
      </c>
      <c r="F3768" s="7" t="s">
        <v>25</v>
      </c>
      <c r="G3768" s="7" t="s">
        <v>745</v>
      </c>
      <c r="H3768" s="9" t="s">
        <v>2981</v>
      </c>
      <c r="I3768" t="s">
        <v>3316</v>
      </c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  <c r="AA3768" s="7"/>
      <c r="AB3768" s="7"/>
      <c r="AC3768" s="7"/>
      <c r="AD3768" s="7" t="str">
        <f t="shared" si="1"/>
        <v>Land area </v>
      </c>
      <c r="AE3768" s="7" t="str">
        <f t="shared" si="2"/>
        <v> sq. ft.</v>
      </c>
      <c r="AF3768">
        <f>IFERROR(__xludf.DUMMYFUNCTION("VALUE(REGEXREPLACE(G3768,""[^[:digit:]]"", """"))"),6103.0)</f>
        <v>6103</v>
      </c>
      <c r="AG3768" s="7"/>
      <c r="AH3768" s="7"/>
      <c r="AI3768" s="7"/>
      <c r="AJ3768" s="7"/>
      <c r="AK3768" s="7"/>
      <c r="AL3768" s="7"/>
      <c r="AM3768" s="7"/>
      <c r="AN3768" s="7"/>
      <c r="AO3768" s="7"/>
      <c r="AP3768" s="7"/>
      <c r="AQ3768" s="7"/>
      <c r="AR3768" s="7"/>
    </row>
    <row r="3769">
      <c r="A3769" s="7" t="s">
        <v>262</v>
      </c>
      <c r="B3769" s="7" t="s">
        <v>151</v>
      </c>
      <c r="E3769" s="9">
        <v>2.0</v>
      </c>
      <c r="F3769" s="7" t="s">
        <v>667</v>
      </c>
      <c r="G3769" s="7" t="s">
        <v>1089</v>
      </c>
      <c r="H3769" s="9" t="s">
        <v>2981</v>
      </c>
      <c r="I3769" t="s">
        <v>3497</v>
      </c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  <c r="AA3769" s="7"/>
      <c r="AB3769" s="7"/>
      <c r="AC3769" s="7"/>
      <c r="AD3769" s="7" t="str">
        <f t="shared" si="1"/>
        <v>Land area </v>
      </c>
      <c r="AE3769" s="7" t="str">
        <f t="shared" si="2"/>
        <v> sq. ft.</v>
      </c>
      <c r="AF3769">
        <f>IFERROR(__xludf.DUMMYFUNCTION("VALUE(REGEXREPLACE(G3769,""[^[:digit:]]"", """"))"),14000.0)</f>
        <v>14000</v>
      </c>
      <c r="AG3769" s="7"/>
      <c r="AH3769" s="7"/>
      <c r="AI3769" s="7"/>
      <c r="AJ3769" s="7"/>
      <c r="AK3769" s="7"/>
      <c r="AL3769" s="7"/>
      <c r="AM3769" s="7"/>
      <c r="AN3769" s="7"/>
      <c r="AO3769" s="7"/>
      <c r="AP3769" s="7"/>
      <c r="AQ3769" s="7"/>
      <c r="AR3769" s="7"/>
    </row>
    <row r="3770">
      <c r="A3770" s="7" t="s">
        <v>17</v>
      </c>
      <c r="B3770" s="7" t="s">
        <v>193</v>
      </c>
      <c r="C3770" s="7">
        <f>2</f>
        <v>2</v>
      </c>
      <c r="D3770" s="7">
        <v>2.0</v>
      </c>
      <c r="E3770" s="7">
        <v>1.0</v>
      </c>
      <c r="F3770" s="7" t="s">
        <v>121</v>
      </c>
      <c r="G3770" s="7" t="s">
        <v>373</v>
      </c>
      <c r="H3770" s="9" t="s">
        <v>2979</v>
      </c>
      <c r="I3770" t="s">
        <v>3131</v>
      </c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  <c r="AA3770" s="7"/>
      <c r="AB3770" s="7"/>
      <c r="AC3770" s="7"/>
      <c r="AD3770" s="7" t="str">
        <f t="shared" si="1"/>
        <v>Built-up :</v>
      </c>
      <c r="AE3770" s="7" t="str">
        <f t="shared" si="2"/>
        <v> sq. ft.</v>
      </c>
      <c r="AF3770">
        <f>IFERROR(__xludf.DUMMYFUNCTION("VALUE(REGEXREPLACE(G3770,""[^[:digit:]]"", """"))"),1152.0)</f>
        <v>1152</v>
      </c>
      <c r="AG3770" s="7"/>
      <c r="AH3770" s="7"/>
      <c r="AI3770" s="7"/>
      <c r="AJ3770" s="7"/>
      <c r="AK3770" s="7"/>
      <c r="AL3770" s="7"/>
      <c r="AM3770" s="7"/>
      <c r="AN3770" s="7"/>
      <c r="AO3770" s="7"/>
      <c r="AP3770" s="7"/>
      <c r="AQ3770" s="7"/>
      <c r="AR3770" s="7"/>
      <c r="AS3770" s="7" t="s">
        <v>22</v>
      </c>
    </row>
    <row r="3771">
      <c r="A3771" s="7" t="s">
        <v>72</v>
      </c>
      <c r="B3771" s="7" t="s">
        <v>120</v>
      </c>
      <c r="C3771" s="7">
        <f>5+1</f>
        <v>6</v>
      </c>
      <c r="D3771" s="7">
        <v>5.0</v>
      </c>
      <c r="E3771" s="7">
        <v>3.0</v>
      </c>
      <c r="F3771" s="7" t="s">
        <v>83</v>
      </c>
      <c r="G3771" s="7" t="s">
        <v>1083</v>
      </c>
      <c r="H3771" s="9" t="s">
        <v>2979</v>
      </c>
      <c r="I3771" t="s">
        <v>3493</v>
      </c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  <c r="AA3771" s="7"/>
      <c r="AB3771" s="7"/>
      <c r="AC3771" s="7"/>
      <c r="AD3771" s="7" t="str">
        <f t="shared" si="1"/>
        <v>Built-up :</v>
      </c>
      <c r="AE3771" s="7" t="str">
        <f t="shared" si="2"/>
        <v> sq. ft.</v>
      </c>
      <c r="AF3771">
        <f>IFERROR(__xludf.DUMMYFUNCTION("VALUE(REGEXREPLACE(G3771,""[^[:digit:]]"", """"))"),4500.0)</f>
        <v>4500</v>
      </c>
      <c r="AG3771" s="7"/>
      <c r="AH3771" s="7"/>
      <c r="AI3771" s="7"/>
      <c r="AJ3771" s="7"/>
      <c r="AK3771" s="7"/>
      <c r="AL3771" s="7"/>
      <c r="AM3771" s="7"/>
      <c r="AN3771" s="7"/>
      <c r="AO3771" s="7"/>
      <c r="AP3771" s="7"/>
      <c r="AQ3771" s="7"/>
      <c r="AR3771" s="7"/>
      <c r="AS3771" s="7" t="s">
        <v>22</v>
      </c>
    </row>
    <row r="3772">
      <c r="A3772" s="7" t="s">
        <v>33</v>
      </c>
      <c r="B3772" s="7" t="s">
        <v>42</v>
      </c>
      <c r="C3772" s="7">
        <f>4</f>
        <v>4</v>
      </c>
      <c r="D3772" s="7">
        <v>4.0</v>
      </c>
      <c r="E3772" s="7">
        <v>3.0</v>
      </c>
      <c r="F3772" s="7" t="s">
        <v>83</v>
      </c>
      <c r="G3772" s="7" t="s">
        <v>1408</v>
      </c>
      <c r="H3772" s="9" t="s">
        <v>2979</v>
      </c>
      <c r="I3772" t="s">
        <v>3694</v>
      </c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  <c r="AA3772" s="7"/>
      <c r="AB3772" s="7"/>
      <c r="AC3772" s="7"/>
      <c r="AD3772" s="7" t="str">
        <f t="shared" si="1"/>
        <v>Built-up :</v>
      </c>
      <c r="AE3772" s="7" t="str">
        <f t="shared" si="2"/>
        <v> sq. ft.</v>
      </c>
      <c r="AF3772">
        <f>IFERROR(__xludf.DUMMYFUNCTION("VALUE(REGEXREPLACE(G3772,""[^[:digit:]]"", """"))"),3260.0)</f>
        <v>3260</v>
      </c>
      <c r="AG3772" s="7"/>
      <c r="AH3772" s="7"/>
      <c r="AI3772" s="7"/>
      <c r="AJ3772" s="7"/>
      <c r="AK3772" s="7"/>
      <c r="AL3772" s="7"/>
      <c r="AM3772" s="7"/>
      <c r="AN3772" s="7"/>
      <c r="AO3772" s="7"/>
      <c r="AP3772" s="7"/>
      <c r="AQ3772" s="7"/>
      <c r="AR3772" s="7"/>
      <c r="AS3772" s="7" t="s">
        <v>27</v>
      </c>
    </row>
    <row r="3773">
      <c r="A3773" s="7" t="s">
        <v>72</v>
      </c>
      <c r="B3773" s="7" t="s">
        <v>590</v>
      </c>
      <c r="C3773" s="7">
        <f>8+1</f>
        <v>9</v>
      </c>
      <c r="D3773" s="7">
        <v>10.0</v>
      </c>
      <c r="E3773" s="7">
        <v>6.0</v>
      </c>
      <c r="F3773" s="7" t="s">
        <v>25</v>
      </c>
      <c r="G3773" s="7" t="s">
        <v>2462</v>
      </c>
      <c r="H3773" s="9" t="s">
        <v>2981</v>
      </c>
      <c r="I3773" t="s">
        <v>4331</v>
      </c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  <c r="AA3773" s="7"/>
      <c r="AB3773" s="7"/>
      <c r="AC3773" s="7"/>
      <c r="AD3773" s="7" t="str">
        <f t="shared" si="1"/>
        <v>Land area </v>
      </c>
      <c r="AE3773" s="7" t="str">
        <f t="shared" si="2"/>
        <v> sq. ft.</v>
      </c>
      <c r="AF3773">
        <f>IFERROR(__xludf.DUMMYFUNCTION("VALUE(REGEXREPLACE(G3773,""[^[:digit:]]"", """"))"),15750.0)</f>
        <v>15750</v>
      </c>
      <c r="AG3773" s="7"/>
      <c r="AH3773" s="7"/>
      <c r="AI3773" s="7"/>
      <c r="AJ3773" s="7"/>
      <c r="AK3773" s="7"/>
      <c r="AL3773" s="7"/>
      <c r="AM3773" s="7"/>
      <c r="AN3773" s="7"/>
      <c r="AO3773" s="7"/>
      <c r="AP3773" s="7"/>
      <c r="AQ3773" s="7"/>
      <c r="AR3773" s="7"/>
      <c r="AS3773" s="7" t="s">
        <v>27</v>
      </c>
    </row>
    <row r="3774">
      <c r="A3774" s="7" t="s">
        <v>1476</v>
      </c>
      <c r="B3774" s="7" t="s">
        <v>639</v>
      </c>
      <c r="C3774" s="7">
        <f>3</f>
        <v>3</v>
      </c>
      <c r="D3774" s="7">
        <v>2.0</v>
      </c>
      <c r="E3774" s="7">
        <v>1.0</v>
      </c>
      <c r="F3774" s="7" t="s">
        <v>83</v>
      </c>
      <c r="G3774" s="7" t="s">
        <v>2354</v>
      </c>
      <c r="H3774" s="9" t="s">
        <v>2979</v>
      </c>
      <c r="I3774" t="s">
        <v>4271</v>
      </c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  <c r="AA3774" s="7"/>
      <c r="AB3774" s="7"/>
      <c r="AC3774" s="7"/>
      <c r="AD3774" s="7" t="str">
        <f t="shared" si="1"/>
        <v>Built-up :</v>
      </c>
      <c r="AE3774" s="7" t="str">
        <f t="shared" si="2"/>
        <v> sq. ft.</v>
      </c>
      <c r="AF3774">
        <f>IFERROR(__xludf.DUMMYFUNCTION("VALUE(REGEXREPLACE(G3774,""[^[:digit:]]"", """"))"),1016.0)</f>
        <v>1016</v>
      </c>
      <c r="AG3774" s="7"/>
      <c r="AH3774" s="7"/>
      <c r="AI3774" s="7"/>
      <c r="AJ3774" s="7"/>
      <c r="AK3774" s="7"/>
      <c r="AL3774" s="7"/>
      <c r="AM3774" s="7"/>
      <c r="AN3774" s="7"/>
      <c r="AO3774" s="7"/>
      <c r="AP3774" s="7"/>
      <c r="AQ3774" s="7"/>
      <c r="AR3774" s="7"/>
    </row>
    <row r="3775">
      <c r="A3775" s="7" t="s">
        <v>72</v>
      </c>
      <c r="B3775" s="7" t="s">
        <v>403</v>
      </c>
      <c r="C3775" s="7">
        <f>3+1</f>
        <v>4</v>
      </c>
      <c r="D3775" s="7">
        <v>5.0</v>
      </c>
      <c r="E3775" s="7">
        <v>2.0</v>
      </c>
      <c r="F3775" s="7" t="s">
        <v>83</v>
      </c>
      <c r="G3775" s="7" t="s">
        <v>1729</v>
      </c>
      <c r="H3775" s="9" t="s">
        <v>2979</v>
      </c>
      <c r="I3775" t="s">
        <v>3887</v>
      </c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  <c r="AA3775" s="7"/>
      <c r="AB3775" s="7"/>
      <c r="AC3775" s="7"/>
      <c r="AD3775" s="7" t="str">
        <f t="shared" si="1"/>
        <v>Built-up :</v>
      </c>
      <c r="AE3775" s="7" t="str">
        <f t="shared" si="2"/>
        <v> sq. ft.</v>
      </c>
      <c r="AF3775">
        <f>IFERROR(__xludf.DUMMYFUNCTION("VALUE(REGEXREPLACE(G3775,""[^[:digit:]]"", """"))"),2159.0)</f>
        <v>2159</v>
      </c>
      <c r="AG3775" s="7"/>
      <c r="AH3775" s="7"/>
      <c r="AI3775" s="7"/>
      <c r="AJ3775" s="7"/>
      <c r="AK3775" s="7"/>
      <c r="AL3775" s="7"/>
      <c r="AM3775" s="7"/>
      <c r="AN3775" s="7"/>
      <c r="AO3775" s="7"/>
      <c r="AP3775" s="7"/>
      <c r="AQ3775" s="7"/>
      <c r="AR3775" s="7"/>
      <c r="AS3775" s="7" t="s">
        <v>27</v>
      </c>
    </row>
    <row r="3776">
      <c r="A3776" s="7" t="s">
        <v>72</v>
      </c>
      <c r="B3776" s="7" t="s">
        <v>174</v>
      </c>
      <c r="C3776" s="7">
        <f>5+1</f>
        <v>6</v>
      </c>
      <c r="D3776" s="7">
        <v>6.0</v>
      </c>
      <c r="E3776" s="7">
        <v>4.0</v>
      </c>
      <c r="F3776" s="7" t="s">
        <v>793</v>
      </c>
      <c r="G3776" s="7" t="s">
        <v>2463</v>
      </c>
      <c r="H3776" s="9" t="s">
        <v>2979</v>
      </c>
      <c r="I3776" t="s">
        <v>4332</v>
      </c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  <c r="AA3776" s="7"/>
      <c r="AB3776" s="7"/>
      <c r="AC3776" s="7"/>
      <c r="AD3776" s="7" t="str">
        <f t="shared" si="1"/>
        <v>Built-up :</v>
      </c>
      <c r="AE3776" s="7" t="str">
        <f t="shared" si="2"/>
        <v> sq. ft.</v>
      </c>
      <c r="AF3776">
        <f>IFERROR(__xludf.DUMMYFUNCTION("VALUE(REGEXREPLACE(G3776,""[^[:digit:]]"", """"))"),4700.0)</f>
        <v>4700</v>
      </c>
      <c r="AG3776" s="7"/>
      <c r="AH3776" s="7"/>
      <c r="AI3776" s="7"/>
      <c r="AJ3776" s="7"/>
      <c r="AK3776" s="7"/>
      <c r="AL3776" s="7"/>
      <c r="AM3776" s="7"/>
      <c r="AN3776" s="7"/>
      <c r="AO3776" s="7"/>
      <c r="AP3776" s="7"/>
      <c r="AQ3776" s="7"/>
      <c r="AR3776" s="7"/>
      <c r="AS3776" s="7" t="s">
        <v>27</v>
      </c>
    </row>
    <row r="3777">
      <c r="A3777" s="7" t="s">
        <v>72</v>
      </c>
      <c r="B3777" s="7" t="s">
        <v>110</v>
      </c>
      <c r="C3777" s="7">
        <f>4+1</f>
        <v>5</v>
      </c>
      <c r="D3777" s="7">
        <v>6.0</v>
      </c>
      <c r="E3777" s="9">
        <v>2.0</v>
      </c>
      <c r="F3777" s="7" t="s">
        <v>83</v>
      </c>
      <c r="G3777" s="7" t="s">
        <v>2464</v>
      </c>
      <c r="H3777" s="9" t="s">
        <v>2979</v>
      </c>
      <c r="I3777" t="s">
        <v>4333</v>
      </c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  <c r="AA3777" s="7"/>
      <c r="AB3777" s="7"/>
      <c r="AC3777" s="7"/>
      <c r="AD3777" s="7" t="str">
        <f t="shared" si="1"/>
        <v>Built-up :</v>
      </c>
      <c r="AE3777" s="7" t="str">
        <f t="shared" si="2"/>
        <v> sq. ft.</v>
      </c>
      <c r="AF3777">
        <f>IFERROR(__xludf.DUMMYFUNCTION("VALUE(REGEXREPLACE(G3777,""[^[:digit:]]"", """"))"),3700.0)</f>
        <v>3700</v>
      </c>
      <c r="AG3777" s="7"/>
      <c r="AH3777" s="7"/>
      <c r="AI3777" s="7"/>
      <c r="AJ3777" s="7"/>
      <c r="AK3777" s="7"/>
      <c r="AL3777" s="7"/>
      <c r="AM3777" s="7"/>
      <c r="AN3777" s="7"/>
      <c r="AO3777" s="7"/>
      <c r="AP3777" s="7"/>
      <c r="AQ3777" s="7"/>
      <c r="AR3777" s="7"/>
      <c r="AS3777" s="7" t="s">
        <v>27</v>
      </c>
    </row>
    <row r="3778">
      <c r="A3778" s="7" t="s">
        <v>188</v>
      </c>
      <c r="B3778" s="7" t="s">
        <v>2297</v>
      </c>
      <c r="C3778" s="7">
        <f>4+2</f>
        <v>6</v>
      </c>
      <c r="D3778" s="7">
        <v>5.0</v>
      </c>
      <c r="E3778" s="9">
        <v>2.0</v>
      </c>
      <c r="F3778" s="7" t="s">
        <v>121</v>
      </c>
      <c r="G3778" s="7" t="s">
        <v>2465</v>
      </c>
      <c r="H3778" s="9" t="s">
        <v>2979</v>
      </c>
      <c r="I3778" t="s">
        <v>4334</v>
      </c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  <c r="AA3778" s="7"/>
      <c r="AB3778" s="7"/>
      <c r="AC3778" s="7"/>
      <c r="AD3778" s="7" t="str">
        <f t="shared" si="1"/>
        <v>Built-up :</v>
      </c>
      <c r="AE3778" s="7" t="str">
        <f t="shared" si="2"/>
        <v> sq. ft.</v>
      </c>
      <c r="AF3778">
        <f>IFERROR(__xludf.DUMMYFUNCTION("VALUE(REGEXREPLACE(G3778,""[^[:digit:]]"", """"))"),6689.0)</f>
        <v>6689</v>
      </c>
      <c r="AG3778" s="7"/>
      <c r="AH3778" s="7"/>
      <c r="AI3778" s="7"/>
      <c r="AJ3778" s="7"/>
      <c r="AK3778" s="7"/>
      <c r="AL3778" s="7"/>
      <c r="AM3778" s="7"/>
      <c r="AN3778" s="7"/>
      <c r="AO3778" s="7"/>
      <c r="AP3778" s="7"/>
      <c r="AQ3778" s="7"/>
      <c r="AR3778" s="7"/>
      <c r="AS3778" s="7" t="s">
        <v>103</v>
      </c>
    </row>
    <row r="3779">
      <c r="A3779" s="7" t="s">
        <v>32</v>
      </c>
      <c r="B3779" s="7" t="s">
        <v>2466</v>
      </c>
      <c r="C3779" s="7">
        <f t="shared" ref="C3779:C3781" si="515">3</f>
        <v>3</v>
      </c>
      <c r="D3779" s="7">
        <v>2.0</v>
      </c>
      <c r="E3779" s="7">
        <v>1.0</v>
      </c>
      <c r="F3779" s="7" t="s">
        <v>83</v>
      </c>
      <c r="G3779" s="7" t="s">
        <v>2467</v>
      </c>
      <c r="H3779" s="9" t="s">
        <v>2979</v>
      </c>
      <c r="I3779" t="s">
        <v>4335</v>
      </c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  <c r="AA3779" s="7"/>
      <c r="AB3779" s="7"/>
      <c r="AC3779" s="7"/>
      <c r="AD3779" s="7" t="str">
        <f t="shared" si="1"/>
        <v>Built-up :</v>
      </c>
      <c r="AE3779" s="7" t="str">
        <f t="shared" si="2"/>
        <v> sq. ft.</v>
      </c>
      <c r="AF3779">
        <f>IFERROR(__xludf.DUMMYFUNCTION("VALUE(REGEXREPLACE(G3779,""[^[:digit:]]"", """"))"),966.0)</f>
        <v>966</v>
      </c>
      <c r="AG3779" s="7"/>
      <c r="AH3779" s="7"/>
      <c r="AI3779" s="7"/>
      <c r="AJ3779" s="7"/>
      <c r="AK3779" s="7"/>
      <c r="AL3779" s="7"/>
      <c r="AM3779" s="7"/>
      <c r="AN3779" s="7"/>
      <c r="AO3779" s="7"/>
      <c r="AP3779" s="7"/>
      <c r="AQ3779" s="7"/>
      <c r="AR3779" s="7"/>
    </row>
    <row r="3780">
      <c r="A3780" s="7" t="s">
        <v>100</v>
      </c>
      <c r="B3780" s="7" t="s">
        <v>2468</v>
      </c>
      <c r="C3780" s="7">
        <f t="shared" si="515"/>
        <v>3</v>
      </c>
      <c r="D3780" s="7">
        <v>3.0</v>
      </c>
      <c r="E3780" s="7">
        <v>2.0</v>
      </c>
      <c r="F3780" s="7" t="s">
        <v>83</v>
      </c>
      <c r="G3780" s="7" t="s">
        <v>1688</v>
      </c>
      <c r="H3780" s="9" t="s">
        <v>2979</v>
      </c>
      <c r="I3780" t="s">
        <v>3858</v>
      </c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  <c r="AA3780" s="7"/>
      <c r="AB3780" s="7"/>
      <c r="AC3780" s="7"/>
      <c r="AD3780" s="7" t="str">
        <f t="shared" si="1"/>
        <v>Built-up :</v>
      </c>
      <c r="AE3780" s="7" t="str">
        <f t="shared" si="2"/>
        <v> sq. ft.</v>
      </c>
      <c r="AF3780">
        <f>IFERROR(__xludf.DUMMYFUNCTION("VALUE(REGEXREPLACE(G3780,""[^[:digit:]]"", """"))"),1250.0)</f>
        <v>1250</v>
      </c>
      <c r="AG3780" s="7"/>
      <c r="AH3780" s="7"/>
      <c r="AI3780" s="7"/>
      <c r="AJ3780" s="7"/>
      <c r="AK3780" s="7"/>
      <c r="AL3780" s="7"/>
      <c r="AM3780" s="7"/>
      <c r="AN3780" s="7"/>
      <c r="AO3780" s="7"/>
      <c r="AP3780" s="7"/>
      <c r="AQ3780" s="7"/>
      <c r="AR3780" s="7"/>
    </row>
    <row r="3781">
      <c r="A3781" s="7" t="s">
        <v>100</v>
      </c>
      <c r="B3781" s="7" t="s">
        <v>268</v>
      </c>
      <c r="C3781" s="7">
        <f t="shared" si="515"/>
        <v>3</v>
      </c>
      <c r="D3781" s="7">
        <v>3.0</v>
      </c>
      <c r="E3781" s="7">
        <v>2.0</v>
      </c>
      <c r="F3781" s="7" t="s">
        <v>83</v>
      </c>
      <c r="G3781" s="7" t="s">
        <v>1688</v>
      </c>
      <c r="H3781" s="9" t="s">
        <v>2979</v>
      </c>
      <c r="I3781" t="s">
        <v>3858</v>
      </c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  <c r="AA3781" s="7"/>
      <c r="AB3781" s="7"/>
      <c r="AC3781" s="7"/>
      <c r="AD3781" s="7" t="str">
        <f t="shared" si="1"/>
        <v>Built-up :</v>
      </c>
      <c r="AE3781" s="7" t="str">
        <f t="shared" si="2"/>
        <v> sq. ft.</v>
      </c>
      <c r="AF3781">
        <f>IFERROR(__xludf.DUMMYFUNCTION("VALUE(REGEXREPLACE(G3781,""[^[:digit:]]"", """"))"),1250.0)</f>
        <v>1250</v>
      </c>
      <c r="AG3781" s="7"/>
      <c r="AH3781" s="7"/>
      <c r="AI3781" s="7"/>
      <c r="AJ3781" s="7"/>
      <c r="AK3781" s="7"/>
      <c r="AL3781" s="7"/>
      <c r="AM3781" s="7"/>
      <c r="AN3781" s="7"/>
      <c r="AO3781" s="7"/>
      <c r="AP3781" s="7"/>
      <c r="AQ3781" s="7"/>
      <c r="AR3781" s="7"/>
    </row>
    <row r="3782">
      <c r="A3782" s="7" t="s">
        <v>262</v>
      </c>
      <c r="B3782" s="7" t="s">
        <v>263</v>
      </c>
      <c r="C3782" s="7">
        <f>5+1</f>
        <v>6</v>
      </c>
      <c r="D3782" s="7">
        <v>5.0</v>
      </c>
      <c r="E3782" s="9">
        <v>2.0</v>
      </c>
      <c r="F3782" s="7" t="s">
        <v>61</v>
      </c>
      <c r="G3782" s="7" t="s">
        <v>2469</v>
      </c>
      <c r="H3782" s="9" t="s">
        <v>2981</v>
      </c>
      <c r="I3782" t="s">
        <v>4336</v>
      </c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  <c r="AA3782" s="7"/>
      <c r="AB3782" s="7"/>
      <c r="AC3782" s="7"/>
      <c r="AD3782" s="7" t="str">
        <f t="shared" si="1"/>
        <v>Land area </v>
      </c>
      <c r="AE3782" s="7" t="str">
        <f t="shared" si="2"/>
        <v> sq. ft.</v>
      </c>
      <c r="AF3782">
        <f>IFERROR(__xludf.DUMMYFUNCTION("VALUE(REGEXREPLACE(G3782,""[^[:digit:]]"", """"))"),9907.0)</f>
        <v>9907</v>
      </c>
      <c r="AG3782" s="7"/>
      <c r="AH3782" s="7"/>
      <c r="AI3782" s="7"/>
      <c r="AJ3782" s="7"/>
      <c r="AK3782" s="7"/>
      <c r="AL3782" s="7"/>
      <c r="AM3782" s="7"/>
      <c r="AN3782" s="7"/>
      <c r="AO3782" s="7"/>
      <c r="AP3782" s="7"/>
      <c r="AQ3782" s="7"/>
      <c r="AR3782" s="7"/>
      <c r="AS3782" s="7" t="s">
        <v>27</v>
      </c>
    </row>
    <row r="3783">
      <c r="A3783" s="7" t="s">
        <v>72</v>
      </c>
      <c r="B3783" s="7" t="s">
        <v>610</v>
      </c>
      <c r="C3783" s="7">
        <f>3+1</f>
        <v>4</v>
      </c>
      <c r="D3783" s="7">
        <v>4.0</v>
      </c>
      <c r="E3783" s="7">
        <v>4.0</v>
      </c>
      <c r="F3783" s="7" t="s">
        <v>83</v>
      </c>
      <c r="G3783" s="7" t="s">
        <v>2228</v>
      </c>
      <c r="H3783" s="9" t="s">
        <v>2979</v>
      </c>
      <c r="I3783" t="s">
        <v>4196</v>
      </c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  <c r="AA3783" s="7"/>
      <c r="AB3783" s="7"/>
      <c r="AC3783" s="7"/>
      <c r="AD3783" s="7" t="str">
        <f t="shared" si="1"/>
        <v>Built-up :</v>
      </c>
      <c r="AE3783" s="7" t="str">
        <f t="shared" si="2"/>
        <v> sq. ft.</v>
      </c>
      <c r="AF3783">
        <f>IFERROR(__xludf.DUMMYFUNCTION("VALUE(REGEXREPLACE(G3783,""[^[:digit:]]"", """"))"),3732.0)</f>
        <v>3732</v>
      </c>
      <c r="AG3783" s="7"/>
      <c r="AH3783" s="7"/>
      <c r="AI3783" s="7"/>
      <c r="AJ3783" s="7"/>
      <c r="AK3783" s="7"/>
      <c r="AL3783" s="7"/>
      <c r="AM3783" s="7"/>
      <c r="AN3783" s="7"/>
      <c r="AO3783" s="7"/>
      <c r="AP3783" s="7"/>
      <c r="AQ3783" s="7"/>
      <c r="AR3783" s="7"/>
      <c r="AS3783" s="7" t="s">
        <v>27</v>
      </c>
    </row>
    <row r="3784">
      <c r="A3784" s="7" t="s">
        <v>17</v>
      </c>
      <c r="B3784" s="7" t="s">
        <v>359</v>
      </c>
      <c r="C3784" s="7">
        <f>1</f>
        <v>1</v>
      </c>
      <c r="D3784" s="7">
        <v>1.0</v>
      </c>
      <c r="E3784" s="7">
        <v>1.0</v>
      </c>
      <c r="F3784" s="7" t="s">
        <v>83</v>
      </c>
      <c r="G3784" s="7" t="s">
        <v>1582</v>
      </c>
      <c r="H3784" s="9" t="s">
        <v>2979</v>
      </c>
      <c r="I3784" t="s">
        <v>3792</v>
      </c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  <c r="AA3784" s="7"/>
      <c r="AB3784" s="7"/>
      <c r="AC3784" s="7"/>
      <c r="AD3784" s="7" t="str">
        <f t="shared" si="1"/>
        <v>Built-up :</v>
      </c>
      <c r="AE3784" s="7" t="str">
        <f t="shared" si="2"/>
        <v> sq. ft.</v>
      </c>
      <c r="AF3784">
        <f>IFERROR(__xludf.DUMMYFUNCTION("VALUE(REGEXREPLACE(G3784,""[^[:digit:]]"", """"))"),913.0)</f>
        <v>913</v>
      </c>
      <c r="AG3784" s="7"/>
      <c r="AH3784" s="7"/>
      <c r="AI3784" s="7"/>
      <c r="AJ3784" s="7"/>
      <c r="AK3784" s="7"/>
      <c r="AL3784" s="7"/>
      <c r="AM3784" s="7"/>
      <c r="AN3784" s="7"/>
      <c r="AO3784" s="7"/>
      <c r="AP3784" s="7"/>
      <c r="AQ3784" s="7"/>
      <c r="AR3784" s="7"/>
      <c r="AS3784" s="7" t="s">
        <v>22</v>
      </c>
    </row>
    <row r="3785">
      <c r="A3785" s="7" t="s">
        <v>17</v>
      </c>
      <c r="B3785" s="7" t="s">
        <v>120</v>
      </c>
      <c r="C3785" s="7">
        <f>3+1</f>
        <v>4</v>
      </c>
      <c r="D3785" s="7">
        <v>5.0</v>
      </c>
      <c r="E3785" s="7">
        <v>2.0</v>
      </c>
      <c r="F3785" s="7" t="s">
        <v>20</v>
      </c>
      <c r="G3785" s="7" t="s">
        <v>122</v>
      </c>
      <c r="H3785" s="9" t="s">
        <v>2979</v>
      </c>
      <c r="I3785" t="s">
        <v>3016</v>
      </c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  <c r="AA3785" s="7"/>
      <c r="AB3785" s="7"/>
      <c r="AC3785" s="7"/>
      <c r="AD3785" s="7" t="str">
        <f t="shared" si="1"/>
        <v>Built-up :</v>
      </c>
      <c r="AE3785" s="7" t="str">
        <f t="shared" si="2"/>
        <v> sq. ft.</v>
      </c>
      <c r="AF3785">
        <f>IFERROR(__xludf.DUMMYFUNCTION("VALUE(REGEXREPLACE(G3785,""[^[:digit:]]"", """"))"),3897.0)</f>
        <v>3897</v>
      </c>
      <c r="AG3785" s="7"/>
      <c r="AH3785" s="7"/>
      <c r="AI3785" s="7"/>
      <c r="AJ3785" s="7"/>
      <c r="AK3785" s="7"/>
      <c r="AL3785" s="7"/>
      <c r="AM3785" s="7"/>
      <c r="AN3785" s="7"/>
      <c r="AO3785" s="7"/>
      <c r="AP3785" s="7"/>
      <c r="AQ3785" s="7"/>
      <c r="AR3785" s="7"/>
      <c r="AS3785" s="7" t="s">
        <v>27</v>
      </c>
    </row>
    <row r="3786">
      <c r="A3786" s="7" t="s">
        <v>17</v>
      </c>
      <c r="B3786" s="7" t="s">
        <v>110</v>
      </c>
      <c r="C3786" s="7">
        <f>2</f>
        <v>2</v>
      </c>
      <c r="D3786" s="7">
        <v>2.0</v>
      </c>
      <c r="E3786" s="9">
        <v>2.0</v>
      </c>
      <c r="F3786" s="7" t="s">
        <v>83</v>
      </c>
      <c r="G3786" s="7" t="s">
        <v>323</v>
      </c>
      <c r="H3786" s="9" t="s">
        <v>2979</v>
      </c>
      <c r="I3786" t="s">
        <v>3108</v>
      </c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  <c r="AA3786" s="7"/>
      <c r="AB3786" s="7"/>
      <c r="AC3786" s="7"/>
      <c r="AD3786" s="7" t="str">
        <f t="shared" si="1"/>
        <v>Built-up :</v>
      </c>
      <c r="AE3786" s="7" t="str">
        <f t="shared" si="2"/>
        <v> sq. ft.</v>
      </c>
      <c r="AF3786">
        <f>IFERROR(__xludf.DUMMYFUNCTION("VALUE(REGEXREPLACE(G3786,""[^[:digit:]]"", """"))"),915.0)</f>
        <v>915</v>
      </c>
      <c r="AG3786" s="7"/>
      <c r="AH3786" s="7"/>
      <c r="AI3786" s="7"/>
      <c r="AJ3786" s="7"/>
      <c r="AK3786" s="7"/>
      <c r="AL3786" s="7"/>
      <c r="AM3786" s="7"/>
      <c r="AN3786" s="7"/>
      <c r="AO3786" s="7"/>
      <c r="AP3786" s="7"/>
      <c r="AQ3786" s="7"/>
      <c r="AR3786" s="7"/>
      <c r="AS3786" s="7" t="s">
        <v>22</v>
      </c>
    </row>
    <row r="3787">
      <c r="A3787" s="7" t="s">
        <v>177</v>
      </c>
      <c r="B3787" s="7" t="s">
        <v>530</v>
      </c>
      <c r="C3787" s="7">
        <f>7+1</f>
        <v>8</v>
      </c>
      <c r="D3787" s="7">
        <v>6.0</v>
      </c>
      <c r="E3787" s="7">
        <v>5.0</v>
      </c>
      <c r="F3787" s="7" t="s">
        <v>25</v>
      </c>
      <c r="G3787" s="7" t="s">
        <v>2470</v>
      </c>
      <c r="H3787" s="9" t="s">
        <v>2981</v>
      </c>
      <c r="I3787" t="s">
        <v>4337</v>
      </c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  <c r="AA3787" s="7"/>
      <c r="AB3787" s="7"/>
      <c r="AC3787" s="7"/>
      <c r="AD3787" s="7" t="str">
        <f t="shared" si="1"/>
        <v>Land area </v>
      </c>
      <c r="AE3787" s="7" t="str">
        <f t="shared" si="2"/>
        <v> sq. ft.</v>
      </c>
      <c r="AF3787">
        <f>IFERROR(__xludf.DUMMYFUNCTION("VALUE(REGEXREPLACE(G3787,""[^[:digit:]]"", """"))"),5270.0)</f>
        <v>5270</v>
      </c>
      <c r="AG3787" s="7"/>
      <c r="AH3787" s="7"/>
      <c r="AI3787" s="7"/>
      <c r="AJ3787" s="7"/>
      <c r="AK3787" s="7"/>
      <c r="AL3787" s="7"/>
      <c r="AM3787" s="7"/>
      <c r="AN3787" s="7"/>
      <c r="AO3787" s="7"/>
      <c r="AP3787" s="7"/>
      <c r="AQ3787" s="7"/>
      <c r="AR3787" s="7"/>
      <c r="AS3787" s="7" t="s">
        <v>27</v>
      </c>
    </row>
    <row r="3788">
      <c r="A3788" s="7" t="s">
        <v>23</v>
      </c>
      <c r="B3788" s="7" t="s">
        <v>127</v>
      </c>
      <c r="C3788" s="7">
        <f>4+1</f>
        <v>5</v>
      </c>
      <c r="D3788" s="7">
        <v>5.0</v>
      </c>
      <c r="E3788" s="9">
        <v>2.0</v>
      </c>
      <c r="F3788" s="7" t="s">
        <v>25</v>
      </c>
      <c r="G3788" s="7" t="s">
        <v>2471</v>
      </c>
      <c r="H3788" s="9" t="s">
        <v>2981</v>
      </c>
      <c r="I3788" t="s">
        <v>4338</v>
      </c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  <c r="AA3788" s="7"/>
      <c r="AB3788" s="7"/>
      <c r="AC3788" s="7"/>
      <c r="AD3788" s="7" t="str">
        <f t="shared" si="1"/>
        <v>Land area </v>
      </c>
      <c r="AE3788" s="7" t="str">
        <f t="shared" si="2"/>
        <v> sq. ft.</v>
      </c>
      <c r="AF3788">
        <f>IFERROR(__xludf.DUMMYFUNCTION("VALUE(REGEXREPLACE(G3788,""[^[:digit:]]"", """"))"),5300.0)</f>
        <v>5300</v>
      </c>
      <c r="AG3788" s="7"/>
      <c r="AH3788" s="7"/>
      <c r="AI3788" s="7"/>
      <c r="AJ3788" s="7"/>
      <c r="AK3788" s="7"/>
      <c r="AL3788" s="7"/>
      <c r="AM3788" s="7"/>
      <c r="AN3788" s="7"/>
      <c r="AO3788" s="7"/>
      <c r="AP3788" s="7"/>
      <c r="AQ3788" s="7"/>
      <c r="AR3788" s="7"/>
      <c r="AS3788" s="7" t="s">
        <v>27</v>
      </c>
    </row>
    <row r="3789">
      <c r="A3789" s="7" t="s">
        <v>72</v>
      </c>
      <c r="B3789" s="7" t="s">
        <v>967</v>
      </c>
      <c r="C3789" s="7">
        <f>1</f>
        <v>1</v>
      </c>
      <c r="D3789" s="7">
        <v>1.0</v>
      </c>
      <c r="E3789" s="7">
        <v>1.0</v>
      </c>
      <c r="F3789" s="7" t="s">
        <v>20</v>
      </c>
      <c r="G3789" s="7" t="s">
        <v>753</v>
      </c>
      <c r="H3789" s="9" t="s">
        <v>2979</v>
      </c>
      <c r="I3789" t="s">
        <v>3319</v>
      </c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  <c r="AA3789" s="7"/>
      <c r="AB3789" s="7"/>
      <c r="AC3789" s="7"/>
      <c r="AD3789" s="7" t="str">
        <f t="shared" si="1"/>
        <v>Built-up :</v>
      </c>
      <c r="AE3789" s="7" t="str">
        <f t="shared" si="2"/>
        <v> sq. ft.</v>
      </c>
      <c r="AF3789">
        <f>IFERROR(__xludf.DUMMYFUNCTION("VALUE(REGEXREPLACE(G3789,""[^[:digit:]]"", """"))"),743.0)</f>
        <v>743</v>
      </c>
      <c r="AG3789" s="7"/>
      <c r="AH3789" s="7"/>
      <c r="AI3789" s="7"/>
      <c r="AJ3789" s="7"/>
      <c r="AK3789" s="7"/>
      <c r="AL3789" s="7"/>
      <c r="AM3789" s="7"/>
      <c r="AN3789" s="7"/>
      <c r="AO3789" s="7"/>
      <c r="AP3789" s="7"/>
      <c r="AQ3789" s="7"/>
      <c r="AR3789" s="7"/>
      <c r="AS3789" s="7" t="s">
        <v>22</v>
      </c>
    </row>
    <row r="3790">
      <c r="A3790" s="7" t="s">
        <v>109</v>
      </c>
      <c r="B3790" s="7" t="s">
        <v>967</v>
      </c>
      <c r="C3790" s="7">
        <f>3</f>
        <v>3</v>
      </c>
      <c r="D3790" s="7">
        <v>2.0</v>
      </c>
      <c r="E3790" s="7">
        <v>2.0</v>
      </c>
      <c r="F3790" s="7" t="s">
        <v>30</v>
      </c>
      <c r="G3790" s="7" t="s">
        <v>471</v>
      </c>
      <c r="H3790" s="9" t="s">
        <v>2979</v>
      </c>
      <c r="I3790" t="s">
        <v>3179</v>
      </c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  <c r="AA3790" s="7"/>
      <c r="AB3790" s="7"/>
      <c r="AC3790" s="7"/>
      <c r="AD3790" s="7" t="str">
        <f t="shared" si="1"/>
        <v>Built-up :</v>
      </c>
      <c r="AE3790" s="7" t="str">
        <f t="shared" si="2"/>
        <v> sq. ft.</v>
      </c>
      <c r="AF3790">
        <f>IFERROR(__xludf.DUMMYFUNCTION("VALUE(REGEXREPLACE(G3790,""[^[:digit:]]"", """"))"),1400.0)</f>
        <v>1400</v>
      </c>
      <c r="AG3790" s="7"/>
      <c r="AH3790" s="7"/>
      <c r="AI3790" s="7"/>
      <c r="AJ3790" s="7"/>
      <c r="AK3790" s="7"/>
      <c r="AL3790" s="7"/>
      <c r="AM3790" s="7"/>
      <c r="AN3790" s="7"/>
      <c r="AO3790" s="7"/>
      <c r="AP3790" s="7"/>
      <c r="AQ3790" s="7"/>
      <c r="AR3790" s="7"/>
    </row>
    <row r="3791">
      <c r="A3791" s="7" t="s">
        <v>432</v>
      </c>
      <c r="B3791" s="7" t="s">
        <v>1825</v>
      </c>
      <c r="C3791" s="7">
        <f>6</f>
        <v>6</v>
      </c>
      <c r="D3791" s="7">
        <v>6.0</v>
      </c>
      <c r="E3791" s="9">
        <v>2.0</v>
      </c>
      <c r="F3791" s="7" t="s">
        <v>67</v>
      </c>
      <c r="G3791" s="7" t="s">
        <v>2472</v>
      </c>
      <c r="H3791" s="9" t="s">
        <v>2979</v>
      </c>
      <c r="I3791" t="s">
        <v>4339</v>
      </c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  <c r="AA3791" s="7"/>
      <c r="AB3791" s="7"/>
      <c r="AC3791" s="7"/>
      <c r="AD3791" s="7" t="str">
        <f t="shared" si="1"/>
        <v>Built-up :</v>
      </c>
      <c r="AE3791" s="7" t="str">
        <f t="shared" si="2"/>
        <v> sq. ft.</v>
      </c>
      <c r="AF3791">
        <f>IFERROR(__xludf.DUMMYFUNCTION("VALUE(REGEXREPLACE(G3791,""[^[:digit:]]"", """"))"),5540.0)</f>
        <v>5540</v>
      </c>
      <c r="AG3791" s="7"/>
      <c r="AH3791" s="7"/>
      <c r="AI3791" s="7"/>
      <c r="AJ3791" s="7"/>
      <c r="AK3791" s="7"/>
      <c r="AL3791" s="7"/>
      <c r="AM3791" s="7"/>
      <c r="AN3791" s="7"/>
      <c r="AO3791" s="7"/>
      <c r="AP3791" s="7"/>
      <c r="AQ3791" s="7"/>
      <c r="AR3791" s="7"/>
      <c r="AS3791" s="7" t="s">
        <v>27</v>
      </c>
    </row>
    <row r="3792">
      <c r="A3792" s="7" t="s">
        <v>155</v>
      </c>
      <c r="B3792" s="7" t="s">
        <v>755</v>
      </c>
      <c r="C3792" s="7">
        <f>3+1</f>
        <v>4</v>
      </c>
      <c r="D3792" s="7">
        <v>3.0</v>
      </c>
      <c r="E3792" s="7">
        <v>2.0</v>
      </c>
      <c r="F3792" s="7" t="s">
        <v>93</v>
      </c>
      <c r="G3792" s="7" t="s">
        <v>1651</v>
      </c>
      <c r="H3792" s="9" t="s">
        <v>2979</v>
      </c>
      <c r="I3792" t="s">
        <v>3835</v>
      </c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  <c r="AA3792" s="7"/>
      <c r="AB3792" s="7"/>
      <c r="AC3792" s="7"/>
      <c r="AD3792" s="7" t="str">
        <f t="shared" si="1"/>
        <v>Built-up :</v>
      </c>
      <c r="AE3792" s="7" t="str">
        <f t="shared" si="2"/>
        <v> sq. ft.</v>
      </c>
      <c r="AF3792">
        <f>IFERROR(__xludf.DUMMYFUNCTION("VALUE(REGEXREPLACE(G3792,""[^[:digit:]]"", """"))"),1554.0)</f>
        <v>1554</v>
      </c>
      <c r="AG3792" s="7"/>
      <c r="AH3792" s="7"/>
      <c r="AI3792" s="7"/>
      <c r="AJ3792" s="7"/>
      <c r="AK3792" s="7"/>
      <c r="AL3792" s="7"/>
      <c r="AM3792" s="7"/>
      <c r="AN3792" s="7"/>
      <c r="AO3792" s="7"/>
      <c r="AP3792" s="7"/>
      <c r="AQ3792" s="7"/>
      <c r="AR3792" s="7"/>
      <c r="AS3792" s="7" t="s">
        <v>27</v>
      </c>
    </row>
    <row r="3793">
      <c r="A3793" s="7" t="s">
        <v>155</v>
      </c>
      <c r="B3793" s="7" t="s">
        <v>620</v>
      </c>
      <c r="C3793" s="7">
        <f>3</f>
        <v>3</v>
      </c>
      <c r="D3793" s="7">
        <v>3.0</v>
      </c>
      <c r="E3793" s="7">
        <v>2.0</v>
      </c>
      <c r="F3793" s="7" t="s">
        <v>30</v>
      </c>
      <c r="G3793" s="7" t="s">
        <v>630</v>
      </c>
      <c r="H3793" s="9" t="s">
        <v>2979</v>
      </c>
      <c r="I3793" t="s">
        <v>3257</v>
      </c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  <c r="AA3793" s="7"/>
      <c r="AB3793" s="7"/>
      <c r="AC3793" s="7"/>
      <c r="AD3793" s="7" t="str">
        <f t="shared" si="1"/>
        <v>Built-up :</v>
      </c>
      <c r="AE3793" s="7" t="str">
        <f t="shared" si="2"/>
        <v> sq. ft.</v>
      </c>
      <c r="AF3793">
        <f>IFERROR(__xludf.DUMMYFUNCTION("VALUE(REGEXREPLACE(G3793,""[^[:digit:]]"", """"))"),1186.0)</f>
        <v>1186</v>
      </c>
      <c r="AG3793" s="7"/>
      <c r="AH3793" s="7"/>
      <c r="AI3793" s="7"/>
      <c r="AJ3793" s="7"/>
      <c r="AK3793" s="7"/>
      <c r="AL3793" s="7"/>
      <c r="AM3793" s="7"/>
      <c r="AN3793" s="7"/>
      <c r="AO3793" s="7"/>
      <c r="AP3793" s="7"/>
      <c r="AQ3793" s="7"/>
      <c r="AR3793" s="7"/>
      <c r="AS3793" s="7" t="s">
        <v>27</v>
      </c>
    </row>
    <row r="3794">
      <c r="A3794" s="7" t="s">
        <v>1315</v>
      </c>
      <c r="B3794" s="7" t="s">
        <v>1479</v>
      </c>
      <c r="E3794" s="9">
        <v>2.0</v>
      </c>
      <c r="F3794" s="7" t="s">
        <v>2473</v>
      </c>
      <c r="G3794" s="7" t="s">
        <v>2474</v>
      </c>
      <c r="H3794" s="9" t="s">
        <v>2979</v>
      </c>
      <c r="I3794" t="s">
        <v>4340</v>
      </c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  <c r="AA3794" s="7"/>
      <c r="AB3794" s="7"/>
      <c r="AC3794" s="7"/>
      <c r="AD3794" s="7" t="str">
        <f t="shared" si="1"/>
        <v>Built-up :</v>
      </c>
      <c r="AE3794" s="7" t="str">
        <f t="shared" si="2"/>
        <v> sq. ft.</v>
      </c>
      <c r="AF3794">
        <f>IFERROR(__xludf.DUMMYFUNCTION("VALUE(REGEXREPLACE(G3794,""[^[:digit:]]"", """"))"),54200.0)</f>
        <v>54200</v>
      </c>
      <c r="AG3794" s="7"/>
      <c r="AH3794" s="7"/>
      <c r="AI3794" s="7"/>
      <c r="AJ3794" s="7"/>
      <c r="AK3794" s="7"/>
      <c r="AL3794" s="7"/>
      <c r="AM3794" s="7"/>
      <c r="AN3794" s="7"/>
      <c r="AO3794" s="7"/>
      <c r="AP3794" s="7"/>
      <c r="AQ3794" s="7"/>
      <c r="AR3794" s="7"/>
    </row>
    <row r="3795">
      <c r="A3795" s="7" t="s">
        <v>177</v>
      </c>
      <c r="B3795" s="7" t="s">
        <v>158</v>
      </c>
      <c r="C3795" s="7">
        <f>4</f>
        <v>4</v>
      </c>
      <c r="D3795" s="7">
        <v>3.0</v>
      </c>
      <c r="E3795" s="9">
        <v>2.0</v>
      </c>
      <c r="F3795" s="7" t="s">
        <v>169</v>
      </c>
      <c r="G3795" s="7" t="s">
        <v>719</v>
      </c>
      <c r="H3795" s="9" t="s">
        <v>2981</v>
      </c>
      <c r="I3795" t="s">
        <v>3299</v>
      </c>
      <c r="J3795" s="7"/>
      <c r="K3795" s="7"/>
      <c r="L3795" s="7"/>
      <c r="M3795" s="7"/>
      <c r="N3795" s="7"/>
      <c r="O3795" s="7"/>
      <c r="P3795" s="7"/>
      <c r="Q3795" s="7"/>
      <c r="R3795" s="7"/>
      <c r="S3795" s="7" t="s">
        <v>3101</v>
      </c>
      <c r="T3795" s="7"/>
      <c r="U3795" s="7"/>
      <c r="V3795" s="7"/>
      <c r="W3795" s="7"/>
      <c r="X3795" s="7"/>
      <c r="Y3795" s="7"/>
      <c r="Z3795" s="7"/>
      <c r="AA3795" s="7"/>
      <c r="AB3795" s="7"/>
      <c r="AC3795" s="7"/>
      <c r="AD3795" s="7" t="str">
        <f t="shared" si="1"/>
        <v>Land area </v>
      </c>
      <c r="AE3795" s="7" t="str">
        <f t="shared" si="2"/>
        <v> sq. ft.</v>
      </c>
      <c r="AF3795">
        <f>IFERROR(__xludf.DUMMYFUNCTION("VALUE(REGEXREPLACE(G3795,""[^[:digit:]]"", """"))"),2285.0)</f>
        <v>2285</v>
      </c>
      <c r="AG3795" s="7"/>
      <c r="AH3795" s="7"/>
      <c r="AI3795" s="7"/>
      <c r="AJ3795" s="7"/>
      <c r="AK3795" s="7"/>
      <c r="AL3795" s="7"/>
      <c r="AM3795" s="7"/>
      <c r="AN3795" s="7"/>
      <c r="AO3795" s="7"/>
      <c r="AP3795" s="7"/>
      <c r="AQ3795" s="7"/>
      <c r="AR3795" s="7"/>
      <c r="AS3795" s="7" t="s">
        <v>27</v>
      </c>
    </row>
    <row r="3796">
      <c r="A3796" s="7" t="s">
        <v>100</v>
      </c>
      <c r="B3796" s="7" t="s">
        <v>206</v>
      </c>
      <c r="C3796" s="7">
        <f>3+2</f>
        <v>5</v>
      </c>
      <c r="D3796" s="7">
        <v>4.0</v>
      </c>
      <c r="E3796" s="7">
        <v>2.0</v>
      </c>
      <c r="F3796" s="7" t="s">
        <v>93</v>
      </c>
      <c r="G3796" s="7" t="s">
        <v>1190</v>
      </c>
      <c r="H3796" s="9" t="s">
        <v>2979</v>
      </c>
      <c r="I3796" t="s">
        <v>3568</v>
      </c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  <c r="AA3796" s="7"/>
      <c r="AB3796" s="7"/>
      <c r="AC3796" s="7"/>
      <c r="AD3796" s="7" t="str">
        <f t="shared" si="1"/>
        <v>Built-up :</v>
      </c>
      <c r="AE3796" s="7" t="str">
        <f t="shared" si="2"/>
        <v> sq. ft.</v>
      </c>
      <c r="AF3796">
        <f>IFERROR(__xludf.DUMMYFUNCTION("VALUE(REGEXREPLACE(G3796,""[^[:digit:]]"", """"))"),1710.0)</f>
        <v>1710</v>
      </c>
      <c r="AG3796" s="7"/>
      <c r="AH3796" s="7"/>
      <c r="AI3796" s="7"/>
      <c r="AJ3796" s="7"/>
      <c r="AK3796" s="7"/>
      <c r="AL3796" s="7"/>
      <c r="AM3796" s="7"/>
      <c r="AN3796" s="7"/>
      <c r="AO3796" s="7"/>
      <c r="AP3796" s="7"/>
      <c r="AQ3796" s="7"/>
      <c r="AR3796" s="7"/>
      <c r="AS3796" s="7" t="s">
        <v>27</v>
      </c>
    </row>
    <row r="3797">
      <c r="A3797" s="7" t="s">
        <v>72</v>
      </c>
      <c r="B3797" s="7" t="s">
        <v>42</v>
      </c>
      <c r="C3797" s="7">
        <f>4+1</f>
        <v>5</v>
      </c>
      <c r="D3797" s="7">
        <v>5.0</v>
      </c>
      <c r="E3797" s="7">
        <v>3.0</v>
      </c>
      <c r="F3797" s="7" t="s">
        <v>30</v>
      </c>
      <c r="G3797" s="7" t="s">
        <v>115</v>
      </c>
      <c r="H3797" s="9" t="s">
        <v>2979</v>
      </c>
      <c r="I3797" t="s">
        <v>3013</v>
      </c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  <c r="AA3797" s="7"/>
      <c r="AB3797" s="7"/>
      <c r="AC3797" s="7"/>
      <c r="AD3797" s="7" t="str">
        <f t="shared" si="1"/>
        <v>Built-up :</v>
      </c>
      <c r="AE3797" s="7" t="str">
        <f t="shared" si="2"/>
        <v> sq. ft.</v>
      </c>
      <c r="AF3797">
        <f>IFERROR(__xludf.DUMMYFUNCTION("VALUE(REGEXREPLACE(G3797,""[^[:digit:]]"", """"))"),2702.0)</f>
        <v>2702</v>
      </c>
      <c r="AG3797" s="7"/>
      <c r="AH3797" s="7"/>
      <c r="AI3797" s="7"/>
      <c r="AJ3797" s="7"/>
      <c r="AK3797" s="7"/>
      <c r="AL3797" s="7"/>
      <c r="AM3797" s="7"/>
      <c r="AN3797" s="7"/>
      <c r="AO3797" s="7"/>
      <c r="AP3797" s="7"/>
      <c r="AQ3797" s="7"/>
      <c r="AR3797" s="7"/>
      <c r="AS3797" s="7" t="s">
        <v>27</v>
      </c>
    </row>
    <row r="3798">
      <c r="A3798" s="7" t="s">
        <v>72</v>
      </c>
      <c r="B3798" s="7" t="s">
        <v>422</v>
      </c>
      <c r="C3798" s="7">
        <f>3+1</f>
        <v>4</v>
      </c>
      <c r="D3798" s="7">
        <v>4.0</v>
      </c>
      <c r="E3798" s="7">
        <v>3.0</v>
      </c>
      <c r="F3798" s="7" t="s">
        <v>121</v>
      </c>
      <c r="G3798" s="7" t="s">
        <v>1295</v>
      </c>
      <c r="H3798" s="9" t="s">
        <v>2979</v>
      </c>
      <c r="I3798" t="s">
        <v>3629</v>
      </c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  <c r="AA3798" s="7"/>
      <c r="AB3798" s="7"/>
      <c r="AC3798" s="7"/>
      <c r="AD3798" s="7" t="str">
        <f t="shared" si="1"/>
        <v>Built-up :</v>
      </c>
      <c r="AE3798" s="7" t="str">
        <f t="shared" si="2"/>
        <v> sq. ft.</v>
      </c>
      <c r="AF3798">
        <f>IFERROR(__xludf.DUMMYFUNCTION("VALUE(REGEXREPLACE(G3798,""[^[:digit:]]"", """"))"),1991.0)</f>
        <v>1991</v>
      </c>
      <c r="AG3798" s="7"/>
      <c r="AH3798" s="7"/>
      <c r="AI3798" s="7"/>
      <c r="AJ3798" s="7"/>
      <c r="AK3798" s="7"/>
      <c r="AL3798" s="7"/>
      <c r="AM3798" s="7"/>
      <c r="AN3798" s="7"/>
      <c r="AO3798" s="7"/>
      <c r="AP3798" s="7"/>
      <c r="AQ3798" s="7"/>
      <c r="AR3798" s="7"/>
    </row>
    <row r="3799">
      <c r="A3799" s="7" t="s">
        <v>28</v>
      </c>
      <c r="B3799" s="7" t="s">
        <v>563</v>
      </c>
      <c r="C3799" s="7">
        <f>3</f>
        <v>3</v>
      </c>
      <c r="D3799" s="7">
        <v>2.0</v>
      </c>
      <c r="E3799" s="7">
        <v>2.0</v>
      </c>
      <c r="F3799" s="7" t="s">
        <v>30</v>
      </c>
      <c r="G3799" s="7" t="s">
        <v>892</v>
      </c>
      <c r="H3799" s="9" t="s">
        <v>2979</v>
      </c>
      <c r="I3799" t="s">
        <v>3391</v>
      </c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  <c r="AA3799" s="7"/>
      <c r="AB3799" s="7"/>
      <c r="AC3799" s="7"/>
      <c r="AD3799" s="7" t="str">
        <f t="shared" si="1"/>
        <v>Built-up :</v>
      </c>
      <c r="AE3799" s="7" t="str">
        <f t="shared" si="2"/>
        <v> sq. ft.</v>
      </c>
      <c r="AF3799">
        <f>IFERROR(__xludf.DUMMYFUNCTION("VALUE(REGEXREPLACE(G3799,""[^[:digit:]]"", """"))"),1098.0)</f>
        <v>1098</v>
      </c>
      <c r="AG3799" s="7"/>
      <c r="AH3799" s="7"/>
      <c r="AI3799" s="7"/>
      <c r="AJ3799" s="7"/>
      <c r="AK3799" s="7"/>
      <c r="AL3799" s="7"/>
      <c r="AM3799" s="7"/>
      <c r="AN3799" s="7"/>
      <c r="AO3799" s="7"/>
      <c r="AP3799" s="7"/>
      <c r="AQ3799" s="7"/>
      <c r="AR3799" s="7"/>
      <c r="AS3799" s="7" t="s">
        <v>22</v>
      </c>
    </row>
    <row r="3800">
      <c r="A3800" s="7" t="s">
        <v>72</v>
      </c>
      <c r="B3800" s="7" t="s">
        <v>399</v>
      </c>
      <c r="C3800" s="7">
        <f>3+1</f>
        <v>4</v>
      </c>
      <c r="D3800" s="7">
        <v>4.0</v>
      </c>
      <c r="E3800" s="7">
        <v>2.0</v>
      </c>
      <c r="F3800" s="7" t="s">
        <v>83</v>
      </c>
      <c r="G3800" s="7" t="s">
        <v>119</v>
      </c>
      <c r="H3800" s="9" t="s">
        <v>2979</v>
      </c>
      <c r="I3800" t="s">
        <v>3015</v>
      </c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  <c r="AA3800" s="7"/>
      <c r="AB3800" s="7"/>
      <c r="AC3800" s="7"/>
      <c r="AD3800" s="7" t="str">
        <f t="shared" si="1"/>
        <v>Built-up :</v>
      </c>
      <c r="AE3800" s="7" t="str">
        <f t="shared" si="2"/>
        <v> sq. ft.</v>
      </c>
      <c r="AF3800">
        <f>IFERROR(__xludf.DUMMYFUNCTION("VALUE(REGEXREPLACE(G3800,""[^[:digit:]]"", """"))"),2020.0)</f>
        <v>2020</v>
      </c>
      <c r="AG3800" s="7"/>
      <c r="AH3800" s="7"/>
      <c r="AI3800" s="7"/>
      <c r="AJ3800" s="7"/>
      <c r="AK3800" s="7"/>
      <c r="AL3800" s="7"/>
      <c r="AM3800" s="7"/>
      <c r="AN3800" s="7"/>
      <c r="AO3800" s="7"/>
      <c r="AP3800" s="7"/>
      <c r="AQ3800" s="7"/>
      <c r="AR3800" s="7"/>
    </row>
    <row r="3801">
      <c r="A3801" s="7" t="s">
        <v>100</v>
      </c>
      <c r="B3801" s="7" t="s">
        <v>951</v>
      </c>
      <c r="C3801" s="7">
        <f>3</f>
        <v>3</v>
      </c>
      <c r="D3801" s="7">
        <v>2.0</v>
      </c>
      <c r="E3801" s="7">
        <v>1.0</v>
      </c>
      <c r="F3801" s="7" t="s">
        <v>93</v>
      </c>
      <c r="G3801" s="7" t="s">
        <v>2475</v>
      </c>
      <c r="H3801" s="9" t="s">
        <v>2981</v>
      </c>
      <c r="I3801" t="s">
        <v>4341</v>
      </c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  <c r="AA3801" s="7"/>
      <c r="AB3801" s="7"/>
      <c r="AC3801" s="7"/>
      <c r="AD3801" s="7" t="str">
        <f t="shared" si="1"/>
        <v>Land area </v>
      </c>
      <c r="AE3801" s="7" t="str">
        <f t="shared" si="2"/>
        <v> sq. ft.</v>
      </c>
      <c r="AF3801">
        <f>IFERROR(__xludf.DUMMYFUNCTION("VALUE(REGEXREPLACE(G3801,""[^[:digit:]]"", """"))"),1010.0)</f>
        <v>1010</v>
      </c>
      <c r="AG3801" s="7"/>
      <c r="AH3801" s="7"/>
      <c r="AI3801" s="7"/>
      <c r="AJ3801" s="7"/>
      <c r="AK3801" s="7"/>
      <c r="AL3801" s="7"/>
      <c r="AM3801" s="7"/>
      <c r="AN3801" s="7"/>
      <c r="AO3801" s="7"/>
      <c r="AP3801" s="7"/>
      <c r="AQ3801" s="7"/>
      <c r="AR3801" s="7"/>
    </row>
    <row r="3802">
      <c r="A3802" s="7" t="s">
        <v>2476</v>
      </c>
      <c r="B3802" s="7" t="s">
        <v>2477</v>
      </c>
      <c r="E3802" s="9">
        <v>2.0</v>
      </c>
      <c r="F3802" s="7" t="s">
        <v>2473</v>
      </c>
      <c r="G3802" s="7" t="s">
        <v>252</v>
      </c>
      <c r="H3802" s="9" t="s">
        <v>2979</v>
      </c>
      <c r="I3802" t="s">
        <v>3077</v>
      </c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  <c r="AA3802" s="7"/>
      <c r="AB3802" s="7"/>
      <c r="AC3802" s="7"/>
      <c r="AD3802" s="7" t="str">
        <f t="shared" si="1"/>
        <v>Built-up :</v>
      </c>
      <c r="AE3802" s="7" t="str">
        <f t="shared" si="2"/>
        <v> sq. ft.</v>
      </c>
      <c r="AF3802">
        <f>IFERROR(__xludf.DUMMYFUNCTION("VALUE(REGEXREPLACE(G3802,""[^[:digit:]]"", """"))"),657.0)</f>
        <v>657</v>
      </c>
      <c r="AG3802" s="7"/>
      <c r="AH3802" s="7"/>
      <c r="AI3802" s="7"/>
      <c r="AJ3802" s="7"/>
      <c r="AK3802" s="7"/>
      <c r="AL3802" s="7"/>
      <c r="AM3802" s="7"/>
      <c r="AN3802" s="7"/>
      <c r="AO3802" s="7"/>
      <c r="AP3802" s="7"/>
      <c r="AQ3802" s="7"/>
      <c r="AR3802" s="7"/>
    </row>
    <row r="3803">
      <c r="A3803" s="7" t="s">
        <v>72</v>
      </c>
      <c r="B3803" s="7" t="s">
        <v>255</v>
      </c>
      <c r="C3803" s="7">
        <f>5+1</f>
        <v>6</v>
      </c>
      <c r="D3803" s="7">
        <v>6.0</v>
      </c>
      <c r="E3803" s="9">
        <v>2.0</v>
      </c>
      <c r="F3803" s="7" t="s">
        <v>25</v>
      </c>
      <c r="G3803" s="7" t="s">
        <v>1644</v>
      </c>
      <c r="H3803" s="9" t="s">
        <v>2981</v>
      </c>
      <c r="I3803" t="s">
        <v>3831</v>
      </c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  <c r="AA3803" s="7"/>
      <c r="AB3803" s="7"/>
      <c r="AC3803" s="7"/>
      <c r="AD3803" s="7" t="str">
        <f t="shared" si="1"/>
        <v>Land area </v>
      </c>
      <c r="AE3803" s="7" t="str">
        <f t="shared" si="2"/>
        <v> sq. ft.</v>
      </c>
      <c r="AF3803">
        <f>IFERROR(__xludf.DUMMYFUNCTION("VALUE(REGEXREPLACE(G3803,""[^[:digit:]]"", """"))"),3000.0)</f>
        <v>3000</v>
      </c>
      <c r="AG3803" s="7"/>
      <c r="AH3803" s="7"/>
      <c r="AI3803" s="7"/>
      <c r="AJ3803" s="7"/>
      <c r="AK3803" s="7"/>
      <c r="AL3803" s="7"/>
      <c r="AM3803" s="7"/>
      <c r="AN3803" s="7"/>
      <c r="AO3803" s="7"/>
      <c r="AP3803" s="7"/>
      <c r="AQ3803" s="7"/>
      <c r="AR3803" s="7"/>
      <c r="AS3803" s="7" t="s">
        <v>27</v>
      </c>
    </row>
    <row r="3804">
      <c r="A3804" s="7" t="s">
        <v>86</v>
      </c>
      <c r="B3804" s="7" t="s">
        <v>1349</v>
      </c>
      <c r="C3804" s="7">
        <f t="shared" ref="C3804:C3805" si="516">3</f>
        <v>3</v>
      </c>
      <c r="D3804" s="7">
        <v>2.0</v>
      </c>
      <c r="E3804" s="7">
        <v>2.0</v>
      </c>
      <c r="F3804" s="7" t="s">
        <v>93</v>
      </c>
      <c r="G3804" s="7" t="s">
        <v>303</v>
      </c>
      <c r="H3804" s="9" t="s">
        <v>2979</v>
      </c>
      <c r="I3804" t="s">
        <v>3099</v>
      </c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  <c r="AA3804" s="7"/>
      <c r="AB3804" s="7"/>
      <c r="AC3804" s="7"/>
      <c r="AD3804" s="7" t="str">
        <f t="shared" si="1"/>
        <v>Built-up :</v>
      </c>
      <c r="AE3804" s="7" t="str">
        <f t="shared" si="2"/>
        <v> sq. ft.</v>
      </c>
      <c r="AF3804">
        <f>IFERROR(__xludf.DUMMYFUNCTION("VALUE(REGEXREPLACE(G3804,""[^[:digit:]]"", """"))"),1485.0)</f>
        <v>1485</v>
      </c>
      <c r="AG3804" s="7"/>
      <c r="AH3804" s="7"/>
      <c r="AI3804" s="7"/>
      <c r="AJ3804" s="7"/>
      <c r="AK3804" s="7"/>
      <c r="AL3804" s="7"/>
      <c r="AM3804" s="7"/>
      <c r="AN3804" s="7"/>
      <c r="AO3804" s="7"/>
      <c r="AP3804" s="7"/>
      <c r="AQ3804" s="7"/>
      <c r="AR3804" s="7"/>
      <c r="AS3804" s="7" t="s">
        <v>22</v>
      </c>
    </row>
    <row r="3805">
      <c r="A3805" s="7" t="s">
        <v>17</v>
      </c>
      <c r="B3805" s="7" t="s">
        <v>2478</v>
      </c>
      <c r="C3805" s="7">
        <f t="shared" si="516"/>
        <v>3</v>
      </c>
      <c r="D3805" s="7">
        <v>3.0</v>
      </c>
      <c r="E3805" s="7">
        <v>2.0</v>
      </c>
      <c r="F3805" s="7" t="s">
        <v>121</v>
      </c>
      <c r="G3805" s="7" t="s">
        <v>1136</v>
      </c>
      <c r="H3805" s="9" t="s">
        <v>2979</v>
      </c>
      <c r="I3805" t="s">
        <v>3527</v>
      </c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  <c r="AA3805" s="7"/>
      <c r="AB3805" s="7"/>
      <c r="AC3805" s="7"/>
      <c r="AD3805" s="7" t="str">
        <f t="shared" si="1"/>
        <v>Built-up :</v>
      </c>
      <c r="AE3805" s="7" t="str">
        <f t="shared" si="2"/>
        <v> sq. ft.</v>
      </c>
      <c r="AF3805">
        <f>IFERROR(__xludf.DUMMYFUNCTION("VALUE(REGEXREPLACE(G3805,""[^[:digit:]]"", """"))"),1786.0)</f>
        <v>1786</v>
      </c>
      <c r="AG3805" s="7"/>
      <c r="AH3805" s="7"/>
      <c r="AI3805" s="7"/>
      <c r="AJ3805" s="7"/>
      <c r="AK3805" s="7"/>
      <c r="AL3805" s="7"/>
      <c r="AM3805" s="7"/>
      <c r="AN3805" s="7"/>
      <c r="AO3805" s="7"/>
      <c r="AP3805" s="7"/>
      <c r="AQ3805" s="7"/>
      <c r="AR3805" s="7"/>
      <c r="AS3805" s="7" t="s">
        <v>27</v>
      </c>
    </row>
    <row r="3806">
      <c r="A3806" s="7" t="s">
        <v>171</v>
      </c>
      <c r="B3806" s="7" t="s">
        <v>969</v>
      </c>
      <c r="C3806" s="7">
        <f>4</f>
        <v>4</v>
      </c>
      <c r="D3806" s="7">
        <v>2.0</v>
      </c>
      <c r="E3806" s="7">
        <v>2.0</v>
      </c>
      <c r="F3806" s="7" t="s">
        <v>30</v>
      </c>
      <c r="G3806" s="7" t="s">
        <v>1681</v>
      </c>
      <c r="H3806" s="9" t="s">
        <v>2979</v>
      </c>
      <c r="I3806" t="s">
        <v>3852</v>
      </c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  <c r="AA3806" s="7"/>
      <c r="AB3806" s="7"/>
      <c r="AC3806" s="7"/>
      <c r="AD3806" s="7" t="str">
        <f t="shared" si="1"/>
        <v>Built-up :</v>
      </c>
      <c r="AE3806" s="7" t="str">
        <f t="shared" si="2"/>
        <v> sq. ft.</v>
      </c>
      <c r="AF3806">
        <f>IFERROR(__xludf.DUMMYFUNCTION("VALUE(REGEXREPLACE(G3806,""[^[:digit:]]"", """"))"),1272.0)</f>
        <v>1272</v>
      </c>
      <c r="AG3806" s="7"/>
      <c r="AH3806" s="7"/>
      <c r="AI3806" s="7"/>
      <c r="AJ3806" s="7"/>
      <c r="AK3806" s="7"/>
      <c r="AL3806" s="7"/>
      <c r="AM3806" s="7"/>
      <c r="AN3806" s="7"/>
      <c r="AO3806" s="7"/>
      <c r="AP3806" s="7"/>
      <c r="AQ3806" s="7"/>
      <c r="AR3806" s="7"/>
      <c r="AS3806" s="7" t="s">
        <v>27</v>
      </c>
    </row>
    <row r="3807">
      <c r="A3807" s="7" t="s">
        <v>89</v>
      </c>
      <c r="B3807" s="7" t="s">
        <v>2479</v>
      </c>
      <c r="C3807" s="7">
        <f t="shared" ref="C3807:C3808" si="517">3</f>
        <v>3</v>
      </c>
      <c r="D3807" s="7">
        <v>2.0</v>
      </c>
      <c r="E3807" s="7">
        <v>2.0</v>
      </c>
      <c r="F3807" s="7" t="s">
        <v>83</v>
      </c>
      <c r="G3807" s="7" t="s">
        <v>884</v>
      </c>
      <c r="H3807" s="9" t="s">
        <v>2979</v>
      </c>
      <c r="I3807" t="s">
        <v>3387</v>
      </c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  <c r="AA3807" s="7"/>
      <c r="AB3807" s="7"/>
      <c r="AC3807" s="7"/>
      <c r="AD3807" s="7" t="str">
        <f t="shared" si="1"/>
        <v>Built-up :</v>
      </c>
      <c r="AE3807" s="7" t="str">
        <f t="shared" si="2"/>
        <v> sq. ft.</v>
      </c>
      <c r="AF3807">
        <f>IFERROR(__xludf.DUMMYFUNCTION("VALUE(REGEXREPLACE(G3807,""[^[:digit:]]"", """"))"),1260.0)</f>
        <v>1260</v>
      </c>
      <c r="AG3807" s="7"/>
      <c r="AH3807" s="7"/>
      <c r="AI3807" s="7"/>
      <c r="AJ3807" s="7"/>
      <c r="AK3807" s="7"/>
      <c r="AL3807" s="7"/>
      <c r="AM3807" s="7"/>
      <c r="AN3807" s="7"/>
      <c r="AO3807" s="7"/>
      <c r="AP3807" s="7"/>
      <c r="AQ3807" s="7"/>
      <c r="AR3807" s="7"/>
      <c r="AS3807" s="7" t="s">
        <v>27</v>
      </c>
    </row>
    <row r="3808">
      <c r="A3808" s="7" t="s">
        <v>32</v>
      </c>
      <c r="B3808" s="7" t="s">
        <v>1601</v>
      </c>
      <c r="C3808" s="7">
        <f t="shared" si="517"/>
        <v>3</v>
      </c>
      <c r="D3808" s="7">
        <v>2.0</v>
      </c>
      <c r="E3808" s="7">
        <v>1.0</v>
      </c>
      <c r="F3808" s="7" t="s">
        <v>503</v>
      </c>
      <c r="G3808" s="7" t="s">
        <v>1759</v>
      </c>
      <c r="H3808" s="9" t="s">
        <v>2979</v>
      </c>
      <c r="I3808" t="s">
        <v>3908</v>
      </c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  <c r="AA3808" s="7"/>
      <c r="AB3808" s="7"/>
      <c r="AC3808" s="7"/>
      <c r="AD3808" s="7" t="str">
        <f t="shared" si="1"/>
        <v>Built-up :</v>
      </c>
      <c r="AE3808" s="7" t="str">
        <f t="shared" si="2"/>
        <v> sq. ft.</v>
      </c>
      <c r="AF3808">
        <f>IFERROR(__xludf.DUMMYFUNCTION("VALUE(REGEXREPLACE(G3808,""[^[:digit:]]"", """"))"),840.0)</f>
        <v>840</v>
      </c>
      <c r="AG3808" s="7"/>
      <c r="AH3808" s="7"/>
      <c r="AI3808" s="7"/>
      <c r="AJ3808" s="7"/>
      <c r="AK3808" s="7"/>
      <c r="AL3808" s="7"/>
      <c r="AM3808" s="7"/>
      <c r="AN3808" s="7"/>
      <c r="AO3808" s="7"/>
      <c r="AP3808" s="7"/>
      <c r="AQ3808" s="7"/>
      <c r="AR3808" s="7"/>
      <c r="AS3808" s="7" t="s">
        <v>27</v>
      </c>
    </row>
    <row r="3809">
      <c r="A3809" s="7" t="s">
        <v>48</v>
      </c>
      <c r="B3809" s="7" t="s">
        <v>281</v>
      </c>
      <c r="C3809" s="7">
        <f>6</f>
        <v>6</v>
      </c>
      <c r="D3809" s="7">
        <v>6.0</v>
      </c>
      <c r="E3809" s="9">
        <v>2.0</v>
      </c>
      <c r="F3809" s="7" t="s">
        <v>64</v>
      </c>
      <c r="G3809" s="7" t="s">
        <v>2480</v>
      </c>
      <c r="H3809" s="9" t="s">
        <v>2981</v>
      </c>
      <c r="I3809" t="s">
        <v>3331</v>
      </c>
      <c r="J3809" s="7"/>
      <c r="K3809" s="7"/>
      <c r="L3809" s="7"/>
      <c r="M3809" s="7"/>
      <c r="N3809" s="7"/>
      <c r="O3809" s="7"/>
      <c r="P3809" s="7"/>
      <c r="Q3809" s="7"/>
      <c r="R3809" s="7"/>
      <c r="S3809" s="7" t="s">
        <v>4342</v>
      </c>
      <c r="T3809" s="7"/>
      <c r="U3809" s="7"/>
      <c r="V3809" s="7"/>
      <c r="W3809" s="7"/>
      <c r="X3809" s="7"/>
      <c r="Y3809" s="7"/>
      <c r="Z3809" s="7"/>
      <c r="AA3809" s="7"/>
      <c r="AB3809" s="7"/>
      <c r="AC3809" s="7"/>
      <c r="AD3809" s="7" t="str">
        <f t="shared" si="1"/>
        <v>Land area </v>
      </c>
      <c r="AE3809" s="7" t="str">
        <f t="shared" si="2"/>
        <v> sq. ft.</v>
      </c>
      <c r="AF3809">
        <f>IFERROR(__xludf.DUMMYFUNCTION("VALUE(REGEXREPLACE(G3809,""[^[:digit:]]"", """"))"),40120.0)</f>
        <v>40120</v>
      </c>
      <c r="AG3809" s="7"/>
      <c r="AH3809" s="7"/>
      <c r="AI3809" s="7"/>
      <c r="AJ3809" s="7"/>
      <c r="AK3809" s="7"/>
      <c r="AL3809" s="7"/>
      <c r="AM3809" s="7"/>
      <c r="AN3809" s="7"/>
      <c r="AO3809" s="7"/>
      <c r="AP3809" s="7"/>
      <c r="AQ3809" s="7"/>
      <c r="AR3809" s="7"/>
      <c r="AS3809" s="7" t="s">
        <v>27</v>
      </c>
    </row>
    <row r="3810">
      <c r="A3810" s="7" t="s">
        <v>432</v>
      </c>
      <c r="B3810" s="7" t="s">
        <v>351</v>
      </c>
      <c r="C3810" s="7">
        <f t="shared" ref="C3810:C3811" si="518">4+1</f>
        <v>5</v>
      </c>
      <c r="D3810" s="7">
        <v>6.0</v>
      </c>
      <c r="E3810" s="7">
        <v>3.0</v>
      </c>
      <c r="F3810" s="7" t="s">
        <v>83</v>
      </c>
      <c r="G3810" s="7" t="s">
        <v>1626</v>
      </c>
      <c r="H3810" s="9" t="s">
        <v>2979</v>
      </c>
      <c r="I3810" t="s">
        <v>3819</v>
      </c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  <c r="AA3810" s="7"/>
      <c r="AB3810" s="7"/>
      <c r="AC3810" s="7"/>
      <c r="AD3810" s="7" t="str">
        <f t="shared" si="1"/>
        <v>Built-up :</v>
      </c>
      <c r="AE3810" s="7" t="str">
        <f t="shared" si="2"/>
        <v> sq. ft.</v>
      </c>
      <c r="AF3810">
        <f>IFERROR(__xludf.DUMMYFUNCTION("VALUE(REGEXREPLACE(G3810,""[^[:digit:]]"", """"))"),3983.0)</f>
        <v>3983</v>
      </c>
      <c r="AG3810" s="7"/>
      <c r="AH3810" s="7"/>
      <c r="AI3810" s="7"/>
      <c r="AJ3810" s="7"/>
      <c r="AK3810" s="7"/>
      <c r="AL3810" s="7"/>
      <c r="AM3810" s="7"/>
      <c r="AN3810" s="7"/>
      <c r="AO3810" s="7"/>
      <c r="AP3810" s="7"/>
      <c r="AQ3810" s="7"/>
      <c r="AR3810" s="7"/>
    </row>
    <row r="3811">
      <c r="A3811" s="7" t="s">
        <v>432</v>
      </c>
      <c r="B3811" s="7" t="s">
        <v>534</v>
      </c>
      <c r="C3811" s="7">
        <f t="shared" si="518"/>
        <v>5</v>
      </c>
      <c r="D3811" s="7">
        <v>6.0</v>
      </c>
      <c r="E3811" s="7">
        <v>3.0</v>
      </c>
      <c r="F3811" s="7" t="s">
        <v>83</v>
      </c>
      <c r="G3811" s="7" t="s">
        <v>1626</v>
      </c>
      <c r="H3811" s="9" t="s">
        <v>2979</v>
      </c>
      <c r="I3811" t="s">
        <v>3819</v>
      </c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  <c r="AA3811" s="7"/>
      <c r="AB3811" s="7"/>
      <c r="AC3811" s="7"/>
      <c r="AD3811" s="7" t="str">
        <f t="shared" si="1"/>
        <v>Built-up :</v>
      </c>
      <c r="AE3811" s="7" t="str">
        <f t="shared" si="2"/>
        <v> sq. ft.</v>
      </c>
      <c r="AF3811">
        <f>IFERROR(__xludf.DUMMYFUNCTION("VALUE(REGEXREPLACE(G3811,""[^[:digit:]]"", """"))"),3983.0)</f>
        <v>3983</v>
      </c>
      <c r="AG3811" s="7"/>
      <c r="AH3811" s="7"/>
      <c r="AI3811" s="7"/>
      <c r="AJ3811" s="7"/>
      <c r="AK3811" s="7"/>
      <c r="AL3811" s="7"/>
      <c r="AM3811" s="7"/>
      <c r="AN3811" s="7"/>
      <c r="AO3811" s="7"/>
      <c r="AP3811" s="7"/>
      <c r="AQ3811" s="7"/>
      <c r="AR3811" s="7"/>
    </row>
    <row r="3812">
      <c r="A3812" s="7" t="s">
        <v>65</v>
      </c>
      <c r="B3812" s="7" t="s">
        <v>407</v>
      </c>
      <c r="C3812" s="7">
        <f>2</f>
        <v>2</v>
      </c>
      <c r="D3812" s="7">
        <v>2.0</v>
      </c>
      <c r="E3812" s="7">
        <v>2.0</v>
      </c>
      <c r="F3812" s="7" t="s">
        <v>83</v>
      </c>
      <c r="G3812" s="7" t="s">
        <v>2481</v>
      </c>
      <c r="H3812" s="9" t="s">
        <v>2979</v>
      </c>
      <c r="I3812" t="s">
        <v>4343</v>
      </c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  <c r="AA3812" s="7"/>
      <c r="AB3812" s="7"/>
      <c r="AC3812" s="7"/>
      <c r="AD3812" s="7" t="str">
        <f t="shared" si="1"/>
        <v>Built-up :</v>
      </c>
      <c r="AE3812" s="7" t="str">
        <f t="shared" si="2"/>
        <v> sq. ft.</v>
      </c>
      <c r="AF3812">
        <f>IFERROR(__xludf.DUMMYFUNCTION("VALUE(REGEXREPLACE(G3812,""[^[:digit:]]"", """"))"),893.0)</f>
        <v>893</v>
      </c>
      <c r="AG3812" s="7"/>
      <c r="AH3812" s="7"/>
      <c r="AI3812" s="7"/>
      <c r="AJ3812" s="7"/>
      <c r="AK3812" s="7"/>
      <c r="AL3812" s="7"/>
      <c r="AM3812" s="7"/>
      <c r="AN3812" s="7"/>
      <c r="AO3812" s="7"/>
      <c r="AP3812" s="7"/>
      <c r="AQ3812" s="7"/>
      <c r="AR3812" s="7"/>
      <c r="AS3812" s="7" t="s">
        <v>22</v>
      </c>
    </row>
    <row r="3813">
      <c r="A3813" s="7" t="s">
        <v>52</v>
      </c>
      <c r="B3813" s="7" t="s">
        <v>2482</v>
      </c>
      <c r="C3813" s="7">
        <f>8+1</f>
        <v>9</v>
      </c>
      <c r="D3813" s="7">
        <v>10.0</v>
      </c>
      <c r="E3813" s="7">
        <v>6.0</v>
      </c>
      <c r="F3813" s="7" t="s">
        <v>67</v>
      </c>
      <c r="G3813" s="7" t="s">
        <v>2483</v>
      </c>
      <c r="H3813" s="9" t="s">
        <v>2981</v>
      </c>
      <c r="I3813" t="s">
        <v>4344</v>
      </c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  <c r="AA3813" s="7"/>
      <c r="AB3813" s="7"/>
      <c r="AC3813" s="7"/>
      <c r="AD3813" s="7" t="str">
        <f t="shared" si="1"/>
        <v>Land area </v>
      </c>
      <c r="AE3813" s="7" t="str">
        <f t="shared" si="2"/>
        <v> sq. ft.</v>
      </c>
      <c r="AF3813">
        <f>IFERROR(__xludf.DUMMYFUNCTION("VALUE(REGEXREPLACE(G3813,""[^[:digit:]]"", """"))"),30000.0)</f>
        <v>30000</v>
      </c>
      <c r="AG3813" s="7"/>
      <c r="AH3813" s="7"/>
      <c r="AI3813" s="7"/>
      <c r="AJ3813" s="7"/>
      <c r="AK3813" s="7"/>
      <c r="AL3813" s="7"/>
      <c r="AM3813" s="7"/>
      <c r="AN3813" s="7"/>
      <c r="AO3813" s="7"/>
      <c r="AP3813" s="7"/>
      <c r="AQ3813" s="7"/>
      <c r="AR3813" s="7"/>
      <c r="AS3813" s="7" t="s">
        <v>22</v>
      </c>
    </row>
    <row r="3814">
      <c r="A3814" s="7" t="s">
        <v>72</v>
      </c>
      <c r="B3814" s="7" t="s">
        <v>526</v>
      </c>
      <c r="C3814" s="7">
        <f t="shared" ref="C3814:C3815" si="519">3+1</f>
        <v>4</v>
      </c>
      <c r="D3814" s="7">
        <v>3.0</v>
      </c>
      <c r="E3814" s="7">
        <v>3.0</v>
      </c>
      <c r="F3814" s="7" t="s">
        <v>83</v>
      </c>
      <c r="G3814" s="7" t="s">
        <v>2484</v>
      </c>
      <c r="H3814" s="9" t="s">
        <v>2979</v>
      </c>
      <c r="I3814" t="s">
        <v>4345</v>
      </c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  <c r="AA3814" s="7"/>
      <c r="AB3814" s="7"/>
      <c r="AC3814" s="7"/>
      <c r="AD3814" s="7" t="str">
        <f t="shared" si="1"/>
        <v>Built-up :</v>
      </c>
      <c r="AE3814" s="7" t="str">
        <f t="shared" si="2"/>
        <v> sq. ft.</v>
      </c>
      <c r="AF3814">
        <f>IFERROR(__xludf.DUMMYFUNCTION("VALUE(REGEXREPLACE(G3814,""[^[:digit:]]"", """"))"),1839.0)</f>
        <v>1839</v>
      </c>
      <c r="AG3814" s="7"/>
      <c r="AH3814" s="7"/>
      <c r="AI3814" s="7"/>
      <c r="AJ3814" s="7"/>
      <c r="AK3814" s="7"/>
      <c r="AL3814" s="7"/>
      <c r="AM3814" s="7"/>
      <c r="AN3814" s="7"/>
      <c r="AO3814" s="7"/>
      <c r="AP3814" s="7"/>
      <c r="AQ3814" s="7"/>
      <c r="AR3814" s="7"/>
      <c r="AS3814" s="7" t="s">
        <v>27</v>
      </c>
    </row>
    <row r="3815">
      <c r="A3815" s="7" t="s">
        <v>72</v>
      </c>
      <c r="B3815" s="7" t="s">
        <v>1135</v>
      </c>
      <c r="C3815" s="7">
        <f t="shared" si="519"/>
        <v>4</v>
      </c>
      <c r="D3815" s="7">
        <v>3.0</v>
      </c>
      <c r="E3815" s="7">
        <v>2.0</v>
      </c>
      <c r="F3815" s="7" t="s">
        <v>83</v>
      </c>
      <c r="G3815" s="7" t="s">
        <v>2484</v>
      </c>
      <c r="H3815" s="9" t="s">
        <v>2979</v>
      </c>
      <c r="I3815" t="s">
        <v>4345</v>
      </c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  <c r="AA3815" s="7"/>
      <c r="AB3815" s="7"/>
      <c r="AC3815" s="7"/>
      <c r="AD3815" s="7" t="str">
        <f t="shared" si="1"/>
        <v>Built-up :</v>
      </c>
      <c r="AE3815" s="7" t="str">
        <f t="shared" si="2"/>
        <v> sq. ft.</v>
      </c>
      <c r="AF3815">
        <f>IFERROR(__xludf.DUMMYFUNCTION("VALUE(REGEXREPLACE(G3815,""[^[:digit:]]"", """"))"),1839.0)</f>
        <v>1839</v>
      </c>
      <c r="AG3815" s="7"/>
      <c r="AH3815" s="7"/>
      <c r="AI3815" s="7"/>
      <c r="AJ3815" s="7"/>
      <c r="AK3815" s="7"/>
      <c r="AL3815" s="7"/>
      <c r="AM3815" s="7"/>
      <c r="AN3815" s="7"/>
      <c r="AO3815" s="7"/>
      <c r="AP3815" s="7"/>
      <c r="AQ3815" s="7"/>
      <c r="AR3815" s="7"/>
      <c r="AS3815" s="7" t="s">
        <v>27</v>
      </c>
    </row>
    <row r="3816">
      <c r="A3816" s="7" t="s">
        <v>72</v>
      </c>
      <c r="B3816" s="7" t="s">
        <v>1328</v>
      </c>
      <c r="C3816" s="7">
        <f>2+1</f>
        <v>3</v>
      </c>
      <c r="D3816" s="7">
        <v>2.0</v>
      </c>
      <c r="E3816" s="7">
        <v>2.0</v>
      </c>
      <c r="F3816" s="7" t="s">
        <v>93</v>
      </c>
      <c r="G3816" s="7" t="s">
        <v>2485</v>
      </c>
      <c r="H3816" s="9" t="s">
        <v>2979</v>
      </c>
      <c r="I3816" t="s">
        <v>4346</v>
      </c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  <c r="AA3816" s="7"/>
      <c r="AB3816" s="7"/>
      <c r="AC3816" s="7"/>
      <c r="AD3816" s="7" t="str">
        <f t="shared" si="1"/>
        <v>Built-up :</v>
      </c>
      <c r="AE3816" s="7" t="str">
        <f t="shared" si="2"/>
        <v> sq. ft.</v>
      </c>
      <c r="AF3816">
        <f>IFERROR(__xludf.DUMMYFUNCTION("VALUE(REGEXREPLACE(G3816,""[^[:digit:]]"", """"))"),940.0)</f>
        <v>940</v>
      </c>
      <c r="AG3816" s="7"/>
      <c r="AH3816" s="7"/>
      <c r="AI3816" s="7"/>
      <c r="AJ3816" s="7"/>
      <c r="AK3816" s="7"/>
      <c r="AL3816" s="7"/>
      <c r="AM3816" s="7"/>
      <c r="AN3816" s="7"/>
      <c r="AO3816" s="7"/>
      <c r="AP3816" s="7"/>
      <c r="AQ3816" s="7"/>
      <c r="AR3816" s="7"/>
      <c r="AS3816" s="7" t="s">
        <v>103</v>
      </c>
    </row>
    <row r="3817">
      <c r="A3817" s="7" t="s">
        <v>267</v>
      </c>
      <c r="B3817" s="7" t="s">
        <v>1318</v>
      </c>
      <c r="C3817" s="7">
        <f>1</f>
        <v>1</v>
      </c>
      <c r="D3817" s="7">
        <v>1.0</v>
      </c>
      <c r="E3817" s="7">
        <v>1.0</v>
      </c>
      <c r="F3817" s="7" t="s">
        <v>20</v>
      </c>
      <c r="G3817" s="7" t="s">
        <v>1207</v>
      </c>
      <c r="H3817" s="9" t="s">
        <v>2979</v>
      </c>
      <c r="I3817" t="s">
        <v>3576</v>
      </c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  <c r="AA3817" s="7"/>
      <c r="AB3817" s="7"/>
      <c r="AC3817" s="7"/>
      <c r="AD3817" s="7" t="str">
        <f t="shared" si="1"/>
        <v>Built-up :</v>
      </c>
      <c r="AE3817" s="7" t="str">
        <f t="shared" si="2"/>
        <v> sq. ft.</v>
      </c>
      <c r="AF3817">
        <f>IFERROR(__xludf.DUMMYFUNCTION("VALUE(REGEXREPLACE(G3817,""[^[:digit:]]"", """"))"),578.0)</f>
        <v>578</v>
      </c>
      <c r="AG3817" s="7"/>
      <c r="AH3817" s="7"/>
      <c r="AI3817" s="7"/>
      <c r="AJ3817" s="7"/>
      <c r="AK3817" s="7"/>
      <c r="AL3817" s="7"/>
      <c r="AM3817" s="7"/>
      <c r="AN3817" s="7"/>
      <c r="AO3817" s="7"/>
      <c r="AP3817" s="7"/>
      <c r="AQ3817" s="7"/>
      <c r="AR3817" s="7"/>
      <c r="AS3817" s="7" t="s">
        <v>22</v>
      </c>
    </row>
    <row r="3818">
      <c r="A3818" s="7" t="s">
        <v>171</v>
      </c>
      <c r="B3818" s="7" t="s">
        <v>174</v>
      </c>
      <c r="C3818" s="7">
        <f>5</f>
        <v>5</v>
      </c>
      <c r="D3818" s="7">
        <v>4.0</v>
      </c>
      <c r="E3818" s="7">
        <v>4.0</v>
      </c>
      <c r="F3818" s="7" t="s">
        <v>25</v>
      </c>
      <c r="G3818" s="7" t="s">
        <v>696</v>
      </c>
      <c r="H3818" s="9" t="s">
        <v>2981</v>
      </c>
      <c r="I3818" t="s">
        <v>3288</v>
      </c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  <c r="AA3818" s="7"/>
      <c r="AB3818" s="7"/>
      <c r="AC3818" s="7"/>
      <c r="AD3818" s="7" t="str">
        <f t="shared" si="1"/>
        <v>Land area </v>
      </c>
      <c r="AE3818" s="7" t="str">
        <f t="shared" si="2"/>
        <v> sq. ft.</v>
      </c>
      <c r="AF3818">
        <f>IFERROR(__xludf.DUMMYFUNCTION("VALUE(REGEXREPLACE(G3818,""[^[:digit:]]"", """"))"),8000.0)</f>
        <v>8000</v>
      </c>
      <c r="AG3818" s="7"/>
      <c r="AH3818" s="7"/>
      <c r="AI3818" s="7"/>
      <c r="AJ3818" s="7"/>
      <c r="AK3818" s="7"/>
      <c r="AL3818" s="7"/>
      <c r="AM3818" s="7"/>
      <c r="AN3818" s="7"/>
      <c r="AO3818" s="7"/>
      <c r="AP3818" s="7"/>
      <c r="AQ3818" s="7"/>
      <c r="AR3818" s="7"/>
      <c r="AS3818" s="7" t="s">
        <v>27</v>
      </c>
    </row>
    <row r="3819">
      <c r="A3819" s="7" t="s">
        <v>17</v>
      </c>
      <c r="B3819" s="7" t="s">
        <v>277</v>
      </c>
      <c r="C3819" s="7">
        <f t="shared" ref="C3819:C3821" si="520">3</f>
        <v>3</v>
      </c>
      <c r="D3819" s="7">
        <v>2.0</v>
      </c>
      <c r="E3819" s="7">
        <v>1.0</v>
      </c>
      <c r="F3819" s="7" t="s">
        <v>20</v>
      </c>
      <c r="G3819" s="7" t="s">
        <v>1500</v>
      </c>
      <c r="H3819" s="9" t="s">
        <v>2979</v>
      </c>
      <c r="I3819" t="s">
        <v>3746</v>
      </c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  <c r="AA3819" s="7"/>
      <c r="AB3819" s="7"/>
      <c r="AC3819" s="7"/>
      <c r="AD3819" s="7" t="str">
        <f t="shared" si="1"/>
        <v>Built-up :</v>
      </c>
      <c r="AE3819" s="7" t="str">
        <f t="shared" si="2"/>
        <v> sq. ft.</v>
      </c>
      <c r="AF3819">
        <f>IFERROR(__xludf.DUMMYFUNCTION("VALUE(REGEXREPLACE(G3819,""[^[:digit:]]"", """"))"),1240.0)</f>
        <v>1240</v>
      </c>
      <c r="AG3819" s="7"/>
      <c r="AH3819" s="7"/>
      <c r="AI3819" s="7"/>
      <c r="AJ3819" s="7"/>
      <c r="AK3819" s="7"/>
      <c r="AL3819" s="7"/>
      <c r="AM3819" s="7"/>
      <c r="AN3819" s="7"/>
      <c r="AO3819" s="7"/>
      <c r="AP3819" s="7"/>
      <c r="AQ3819" s="7"/>
      <c r="AR3819" s="7"/>
      <c r="AS3819" s="7" t="s">
        <v>27</v>
      </c>
    </row>
    <row r="3820">
      <c r="A3820" s="7" t="s">
        <v>171</v>
      </c>
      <c r="B3820" s="7" t="s">
        <v>691</v>
      </c>
      <c r="C3820" s="7">
        <f t="shared" si="520"/>
        <v>3</v>
      </c>
      <c r="D3820" s="7">
        <v>2.0</v>
      </c>
      <c r="E3820" s="7">
        <v>1.0</v>
      </c>
      <c r="F3820" s="7" t="s">
        <v>20</v>
      </c>
      <c r="G3820" s="7" t="s">
        <v>1319</v>
      </c>
      <c r="H3820" s="9" t="s">
        <v>2979</v>
      </c>
      <c r="I3820" t="s">
        <v>3642</v>
      </c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  <c r="AA3820" s="7"/>
      <c r="AB3820" s="7"/>
      <c r="AC3820" s="7"/>
      <c r="AD3820" s="7" t="str">
        <f t="shared" si="1"/>
        <v>Built-up :</v>
      </c>
      <c r="AE3820" s="7" t="str">
        <f t="shared" si="2"/>
        <v> sq. ft.</v>
      </c>
      <c r="AF3820">
        <f>IFERROR(__xludf.DUMMYFUNCTION("VALUE(REGEXREPLACE(G3820,""[^[:digit:]]"", """"))"),1009.0)</f>
        <v>1009</v>
      </c>
      <c r="AG3820" s="7"/>
      <c r="AH3820" s="7"/>
      <c r="AI3820" s="7"/>
      <c r="AJ3820" s="7"/>
      <c r="AK3820" s="7"/>
      <c r="AL3820" s="7"/>
      <c r="AM3820" s="7"/>
      <c r="AN3820" s="7"/>
      <c r="AO3820" s="7"/>
      <c r="AP3820" s="7"/>
      <c r="AQ3820" s="7"/>
      <c r="AR3820" s="7"/>
      <c r="AS3820" s="7" t="s">
        <v>103</v>
      </c>
    </row>
    <row r="3821">
      <c r="A3821" s="7" t="s">
        <v>506</v>
      </c>
      <c r="B3821" s="7" t="s">
        <v>92</v>
      </c>
      <c r="C3821" s="7">
        <f t="shared" si="520"/>
        <v>3</v>
      </c>
      <c r="D3821" s="7">
        <v>2.0</v>
      </c>
      <c r="E3821" s="7">
        <v>2.0</v>
      </c>
      <c r="F3821" s="7" t="s">
        <v>83</v>
      </c>
      <c r="G3821" s="7" t="s">
        <v>508</v>
      </c>
      <c r="H3821" s="9" t="s">
        <v>2979</v>
      </c>
      <c r="I3821" t="s">
        <v>3200</v>
      </c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  <c r="AA3821" s="7"/>
      <c r="AB3821" s="7"/>
      <c r="AC3821" s="7"/>
      <c r="AD3821" s="7" t="str">
        <f t="shared" si="1"/>
        <v>Built-up :</v>
      </c>
      <c r="AE3821" s="7" t="str">
        <f t="shared" si="2"/>
        <v> sq. ft.</v>
      </c>
      <c r="AF3821">
        <f>IFERROR(__xludf.DUMMYFUNCTION("VALUE(REGEXREPLACE(G3821,""[^[:digit:]]"", """"))"),1196.0)</f>
        <v>1196</v>
      </c>
      <c r="AG3821" s="7"/>
      <c r="AH3821" s="7"/>
      <c r="AI3821" s="7"/>
      <c r="AJ3821" s="7"/>
      <c r="AK3821" s="7"/>
      <c r="AL3821" s="7"/>
      <c r="AM3821" s="7"/>
      <c r="AN3821" s="7"/>
      <c r="AO3821" s="7"/>
      <c r="AP3821" s="7"/>
      <c r="AQ3821" s="7"/>
      <c r="AR3821" s="7"/>
      <c r="AS3821" s="7" t="s">
        <v>27</v>
      </c>
    </row>
    <row r="3822">
      <c r="A3822" s="7" t="s">
        <v>1960</v>
      </c>
      <c r="B3822" s="7" t="s">
        <v>1307</v>
      </c>
      <c r="C3822" s="7">
        <f>1</f>
        <v>1</v>
      </c>
      <c r="D3822" s="7">
        <v>1.0</v>
      </c>
      <c r="E3822" s="7">
        <v>1.0</v>
      </c>
      <c r="F3822" s="7" t="s">
        <v>2486</v>
      </c>
      <c r="G3822" s="7" t="s">
        <v>1524</v>
      </c>
      <c r="H3822" s="9" t="s">
        <v>2979</v>
      </c>
      <c r="I3822" t="s">
        <v>3760</v>
      </c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  <c r="AA3822" s="7"/>
      <c r="AB3822" s="7"/>
      <c r="AC3822" s="7"/>
      <c r="AD3822" s="7" t="str">
        <f t="shared" si="1"/>
        <v>Built-up :</v>
      </c>
      <c r="AE3822" s="7" t="str">
        <f t="shared" si="2"/>
        <v> sq. ft.</v>
      </c>
      <c r="AF3822">
        <f>IFERROR(__xludf.DUMMYFUNCTION("VALUE(REGEXREPLACE(G3822,""[^[:digit:]]"", """"))"),450.0)</f>
        <v>450</v>
      </c>
      <c r="AG3822" s="7"/>
      <c r="AH3822" s="7"/>
      <c r="AI3822" s="7"/>
      <c r="AJ3822" s="7"/>
      <c r="AK3822" s="7"/>
      <c r="AL3822" s="7"/>
      <c r="AM3822" s="7"/>
      <c r="AN3822" s="7"/>
      <c r="AO3822" s="7"/>
      <c r="AP3822" s="7"/>
      <c r="AQ3822" s="7"/>
      <c r="AR3822" s="7"/>
      <c r="AS3822" s="7" t="s">
        <v>27</v>
      </c>
    </row>
    <row r="3823">
      <c r="A3823" s="7" t="s">
        <v>2307</v>
      </c>
      <c r="B3823" s="7" t="s">
        <v>221</v>
      </c>
      <c r="C3823" s="7">
        <f t="shared" ref="C3823:C3824" si="521">3</f>
        <v>3</v>
      </c>
      <c r="D3823" s="7">
        <v>2.0</v>
      </c>
      <c r="E3823" s="7">
        <v>1.0</v>
      </c>
      <c r="F3823" s="7" t="s">
        <v>20</v>
      </c>
      <c r="G3823" s="7" t="s">
        <v>734</v>
      </c>
      <c r="H3823" s="9" t="s">
        <v>2979</v>
      </c>
      <c r="I3823" t="s">
        <v>3308</v>
      </c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  <c r="AA3823" s="7"/>
      <c r="AB3823" s="7"/>
      <c r="AC3823" s="7"/>
      <c r="AD3823" s="7" t="str">
        <f t="shared" si="1"/>
        <v>Built-up :</v>
      </c>
      <c r="AE3823" s="7" t="str">
        <f t="shared" si="2"/>
        <v> sq. ft.</v>
      </c>
      <c r="AF3823">
        <f>IFERROR(__xludf.DUMMYFUNCTION("VALUE(REGEXREPLACE(G3823,""[^[:digit:]]"", """"))"),1100.0)</f>
        <v>1100</v>
      </c>
      <c r="AG3823" s="7"/>
      <c r="AH3823" s="7"/>
      <c r="AI3823" s="7"/>
      <c r="AJ3823" s="7"/>
      <c r="AK3823" s="7"/>
      <c r="AL3823" s="7"/>
      <c r="AM3823" s="7"/>
      <c r="AN3823" s="7"/>
      <c r="AO3823" s="7"/>
      <c r="AP3823" s="7"/>
      <c r="AQ3823" s="7"/>
      <c r="AR3823" s="7"/>
      <c r="AS3823" s="7" t="s">
        <v>22</v>
      </c>
    </row>
    <row r="3824">
      <c r="A3824" s="7" t="s">
        <v>2307</v>
      </c>
      <c r="B3824" s="7" t="s">
        <v>563</v>
      </c>
      <c r="C3824" s="7">
        <f t="shared" si="521"/>
        <v>3</v>
      </c>
      <c r="D3824" s="7">
        <v>2.0</v>
      </c>
      <c r="E3824" s="9">
        <v>2.0</v>
      </c>
      <c r="F3824" s="7" t="s">
        <v>20</v>
      </c>
      <c r="G3824" s="7" t="s">
        <v>734</v>
      </c>
      <c r="H3824" s="9" t="s">
        <v>2979</v>
      </c>
      <c r="I3824" t="s">
        <v>3308</v>
      </c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  <c r="AA3824" s="7"/>
      <c r="AB3824" s="7"/>
      <c r="AC3824" s="7"/>
      <c r="AD3824" s="7" t="str">
        <f t="shared" si="1"/>
        <v>Built-up :</v>
      </c>
      <c r="AE3824" s="7" t="str">
        <f t="shared" si="2"/>
        <v> sq. ft.</v>
      </c>
      <c r="AF3824">
        <f>IFERROR(__xludf.DUMMYFUNCTION("VALUE(REGEXREPLACE(G3824,""[^[:digit:]]"", """"))"),1100.0)</f>
        <v>1100</v>
      </c>
      <c r="AG3824" s="7"/>
      <c r="AH3824" s="7"/>
      <c r="AI3824" s="7"/>
      <c r="AJ3824" s="7"/>
      <c r="AK3824" s="7"/>
      <c r="AL3824" s="7"/>
      <c r="AM3824" s="7"/>
      <c r="AN3824" s="7"/>
      <c r="AO3824" s="7"/>
      <c r="AP3824" s="7"/>
      <c r="AQ3824" s="7"/>
      <c r="AR3824" s="7"/>
      <c r="AS3824" s="7" t="s">
        <v>22</v>
      </c>
    </row>
    <row r="3825">
      <c r="A3825" s="7" t="s">
        <v>506</v>
      </c>
      <c r="B3825" s="7" t="s">
        <v>1753</v>
      </c>
      <c r="C3825" s="7">
        <f>10</f>
        <v>10</v>
      </c>
      <c r="D3825" s="7">
        <v>9.0</v>
      </c>
      <c r="E3825" s="9">
        <v>2.0</v>
      </c>
      <c r="F3825" s="7" t="s">
        <v>203</v>
      </c>
      <c r="G3825" s="7" t="s">
        <v>696</v>
      </c>
      <c r="H3825" s="9" t="s">
        <v>2981</v>
      </c>
      <c r="I3825" t="s">
        <v>3288</v>
      </c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  <c r="AA3825" s="7"/>
      <c r="AB3825" s="7"/>
      <c r="AC3825" s="7"/>
      <c r="AD3825" s="7" t="str">
        <f t="shared" si="1"/>
        <v>Land area </v>
      </c>
      <c r="AE3825" s="7" t="str">
        <f t="shared" si="2"/>
        <v> sq. ft.</v>
      </c>
      <c r="AF3825">
        <f>IFERROR(__xludf.DUMMYFUNCTION("VALUE(REGEXREPLACE(G3825,""[^[:digit:]]"", """"))"),8000.0)</f>
        <v>8000</v>
      </c>
      <c r="AG3825" s="7"/>
      <c r="AH3825" s="7"/>
      <c r="AI3825" s="7"/>
      <c r="AJ3825" s="7"/>
      <c r="AK3825" s="7"/>
      <c r="AL3825" s="7"/>
      <c r="AM3825" s="7"/>
      <c r="AN3825" s="7"/>
      <c r="AO3825" s="7"/>
      <c r="AP3825" s="7"/>
      <c r="AQ3825" s="7"/>
      <c r="AR3825" s="7"/>
      <c r="AS3825" s="7" t="s">
        <v>27</v>
      </c>
    </row>
    <row r="3826">
      <c r="A3826" s="7" t="s">
        <v>17</v>
      </c>
      <c r="B3826" s="7" t="s">
        <v>575</v>
      </c>
      <c r="C3826" s="7" t="s">
        <v>325</v>
      </c>
      <c r="D3826" s="7">
        <v>1.0</v>
      </c>
      <c r="E3826" s="9">
        <v>2.0</v>
      </c>
      <c r="F3826" s="7" t="s">
        <v>20</v>
      </c>
      <c r="G3826" s="7" t="s">
        <v>1524</v>
      </c>
      <c r="H3826" s="9" t="s">
        <v>2979</v>
      </c>
      <c r="I3826" t="s">
        <v>3760</v>
      </c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  <c r="AA3826" s="7"/>
      <c r="AB3826" s="7"/>
      <c r="AC3826" s="7"/>
      <c r="AD3826" s="7" t="str">
        <f t="shared" si="1"/>
        <v>Built-up :</v>
      </c>
      <c r="AE3826" s="7" t="str">
        <f t="shared" si="2"/>
        <v> sq. ft.</v>
      </c>
      <c r="AF3826">
        <f>IFERROR(__xludf.DUMMYFUNCTION("VALUE(REGEXREPLACE(G3826,""[^[:digit:]]"", """"))"),450.0)</f>
        <v>450</v>
      </c>
      <c r="AG3826" s="7"/>
      <c r="AH3826" s="7"/>
      <c r="AI3826" s="7"/>
      <c r="AJ3826" s="7"/>
      <c r="AK3826" s="7"/>
      <c r="AL3826" s="7"/>
      <c r="AM3826" s="7"/>
      <c r="AN3826" s="7"/>
      <c r="AO3826" s="7"/>
      <c r="AP3826" s="7"/>
      <c r="AQ3826" s="7"/>
      <c r="AR3826" s="7"/>
      <c r="AS3826" s="7" t="s">
        <v>27</v>
      </c>
    </row>
    <row r="3827">
      <c r="A3827" s="7" t="s">
        <v>177</v>
      </c>
      <c r="B3827" s="7" t="s">
        <v>239</v>
      </c>
      <c r="C3827" s="7">
        <f>3</f>
        <v>3</v>
      </c>
      <c r="D3827" s="7">
        <v>2.0</v>
      </c>
      <c r="E3827" s="9">
        <v>2.0</v>
      </c>
      <c r="F3827" s="7" t="s">
        <v>1185</v>
      </c>
      <c r="G3827" s="7" t="s">
        <v>211</v>
      </c>
      <c r="H3827" s="9" t="s">
        <v>2981</v>
      </c>
      <c r="I3827" t="s">
        <v>2992</v>
      </c>
      <c r="J3827" s="7"/>
      <c r="K3827" s="7"/>
      <c r="L3827" s="7"/>
      <c r="M3827" s="7"/>
      <c r="N3827" s="7"/>
      <c r="O3827" s="7"/>
      <c r="P3827" s="7"/>
      <c r="Q3827" s="7"/>
      <c r="R3827" s="7"/>
      <c r="S3827" s="7" t="s">
        <v>2993</v>
      </c>
      <c r="T3827" s="7"/>
      <c r="U3827" s="7"/>
      <c r="V3827" s="7"/>
      <c r="W3827" s="7"/>
      <c r="X3827" s="7"/>
      <c r="Y3827" s="7"/>
      <c r="Z3827" s="7"/>
      <c r="AA3827" s="7"/>
      <c r="AB3827" s="7"/>
      <c r="AC3827" s="7"/>
      <c r="AD3827" s="7" t="str">
        <f t="shared" si="1"/>
        <v>Land area </v>
      </c>
      <c r="AE3827" s="7" t="str">
        <f t="shared" si="2"/>
        <v> sq. ft.</v>
      </c>
      <c r="AF3827">
        <f>IFERROR(__xludf.DUMMYFUNCTION("VALUE(REGEXREPLACE(G3827,""[^[:digit:]]"", """"))"),2280.0)</f>
        <v>2280</v>
      </c>
      <c r="AG3827" s="7"/>
      <c r="AH3827" s="7"/>
      <c r="AI3827" s="7"/>
      <c r="AJ3827" s="7"/>
      <c r="AK3827" s="7"/>
      <c r="AL3827" s="7"/>
      <c r="AM3827" s="7"/>
      <c r="AN3827" s="7"/>
      <c r="AO3827" s="7"/>
      <c r="AP3827" s="7"/>
      <c r="AQ3827" s="7"/>
      <c r="AR3827" s="7"/>
    </row>
    <row r="3828">
      <c r="A3828" s="7" t="s">
        <v>177</v>
      </c>
      <c r="B3828" s="7" t="s">
        <v>277</v>
      </c>
      <c r="C3828" s="7">
        <f>3+1</f>
        <v>4</v>
      </c>
      <c r="D3828" s="7">
        <v>4.0</v>
      </c>
      <c r="E3828" s="9">
        <v>2.0</v>
      </c>
      <c r="F3828" s="7" t="s">
        <v>169</v>
      </c>
      <c r="G3828" s="7" t="s">
        <v>719</v>
      </c>
      <c r="H3828" s="9" t="s">
        <v>2981</v>
      </c>
      <c r="I3828" t="s">
        <v>3299</v>
      </c>
      <c r="J3828" s="7"/>
      <c r="K3828" s="7"/>
      <c r="L3828" s="7"/>
      <c r="M3828" s="7"/>
      <c r="N3828" s="7"/>
      <c r="O3828" s="7"/>
      <c r="P3828" s="7"/>
      <c r="Q3828" s="7"/>
      <c r="R3828" s="7"/>
      <c r="S3828" s="7" t="s">
        <v>3101</v>
      </c>
      <c r="T3828" s="7"/>
      <c r="U3828" s="7"/>
      <c r="V3828" s="7"/>
      <c r="W3828" s="7"/>
      <c r="X3828" s="7"/>
      <c r="Y3828" s="7"/>
      <c r="Z3828" s="7"/>
      <c r="AA3828" s="7"/>
      <c r="AB3828" s="7"/>
      <c r="AC3828" s="7"/>
      <c r="AD3828" s="7" t="str">
        <f t="shared" si="1"/>
        <v>Land area </v>
      </c>
      <c r="AE3828" s="7" t="str">
        <f t="shared" si="2"/>
        <v> sq. ft.</v>
      </c>
      <c r="AF3828">
        <f>IFERROR(__xludf.DUMMYFUNCTION("VALUE(REGEXREPLACE(G3828,""[^[:digit:]]"", """"))"),2285.0)</f>
        <v>2285</v>
      </c>
      <c r="AG3828" s="7"/>
      <c r="AH3828" s="7"/>
      <c r="AI3828" s="7"/>
      <c r="AJ3828" s="7"/>
      <c r="AK3828" s="7"/>
      <c r="AL3828" s="7"/>
      <c r="AM3828" s="7"/>
      <c r="AN3828" s="7"/>
      <c r="AO3828" s="7"/>
      <c r="AP3828" s="7"/>
      <c r="AQ3828" s="7"/>
      <c r="AR3828" s="7"/>
      <c r="AS3828" s="7" t="s">
        <v>27</v>
      </c>
    </row>
    <row r="3829">
      <c r="A3829" s="7" t="s">
        <v>171</v>
      </c>
      <c r="B3829" s="7" t="s">
        <v>1911</v>
      </c>
      <c r="C3829" s="7">
        <f>3</f>
        <v>3</v>
      </c>
      <c r="D3829" s="7">
        <v>2.0</v>
      </c>
      <c r="E3829" s="7">
        <v>1.0</v>
      </c>
      <c r="F3829" s="7" t="s">
        <v>83</v>
      </c>
      <c r="G3829" s="7" t="s">
        <v>2319</v>
      </c>
      <c r="H3829" s="9" t="s">
        <v>2979</v>
      </c>
      <c r="I3829" t="s">
        <v>4247</v>
      </c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  <c r="AA3829" s="7"/>
      <c r="AB3829" s="7"/>
      <c r="AC3829" s="7"/>
      <c r="AD3829" s="7" t="str">
        <f t="shared" si="1"/>
        <v>Built-up :</v>
      </c>
      <c r="AE3829" s="7" t="str">
        <f t="shared" si="2"/>
        <v> sq. ft.</v>
      </c>
      <c r="AF3829">
        <f>IFERROR(__xludf.DUMMYFUNCTION("VALUE(REGEXREPLACE(G3829,""[^[:digit:]]"", """"))"),845.0)</f>
        <v>845</v>
      </c>
      <c r="AG3829" s="7"/>
      <c r="AH3829" s="7"/>
      <c r="AI3829" s="7"/>
      <c r="AJ3829" s="7"/>
      <c r="AK3829" s="7"/>
      <c r="AL3829" s="7"/>
      <c r="AM3829" s="7"/>
      <c r="AN3829" s="7"/>
      <c r="AO3829" s="7"/>
      <c r="AP3829" s="7"/>
      <c r="AQ3829" s="7"/>
      <c r="AR3829" s="7"/>
      <c r="AS3829" s="7" t="s">
        <v>22</v>
      </c>
    </row>
    <row r="3830">
      <c r="A3830" s="7" t="s">
        <v>241</v>
      </c>
      <c r="B3830" s="7" t="s">
        <v>563</v>
      </c>
      <c r="C3830" s="7">
        <f>3+2</f>
        <v>5</v>
      </c>
      <c r="D3830" s="7">
        <v>2.0</v>
      </c>
      <c r="E3830" s="9">
        <v>2.0</v>
      </c>
      <c r="F3830" s="7" t="s">
        <v>343</v>
      </c>
      <c r="G3830" s="7" t="s">
        <v>1518</v>
      </c>
      <c r="H3830" s="9" t="s">
        <v>2979</v>
      </c>
      <c r="I3830" t="s">
        <v>3755</v>
      </c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  <c r="AA3830" s="7"/>
      <c r="AB3830" s="7"/>
      <c r="AC3830" s="7"/>
      <c r="AD3830" s="7" t="str">
        <f t="shared" si="1"/>
        <v>Built-up :</v>
      </c>
      <c r="AE3830" s="7" t="str">
        <f t="shared" si="2"/>
        <v> sq. ft.</v>
      </c>
      <c r="AF3830">
        <f>IFERROR(__xludf.DUMMYFUNCTION("VALUE(REGEXREPLACE(G3830,""[^[:digit:]]"", """"))"),1540.0)</f>
        <v>1540</v>
      </c>
      <c r="AG3830" s="7"/>
      <c r="AH3830" s="7"/>
      <c r="AI3830" s="7"/>
      <c r="AJ3830" s="7"/>
      <c r="AK3830" s="7"/>
      <c r="AL3830" s="7"/>
      <c r="AM3830" s="7"/>
      <c r="AN3830" s="7"/>
      <c r="AO3830" s="7"/>
      <c r="AP3830" s="7"/>
      <c r="AQ3830" s="7"/>
      <c r="AR3830" s="7"/>
      <c r="AS3830" s="7" t="s">
        <v>27</v>
      </c>
    </row>
    <row r="3831">
      <c r="A3831" s="7" t="s">
        <v>143</v>
      </c>
      <c r="B3831" s="7" t="s">
        <v>191</v>
      </c>
      <c r="C3831" s="7">
        <f>3</f>
        <v>3</v>
      </c>
      <c r="D3831" s="7">
        <v>3.0</v>
      </c>
      <c r="E3831" s="7">
        <v>2.0</v>
      </c>
      <c r="F3831" s="7" t="s">
        <v>20</v>
      </c>
      <c r="G3831" s="7" t="s">
        <v>2487</v>
      </c>
      <c r="H3831" s="9" t="s">
        <v>2979</v>
      </c>
      <c r="I3831" t="s">
        <v>4347</v>
      </c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  <c r="AA3831" s="7"/>
      <c r="AB3831" s="7"/>
      <c r="AC3831" s="7"/>
      <c r="AD3831" s="7" t="str">
        <f t="shared" si="1"/>
        <v>Built-up :</v>
      </c>
      <c r="AE3831" s="7" t="str">
        <f t="shared" si="2"/>
        <v> sq. ft.</v>
      </c>
      <c r="AF3831">
        <f>IFERROR(__xludf.DUMMYFUNCTION("VALUE(REGEXREPLACE(G3831,""[^[:digit:]]"", """"))"),716.0)</f>
        <v>716</v>
      </c>
      <c r="AG3831" s="7"/>
      <c r="AH3831" s="7"/>
      <c r="AI3831" s="7"/>
      <c r="AJ3831" s="7"/>
      <c r="AK3831" s="7"/>
      <c r="AL3831" s="7"/>
      <c r="AM3831" s="7"/>
      <c r="AN3831" s="7"/>
      <c r="AO3831" s="7"/>
      <c r="AP3831" s="7"/>
      <c r="AQ3831" s="7"/>
      <c r="AR3831" s="7"/>
      <c r="AS3831" s="7" t="s">
        <v>27</v>
      </c>
    </row>
    <row r="3832">
      <c r="A3832" s="7" t="s">
        <v>32</v>
      </c>
      <c r="B3832" s="7" t="s">
        <v>361</v>
      </c>
      <c r="C3832" s="7">
        <f>4</f>
        <v>4</v>
      </c>
      <c r="D3832" s="7">
        <v>3.0</v>
      </c>
      <c r="E3832" s="7">
        <v>2.0</v>
      </c>
      <c r="F3832" s="7" t="s">
        <v>20</v>
      </c>
      <c r="G3832" s="7" t="s">
        <v>1449</v>
      </c>
      <c r="H3832" s="9" t="s">
        <v>2979</v>
      </c>
      <c r="I3832" t="s">
        <v>3721</v>
      </c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  <c r="AA3832" s="7"/>
      <c r="AB3832" s="7"/>
      <c r="AC3832" s="7"/>
      <c r="AD3832" s="7" t="str">
        <f t="shared" si="1"/>
        <v>Built-up :</v>
      </c>
      <c r="AE3832" s="7" t="str">
        <f t="shared" si="2"/>
        <v> sq. ft.</v>
      </c>
      <c r="AF3832">
        <f>IFERROR(__xludf.DUMMYFUNCTION("VALUE(REGEXREPLACE(G3832,""[^[:digit:]]"", """"))"),931.0)</f>
        <v>931</v>
      </c>
      <c r="AG3832" s="7"/>
      <c r="AH3832" s="7"/>
      <c r="AI3832" s="7"/>
      <c r="AJ3832" s="7"/>
      <c r="AK3832" s="7"/>
      <c r="AL3832" s="7"/>
      <c r="AM3832" s="7"/>
      <c r="AN3832" s="7"/>
      <c r="AO3832" s="7"/>
      <c r="AP3832" s="7"/>
      <c r="AQ3832" s="7"/>
      <c r="AR3832" s="7"/>
      <c r="AS3832" s="7" t="s">
        <v>27</v>
      </c>
    </row>
    <row r="3833">
      <c r="A3833" s="7" t="s">
        <v>2307</v>
      </c>
      <c r="B3833" s="7" t="s">
        <v>201</v>
      </c>
      <c r="C3833" s="7">
        <f>3</f>
        <v>3</v>
      </c>
      <c r="D3833" s="7">
        <v>2.0</v>
      </c>
      <c r="E3833" s="7">
        <v>1.0</v>
      </c>
      <c r="F3833" s="7" t="s">
        <v>20</v>
      </c>
      <c r="G3833" s="7" t="s">
        <v>734</v>
      </c>
      <c r="H3833" s="9" t="s">
        <v>2979</v>
      </c>
      <c r="I3833" t="s">
        <v>3308</v>
      </c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  <c r="AA3833" s="7"/>
      <c r="AB3833" s="7"/>
      <c r="AC3833" s="7"/>
      <c r="AD3833" s="7" t="str">
        <f t="shared" si="1"/>
        <v>Built-up :</v>
      </c>
      <c r="AE3833" s="7" t="str">
        <f t="shared" si="2"/>
        <v> sq. ft.</v>
      </c>
      <c r="AF3833">
        <f>IFERROR(__xludf.DUMMYFUNCTION("VALUE(REGEXREPLACE(G3833,""[^[:digit:]]"", """"))"),1100.0)</f>
        <v>1100</v>
      </c>
      <c r="AG3833" s="7"/>
      <c r="AH3833" s="7"/>
      <c r="AI3833" s="7"/>
      <c r="AJ3833" s="7"/>
      <c r="AK3833" s="7"/>
      <c r="AL3833" s="7"/>
      <c r="AM3833" s="7"/>
      <c r="AN3833" s="7"/>
      <c r="AO3833" s="7"/>
      <c r="AP3833" s="7"/>
      <c r="AQ3833" s="7"/>
      <c r="AR3833" s="7"/>
      <c r="AS3833" s="7" t="s">
        <v>27</v>
      </c>
    </row>
    <row r="3834">
      <c r="A3834" s="7" t="s">
        <v>72</v>
      </c>
      <c r="B3834" s="7" t="s">
        <v>1328</v>
      </c>
      <c r="C3834" s="7" t="s">
        <v>325</v>
      </c>
      <c r="D3834" s="7">
        <v>1.0</v>
      </c>
      <c r="E3834" s="7">
        <v>1.0</v>
      </c>
      <c r="F3834" s="7" t="s">
        <v>82</v>
      </c>
      <c r="G3834" s="7" t="s">
        <v>810</v>
      </c>
      <c r="H3834" s="9" t="s">
        <v>2981</v>
      </c>
      <c r="I3834" t="s">
        <v>3283</v>
      </c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  <c r="AA3834" s="7"/>
      <c r="AB3834" s="7"/>
      <c r="AC3834" s="7"/>
      <c r="AD3834" s="7" t="str">
        <f t="shared" si="1"/>
        <v>Land area </v>
      </c>
      <c r="AE3834" s="7" t="str">
        <f t="shared" si="2"/>
        <v> sq. ft.</v>
      </c>
      <c r="AF3834">
        <f>IFERROR(__xludf.DUMMYFUNCTION("VALUE(REGEXREPLACE(G3834,""[^[:digit:]]"", """"))"),462.0)</f>
        <v>462</v>
      </c>
      <c r="AG3834" s="7"/>
      <c r="AH3834" s="7"/>
      <c r="AI3834" s="7"/>
      <c r="AJ3834" s="7"/>
      <c r="AK3834" s="7"/>
      <c r="AL3834" s="7"/>
      <c r="AM3834" s="7"/>
      <c r="AN3834" s="7"/>
      <c r="AO3834" s="7"/>
      <c r="AP3834" s="7"/>
      <c r="AQ3834" s="7"/>
      <c r="AR3834" s="7"/>
      <c r="AS3834" s="7" t="s">
        <v>22</v>
      </c>
    </row>
    <row r="3835">
      <c r="A3835" s="7" t="s">
        <v>17</v>
      </c>
      <c r="B3835" s="7" t="s">
        <v>349</v>
      </c>
      <c r="C3835" s="7">
        <f>3</f>
        <v>3</v>
      </c>
      <c r="D3835" s="7">
        <v>2.0</v>
      </c>
      <c r="E3835" s="7">
        <v>2.0</v>
      </c>
      <c r="F3835" s="7" t="s">
        <v>82</v>
      </c>
      <c r="G3835" s="7" t="s">
        <v>1381</v>
      </c>
      <c r="H3835" s="9" t="s">
        <v>2979</v>
      </c>
      <c r="I3835" t="s">
        <v>3682</v>
      </c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  <c r="AA3835" s="7"/>
      <c r="AB3835" s="7"/>
      <c r="AC3835" s="7"/>
      <c r="AD3835" s="7" t="str">
        <f t="shared" si="1"/>
        <v>Built-up :</v>
      </c>
      <c r="AE3835" s="7" t="str">
        <f t="shared" si="2"/>
        <v> sq. ft.</v>
      </c>
      <c r="AF3835">
        <f>IFERROR(__xludf.DUMMYFUNCTION("VALUE(REGEXREPLACE(G3835,""[^[:digit:]]"", """"))"),1228.0)</f>
        <v>1228</v>
      </c>
      <c r="AG3835" s="7"/>
      <c r="AH3835" s="7"/>
      <c r="AI3835" s="7"/>
      <c r="AJ3835" s="7"/>
      <c r="AK3835" s="7"/>
      <c r="AL3835" s="7"/>
      <c r="AM3835" s="7"/>
      <c r="AN3835" s="7"/>
      <c r="AO3835" s="7"/>
      <c r="AP3835" s="7"/>
      <c r="AQ3835" s="7"/>
      <c r="AR3835" s="7"/>
      <c r="AS3835" s="7" t="s">
        <v>22</v>
      </c>
    </row>
    <row r="3836">
      <c r="A3836" s="7" t="s">
        <v>104</v>
      </c>
      <c r="B3836" s="7" t="s">
        <v>120</v>
      </c>
      <c r="C3836" s="7">
        <f>5+1</f>
        <v>6</v>
      </c>
      <c r="D3836" s="7">
        <v>6.0</v>
      </c>
      <c r="E3836" s="7">
        <v>7.0</v>
      </c>
      <c r="F3836" s="7" t="s">
        <v>64</v>
      </c>
      <c r="G3836" s="7" t="s">
        <v>1202</v>
      </c>
      <c r="H3836" s="9" t="s">
        <v>2981</v>
      </c>
      <c r="I3836" t="s">
        <v>3574</v>
      </c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  <c r="AA3836" s="7"/>
      <c r="AB3836" s="7"/>
      <c r="AC3836" s="7"/>
      <c r="AD3836" s="7" t="str">
        <f t="shared" si="1"/>
        <v>Land area </v>
      </c>
      <c r="AE3836" s="7" t="str">
        <f t="shared" si="2"/>
        <v> sq. ft.</v>
      </c>
      <c r="AF3836">
        <f>IFERROR(__xludf.DUMMYFUNCTION("VALUE(REGEXREPLACE(G3836,""[^[:digit:]]"", """"))"),4500.0)</f>
        <v>4500</v>
      </c>
      <c r="AG3836" s="7"/>
      <c r="AH3836" s="7"/>
      <c r="AI3836" s="7"/>
      <c r="AJ3836" s="7"/>
      <c r="AK3836" s="7"/>
      <c r="AL3836" s="7"/>
      <c r="AM3836" s="7"/>
      <c r="AN3836" s="7"/>
      <c r="AO3836" s="7"/>
      <c r="AP3836" s="7"/>
      <c r="AQ3836" s="7"/>
      <c r="AR3836" s="7"/>
      <c r="AS3836" s="7" t="s">
        <v>27</v>
      </c>
    </row>
    <row r="3837">
      <c r="A3837" s="7" t="s">
        <v>17</v>
      </c>
      <c r="B3837" s="7" t="s">
        <v>2488</v>
      </c>
      <c r="C3837" s="7">
        <f>3+1</f>
        <v>4</v>
      </c>
      <c r="D3837" s="7">
        <v>5.0</v>
      </c>
      <c r="E3837" s="9">
        <v>2.0</v>
      </c>
      <c r="F3837" s="7" t="s">
        <v>121</v>
      </c>
      <c r="G3837" s="7" t="s">
        <v>2097</v>
      </c>
      <c r="H3837" s="9" t="s">
        <v>2979</v>
      </c>
      <c r="I3837" t="s">
        <v>4109</v>
      </c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  <c r="AA3837" s="7"/>
      <c r="AB3837" s="7"/>
      <c r="AC3837" s="7"/>
      <c r="AD3837" s="7" t="str">
        <f t="shared" si="1"/>
        <v>Built-up :</v>
      </c>
      <c r="AE3837" s="7" t="str">
        <f t="shared" si="2"/>
        <v> sq. ft.</v>
      </c>
      <c r="AF3837">
        <f>IFERROR(__xludf.DUMMYFUNCTION("VALUE(REGEXREPLACE(G3837,""[^[:digit:]]"", """"))"),2766.0)</f>
        <v>2766</v>
      </c>
      <c r="AG3837" s="7"/>
      <c r="AH3837" s="7"/>
      <c r="AI3837" s="7"/>
      <c r="AJ3837" s="7"/>
      <c r="AK3837" s="7"/>
      <c r="AL3837" s="7"/>
      <c r="AM3837" s="7"/>
      <c r="AN3837" s="7"/>
      <c r="AO3837" s="7"/>
      <c r="AP3837" s="7"/>
      <c r="AQ3837" s="7"/>
      <c r="AR3837" s="7"/>
      <c r="AS3837" s="7" t="s">
        <v>22</v>
      </c>
    </row>
    <row r="3838">
      <c r="A3838" s="7" t="s">
        <v>432</v>
      </c>
      <c r="B3838" s="7" t="s">
        <v>130</v>
      </c>
      <c r="C3838" s="7">
        <f>4+1</f>
        <v>5</v>
      </c>
      <c r="D3838" s="7">
        <v>5.0</v>
      </c>
      <c r="E3838" s="7">
        <v>3.0</v>
      </c>
      <c r="F3838" s="7" t="s">
        <v>83</v>
      </c>
      <c r="G3838" s="7" t="s">
        <v>1628</v>
      </c>
      <c r="H3838" s="9" t="s">
        <v>2979</v>
      </c>
      <c r="I3838" t="s">
        <v>3821</v>
      </c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  <c r="AA3838" s="7"/>
      <c r="AB3838" s="7"/>
      <c r="AC3838" s="7"/>
      <c r="AD3838" s="7" t="str">
        <f t="shared" si="1"/>
        <v>Built-up :</v>
      </c>
      <c r="AE3838" s="7" t="str">
        <f t="shared" si="2"/>
        <v> sq. ft.</v>
      </c>
      <c r="AF3838">
        <f>IFERROR(__xludf.DUMMYFUNCTION("VALUE(REGEXREPLACE(G3838,""[^[:digit:]]"", """"))"),3660.0)</f>
        <v>3660</v>
      </c>
      <c r="AG3838" s="7"/>
      <c r="AH3838" s="7"/>
      <c r="AI3838" s="7"/>
      <c r="AJ3838" s="7"/>
      <c r="AK3838" s="7"/>
      <c r="AL3838" s="7"/>
      <c r="AM3838" s="7"/>
      <c r="AN3838" s="7"/>
      <c r="AO3838" s="7"/>
      <c r="AP3838" s="7"/>
      <c r="AQ3838" s="7"/>
      <c r="AR3838" s="7"/>
      <c r="AS3838" s="7" t="s">
        <v>27</v>
      </c>
    </row>
    <row r="3839">
      <c r="A3839" s="7" t="s">
        <v>104</v>
      </c>
      <c r="B3839" s="7" t="s">
        <v>329</v>
      </c>
      <c r="C3839" s="7">
        <f>4</f>
        <v>4</v>
      </c>
      <c r="D3839" s="7">
        <v>3.0</v>
      </c>
      <c r="E3839" s="7">
        <v>4.0</v>
      </c>
      <c r="F3839" s="7" t="s">
        <v>184</v>
      </c>
      <c r="G3839" s="7" t="s">
        <v>2489</v>
      </c>
      <c r="H3839" s="9" t="s">
        <v>2981</v>
      </c>
      <c r="I3839" t="s">
        <v>4348</v>
      </c>
      <c r="J3839" s="7"/>
      <c r="K3839" s="7"/>
      <c r="L3839" s="7"/>
      <c r="M3839" s="7"/>
      <c r="N3839" s="7"/>
      <c r="O3839" s="7"/>
      <c r="P3839" s="7"/>
      <c r="Q3839" s="7"/>
      <c r="R3839" s="7"/>
      <c r="S3839" s="7" t="s">
        <v>3121</v>
      </c>
      <c r="T3839" s="7"/>
      <c r="U3839" s="7"/>
      <c r="V3839" s="7"/>
      <c r="W3839" s="7"/>
      <c r="X3839" s="7"/>
      <c r="Y3839" s="7"/>
      <c r="Z3839" s="7"/>
      <c r="AA3839" s="7"/>
      <c r="AB3839" s="7"/>
      <c r="AC3839" s="7"/>
      <c r="AD3839" s="7" t="str">
        <f t="shared" si="1"/>
        <v>Land area </v>
      </c>
      <c r="AE3839" s="7" t="str">
        <f t="shared" si="2"/>
        <v> sq. ft.</v>
      </c>
      <c r="AF3839">
        <f>IFERROR(__xludf.DUMMYFUNCTION("VALUE(REGEXREPLACE(G3839,""[^[:digit:]]"", """"))"),4170.0)</f>
        <v>4170</v>
      </c>
      <c r="AG3839" s="7"/>
      <c r="AH3839" s="7"/>
      <c r="AI3839" s="7"/>
      <c r="AJ3839" s="7"/>
      <c r="AK3839" s="7"/>
      <c r="AL3839" s="7"/>
      <c r="AM3839" s="7"/>
      <c r="AN3839" s="7"/>
      <c r="AO3839" s="7"/>
      <c r="AP3839" s="7"/>
      <c r="AQ3839" s="7"/>
      <c r="AR3839" s="7"/>
      <c r="AS3839" s="7" t="s">
        <v>27</v>
      </c>
    </row>
    <row r="3840">
      <c r="A3840" s="7" t="s">
        <v>428</v>
      </c>
      <c r="B3840" s="7" t="s">
        <v>168</v>
      </c>
      <c r="C3840" s="7">
        <f>2</f>
        <v>2</v>
      </c>
      <c r="D3840" s="7">
        <v>2.0</v>
      </c>
      <c r="E3840" s="7">
        <v>1.0</v>
      </c>
      <c r="F3840" s="7" t="s">
        <v>82</v>
      </c>
      <c r="G3840" s="7" t="s">
        <v>1820</v>
      </c>
      <c r="H3840" s="9" t="s">
        <v>2979</v>
      </c>
      <c r="I3840" t="s">
        <v>3939</v>
      </c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  <c r="AA3840" s="7"/>
      <c r="AB3840" s="7"/>
      <c r="AC3840" s="7"/>
      <c r="AD3840" s="7" t="str">
        <f t="shared" si="1"/>
        <v>Built-up :</v>
      </c>
      <c r="AE3840" s="7" t="str">
        <f t="shared" si="2"/>
        <v> sq. ft.</v>
      </c>
      <c r="AF3840">
        <f>IFERROR(__xludf.DUMMYFUNCTION("VALUE(REGEXREPLACE(G3840,""[^[:digit:]]"", """"))"),1066.0)</f>
        <v>1066</v>
      </c>
      <c r="AG3840" s="7"/>
      <c r="AH3840" s="7"/>
      <c r="AI3840" s="7"/>
      <c r="AJ3840" s="7"/>
      <c r="AK3840" s="7"/>
      <c r="AL3840" s="7"/>
      <c r="AM3840" s="7"/>
      <c r="AN3840" s="7"/>
      <c r="AO3840" s="7"/>
      <c r="AP3840" s="7"/>
      <c r="AQ3840" s="7"/>
      <c r="AR3840" s="7"/>
      <c r="AS3840" s="7" t="s">
        <v>27</v>
      </c>
    </row>
    <row r="3841">
      <c r="A3841" s="7" t="s">
        <v>506</v>
      </c>
      <c r="B3841" s="7" t="s">
        <v>1259</v>
      </c>
      <c r="C3841" s="7">
        <f>4+1</f>
        <v>5</v>
      </c>
      <c r="D3841" s="7">
        <v>3.0</v>
      </c>
      <c r="E3841" s="7">
        <v>3.0</v>
      </c>
      <c r="F3841" s="7" t="s">
        <v>184</v>
      </c>
      <c r="G3841" s="7" t="s">
        <v>44</v>
      </c>
      <c r="H3841" s="9" t="s">
        <v>2981</v>
      </c>
      <c r="I3841" t="s">
        <v>2988</v>
      </c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  <c r="AA3841" s="7"/>
      <c r="AB3841" s="7"/>
      <c r="AC3841" s="7"/>
      <c r="AD3841" s="7" t="str">
        <f t="shared" si="1"/>
        <v>Land area </v>
      </c>
      <c r="AE3841" s="7" t="str">
        <f t="shared" si="2"/>
        <v> sq. ft.</v>
      </c>
      <c r="AF3841">
        <f>IFERROR(__xludf.DUMMYFUNCTION("VALUE(REGEXREPLACE(G3841,""[^[:digit:]]"", """"))"),3600.0)</f>
        <v>3600</v>
      </c>
      <c r="AG3841" s="7"/>
      <c r="AH3841" s="7"/>
      <c r="AI3841" s="7"/>
      <c r="AJ3841" s="7"/>
      <c r="AK3841" s="7"/>
      <c r="AL3841" s="7"/>
      <c r="AM3841" s="7"/>
      <c r="AN3841" s="7"/>
      <c r="AO3841" s="7"/>
      <c r="AP3841" s="7"/>
      <c r="AQ3841" s="7"/>
      <c r="AR3841" s="7"/>
      <c r="AS3841" s="7" t="s">
        <v>27</v>
      </c>
    </row>
    <row r="3842">
      <c r="A3842" s="7" t="s">
        <v>41</v>
      </c>
      <c r="B3842" s="7" t="s">
        <v>105</v>
      </c>
      <c r="C3842" s="7">
        <f t="shared" ref="C3842:C3843" si="522">1+1</f>
        <v>2</v>
      </c>
      <c r="D3842" s="7">
        <v>2.0</v>
      </c>
      <c r="E3842" s="7">
        <v>1.0</v>
      </c>
      <c r="F3842" s="7" t="s">
        <v>83</v>
      </c>
      <c r="G3842" s="7" t="s">
        <v>2490</v>
      </c>
      <c r="H3842" s="9" t="s">
        <v>2979</v>
      </c>
      <c r="I3842" t="s">
        <v>4349</v>
      </c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  <c r="AA3842" s="7"/>
      <c r="AB3842" s="7"/>
      <c r="AC3842" s="7"/>
      <c r="AD3842" s="7" t="str">
        <f t="shared" si="1"/>
        <v>Built-up :</v>
      </c>
      <c r="AE3842" s="7" t="str">
        <f t="shared" si="2"/>
        <v> sq. ft.</v>
      </c>
      <c r="AF3842">
        <f>IFERROR(__xludf.DUMMYFUNCTION("VALUE(REGEXREPLACE(G3842,""[^[:digit:]]"", """"))"),687.0)</f>
        <v>687</v>
      </c>
      <c r="AG3842" s="7"/>
      <c r="AH3842" s="7"/>
      <c r="AI3842" s="7"/>
      <c r="AJ3842" s="7"/>
      <c r="AK3842" s="7"/>
      <c r="AL3842" s="7"/>
      <c r="AM3842" s="7"/>
      <c r="AN3842" s="7"/>
      <c r="AO3842" s="7"/>
      <c r="AP3842" s="7"/>
      <c r="AQ3842" s="7"/>
      <c r="AR3842" s="7"/>
      <c r="AS3842" s="7" t="s">
        <v>27</v>
      </c>
    </row>
    <row r="3843">
      <c r="A3843" s="7" t="s">
        <v>164</v>
      </c>
      <c r="B3843" s="7" t="s">
        <v>329</v>
      </c>
      <c r="C3843" s="7">
        <f t="shared" si="522"/>
        <v>2</v>
      </c>
      <c r="D3843" s="7">
        <v>1.0</v>
      </c>
      <c r="E3843" s="7">
        <v>1.0</v>
      </c>
      <c r="F3843" s="7" t="s">
        <v>93</v>
      </c>
      <c r="G3843" s="7" t="s">
        <v>2491</v>
      </c>
      <c r="H3843" s="9" t="s">
        <v>2981</v>
      </c>
      <c r="I3843" t="s">
        <v>3285</v>
      </c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  <c r="AA3843" s="7"/>
      <c r="AB3843" s="7"/>
      <c r="AC3843" s="7"/>
      <c r="AD3843" s="7" t="str">
        <f t="shared" si="1"/>
        <v>Land area </v>
      </c>
      <c r="AE3843" s="7" t="str">
        <f t="shared" si="2"/>
        <v> sq. ft.</v>
      </c>
      <c r="AF3843">
        <f>IFERROR(__xludf.DUMMYFUNCTION("VALUE(REGEXREPLACE(G3843,""[^[:digit:]]"", """"))"),811.0)</f>
        <v>811</v>
      </c>
      <c r="AG3843" s="7"/>
      <c r="AH3843" s="7"/>
      <c r="AI3843" s="7"/>
      <c r="AJ3843" s="7"/>
      <c r="AK3843" s="7"/>
      <c r="AL3843" s="7"/>
      <c r="AM3843" s="7"/>
      <c r="AN3843" s="7"/>
      <c r="AO3843" s="7"/>
      <c r="AP3843" s="7"/>
      <c r="AQ3843" s="7"/>
      <c r="AR3843" s="7"/>
      <c r="AS3843" s="7" t="s">
        <v>22</v>
      </c>
    </row>
    <row r="3844">
      <c r="A3844" s="7" t="s">
        <v>171</v>
      </c>
      <c r="B3844" s="7" t="s">
        <v>191</v>
      </c>
      <c r="C3844" s="7">
        <f>4</f>
        <v>4</v>
      </c>
      <c r="D3844" s="7">
        <v>3.0</v>
      </c>
      <c r="E3844" s="9">
        <v>2.0</v>
      </c>
      <c r="F3844" s="7" t="s">
        <v>54</v>
      </c>
      <c r="G3844" s="7" t="s">
        <v>211</v>
      </c>
      <c r="H3844" s="9" t="s">
        <v>2981</v>
      </c>
      <c r="I3844" t="s">
        <v>2992</v>
      </c>
      <c r="J3844" s="7"/>
      <c r="K3844" s="7"/>
      <c r="L3844" s="7"/>
      <c r="M3844" s="7"/>
      <c r="N3844" s="7"/>
      <c r="O3844" s="7"/>
      <c r="P3844" s="7"/>
      <c r="Q3844" s="7"/>
      <c r="R3844" s="7"/>
      <c r="S3844" s="7" t="s">
        <v>2993</v>
      </c>
      <c r="T3844" s="7"/>
      <c r="U3844" s="7"/>
      <c r="V3844" s="7"/>
      <c r="W3844" s="7"/>
      <c r="X3844" s="7"/>
      <c r="Y3844" s="7"/>
      <c r="Z3844" s="7"/>
      <c r="AA3844" s="7"/>
      <c r="AB3844" s="7"/>
      <c r="AC3844" s="7"/>
      <c r="AD3844" s="7" t="str">
        <f t="shared" si="1"/>
        <v>Land area </v>
      </c>
      <c r="AE3844" s="7" t="str">
        <f t="shared" si="2"/>
        <v> sq. ft.</v>
      </c>
      <c r="AF3844">
        <f>IFERROR(__xludf.DUMMYFUNCTION("VALUE(REGEXREPLACE(G3844,""[^[:digit:]]"", """"))"),2280.0)</f>
        <v>2280</v>
      </c>
      <c r="AG3844" s="7"/>
      <c r="AH3844" s="7"/>
      <c r="AI3844" s="7"/>
      <c r="AJ3844" s="7"/>
      <c r="AK3844" s="7"/>
      <c r="AL3844" s="7"/>
      <c r="AM3844" s="7"/>
      <c r="AN3844" s="7"/>
      <c r="AO3844" s="7"/>
      <c r="AP3844" s="7"/>
      <c r="AQ3844" s="7"/>
      <c r="AR3844" s="7"/>
      <c r="AS3844" s="7" t="s">
        <v>103</v>
      </c>
    </row>
    <row r="3845">
      <c r="A3845" s="7" t="s">
        <v>32</v>
      </c>
      <c r="B3845" s="7" t="s">
        <v>144</v>
      </c>
      <c r="C3845" s="7">
        <f>5</f>
        <v>5</v>
      </c>
      <c r="D3845" s="7">
        <v>6.0</v>
      </c>
      <c r="E3845" s="9">
        <v>2.0</v>
      </c>
      <c r="F3845" s="7" t="s">
        <v>64</v>
      </c>
      <c r="G3845" s="7" t="s">
        <v>2492</v>
      </c>
      <c r="H3845" s="9" t="s">
        <v>2981</v>
      </c>
      <c r="I3845" t="s">
        <v>4350</v>
      </c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  <c r="AA3845" s="7"/>
      <c r="AB3845" s="7"/>
      <c r="AC3845" s="7"/>
      <c r="AD3845" s="7" t="str">
        <f t="shared" si="1"/>
        <v>Land area </v>
      </c>
      <c r="AE3845" s="7" t="str">
        <f t="shared" si="2"/>
        <v> sq. ft.</v>
      </c>
      <c r="AF3845">
        <f>IFERROR(__xludf.DUMMYFUNCTION("VALUE(REGEXREPLACE(G3845,""[^[:digit:]]"", """"))"),3475.0)</f>
        <v>3475</v>
      </c>
      <c r="AG3845" s="7"/>
      <c r="AH3845" s="7"/>
      <c r="AI3845" s="7"/>
      <c r="AJ3845" s="7"/>
      <c r="AK3845" s="7"/>
      <c r="AL3845" s="7"/>
      <c r="AM3845" s="7"/>
      <c r="AN3845" s="7"/>
      <c r="AO3845" s="7"/>
      <c r="AP3845" s="7"/>
      <c r="AQ3845" s="7"/>
      <c r="AR3845" s="7"/>
      <c r="AS3845" s="7" t="s">
        <v>27</v>
      </c>
    </row>
    <row r="3846">
      <c r="A3846" s="7" t="s">
        <v>32</v>
      </c>
      <c r="B3846" s="7" t="s">
        <v>18</v>
      </c>
      <c r="C3846" s="7">
        <f>5+1</f>
        <v>6</v>
      </c>
      <c r="D3846" s="7">
        <v>5.0</v>
      </c>
      <c r="E3846" s="9">
        <v>2.0</v>
      </c>
      <c r="F3846" s="7" t="s">
        <v>64</v>
      </c>
      <c r="G3846" s="7" t="s">
        <v>2493</v>
      </c>
      <c r="H3846" s="9" t="s">
        <v>2981</v>
      </c>
      <c r="I3846" t="s">
        <v>4351</v>
      </c>
      <c r="J3846" s="7"/>
      <c r="K3846" s="7"/>
      <c r="L3846" s="7"/>
      <c r="M3846" s="7"/>
      <c r="N3846" s="7"/>
      <c r="O3846" s="7"/>
      <c r="P3846" s="7"/>
      <c r="Q3846" s="7"/>
      <c r="R3846" s="7"/>
      <c r="S3846" s="7" t="s">
        <v>4352</v>
      </c>
      <c r="T3846" s="7"/>
      <c r="U3846" s="7"/>
      <c r="V3846" s="7"/>
      <c r="W3846" s="7"/>
      <c r="X3846" s="7"/>
      <c r="Y3846" s="7"/>
      <c r="Z3846" s="7"/>
      <c r="AA3846" s="7"/>
      <c r="AB3846" s="7"/>
      <c r="AC3846" s="7"/>
      <c r="AD3846" s="7" t="str">
        <f t="shared" si="1"/>
        <v>Land area </v>
      </c>
      <c r="AE3846" s="7" t="str">
        <f t="shared" si="2"/>
        <v> sq. ft.</v>
      </c>
      <c r="AF3846">
        <f>IFERROR(__xludf.DUMMYFUNCTION("VALUE(REGEXREPLACE(G3846,""[^[:digit:]]"", """"))"),4379.0)</f>
        <v>4379</v>
      </c>
      <c r="AG3846" s="7"/>
      <c r="AH3846" s="7"/>
      <c r="AI3846" s="7"/>
      <c r="AJ3846" s="7"/>
      <c r="AK3846" s="7"/>
      <c r="AL3846" s="7"/>
      <c r="AM3846" s="7"/>
      <c r="AN3846" s="7"/>
      <c r="AO3846" s="7"/>
      <c r="AP3846" s="7"/>
      <c r="AQ3846" s="7"/>
      <c r="AR3846" s="7"/>
      <c r="AS3846" s="7" t="s">
        <v>103</v>
      </c>
    </row>
    <row r="3847">
      <c r="A3847" s="7" t="s">
        <v>32</v>
      </c>
      <c r="B3847" s="7" t="s">
        <v>403</v>
      </c>
      <c r="C3847" s="7">
        <f>6+1</f>
        <v>7</v>
      </c>
      <c r="D3847" s="7">
        <v>5.0</v>
      </c>
      <c r="E3847" s="9">
        <v>2.0</v>
      </c>
      <c r="F3847" s="7" t="s">
        <v>487</v>
      </c>
      <c r="G3847" s="7" t="s">
        <v>2494</v>
      </c>
      <c r="H3847" s="9" t="s">
        <v>2981</v>
      </c>
      <c r="I3847" t="s">
        <v>3783</v>
      </c>
      <c r="J3847" s="7"/>
      <c r="K3847" s="7"/>
      <c r="L3847" s="7"/>
      <c r="M3847" s="7"/>
      <c r="N3847" s="7"/>
      <c r="O3847" s="7"/>
      <c r="P3847" s="7"/>
      <c r="Q3847" s="7"/>
      <c r="R3847" s="7"/>
      <c r="S3847" s="7" t="s">
        <v>2993</v>
      </c>
      <c r="T3847" s="7"/>
      <c r="U3847" s="7"/>
      <c r="V3847" s="7"/>
      <c r="W3847" s="7"/>
      <c r="X3847" s="7"/>
      <c r="Y3847" s="7"/>
      <c r="Z3847" s="7"/>
      <c r="AA3847" s="7"/>
      <c r="AB3847" s="7"/>
      <c r="AC3847" s="7"/>
      <c r="AD3847" s="7" t="str">
        <f t="shared" si="1"/>
        <v>Land area </v>
      </c>
      <c r="AE3847" s="7" t="str">
        <f t="shared" si="2"/>
        <v> sq. ft.</v>
      </c>
      <c r="AF3847">
        <f>IFERROR(__xludf.DUMMYFUNCTION("VALUE(REGEXREPLACE(G3847,""[^[:digit:]]"", """"))"),8080.0)</f>
        <v>8080</v>
      </c>
      <c r="AG3847" s="7"/>
      <c r="AH3847" s="7"/>
      <c r="AI3847" s="7"/>
      <c r="AJ3847" s="7"/>
      <c r="AK3847" s="7"/>
      <c r="AL3847" s="7"/>
      <c r="AM3847" s="7"/>
      <c r="AN3847" s="7"/>
      <c r="AO3847" s="7"/>
      <c r="AP3847" s="7"/>
      <c r="AQ3847" s="7"/>
      <c r="AR3847" s="7"/>
      <c r="AS3847" s="7" t="s">
        <v>27</v>
      </c>
    </row>
    <row r="3848">
      <c r="A3848" s="7" t="s">
        <v>432</v>
      </c>
      <c r="B3848" s="7" t="s">
        <v>513</v>
      </c>
      <c r="C3848" s="7">
        <f t="shared" ref="C3848:C3849" si="523">5+1</f>
        <v>6</v>
      </c>
      <c r="D3848" s="7">
        <v>7.0</v>
      </c>
      <c r="E3848" s="9">
        <v>2.0</v>
      </c>
      <c r="F3848" s="7" t="s">
        <v>25</v>
      </c>
      <c r="G3848" s="7" t="s">
        <v>219</v>
      </c>
      <c r="H3848" s="9" t="s">
        <v>2981</v>
      </c>
      <c r="I3848" t="s">
        <v>3059</v>
      </c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  <c r="AA3848" s="7"/>
      <c r="AB3848" s="7"/>
      <c r="AC3848" s="7"/>
      <c r="AD3848" s="7" t="str">
        <f t="shared" si="1"/>
        <v>Land area </v>
      </c>
      <c r="AE3848" s="7" t="str">
        <f t="shared" si="2"/>
        <v> sq. ft.</v>
      </c>
      <c r="AF3848">
        <f>IFERROR(__xludf.DUMMYFUNCTION("VALUE(REGEXREPLACE(G3848,""[^[:digit:]]"", """"))"),7000.0)</f>
        <v>7000</v>
      </c>
      <c r="AG3848" s="7"/>
      <c r="AH3848" s="7"/>
      <c r="AI3848" s="7"/>
      <c r="AJ3848" s="7"/>
      <c r="AK3848" s="7"/>
      <c r="AL3848" s="7"/>
      <c r="AM3848" s="7"/>
      <c r="AN3848" s="7"/>
      <c r="AO3848" s="7"/>
      <c r="AP3848" s="7"/>
      <c r="AQ3848" s="7"/>
      <c r="AR3848" s="7"/>
      <c r="AS3848" s="7" t="s">
        <v>27</v>
      </c>
    </row>
    <row r="3849">
      <c r="A3849" s="7" t="s">
        <v>692</v>
      </c>
      <c r="B3849" s="7" t="s">
        <v>399</v>
      </c>
      <c r="C3849" s="7">
        <f t="shared" si="523"/>
        <v>6</v>
      </c>
      <c r="D3849" s="7">
        <v>5.0</v>
      </c>
      <c r="E3849" s="9">
        <v>2.0</v>
      </c>
      <c r="F3849" s="7" t="s">
        <v>804</v>
      </c>
      <c r="G3849" s="7" t="s">
        <v>1129</v>
      </c>
      <c r="H3849" s="9" t="s">
        <v>2981</v>
      </c>
      <c r="I3849" t="s">
        <v>3062</v>
      </c>
      <c r="J3849" s="7"/>
      <c r="K3849" s="7"/>
      <c r="L3849" s="7"/>
      <c r="M3849" s="7"/>
      <c r="N3849" s="7"/>
      <c r="O3849" s="7"/>
      <c r="P3849" s="7"/>
      <c r="Q3849" s="7"/>
      <c r="R3849" s="7"/>
      <c r="S3849" s="7" t="s">
        <v>2990</v>
      </c>
      <c r="T3849" s="7"/>
      <c r="U3849" s="7"/>
      <c r="V3849" s="7"/>
      <c r="W3849" s="7"/>
      <c r="X3849" s="7"/>
      <c r="Y3849" s="7"/>
      <c r="Z3849" s="7"/>
      <c r="AA3849" s="7"/>
      <c r="AB3849" s="7"/>
      <c r="AC3849" s="7"/>
      <c r="AD3849" s="7" t="str">
        <f t="shared" si="1"/>
        <v>Land area </v>
      </c>
      <c r="AE3849" s="7" t="str">
        <f t="shared" si="2"/>
        <v> sq. ft.</v>
      </c>
      <c r="AF3849">
        <f>IFERROR(__xludf.DUMMYFUNCTION("VALUE(REGEXREPLACE(G3849,""[^[:digit:]]"", """"))"),3275.0)</f>
        <v>3275</v>
      </c>
      <c r="AG3849" s="7"/>
      <c r="AH3849" s="7"/>
      <c r="AI3849" s="7"/>
      <c r="AJ3849" s="7"/>
      <c r="AK3849" s="7"/>
      <c r="AL3849" s="7"/>
      <c r="AM3849" s="7"/>
      <c r="AN3849" s="7"/>
      <c r="AO3849" s="7"/>
      <c r="AP3849" s="7"/>
      <c r="AQ3849" s="7"/>
      <c r="AR3849" s="7"/>
      <c r="AS3849" s="7" t="s">
        <v>27</v>
      </c>
    </row>
    <row r="3850">
      <c r="A3850" s="7" t="s">
        <v>432</v>
      </c>
      <c r="B3850" s="7" t="s">
        <v>322</v>
      </c>
      <c r="C3850" s="7">
        <f>3+1</f>
        <v>4</v>
      </c>
      <c r="D3850" s="7">
        <v>5.0</v>
      </c>
      <c r="E3850" s="9">
        <v>2.0</v>
      </c>
      <c r="F3850" s="7" t="s">
        <v>83</v>
      </c>
      <c r="G3850" s="7" t="s">
        <v>1627</v>
      </c>
      <c r="H3850" s="9" t="s">
        <v>2979</v>
      </c>
      <c r="I3850" t="s">
        <v>3820</v>
      </c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  <c r="AA3850" s="7"/>
      <c r="AB3850" s="7"/>
      <c r="AC3850" s="7"/>
      <c r="AD3850" s="7" t="str">
        <f t="shared" si="1"/>
        <v>Built-up :</v>
      </c>
      <c r="AE3850" s="7" t="str">
        <f t="shared" si="2"/>
        <v> sq. ft.</v>
      </c>
      <c r="AF3850">
        <f>IFERROR(__xludf.DUMMYFUNCTION("VALUE(REGEXREPLACE(G3850,""[^[:digit:]]"", """"))"),2573.0)</f>
        <v>2573</v>
      </c>
      <c r="AG3850" s="7"/>
      <c r="AH3850" s="7"/>
      <c r="AI3850" s="7"/>
      <c r="AJ3850" s="7"/>
      <c r="AK3850" s="7"/>
      <c r="AL3850" s="7"/>
      <c r="AM3850" s="7"/>
      <c r="AN3850" s="7"/>
      <c r="AO3850" s="7"/>
      <c r="AP3850" s="7"/>
      <c r="AQ3850" s="7"/>
      <c r="AR3850" s="7"/>
      <c r="AS3850" s="7" t="s">
        <v>103</v>
      </c>
    </row>
    <row r="3851">
      <c r="A3851" s="7" t="s">
        <v>89</v>
      </c>
      <c r="B3851" s="7" t="s">
        <v>134</v>
      </c>
      <c r="C3851" s="7">
        <f>5</f>
        <v>5</v>
      </c>
      <c r="D3851" s="7">
        <v>4.0</v>
      </c>
      <c r="E3851" s="9">
        <v>2.0</v>
      </c>
      <c r="F3851" s="7" t="s">
        <v>90</v>
      </c>
      <c r="G3851" s="7" t="s">
        <v>91</v>
      </c>
      <c r="H3851" s="9" t="s">
        <v>2981</v>
      </c>
      <c r="I3851" t="s">
        <v>3003</v>
      </c>
      <c r="J3851" s="7"/>
      <c r="K3851" s="7"/>
      <c r="L3851" s="7"/>
      <c r="M3851" s="7"/>
      <c r="N3851" s="7"/>
      <c r="O3851" s="7"/>
      <c r="P3851" s="7"/>
      <c r="Q3851" s="7"/>
      <c r="R3851" s="7"/>
      <c r="S3851" s="7" t="s">
        <v>2990</v>
      </c>
      <c r="T3851" s="7"/>
      <c r="U3851" s="7"/>
      <c r="V3851" s="7"/>
      <c r="W3851" s="7"/>
      <c r="X3851" s="7"/>
      <c r="Y3851" s="7"/>
      <c r="Z3851" s="7"/>
      <c r="AA3851" s="7"/>
      <c r="AB3851" s="7"/>
      <c r="AC3851" s="7"/>
      <c r="AD3851" s="7" t="str">
        <f t="shared" si="1"/>
        <v>Land area </v>
      </c>
      <c r="AE3851" s="7" t="str">
        <f t="shared" si="2"/>
        <v> sq. ft.</v>
      </c>
      <c r="AF3851">
        <f>IFERROR(__xludf.DUMMYFUNCTION("VALUE(REGEXREPLACE(G3851,""[^[:digit:]]"", """"))"),2075.0)</f>
        <v>2075</v>
      </c>
      <c r="AG3851" s="7"/>
      <c r="AH3851" s="7"/>
      <c r="AI3851" s="7"/>
      <c r="AJ3851" s="7"/>
      <c r="AK3851" s="7"/>
      <c r="AL3851" s="7"/>
      <c r="AM3851" s="7"/>
      <c r="AN3851" s="7"/>
      <c r="AO3851" s="7"/>
      <c r="AP3851" s="7"/>
      <c r="AQ3851" s="7"/>
      <c r="AR3851" s="7"/>
      <c r="AS3851" s="7" t="s">
        <v>22</v>
      </c>
    </row>
    <row r="3852">
      <c r="A3852" s="7" t="s">
        <v>89</v>
      </c>
      <c r="B3852" s="7" t="s">
        <v>710</v>
      </c>
      <c r="C3852" s="7">
        <f t="shared" ref="C3852:C3854" si="524">3</f>
        <v>3</v>
      </c>
      <c r="D3852" s="7">
        <v>2.0</v>
      </c>
      <c r="E3852" s="7">
        <v>2.0</v>
      </c>
      <c r="F3852" s="7" t="s">
        <v>83</v>
      </c>
      <c r="G3852" s="7" t="s">
        <v>1532</v>
      </c>
      <c r="H3852" s="9" t="s">
        <v>2979</v>
      </c>
      <c r="I3852" t="s">
        <v>3764</v>
      </c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  <c r="AA3852" s="7"/>
      <c r="AB3852" s="7"/>
      <c r="AC3852" s="7"/>
      <c r="AD3852" s="7" t="str">
        <f t="shared" si="1"/>
        <v>Built-up :</v>
      </c>
      <c r="AE3852" s="7" t="str">
        <f t="shared" si="2"/>
        <v> sq. ft.</v>
      </c>
      <c r="AF3852">
        <f>IFERROR(__xludf.DUMMYFUNCTION("VALUE(REGEXREPLACE(G3852,""[^[:digit:]]"", """"))"),1044.0)</f>
        <v>1044</v>
      </c>
      <c r="AG3852" s="7"/>
      <c r="AH3852" s="7"/>
      <c r="AI3852" s="7"/>
      <c r="AJ3852" s="7"/>
      <c r="AK3852" s="7"/>
      <c r="AL3852" s="7"/>
      <c r="AM3852" s="7"/>
      <c r="AN3852" s="7"/>
      <c r="AO3852" s="7"/>
      <c r="AP3852" s="7"/>
      <c r="AQ3852" s="7"/>
      <c r="AR3852" s="7"/>
      <c r="AS3852" s="7" t="s">
        <v>27</v>
      </c>
    </row>
    <row r="3853">
      <c r="A3853" s="7" t="s">
        <v>89</v>
      </c>
      <c r="B3853" s="7" t="s">
        <v>92</v>
      </c>
      <c r="C3853" s="7">
        <f t="shared" si="524"/>
        <v>3</v>
      </c>
      <c r="D3853" s="7">
        <v>2.0</v>
      </c>
      <c r="E3853" s="7">
        <v>1.0</v>
      </c>
      <c r="F3853" s="7" t="s">
        <v>83</v>
      </c>
      <c r="G3853" s="7" t="s">
        <v>1343</v>
      </c>
      <c r="H3853" s="9" t="s">
        <v>2979</v>
      </c>
      <c r="I3853" t="s">
        <v>3658</v>
      </c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  <c r="AA3853" s="7"/>
      <c r="AB3853" s="7"/>
      <c r="AC3853" s="7"/>
      <c r="AD3853" s="7" t="str">
        <f t="shared" si="1"/>
        <v>Built-up :</v>
      </c>
      <c r="AE3853" s="7" t="str">
        <f t="shared" si="2"/>
        <v> sq. ft.</v>
      </c>
      <c r="AF3853">
        <f>IFERROR(__xludf.DUMMYFUNCTION("VALUE(REGEXREPLACE(G3853,""[^[:digit:]]"", """"))"),1005.0)</f>
        <v>1005</v>
      </c>
      <c r="AG3853" s="7"/>
      <c r="AH3853" s="7"/>
      <c r="AI3853" s="7"/>
      <c r="AJ3853" s="7"/>
      <c r="AK3853" s="7"/>
      <c r="AL3853" s="7"/>
      <c r="AM3853" s="7"/>
      <c r="AN3853" s="7"/>
      <c r="AO3853" s="7"/>
      <c r="AP3853" s="7"/>
      <c r="AQ3853" s="7"/>
      <c r="AR3853" s="7"/>
      <c r="AS3853" s="7" t="s">
        <v>27</v>
      </c>
    </row>
    <row r="3854">
      <c r="A3854" s="7" t="s">
        <v>89</v>
      </c>
      <c r="B3854" s="7" t="s">
        <v>105</v>
      </c>
      <c r="C3854" s="7">
        <f t="shared" si="524"/>
        <v>3</v>
      </c>
      <c r="D3854" s="7">
        <v>2.0</v>
      </c>
      <c r="E3854" s="7">
        <v>1.0</v>
      </c>
      <c r="F3854" s="7" t="s">
        <v>83</v>
      </c>
      <c r="G3854" s="7" t="s">
        <v>2495</v>
      </c>
      <c r="H3854" s="9" t="s">
        <v>2979</v>
      </c>
      <c r="I3854" t="s">
        <v>4353</v>
      </c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  <c r="AA3854" s="7"/>
      <c r="AB3854" s="7"/>
      <c r="AC3854" s="7"/>
      <c r="AD3854" s="7" t="str">
        <f t="shared" si="1"/>
        <v>Built-up :</v>
      </c>
      <c r="AE3854" s="7" t="str">
        <f t="shared" si="2"/>
        <v> sq. ft.</v>
      </c>
      <c r="AF3854">
        <f>IFERROR(__xludf.DUMMYFUNCTION("VALUE(REGEXREPLACE(G3854,""[^[:digit:]]"", """"))"),1105.0)</f>
        <v>1105</v>
      </c>
      <c r="AG3854" s="7"/>
      <c r="AH3854" s="7"/>
      <c r="AI3854" s="7"/>
      <c r="AJ3854" s="7"/>
      <c r="AK3854" s="7"/>
      <c r="AL3854" s="7"/>
      <c r="AM3854" s="7"/>
      <c r="AN3854" s="7"/>
      <c r="AO3854" s="7"/>
      <c r="AP3854" s="7"/>
      <c r="AQ3854" s="7"/>
      <c r="AR3854" s="7"/>
      <c r="AS3854" s="7" t="s">
        <v>27</v>
      </c>
    </row>
    <row r="3855">
      <c r="A3855" s="7" t="s">
        <v>32</v>
      </c>
      <c r="B3855" s="7" t="s">
        <v>156</v>
      </c>
      <c r="C3855" s="7">
        <f>4</f>
        <v>4</v>
      </c>
      <c r="D3855" s="7">
        <v>3.0</v>
      </c>
      <c r="E3855" s="7">
        <v>2.0</v>
      </c>
      <c r="F3855" s="7" t="s">
        <v>169</v>
      </c>
      <c r="G3855" s="7" t="s">
        <v>2496</v>
      </c>
      <c r="H3855" s="9" t="s">
        <v>2979</v>
      </c>
      <c r="I3855" t="s">
        <v>4354</v>
      </c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  <c r="AA3855" s="7"/>
      <c r="AB3855" s="7"/>
      <c r="AC3855" s="7"/>
      <c r="AD3855" s="7" t="str">
        <f t="shared" si="1"/>
        <v>Built-up :</v>
      </c>
      <c r="AE3855" s="7" t="str">
        <f t="shared" si="2"/>
        <v> sq. ft.</v>
      </c>
      <c r="AF3855">
        <f>IFERROR(__xludf.DUMMYFUNCTION("VALUE(REGEXREPLACE(G3855,""[^[:digit:]]"", """"))"),1920.0)</f>
        <v>1920</v>
      </c>
      <c r="AG3855" s="7"/>
      <c r="AH3855" s="7"/>
      <c r="AI3855" s="7"/>
      <c r="AJ3855" s="7"/>
      <c r="AK3855" s="7"/>
      <c r="AL3855" s="7"/>
      <c r="AM3855" s="7"/>
      <c r="AN3855" s="7"/>
      <c r="AO3855" s="7"/>
      <c r="AP3855" s="7"/>
      <c r="AQ3855" s="7"/>
      <c r="AR3855" s="7"/>
      <c r="AS3855" s="7" t="s">
        <v>27</v>
      </c>
    </row>
    <row r="3856">
      <c r="A3856" s="7" t="s">
        <v>100</v>
      </c>
      <c r="B3856" s="7" t="s">
        <v>2497</v>
      </c>
      <c r="C3856" s="7">
        <f>3+1</f>
        <v>4</v>
      </c>
      <c r="E3856" s="9">
        <v>2.0</v>
      </c>
      <c r="F3856" s="7" t="s">
        <v>30</v>
      </c>
      <c r="G3856" s="7" t="s">
        <v>21</v>
      </c>
      <c r="H3856" s="9" t="s">
        <v>2979</v>
      </c>
      <c r="I3856" t="s">
        <v>2980</v>
      </c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  <c r="AA3856" s="7"/>
      <c r="AB3856" s="7"/>
      <c r="AC3856" s="7"/>
      <c r="AD3856" s="7" t="str">
        <f t="shared" si="1"/>
        <v>Built-up :</v>
      </c>
      <c r="AE3856" s="7" t="str">
        <f t="shared" si="2"/>
        <v> sq. ft.</v>
      </c>
      <c r="AF3856">
        <f>IFERROR(__xludf.DUMMYFUNCTION("VALUE(REGEXREPLACE(G3856,""[^[:digit:]]"", """"))"),1335.0)</f>
        <v>1335</v>
      </c>
      <c r="AG3856" s="7"/>
      <c r="AH3856" s="7"/>
      <c r="AI3856" s="7"/>
      <c r="AJ3856" s="7"/>
      <c r="AK3856" s="7"/>
      <c r="AL3856" s="7"/>
      <c r="AM3856" s="7"/>
      <c r="AN3856" s="7"/>
      <c r="AO3856" s="7"/>
      <c r="AP3856" s="7"/>
      <c r="AQ3856" s="7"/>
      <c r="AR3856" s="7"/>
    </row>
    <row r="3857">
      <c r="A3857" s="7" t="s">
        <v>148</v>
      </c>
      <c r="B3857" s="7" t="s">
        <v>715</v>
      </c>
      <c r="C3857" s="7">
        <f>3</f>
        <v>3</v>
      </c>
      <c r="D3857" s="7">
        <v>2.0</v>
      </c>
      <c r="E3857" s="9">
        <v>2.0</v>
      </c>
      <c r="F3857" s="7" t="s">
        <v>343</v>
      </c>
      <c r="G3857" s="7" t="s">
        <v>2498</v>
      </c>
      <c r="H3857" s="9" t="s">
        <v>2981</v>
      </c>
      <c r="I3857" t="s">
        <v>3003</v>
      </c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  <c r="AA3857" s="7"/>
      <c r="AB3857" s="7"/>
      <c r="AC3857" s="7"/>
      <c r="AD3857" s="7" t="str">
        <f t="shared" si="1"/>
        <v>Land area </v>
      </c>
      <c r="AE3857" s="7" t="str">
        <f t="shared" si="2"/>
        <v> sq. ft.</v>
      </c>
      <c r="AF3857">
        <f>IFERROR(__xludf.DUMMYFUNCTION("VALUE(REGEXREPLACE(G3857,""[^[:digit:]]"", """"))"),2075.0)</f>
        <v>2075</v>
      </c>
      <c r="AG3857" s="7"/>
      <c r="AH3857" s="7"/>
      <c r="AI3857" s="7"/>
      <c r="AJ3857" s="7"/>
      <c r="AK3857" s="7"/>
      <c r="AL3857" s="7"/>
      <c r="AM3857" s="7"/>
      <c r="AN3857" s="7"/>
      <c r="AO3857" s="7"/>
      <c r="AP3857" s="7"/>
      <c r="AQ3857" s="7"/>
      <c r="AR3857" s="7"/>
      <c r="AS3857" s="7" t="s">
        <v>27</v>
      </c>
    </row>
    <row r="3858">
      <c r="A3858" s="7" t="s">
        <v>28</v>
      </c>
      <c r="B3858" s="7" t="s">
        <v>245</v>
      </c>
      <c r="C3858" s="7">
        <f>3+1</f>
        <v>4</v>
      </c>
      <c r="D3858" s="7">
        <v>3.0</v>
      </c>
      <c r="E3858" s="9">
        <v>2.0</v>
      </c>
      <c r="F3858" s="7" t="s">
        <v>93</v>
      </c>
      <c r="G3858" s="7" t="s">
        <v>1195</v>
      </c>
      <c r="H3858" s="9" t="s">
        <v>2981</v>
      </c>
      <c r="I3858" t="s">
        <v>3020</v>
      </c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  <c r="AA3858" s="7"/>
      <c r="AB3858" s="7"/>
      <c r="AC3858" s="7"/>
      <c r="AD3858" s="7" t="str">
        <f t="shared" si="1"/>
        <v>Land area </v>
      </c>
      <c r="AE3858" s="7" t="str">
        <f t="shared" si="2"/>
        <v> sq. ft.</v>
      </c>
      <c r="AF3858">
        <f>IFERROR(__xludf.DUMMYFUNCTION("VALUE(REGEXREPLACE(G3858,""[^[:digit:]]"", """"))"),1600.0)</f>
        <v>1600</v>
      </c>
      <c r="AG3858" s="7"/>
      <c r="AH3858" s="7"/>
      <c r="AI3858" s="7"/>
      <c r="AJ3858" s="7"/>
      <c r="AK3858" s="7"/>
      <c r="AL3858" s="7"/>
      <c r="AM3858" s="7"/>
      <c r="AN3858" s="7"/>
      <c r="AO3858" s="7"/>
      <c r="AP3858" s="7"/>
      <c r="AQ3858" s="7"/>
      <c r="AR3858" s="7"/>
    </row>
    <row r="3859">
      <c r="A3859" s="7" t="s">
        <v>28</v>
      </c>
      <c r="B3859" s="7" t="s">
        <v>168</v>
      </c>
      <c r="C3859" s="7">
        <f t="shared" ref="C3859:C3860" si="525">3</f>
        <v>3</v>
      </c>
      <c r="D3859" s="7">
        <v>2.0</v>
      </c>
      <c r="E3859" s="9">
        <v>2.0</v>
      </c>
      <c r="F3859" s="7" t="s">
        <v>83</v>
      </c>
      <c r="G3859" s="7" t="s">
        <v>1514</v>
      </c>
      <c r="H3859" s="9" t="s">
        <v>2979</v>
      </c>
      <c r="I3859" t="s">
        <v>3753</v>
      </c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  <c r="AA3859" s="7"/>
      <c r="AB3859" s="7"/>
      <c r="AC3859" s="7"/>
      <c r="AD3859" s="7" t="str">
        <f t="shared" si="1"/>
        <v>Built-up :</v>
      </c>
      <c r="AE3859" s="7" t="str">
        <f t="shared" si="2"/>
        <v> sq. ft.</v>
      </c>
      <c r="AF3859">
        <f>IFERROR(__xludf.DUMMYFUNCTION("VALUE(REGEXREPLACE(G3859,""[^[:digit:]]"", """"))"),1253.0)</f>
        <v>1253</v>
      </c>
      <c r="AG3859" s="7"/>
      <c r="AH3859" s="7"/>
      <c r="AI3859" s="7"/>
      <c r="AJ3859" s="7"/>
      <c r="AK3859" s="7"/>
      <c r="AL3859" s="7"/>
      <c r="AM3859" s="7"/>
      <c r="AN3859" s="7"/>
      <c r="AO3859" s="7"/>
      <c r="AP3859" s="7"/>
      <c r="AQ3859" s="7"/>
      <c r="AR3859" s="7"/>
    </row>
    <row r="3860">
      <c r="A3860" s="7" t="s">
        <v>32</v>
      </c>
      <c r="B3860" s="7" t="s">
        <v>606</v>
      </c>
      <c r="C3860" s="7">
        <f t="shared" si="525"/>
        <v>3</v>
      </c>
      <c r="D3860" s="7">
        <v>2.0</v>
      </c>
      <c r="E3860" s="7">
        <v>3.0</v>
      </c>
      <c r="F3860" s="7" t="s">
        <v>93</v>
      </c>
      <c r="G3860" s="7" t="s">
        <v>505</v>
      </c>
      <c r="H3860" s="9" t="s">
        <v>2979</v>
      </c>
      <c r="I3860" t="s">
        <v>3199</v>
      </c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  <c r="AA3860" s="7"/>
      <c r="AB3860" s="7"/>
      <c r="AC3860" s="7"/>
      <c r="AD3860" s="7" t="str">
        <f t="shared" si="1"/>
        <v>Built-up :</v>
      </c>
      <c r="AE3860" s="7" t="str">
        <f t="shared" si="2"/>
        <v> sq. ft.</v>
      </c>
      <c r="AF3860">
        <f>IFERROR(__xludf.DUMMYFUNCTION("VALUE(REGEXREPLACE(G3860,""[^[:digit:]]"", """"))"),900.0)</f>
        <v>900</v>
      </c>
      <c r="AG3860" s="7"/>
      <c r="AH3860" s="7"/>
      <c r="AI3860" s="7"/>
      <c r="AJ3860" s="7"/>
      <c r="AK3860" s="7"/>
      <c r="AL3860" s="7"/>
      <c r="AM3860" s="7"/>
      <c r="AN3860" s="7"/>
      <c r="AO3860" s="7"/>
      <c r="AP3860" s="7"/>
      <c r="AQ3860" s="7"/>
      <c r="AR3860" s="7"/>
      <c r="AS3860" s="7" t="s">
        <v>27</v>
      </c>
    </row>
    <row r="3861">
      <c r="A3861" s="7" t="s">
        <v>28</v>
      </c>
      <c r="B3861" s="7" t="s">
        <v>134</v>
      </c>
      <c r="C3861" s="7">
        <f t="shared" ref="C3861:C3862" si="526">4+1</f>
        <v>5</v>
      </c>
      <c r="D3861" s="7">
        <v>4.0</v>
      </c>
      <c r="E3861" s="9">
        <v>2.0</v>
      </c>
      <c r="F3861" s="7" t="s">
        <v>93</v>
      </c>
      <c r="G3861" s="7" t="s">
        <v>1898</v>
      </c>
      <c r="H3861" s="9" t="s">
        <v>2981</v>
      </c>
      <c r="I3861" t="s">
        <v>3985</v>
      </c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  <c r="AA3861" s="7"/>
      <c r="AB3861" s="7"/>
      <c r="AC3861" s="7"/>
      <c r="AD3861" s="7" t="str">
        <f t="shared" si="1"/>
        <v>Land area </v>
      </c>
      <c r="AE3861" s="7" t="str">
        <f t="shared" si="2"/>
        <v> sq. ft.</v>
      </c>
      <c r="AF3861">
        <f>IFERROR(__xludf.DUMMYFUNCTION("VALUE(REGEXREPLACE(G3861,""[^[:digit:]]"", """"))"),1970.0)</f>
        <v>1970</v>
      </c>
      <c r="AG3861" s="7"/>
      <c r="AH3861" s="7"/>
      <c r="AI3861" s="7"/>
      <c r="AJ3861" s="7"/>
      <c r="AK3861" s="7"/>
      <c r="AL3861" s="7"/>
      <c r="AM3861" s="7"/>
      <c r="AN3861" s="7"/>
      <c r="AO3861" s="7"/>
      <c r="AP3861" s="7"/>
      <c r="AQ3861" s="7"/>
      <c r="AR3861" s="7"/>
      <c r="AS3861" s="7" t="s">
        <v>22</v>
      </c>
    </row>
    <row r="3862">
      <c r="A3862" s="7" t="s">
        <v>28</v>
      </c>
      <c r="B3862" s="7" t="s">
        <v>820</v>
      </c>
      <c r="C3862" s="7">
        <f t="shared" si="526"/>
        <v>5</v>
      </c>
      <c r="D3862" s="7">
        <v>4.0</v>
      </c>
      <c r="E3862" s="9">
        <v>2.0</v>
      </c>
      <c r="F3862" s="7" t="s">
        <v>30</v>
      </c>
      <c r="G3862" s="7" t="s">
        <v>2499</v>
      </c>
      <c r="H3862" s="9" t="s">
        <v>2981</v>
      </c>
      <c r="I3862" t="s">
        <v>4355</v>
      </c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  <c r="AA3862" s="7"/>
      <c r="AB3862" s="7"/>
      <c r="AC3862" s="7"/>
      <c r="AD3862" s="7" t="str">
        <f t="shared" si="1"/>
        <v>Land area </v>
      </c>
      <c r="AE3862" s="7" t="str">
        <f t="shared" si="2"/>
        <v> sq. ft.</v>
      </c>
      <c r="AF3862">
        <f>IFERROR(__xludf.DUMMYFUNCTION("VALUE(REGEXREPLACE(G3862,""[^[:digit:]]"", """"))"),1830.0)</f>
        <v>1830</v>
      </c>
      <c r="AG3862" s="7"/>
      <c r="AH3862" s="7"/>
      <c r="AI3862" s="7"/>
      <c r="AJ3862" s="7"/>
      <c r="AK3862" s="7"/>
      <c r="AL3862" s="7"/>
      <c r="AM3862" s="7"/>
      <c r="AN3862" s="7"/>
      <c r="AO3862" s="7"/>
      <c r="AP3862" s="7"/>
      <c r="AQ3862" s="7"/>
      <c r="AR3862" s="7"/>
      <c r="AS3862" s="7" t="s">
        <v>22</v>
      </c>
    </row>
    <row r="3863">
      <c r="A3863" s="7" t="s">
        <v>28</v>
      </c>
      <c r="B3863" s="7" t="s">
        <v>81</v>
      </c>
      <c r="C3863" s="7">
        <f>4+2</f>
        <v>6</v>
      </c>
      <c r="D3863" s="7">
        <v>6.0</v>
      </c>
      <c r="E3863" s="7">
        <v>3.0</v>
      </c>
      <c r="F3863" s="7" t="s">
        <v>30</v>
      </c>
      <c r="G3863" s="7" t="s">
        <v>2500</v>
      </c>
      <c r="H3863" s="9" t="s">
        <v>2981</v>
      </c>
      <c r="I3863" t="s">
        <v>4356</v>
      </c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  <c r="AA3863" s="7"/>
      <c r="AB3863" s="7"/>
      <c r="AC3863" s="7"/>
      <c r="AD3863" s="7" t="str">
        <f t="shared" si="1"/>
        <v>Land area </v>
      </c>
      <c r="AE3863" s="7" t="str">
        <f t="shared" si="2"/>
        <v> sq. ft.</v>
      </c>
      <c r="AF3863">
        <f>IFERROR(__xludf.DUMMYFUNCTION("VALUE(REGEXREPLACE(G3863,""[^[:digit:]]"", """"))"),4740.0)</f>
        <v>4740</v>
      </c>
      <c r="AG3863" s="7"/>
      <c r="AH3863" s="7"/>
      <c r="AI3863" s="7"/>
      <c r="AJ3863" s="7"/>
      <c r="AK3863" s="7"/>
      <c r="AL3863" s="7"/>
      <c r="AM3863" s="7"/>
      <c r="AN3863" s="7"/>
      <c r="AO3863" s="7"/>
      <c r="AP3863" s="7"/>
      <c r="AQ3863" s="7"/>
      <c r="AR3863" s="7"/>
      <c r="AS3863" s="7" t="s">
        <v>27</v>
      </c>
    </row>
    <row r="3864">
      <c r="A3864" s="7" t="s">
        <v>28</v>
      </c>
      <c r="B3864" s="7" t="s">
        <v>132</v>
      </c>
      <c r="C3864" s="7">
        <f>3+1</f>
        <v>4</v>
      </c>
      <c r="D3864" s="7">
        <v>4.0</v>
      </c>
      <c r="E3864" s="9">
        <v>2.0</v>
      </c>
      <c r="F3864" s="7" t="s">
        <v>30</v>
      </c>
      <c r="G3864" s="7" t="s">
        <v>1430</v>
      </c>
      <c r="H3864" s="9" t="s">
        <v>2979</v>
      </c>
      <c r="I3864" t="s">
        <v>3708</v>
      </c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  <c r="AA3864" s="7"/>
      <c r="AB3864" s="7"/>
      <c r="AC3864" s="7"/>
      <c r="AD3864" s="7" t="str">
        <f t="shared" si="1"/>
        <v>Built-up :</v>
      </c>
      <c r="AE3864" s="7" t="str">
        <f t="shared" si="2"/>
        <v> sq. ft.</v>
      </c>
      <c r="AF3864">
        <f>IFERROR(__xludf.DUMMYFUNCTION("VALUE(REGEXREPLACE(G3864,""[^[:digit:]]"", """"))"),1850.0)</f>
        <v>1850</v>
      </c>
      <c r="AG3864" s="7"/>
      <c r="AH3864" s="7"/>
      <c r="AI3864" s="7"/>
      <c r="AJ3864" s="7"/>
      <c r="AK3864" s="7"/>
      <c r="AL3864" s="7"/>
      <c r="AM3864" s="7"/>
      <c r="AN3864" s="7"/>
      <c r="AO3864" s="7"/>
      <c r="AP3864" s="7"/>
      <c r="AQ3864" s="7"/>
      <c r="AR3864" s="7"/>
      <c r="AS3864" s="7" t="s">
        <v>27</v>
      </c>
    </row>
    <row r="3865">
      <c r="A3865" s="7" t="s">
        <v>28</v>
      </c>
      <c r="B3865" s="7" t="s">
        <v>712</v>
      </c>
      <c r="C3865" s="7">
        <f>4+1</f>
        <v>5</v>
      </c>
      <c r="D3865" s="7">
        <v>4.0</v>
      </c>
      <c r="E3865" s="9">
        <v>2.0</v>
      </c>
      <c r="F3865" s="7" t="s">
        <v>30</v>
      </c>
      <c r="G3865" s="7" t="s">
        <v>2501</v>
      </c>
      <c r="H3865" s="9" t="s">
        <v>2981</v>
      </c>
      <c r="I3865" t="s">
        <v>4357</v>
      </c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  <c r="AA3865" s="7"/>
      <c r="AB3865" s="7"/>
      <c r="AC3865" s="7"/>
      <c r="AD3865" s="7" t="str">
        <f t="shared" si="1"/>
        <v>Land area </v>
      </c>
      <c r="AE3865" s="7" t="str">
        <f t="shared" si="2"/>
        <v> sq. ft.</v>
      </c>
      <c r="AF3865">
        <f>IFERROR(__xludf.DUMMYFUNCTION("VALUE(REGEXREPLACE(G3865,""[^[:digit:]]"", """"))"),5823.0)</f>
        <v>5823</v>
      </c>
      <c r="AG3865" s="7"/>
      <c r="AH3865" s="7"/>
      <c r="AI3865" s="7"/>
      <c r="AJ3865" s="7"/>
      <c r="AK3865" s="7"/>
      <c r="AL3865" s="7"/>
      <c r="AM3865" s="7"/>
      <c r="AN3865" s="7"/>
      <c r="AO3865" s="7"/>
      <c r="AP3865" s="7"/>
      <c r="AQ3865" s="7"/>
      <c r="AR3865" s="7"/>
      <c r="AS3865" s="7" t="s">
        <v>22</v>
      </c>
    </row>
    <row r="3866">
      <c r="A3866" s="7" t="s">
        <v>28</v>
      </c>
      <c r="B3866" s="7" t="s">
        <v>78</v>
      </c>
      <c r="C3866" s="7">
        <f>6</f>
        <v>6</v>
      </c>
      <c r="D3866" s="7">
        <v>5.0</v>
      </c>
      <c r="E3866" s="9">
        <v>2.0</v>
      </c>
      <c r="F3866" s="7" t="s">
        <v>30</v>
      </c>
      <c r="G3866" s="7" t="s">
        <v>176</v>
      </c>
      <c r="H3866" s="9" t="s">
        <v>2979</v>
      </c>
      <c r="I3866" t="s">
        <v>3039</v>
      </c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  <c r="AA3866" s="7"/>
      <c r="AB3866" s="7"/>
      <c r="AC3866" s="7"/>
      <c r="AD3866" s="7" t="str">
        <f t="shared" si="1"/>
        <v>Built-up :</v>
      </c>
      <c r="AE3866" s="7" t="str">
        <f t="shared" si="2"/>
        <v> sq. ft.</v>
      </c>
      <c r="AF3866">
        <f>IFERROR(__xludf.DUMMYFUNCTION("VALUE(REGEXREPLACE(G3866,""[^[:digit:]]"", """"))"),3000.0)</f>
        <v>3000</v>
      </c>
      <c r="AG3866" s="7"/>
      <c r="AH3866" s="7"/>
      <c r="AI3866" s="7"/>
      <c r="AJ3866" s="7"/>
      <c r="AK3866" s="7"/>
      <c r="AL3866" s="7"/>
      <c r="AM3866" s="7"/>
      <c r="AN3866" s="7"/>
      <c r="AO3866" s="7"/>
      <c r="AP3866" s="7"/>
      <c r="AQ3866" s="7"/>
      <c r="AR3866" s="7"/>
      <c r="AS3866" s="7" t="s">
        <v>22</v>
      </c>
    </row>
    <row r="3867">
      <c r="A3867" s="7" t="s">
        <v>28</v>
      </c>
      <c r="B3867" s="7" t="s">
        <v>1075</v>
      </c>
      <c r="C3867" s="7">
        <f t="shared" ref="C3867:C3868" si="527">3+1</f>
        <v>4</v>
      </c>
      <c r="D3867" s="7">
        <v>3.0</v>
      </c>
      <c r="E3867" s="9">
        <v>2.0</v>
      </c>
      <c r="F3867" s="7" t="s">
        <v>83</v>
      </c>
      <c r="G3867" s="7" t="s">
        <v>1153</v>
      </c>
      <c r="H3867" s="9" t="s">
        <v>2979</v>
      </c>
      <c r="I3867" t="s">
        <v>3542</v>
      </c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  <c r="AA3867" s="7"/>
      <c r="AB3867" s="7"/>
      <c r="AC3867" s="7"/>
      <c r="AD3867" s="7" t="str">
        <f t="shared" si="1"/>
        <v>Built-up :</v>
      </c>
      <c r="AE3867" s="7" t="str">
        <f t="shared" si="2"/>
        <v> sq. ft.</v>
      </c>
      <c r="AF3867">
        <f>IFERROR(__xludf.DUMMYFUNCTION("VALUE(REGEXREPLACE(G3867,""[^[:digit:]]"", """"))"),1356.0)</f>
        <v>1356</v>
      </c>
      <c r="AG3867" s="7"/>
      <c r="AH3867" s="7"/>
      <c r="AI3867" s="7"/>
      <c r="AJ3867" s="7"/>
      <c r="AK3867" s="7"/>
      <c r="AL3867" s="7"/>
      <c r="AM3867" s="7"/>
      <c r="AN3867" s="7"/>
      <c r="AO3867" s="7"/>
      <c r="AP3867" s="7"/>
      <c r="AQ3867" s="7"/>
      <c r="AR3867" s="7"/>
    </row>
    <row r="3868">
      <c r="A3868" s="7" t="s">
        <v>28</v>
      </c>
      <c r="B3868" s="7" t="s">
        <v>878</v>
      </c>
      <c r="C3868" s="7">
        <f t="shared" si="527"/>
        <v>4</v>
      </c>
      <c r="D3868" s="7">
        <v>2.0</v>
      </c>
      <c r="E3868" s="7">
        <v>2.0</v>
      </c>
      <c r="F3868" s="7" t="s">
        <v>83</v>
      </c>
      <c r="G3868" s="7" t="s">
        <v>1294</v>
      </c>
      <c r="H3868" s="9" t="s">
        <v>2979</v>
      </c>
      <c r="I3868" t="s">
        <v>3628</v>
      </c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  <c r="AA3868" s="7"/>
      <c r="AB3868" s="7"/>
      <c r="AC3868" s="7"/>
      <c r="AD3868" s="7" t="str">
        <f t="shared" si="1"/>
        <v>Built-up :</v>
      </c>
      <c r="AE3868" s="7" t="str">
        <f t="shared" si="2"/>
        <v> sq. ft.</v>
      </c>
      <c r="AF3868">
        <f>IFERROR(__xludf.DUMMYFUNCTION("VALUE(REGEXREPLACE(G3868,""[^[:digit:]]"", """"))"),1451.0)</f>
        <v>1451</v>
      </c>
      <c r="AG3868" s="7"/>
      <c r="AH3868" s="7"/>
      <c r="AI3868" s="7"/>
      <c r="AJ3868" s="7"/>
      <c r="AK3868" s="7"/>
      <c r="AL3868" s="7"/>
      <c r="AM3868" s="7"/>
      <c r="AN3868" s="7"/>
      <c r="AO3868" s="7"/>
      <c r="AP3868" s="7"/>
      <c r="AQ3868" s="7"/>
      <c r="AR3868" s="7"/>
    </row>
    <row r="3869">
      <c r="A3869" s="7" t="s">
        <v>143</v>
      </c>
      <c r="B3869" s="7" t="s">
        <v>407</v>
      </c>
      <c r="C3869" s="7">
        <f>2</f>
        <v>2</v>
      </c>
      <c r="D3869" s="7">
        <v>2.0</v>
      </c>
      <c r="E3869" s="7">
        <v>1.0</v>
      </c>
      <c r="F3869" s="7" t="s">
        <v>30</v>
      </c>
      <c r="G3869" s="7" t="s">
        <v>1597</v>
      </c>
      <c r="H3869" s="9" t="s">
        <v>2979</v>
      </c>
      <c r="I3869" t="s">
        <v>3802</v>
      </c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  <c r="AA3869" s="7"/>
      <c r="AB3869" s="7"/>
      <c r="AC3869" s="7"/>
      <c r="AD3869" s="7" t="str">
        <f t="shared" si="1"/>
        <v>Built-up :</v>
      </c>
      <c r="AE3869" s="7" t="str">
        <f t="shared" si="2"/>
        <v> sq. ft.</v>
      </c>
      <c r="AF3869">
        <f>IFERROR(__xludf.DUMMYFUNCTION("VALUE(REGEXREPLACE(G3869,""[^[:digit:]]"", """"))"),1056.0)</f>
        <v>1056</v>
      </c>
      <c r="AG3869" s="7"/>
      <c r="AH3869" s="7"/>
      <c r="AI3869" s="7"/>
      <c r="AJ3869" s="7"/>
      <c r="AK3869" s="7"/>
      <c r="AL3869" s="7"/>
      <c r="AM3869" s="7"/>
      <c r="AN3869" s="7"/>
      <c r="AO3869" s="7"/>
      <c r="AP3869" s="7"/>
      <c r="AQ3869" s="7"/>
      <c r="AR3869" s="7"/>
      <c r="AS3869" s="7" t="s">
        <v>22</v>
      </c>
    </row>
    <row r="3870">
      <c r="A3870" s="7" t="s">
        <v>28</v>
      </c>
      <c r="B3870" s="7" t="s">
        <v>641</v>
      </c>
      <c r="C3870" s="7">
        <f t="shared" ref="C3870:C3871" si="528">3+1</f>
        <v>4</v>
      </c>
      <c r="D3870" s="7">
        <v>4.0</v>
      </c>
      <c r="E3870" s="9">
        <v>2.0</v>
      </c>
      <c r="F3870" s="7" t="s">
        <v>30</v>
      </c>
      <c r="G3870" s="7" t="s">
        <v>1132</v>
      </c>
      <c r="H3870" s="9" t="s">
        <v>2979</v>
      </c>
      <c r="I3870" t="s">
        <v>3525</v>
      </c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  <c r="AA3870" s="7"/>
      <c r="AB3870" s="7"/>
      <c r="AC3870" s="7"/>
      <c r="AD3870" s="7" t="str">
        <f t="shared" si="1"/>
        <v>Built-up :</v>
      </c>
      <c r="AE3870" s="7" t="str">
        <f t="shared" si="2"/>
        <v> sq. ft.</v>
      </c>
      <c r="AF3870">
        <f>IFERROR(__xludf.DUMMYFUNCTION("VALUE(REGEXREPLACE(G3870,""[^[:digit:]]"", """"))"),1600.0)</f>
        <v>1600</v>
      </c>
      <c r="AG3870" s="7"/>
      <c r="AH3870" s="7"/>
      <c r="AI3870" s="7"/>
      <c r="AJ3870" s="7"/>
      <c r="AK3870" s="7"/>
      <c r="AL3870" s="7"/>
      <c r="AM3870" s="7"/>
      <c r="AN3870" s="7"/>
      <c r="AO3870" s="7"/>
      <c r="AP3870" s="7"/>
      <c r="AQ3870" s="7"/>
      <c r="AR3870" s="7"/>
      <c r="AS3870" s="7" t="s">
        <v>27</v>
      </c>
    </row>
    <row r="3871">
      <c r="A3871" s="7" t="s">
        <v>28</v>
      </c>
      <c r="B3871" s="7" t="s">
        <v>953</v>
      </c>
      <c r="C3871" s="7">
        <f t="shared" si="528"/>
        <v>4</v>
      </c>
      <c r="D3871" s="7">
        <v>3.0</v>
      </c>
      <c r="E3871" s="7">
        <v>2.0</v>
      </c>
      <c r="F3871" s="7" t="s">
        <v>83</v>
      </c>
      <c r="G3871" s="7" t="s">
        <v>1153</v>
      </c>
      <c r="H3871" s="9" t="s">
        <v>2979</v>
      </c>
      <c r="I3871" t="s">
        <v>3542</v>
      </c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  <c r="AA3871" s="7"/>
      <c r="AB3871" s="7"/>
      <c r="AC3871" s="7"/>
      <c r="AD3871" s="7" t="str">
        <f t="shared" si="1"/>
        <v>Built-up :</v>
      </c>
      <c r="AE3871" s="7" t="str">
        <f t="shared" si="2"/>
        <v> sq. ft.</v>
      </c>
      <c r="AF3871">
        <f>IFERROR(__xludf.DUMMYFUNCTION("VALUE(REGEXREPLACE(G3871,""[^[:digit:]]"", """"))"),1356.0)</f>
        <v>1356</v>
      </c>
      <c r="AG3871" s="7"/>
      <c r="AH3871" s="7"/>
      <c r="AI3871" s="7"/>
      <c r="AJ3871" s="7"/>
      <c r="AK3871" s="7"/>
      <c r="AL3871" s="7"/>
      <c r="AM3871" s="7"/>
      <c r="AN3871" s="7"/>
      <c r="AO3871" s="7"/>
      <c r="AP3871" s="7"/>
      <c r="AQ3871" s="7"/>
      <c r="AR3871" s="7"/>
    </row>
    <row r="3872">
      <c r="A3872" s="7" t="s">
        <v>28</v>
      </c>
      <c r="B3872" s="7" t="s">
        <v>599</v>
      </c>
      <c r="C3872" s="7">
        <f>4+1</f>
        <v>5</v>
      </c>
      <c r="D3872" s="7">
        <v>4.0</v>
      </c>
      <c r="E3872" s="9">
        <v>2.0</v>
      </c>
      <c r="F3872" s="7" t="s">
        <v>83</v>
      </c>
      <c r="G3872" s="7" t="s">
        <v>2502</v>
      </c>
      <c r="H3872" s="9" t="s">
        <v>2979</v>
      </c>
      <c r="I3872" t="s">
        <v>4358</v>
      </c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  <c r="AA3872" s="7"/>
      <c r="AB3872" s="7"/>
      <c r="AC3872" s="7"/>
      <c r="AD3872" s="7" t="str">
        <f t="shared" si="1"/>
        <v>Built-up :</v>
      </c>
      <c r="AE3872" s="7" t="str">
        <f t="shared" si="2"/>
        <v> sq. ft.</v>
      </c>
      <c r="AF3872">
        <f>IFERROR(__xludf.DUMMYFUNCTION("VALUE(REGEXREPLACE(G3872,""[^[:digit:]]"", """"))"),1970.0)</f>
        <v>1970</v>
      </c>
      <c r="AG3872" s="7"/>
      <c r="AH3872" s="7"/>
      <c r="AI3872" s="7"/>
      <c r="AJ3872" s="7"/>
      <c r="AK3872" s="7"/>
      <c r="AL3872" s="7"/>
      <c r="AM3872" s="7"/>
      <c r="AN3872" s="7"/>
      <c r="AO3872" s="7"/>
      <c r="AP3872" s="7"/>
      <c r="AQ3872" s="7"/>
      <c r="AR3872" s="7"/>
      <c r="AS3872" s="7" t="s">
        <v>22</v>
      </c>
    </row>
    <row r="3873">
      <c r="A3873" s="7" t="s">
        <v>28</v>
      </c>
      <c r="B3873" s="7" t="s">
        <v>1266</v>
      </c>
      <c r="C3873" s="7">
        <f>3+1</f>
        <v>4</v>
      </c>
      <c r="D3873" s="7">
        <v>3.0</v>
      </c>
      <c r="E3873" s="9">
        <v>2.0</v>
      </c>
      <c r="F3873" s="7" t="s">
        <v>93</v>
      </c>
      <c r="G3873" s="7" t="s">
        <v>2503</v>
      </c>
      <c r="H3873" s="9" t="s">
        <v>2981</v>
      </c>
      <c r="I3873" t="s">
        <v>4359</v>
      </c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  <c r="AA3873" s="7"/>
      <c r="AB3873" s="7"/>
      <c r="AC3873" s="7"/>
      <c r="AD3873" s="7" t="str">
        <f t="shared" si="1"/>
        <v>Land area </v>
      </c>
      <c r="AE3873" s="7" t="str">
        <f t="shared" si="2"/>
        <v> sq. ft.</v>
      </c>
      <c r="AF3873">
        <f>IFERROR(__xludf.DUMMYFUNCTION("VALUE(REGEXREPLACE(G3873,""[^[:digit:]]"", """"))"),1356.0)</f>
        <v>1356</v>
      </c>
      <c r="AG3873" s="7"/>
      <c r="AH3873" s="7"/>
      <c r="AI3873" s="7"/>
      <c r="AJ3873" s="7"/>
      <c r="AK3873" s="7"/>
      <c r="AL3873" s="7"/>
      <c r="AM3873" s="7"/>
      <c r="AN3873" s="7"/>
      <c r="AO3873" s="7"/>
      <c r="AP3873" s="7"/>
      <c r="AQ3873" s="7"/>
      <c r="AR3873" s="7"/>
      <c r="AS3873" s="7" t="s">
        <v>22</v>
      </c>
    </row>
    <row r="3874">
      <c r="A3874" s="7" t="s">
        <v>28</v>
      </c>
      <c r="B3874" s="7" t="s">
        <v>56</v>
      </c>
      <c r="C3874" s="7">
        <f>6+1</f>
        <v>7</v>
      </c>
      <c r="D3874" s="7">
        <v>6.0</v>
      </c>
      <c r="E3874" s="7">
        <v>3.0</v>
      </c>
      <c r="F3874" s="7" t="s">
        <v>30</v>
      </c>
      <c r="G3874" s="7" t="s">
        <v>44</v>
      </c>
      <c r="H3874" s="9" t="s">
        <v>2981</v>
      </c>
      <c r="I3874" t="s">
        <v>2988</v>
      </c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  <c r="AA3874" s="7"/>
      <c r="AB3874" s="7"/>
      <c r="AC3874" s="7"/>
      <c r="AD3874" s="7" t="str">
        <f t="shared" si="1"/>
        <v>Land area </v>
      </c>
      <c r="AE3874" s="7" t="str">
        <f t="shared" si="2"/>
        <v> sq. ft.</v>
      </c>
      <c r="AF3874">
        <f>IFERROR(__xludf.DUMMYFUNCTION("VALUE(REGEXREPLACE(G3874,""[^[:digit:]]"", """"))"),3600.0)</f>
        <v>3600</v>
      </c>
      <c r="AG3874" s="7"/>
      <c r="AH3874" s="7"/>
      <c r="AI3874" s="7"/>
      <c r="AJ3874" s="7"/>
      <c r="AK3874" s="7"/>
      <c r="AL3874" s="7"/>
      <c r="AM3874" s="7"/>
      <c r="AN3874" s="7"/>
      <c r="AO3874" s="7"/>
      <c r="AP3874" s="7"/>
      <c r="AQ3874" s="7"/>
      <c r="AR3874" s="7"/>
      <c r="AS3874" s="7" t="s">
        <v>22</v>
      </c>
    </row>
    <row r="3875">
      <c r="A3875" s="7" t="s">
        <v>28</v>
      </c>
      <c r="B3875" s="7" t="s">
        <v>139</v>
      </c>
      <c r="C3875" s="7">
        <f>3</f>
        <v>3</v>
      </c>
      <c r="D3875" s="7">
        <v>2.0</v>
      </c>
      <c r="E3875" s="9">
        <v>2.0</v>
      </c>
      <c r="F3875" s="7" t="s">
        <v>83</v>
      </c>
      <c r="G3875" s="7" t="s">
        <v>1514</v>
      </c>
      <c r="H3875" s="9" t="s">
        <v>2979</v>
      </c>
      <c r="I3875" t="s">
        <v>3753</v>
      </c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  <c r="AA3875" s="7"/>
      <c r="AB3875" s="7"/>
      <c r="AC3875" s="7"/>
      <c r="AD3875" s="7" t="str">
        <f t="shared" si="1"/>
        <v>Built-up :</v>
      </c>
      <c r="AE3875" s="7" t="str">
        <f t="shared" si="2"/>
        <v> sq. ft.</v>
      </c>
      <c r="AF3875">
        <f>IFERROR(__xludf.DUMMYFUNCTION("VALUE(REGEXREPLACE(G3875,""[^[:digit:]]"", """"))"),1253.0)</f>
        <v>1253</v>
      </c>
      <c r="AG3875" s="7"/>
      <c r="AH3875" s="7"/>
      <c r="AI3875" s="7"/>
      <c r="AJ3875" s="7"/>
      <c r="AK3875" s="7"/>
      <c r="AL3875" s="7"/>
      <c r="AM3875" s="7"/>
      <c r="AN3875" s="7"/>
      <c r="AO3875" s="7"/>
      <c r="AP3875" s="7"/>
      <c r="AQ3875" s="7"/>
      <c r="AR3875" s="7"/>
    </row>
    <row r="3876">
      <c r="A3876" s="7" t="s">
        <v>515</v>
      </c>
      <c r="B3876" s="7" t="s">
        <v>1166</v>
      </c>
      <c r="C3876" s="7">
        <f t="shared" ref="C3876:C3877" si="529">4</f>
        <v>4</v>
      </c>
      <c r="D3876" s="7">
        <v>3.0</v>
      </c>
      <c r="E3876" s="9">
        <v>2.0</v>
      </c>
      <c r="F3876" s="7" t="s">
        <v>54</v>
      </c>
      <c r="G3876" s="7" t="s">
        <v>2504</v>
      </c>
      <c r="H3876" s="9" t="s">
        <v>2979</v>
      </c>
      <c r="I3876" t="s">
        <v>4360</v>
      </c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  <c r="AA3876" s="7"/>
      <c r="AB3876" s="7"/>
      <c r="AC3876" s="7"/>
      <c r="AD3876" s="7" t="str">
        <f t="shared" si="1"/>
        <v>Built-up :</v>
      </c>
      <c r="AE3876" s="7" t="str">
        <f t="shared" si="2"/>
        <v> sq. ft.</v>
      </c>
      <c r="AF3876">
        <f>IFERROR(__xludf.DUMMYFUNCTION("VALUE(REGEXREPLACE(G3876,""[^[:digit:]]"", """"))"),2056.0)</f>
        <v>2056</v>
      </c>
      <c r="AG3876" s="7"/>
      <c r="AH3876" s="7"/>
      <c r="AI3876" s="7"/>
      <c r="AJ3876" s="7"/>
      <c r="AK3876" s="7"/>
      <c r="AL3876" s="7"/>
      <c r="AM3876" s="7"/>
      <c r="AN3876" s="7"/>
      <c r="AO3876" s="7"/>
      <c r="AP3876" s="7"/>
      <c r="AQ3876" s="7"/>
      <c r="AR3876" s="7"/>
      <c r="AS3876" s="7" t="s">
        <v>27</v>
      </c>
    </row>
    <row r="3877">
      <c r="A3877" s="7" t="s">
        <v>100</v>
      </c>
      <c r="B3877" s="7" t="s">
        <v>2505</v>
      </c>
      <c r="C3877" s="7">
        <f t="shared" si="529"/>
        <v>4</v>
      </c>
      <c r="D3877" s="7">
        <v>3.0</v>
      </c>
      <c r="E3877" s="9">
        <v>2.0</v>
      </c>
      <c r="F3877" s="7" t="s">
        <v>54</v>
      </c>
      <c r="G3877" s="7" t="s">
        <v>1863</v>
      </c>
      <c r="H3877" s="9" t="s">
        <v>2979</v>
      </c>
      <c r="I3877" t="s">
        <v>3964</v>
      </c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  <c r="AA3877" s="7"/>
      <c r="AB3877" s="7"/>
      <c r="AC3877" s="7"/>
      <c r="AD3877" s="7" t="str">
        <f t="shared" si="1"/>
        <v>Built-up :</v>
      </c>
      <c r="AE3877" s="7" t="str">
        <f t="shared" si="2"/>
        <v> sq. ft.</v>
      </c>
      <c r="AF3877">
        <f>IFERROR(__xludf.DUMMYFUNCTION("VALUE(REGEXREPLACE(G3877,""[^[:digit:]]"", """"))"),2000.0)</f>
        <v>2000</v>
      </c>
      <c r="AG3877" s="7"/>
      <c r="AH3877" s="7"/>
      <c r="AI3877" s="7"/>
      <c r="AJ3877" s="7"/>
      <c r="AK3877" s="7"/>
      <c r="AL3877" s="7"/>
      <c r="AM3877" s="7"/>
      <c r="AN3877" s="7"/>
      <c r="AO3877" s="7"/>
      <c r="AP3877" s="7"/>
      <c r="AQ3877" s="7"/>
      <c r="AR3877" s="7"/>
      <c r="AS3877" s="7" t="s">
        <v>27</v>
      </c>
    </row>
    <row r="3878">
      <c r="A3878" s="7" t="s">
        <v>28</v>
      </c>
      <c r="B3878" s="7" t="s">
        <v>1318</v>
      </c>
      <c r="C3878" s="7">
        <f>3+1</f>
        <v>4</v>
      </c>
      <c r="D3878" s="7">
        <v>2.0</v>
      </c>
      <c r="E3878" s="7">
        <v>1.0</v>
      </c>
      <c r="F3878" s="7" t="s">
        <v>30</v>
      </c>
      <c r="G3878" s="7" t="s">
        <v>1850</v>
      </c>
      <c r="H3878" s="9" t="s">
        <v>2979</v>
      </c>
      <c r="I3878" t="s">
        <v>3958</v>
      </c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  <c r="AA3878" s="7"/>
      <c r="AB3878" s="7"/>
      <c r="AC3878" s="7"/>
      <c r="AD3878" s="7" t="str">
        <f t="shared" si="1"/>
        <v>Built-up :</v>
      </c>
      <c r="AE3878" s="7" t="str">
        <f t="shared" si="2"/>
        <v> sq. ft.</v>
      </c>
      <c r="AF3878">
        <f>IFERROR(__xludf.DUMMYFUNCTION("VALUE(REGEXREPLACE(G3878,""[^[:digit:]]"", """"))"),1326.0)</f>
        <v>1326</v>
      </c>
      <c r="AG3878" s="7"/>
      <c r="AH3878" s="7"/>
      <c r="AI3878" s="7"/>
      <c r="AJ3878" s="7"/>
      <c r="AK3878" s="7"/>
      <c r="AL3878" s="7"/>
      <c r="AM3878" s="7"/>
      <c r="AN3878" s="7"/>
      <c r="AO3878" s="7"/>
      <c r="AP3878" s="7"/>
      <c r="AQ3878" s="7"/>
      <c r="AR3878" s="7"/>
      <c r="AS3878" s="7" t="s">
        <v>27</v>
      </c>
    </row>
    <row r="3879">
      <c r="A3879" s="7" t="s">
        <v>28</v>
      </c>
      <c r="B3879" s="7" t="s">
        <v>477</v>
      </c>
      <c r="C3879" s="7">
        <f>5+1</f>
        <v>6</v>
      </c>
      <c r="D3879" s="7">
        <v>6.0</v>
      </c>
      <c r="E3879" s="7">
        <v>2.0</v>
      </c>
      <c r="F3879" s="7" t="s">
        <v>43</v>
      </c>
      <c r="G3879" s="7" t="s">
        <v>2506</v>
      </c>
      <c r="H3879" s="9" t="s">
        <v>2981</v>
      </c>
      <c r="I3879" t="s">
        <v>4361</v>
      </c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  <c r="AA3879" s="7"/>
      <c r="AB3879" s="7"/>
      <c r="AC3879" s="7"/>
      <c r="AD3879" s="7" t="str">
        <f t="shared" si="1"/>
        <v>Land area </v>
      </c>
      <c r="AE3879" s="7" t="str">
        <f t="shared" si="2"/>
        <v> sq. ft.</v>
      </c>
      <c r="AF3879">
        <f>IFERROR(__xludf.DUMMYFUNCTION("VALUE(REGEXREPLACE(G3879,""[^[:digit:]]"", """"))"),4047.0)</f>
        <v>4047</v>
      </c>
      <c r="AG3879" s="7"/>
      <c r="AH3879" s="7"/>
      <c r="AI3879" s="7"/>
      <c r="AJ3879" s="7"/>
      <c r="AK3879" s="7"/>
      <c r="AL3879" s="7"/>
      <c r="AM3879" s="7"/>
      <c r="AN3879" s="7"/>
      <c r="AO3879" s="7"/>
      <c r="AP3879" s="7"/>
      <c r="AQ3879" s="7"/>
      <c r="AR3879" s="7"/>
      <c r="AS3879" s="7" t="s">
        <v>27</v>
      </c>
    </row>
    <row r="3880">
      <c r="A3880" s="7" t="s">
        <v>188</v>
      </c>
      <c r="B3880" s="7" t="s">
        <v>475</v>
      </c>
      <c r="C3880" s="7">
        <f>2</f>
        <v>2</v>
      </c>
      <c r="D3880" s="7">
        <v>2.0</v>
      </c>
      <c r="E3880" s="7">
        <v>1.0</v>
      </c>
      <c r="F3880" s="7" t="s">
        <v>20</v>
      </c>
      <c r="G3880" s="7" t="s">
        <v>1776</v>
      </c>
      <c r="H3880" s="9" t="s">
        <v>2979</v>
      </c>
      <c r="I3880" t="s">
        <v>3918</v>
      </c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  <c r="AA3880" s="7"/>
      <c r="AB3880" s="7"/>
      <c r="AC3880" s="7"/>
      <c r="AD3880" s="7" t="str">
        <f t="shared" si="1"/>
        <v>Built-up :</v>
      </c>
      <c r="AE3880" s="7" t="str">
        <f t="shared" si="2"/>
        <v> sq. ft.</v>
      </c>
      <c r="AF3880">
        <f>IFERROR(__xludf.DUMMYFUNCTION("VALUE(REGEXREPLACE(G3880,""[^[:digit:]]"", """"))"),1307.0)</f>
        <v>1307</v>
      </c>
      <c r="AG3880" s="7"/>
      <c r="AH3880" s="7"/>
      <c r="AI3880" s="7"/>
      <c r="AJ3880" s="7"/>
      <c r="AK3880" s="7"/>
      <c r="AL3880" s="7"/>
      <c r="AM3880" s="7"/>
      <c r="AN3880" s="7"/>
      <c r="AO3880" s="7"/>
      <c r="AP3880" s="7"/>
      <c r="AQ3880" s="7"/>
      <c r="AR3880" s="7"/>
      <c r="AS3880" s="7" t="s">
        <v>22</v>
      </c>
    </row>
    <row r="3881">
      <c r="A3881" s="7" t="s">
        <v>164</v>
      </c>
      <c r="B3881" s="7" t="s">
        <v>2000</v>
      </c>
      <c r="C3881" s="7">
        <f>1+1</f>
        <v>2</v>
      </c>
      <c r="D3881" s="7">
        <v>2.0</v>
      </c>
      <c r="E3881" s="7">
        <v>1.0</v>
      </c>
      <c r="F3881" s="7" t="s">
        <v>385</v>
      </c>
      <c r="G3881" s="7" t="s">
        <v>959</v>
      </c>
      <c r="H3881" s="9" t="s">
        <v>2979</v>
      </c>
      <c r="I3881" t="s">
        <v>3427</v>
      </c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  <c r="AA3881" s="7"/>
      <c r="AB3881" s="7"/>
      <c r="AC3881" s="7"/>
      <c r="AD3881" s="7" t="str">
        <f t="shared" si="1"/>
        <v>Built-up :</v>
      </c>
      <c r="AE3881" s="7" t="str">
        <f t="shared" si="2"/>
        <v> sq. ft.</v>
      </c>
      <c r="AF3881">
        <f>IFERROR(__xludf.DUMMYFUNCTION("VALUE(REGEXREPLACE(G3881,""[^[:digit:]]"", """"))"),1259.0)</f>
        <v>1259</v>
      </c>
      <c r="AG3881" s="7"/>
      <c r="AH3881" s="7"/>
      <c r="AI3881" s="7"/>
      <c r="AJ3881" s="7"/>
      <c r="AK3881" s="7"/>
      <c r="AL3881" s="7"/>
      <c r="AM3881" s="7"/>
      <c r="AN3881" s="7"/>
      <c r="AO3881" s="7"/>
      <c r="AP3881" s="7"/>
      <c r="AQ3881" s="7"/>
      <c r="AR3881" s="7"/>
      <c r="AS3881" s="7" t="s">
        <v>22</v>
      </c>
    </row>
    <row r="3882">
      <c r="A3882" s="7" t="s">
        <v>104</v>
      </c>
      <c r="B3882" s="7" t="s">
        <v>118</v>
      </c>
      <c r="C3882" s="7">
        <f>6</f>
        <v>6</v>
      </c>
      <c r="D3882" s="7">
        <v>4.0</v>
      </c>
      <c r="E3882" s="9">
        <v>2.0</v>
      </c>
      <c r="F3882" s="7" t="s">
        <v>184</v>
      </c>
      <c r="G3882" s="7" t="s">
        <v>638</v>
      </c>
      <c r="H3882" s="9" t="s">
        <v>2981</v>
      </c>
      <c r="I3882" t="s">
        <v>3261</v>
      </c>
      <c r="J3882" s="7"/>
      <c r="K3882" s="7"/>
      <c r="L3882" s="7"/>
      <c r="M3882" s="7"/>
      <c r="N3882" s="7"/>
      <c r="O3882" s="7"/>
      <c r="P3882" s="7"/>
      <c r="Q3882" s="7"/>
      <c r="R3882" s="7"/>
      <c r="S3882" s="7" t="s">
        <v>3101</v>
      </c>
      <c r="T3882" s="7"/>
      <c r="U3882" s="7"/>
      <c r="V3882" s="7"/>
      <c r="W3882" s="7"/>
      <c r="X3882" s="7"/>
      <c r="Y3882" s="7"/>
      <c r="Z3882" s="7"/>
      <c r="AA3882" s="7"/>
      <c r="AB3882" s="7"/>
      <c r="AC3882" s="7"/>
      <c r="AD3882" s="7" t="str">
        <f t="shared" si="1"/>
        <v>Land area </v>
      </c>
      <c r="AE3882" s="7" t="str">
        <f t="shared" si="2"/>
        <v> sq. ft.</v>
      </c>
      <c r="AF3882">
        <f>IFERROR(__xludf.DUMMYFUNCTION("VALUE(REGEXREPLACE(G3882,""[^[:digit:]]"", """"))"),4885.0)</f>
        <v>4885</v>
      </c>
      <c r="AG3882" s="7"/>
      <c r="AH3882" s="7"/>
      <c r="AI3882" s="7"/>
      <c r="AJ3882" s="7"/>
      <c r="AK3882" s="7"/>
      <c r="AL3882" s="7"/>
      <c r="AM3882" s="7"/>
      <c r="AN3882" s="7"/>
      <c r="AO3882" s="7"/>
      <c r="AP3882" s="7"/>
      <c r="AQ3882" s="7"/>
      <c r="AR3882" s="7"/>
      <c r="AS3882" s="7" t="s">
        <v>22</v>
      </c>
    </row>
    <row r="3883">
      <c r="A3883" s="7" t="s">
        <v>241</v>
      </c>
      <c r="B3883" s="7" t="s">
        <v>227</v>
      </c>
      <c r="C3883" s="7">
        <f>4+1</f>
        <v>5</v>
      </c>
      <c r="D3883" s="7">
        <v>5.0</v>
      </c>
      <c r="E3883" s="9">
        <v>2.0</v>
      </c>
      <c r="F3883" s="7" t="s">
        <v>487</v>
      </c>
      <c r="G3883" s="7" t="s">
        <v>430</v>
      </c>
      <c r="H3883" s="9" t="s">
        <v>2981</v>
      </c>
      <c r="I3883" t="s">
        <v>3158</v>
      </c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  <c r="AA3883" s="7"/>
      <c r="AB3883" s="7"/>
      <c r="AC3883" s="7"/>
      <c r="AD3883" s="7" t="str">
        <f t="shared" si="1"/>
        <v>Land area </v>
      </c>
      <c r="AE3883" s="7" t="str">
        <f t="shared" si="2"/>
        <v> sq. ft.</v>
      </c>
      <c r="AF3883">
        <f>IFERROR(__xludf.DUMMYFUNCTION("VALUE(REGEXREPLACE(G3883,""[^[:digit:]]"", """"))"),6300.0)</f>
        <v>6300</v>
      </c>
      <c r="AG3883" s="7"/>
      <c r="AH3883" s="7"/>
      <c r="AI3883" s="7"/>
      <c r="AJ3883" s="7"/>
      <c r="AK3883" s="7"/>
      <c r="AL3883" s="7"/>
      <c r="AM3883" s="7"/>
      <c r="AN3883" s="7"/>
      <c r="AO3883" s="7"/>
      <c r="AP3883" s="7"/>
      <c r="AQ3883" s="7"/>
      <c r="AR3883" s="7"/>
      <c r="AS3883" s="7" t="s">
        <v>27</v>
      </c>
    </row>
    <row r="3884">
      <c r="A3884" s="7" t="s">
        <v>148</v>
      </c>
      <c r="B3884" s="7" t="s">
        <v>165</v>
      </c>
      <c r="C3884" s="7">
        <f>6</f>
        <v>6</v>
      </c>
      <c r="D3884" s="7">
        <v>6.0</v>
      </c>
      <c r="E3884" s="9">
        <v>2.0</v>
      </c>
      <c r="F3884" s="7" t="s">
        <v>67</v>
      </c>
      <c r="G3884" s="7" t="s">
        <v>2507</v>
      </c>
      <c r="H3884" s="9" t="s">
        <v>2979</v>
      </c>
      <c r="I3884" t="s">
        <v>4362</v>
      </c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  <c r="AA3884" s="7"/>
      <c r="AB3884" s="7"/>
      <c r="AC3884" s="7"/>
      <c r="AD3884" s="7" t="str">
        <f t="shared" si="1"/>
        <v>Built-up :</v>
      </c>
      <c r="AE3884" s="7" t="str">
        <f t="shared" si="2"/>
        <v> sq. ft.</v>
      </c>
      <c r="AF3884">
        <f>IFERROR(__xludf.DUMMYFUNCTION("VALUE(REGEXREPLACE(G3884,""[^[:digit:]]"", """"))"),7100.0)</f>
        <v>7100</v>
      </c>
      <c r="AG3884" s="7"/>
      <c r="AH3884" s="7"/>
      <c r="AI3884" s="7"/>
      <c r="AJ3884" s="7"/>
      <c r="AK3884" s="7"/>
      <c r="AL3884" s="7"/>
      <c r="AM3884" s="7"/>
      <c r="AN3884" s="7"/>
      <c r="AO3884" s="7"/>
      <c r="AP3884" s="7"/>
      <c r="AQ3884" s="7"/>
      <c r="AR3884" s="7"/>
      <c r="AS3884" s="7" t="s">
        <v>22</v>
      </c>
    </row>
    <row r="3885">
      <c r="A3885" s="7" t="s">
        <v>33</v>
      </c>
      <c r="B3885" s="7" t="s">
        <v>824</v>
      </c>
      <c r="E3885" s="9">
        <v>2.0</v>
      </c>
      <c r="F3885" s="7" t="s">
        <v>667</v>
      </c>
      <c r="G3885" s="7" t="s">
        <v>2508</v>
      </c>
      <c r="H3885" s="9" t="s">
        <v>2981</v>
      </c>
      <c r="I3885" t="s">
        <v>4363</v>
      </c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  <c r="AA3885" s="7"/>
      <c r="AB3885" s="7"/>
      <c r="AC3885" s="7"/>
      <c r="AD3885" s="7" t="str">
        <f t="shared" si="1"/>
        <v>Land area </v>
      </c>
      <c r="AE3885" s="7" t="str">
        <f t="shared" si="2"/>
        <v> sq. ft.</v>
      </c>
      <c r="AF3885">
        <f>IFERROR(__xludf.DUMMYFUNCTION("VALUE(REGEXREPLACE(G3885,""[^[:digit:]]"", """"))"),6120.0)</f>
        <v>6120</v>
      </c>
      <c r="AG3885" s="7"/>
      <c r="AH3885" s="7"/>
      <c r="AI3885" s="7"/>
      <c r="AJ3885" s="7"/>
      <c r="AK3885" s="7"/>
      <c r="AL3885" s="7"/>
      <c r="AM3885" s="7"/>
      <c r="AN3885" s="7"/>
      <c r="AO3885" s="7"/>
      <c r="AP3885" s="7"/>
      <c r="AQ3885" s="7"/>
      <c r="AR3885" s="7"/>
    </row>
    <row r="3886">
      <c r="A3886" s="7" t="s">
        <v>432</v>
      </c>
      <c r="B3886" s="7" t="s">
        <v>534</v>
      </c>
      <c r="C3886" s="7">
        <f>5+1</f>
        <v>6</v>
      </c>
      <c r="D3886" s="7">
        <v>5.0</v>
      </c>
      <c r="E3886" s="7">
        <v>2.0</v>
      </c>
      <c r="F3886" s="7" t="s">
        <v>43</v>
      </c>
      <c r="G3886" s="7" t="s">
        <v>44</v>
      </c>
      <c r="H3886" s="9" t="s">
        <v>2981</v>
      </c>
      <c r="I3886" t="s">
        <v>2988</v>
      </c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  <c r="AA3886" s="7"/>
      <c r="AB3886" s="7"/>
      <c r="AC3886" s="7"/>
      <c r="AD3886" s="7" t="str">
        <f t="shared" si="1"/>
        <v>Land area </v>
      </c>
      <c r="AE3886" s="7" t="str">
        <f t="shared" si="2"/>
        <v> sq. ft.</v>
      </c>
      <c r="AF3886">
        <f>IFERROR(__xludf.DUMMYFUNCTION("VALUE(REGEXREPLACE(G3886,""[^[:digit:]]"", """"))"),3600.0)</f>
        <v>3600</v>
      </c>
      <c r="AG3886" s="7"/>
      <c r="AH3886" s="7"/>
      <c r="AI3886" s="7"/>
      <c r="AJ3886" s="7"/>
      <c r="AK3886" s="7"/>
      <c r="AL3886" s="7"/>
      <c r="AM3886" s="7"/>
      <c r="AN3886" s="7"/>
      <c r="AO3886" s="7"/>
      <c r="AP3886" s="7"/>
      <c r="AQ3886" s="7"/>
      <c r="AR3886" s="7"/>
      <c r="AS3886" s="7" t="s">
        <v>27</v>
      </c>
    </row>
    <row r="3887">
      <c r="A3887" s="7" t="s">
        <v>432</v>
      </c>
      <c r="B3887" s="7" t="s">
        <v>534</v>
      </c>
      <c r="C3887" s="7">
        <f>4+1</f>
        <v>5</v>
      </c>
      <c r="D3887" s="7">
        <v>5.0</v>
      </c>
      <c r="E3887" s="7">
        <v>2.0</v>
      </c>
      <c r="F3887" s="7" t="s">
        <v>43</v>
      </c>
      <c r="G3887" s="7" t="s">
        <v>2140</v>
      </c>
      <c r="H3887" s="9" t="s">
        <v>2981</v>
      </c>
      <c r="I3887" t="s">
        <v>3086</v>
      </c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  <c r="AA3887" s="7"/>
      <c r="AB3887" s="7"/>
      <c r="AC3887" s="7"/>
      <c r="AD3887" s="7" t="str">
        <f t="shared" si="1"/>
        <v>Land area </v>
      </c>
      <c r="AE3887" s="7" t="str">
        <f t="shared" si="2"/>
        <v> sq. ft.</v>
      </c>
      <c r="AF3887">
        <f>IFERROR(__xludf.DUMMYFUNCTION("VALUE(REGEXREPLACE(G3887,""[^[:digit:]]"", """"))"),2850.0)</f>
        <v>2850</v>
      </c>
      <c r="AG3887" s="7"/>
      <c r="AH3887" s="7"/>
      <c r="AI3887" s="7"/>
      <c r="AJ3887" s="7"/>
      <c r="AK3887" s="7"/>
      <c r="AL3887" s="7"/>
      <c r="AM3887" s="7"/>
      <c r="AN3887" s="7"/>
      <c r="AO3887" s="7"/>
      <c r="AP3887" s="7"/>
      <c r="AQ3887" s="7"/>
      <c r="AR3887" s="7"/>
    </row>
    <row r="3888">
      <c r="A3888" s="7" t="s">
        <v>89</v>
      </c>
      <c r="B3888" s="7" t="s">
        <v>316</v>
      </c>
      <c r="C3888" s="7">
        <f>2</f>
        <v>2</v>
      </c>
      <c r="D3888" s="7">
        <v>2.0</v>
      </c>
      <c r="E3888" s="7">
        <v>2.0</v>
      </c>
      <c r="F3888" s="7" t="s">
        <v>145</v>
      </c>
      <c r="G3888" s="7" t="s">
        <v>959</v>
      </c>
      <c r="H3888" s="9" t="s">
        <v>2979</v>
      </c>
      <c r="I3888" t="s">
        <v>3427</v>
      </c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  <c r="AA3888" s="7"/>
      <c r="AB3888" s="7"/>
      <c r="AC3888" s="7"/>
      <c r="AD3888" s="7" t="str">
        <f t="shared" si="1"/>
        <v>Built-up :</v>
      </c>
      <c r="AE3888" s="7" t="str">
        <f t="shared" si="2"/>
        <v> sq. ft.</v>
      </c>
      <c r="AF3888">
        <f>IFERROR(__xludf.DUMMYFUNCTION("VALUE(REGEXREPLACE(G3888,""[^[:digit:]]"", """"))"),1259.0)</f>
        <v>1259</v>
      </c>
      <c r="AG3888" s="7"/>
      <c r="AH3888" s="7"/>
      <c r="AI3888" s="7"/>
      <c r="AJ3888" s="7"/>
      <c r="AK3888" s="7"/>
      <c r="AL3888" s="7"/>
      <c r="AM3888" s="7"/>
      <c r="AN3888" s="7"/>
      <c r="AO3888" s="7"/>
      <c r="AP3888" s="7"/>
      <c r="AQ3888" s="7"/>
      <c r="AR3888" s="7"/>
      <c r="AS3888" s="7" t="s">
        <v>27</v>
      </c>
    </row>
    <row r="3889">
      <c r="A3889" s="7" t="s">
        <v>17</v>
      </c>
      <c r="B3889" s="7" t="s">
        <v>2509</v>
      </c>
      <c r="C3889" s="7">
        <f>1+1</f>
        <v>2</v>
      </c>
      <c r="D3889" s="7">
        <v>1.0</v>
      </c>
      <c r="E3889" s="7">
        <v>2.0</v>
      </c>
      <c r="F3889" s="7" t="s">
        <v>82</v>
      </c>
      <c r="G3889" s="7" t="s">
        <v>328</v>
      </c>
      <c r="H3889" s="9" t="s">
        <v>2979</v>
      </c>
      <c r="I3889" t="s">
        <v>3110</v>
      </c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  <c r="AA3889" s="7"/>
      <c r="AB3889" s="7"/>
      <c r="AC3889" s="7"/>
      <c r="AD3889" s="7" t="str">
        <f t="shared" si="1"/>
        <v>Built-up :</v>
      </c>
      <c r="AE3889" s="7" t="str">
        <f t="shared" si="2"/>
        <v> sq. ft.</v>
      </c>
      <c r="AF3889">
        <f>IFERROR(__xludf.DUMMYFUNCTION("VALUE(REGEXREPLACE(G3889,""[^[:digit:]]"", """"))"),925.0)</f>
        <v>925</v>
      </c>
      <c r="AG3889" s="7"/>
      <c r="AH3889" s="7"/>
      <c r="AI3889" s="7"/>
      <c r="AJ3889" s="7"/>
      <c r="AK3889" s="7"/>
      <c r="AL3889" s="7"/>
      <c r="AM3889" s="7"/>
      <c r="AN3889" s="7"/>
      <c r="AO3889" s="7"/>
      <c r="AP3889" s="7"/>
      <c r="AQ3889" s="7"/>
      <c r="AR3889" s="7"/>
      <c r="AS3889" s="7" t="s">
        <v>27</v>
      </c>
    </row>
    <row r="3890">
      <c r="A3890" s="7" t="s">
        <v>17</v>
      </c>
      <c r="B3890" s="7" t="s">
        <v>349</v>
      </c>
      <c r="C3890" s="7">
        <f>2+1</f>
        <v>3</v>
      </c>
      <c r="D3890" s="7">
        <v>2.0</v>
      </c>
      <c r="E3890" s="7">
        <v>2.0</v>
      </c>
      <c r="F3890" s="7" t="s">
        <v>83</v>
      </c>
      <c r="G3890" s="7" t="s">
        <v>959</v>
      </c>
      <c r="H3890" s="9" t="s">
        <v>2979</v>
      </c>
      <c r="I3890" t="s">
        <v>3427</v>
      </c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  <c r="AA3890" s="7"/>
      <c r="AB3890" s="7"/>
      <c r="AC3890" s="7"/>
      <c r="AD3890" s="7" t="str">
        <f t="shared" si="1"/>
        <v>Built-up :</v>
      </c>
      <c r="AE3890" s="7" t="str">
        <f t="shared" si="2"/>
        <v> sq. ft.</v>
      </c>
      <c r="AF3890">
        <f>IFERROR(__xludf.DUMMYFUNCTION("VALUE(REGEXREPLACE(G3890,""[^[:digit:]]"", """"))"),1259.0)</f>
        <v>1259</v>
      </c>
      <c r="AG3890" s="7"/>
      <c r="AH3890" s="7"/>
      <c r="AI3890" s="7"/>
      <c r="AJ3890" s="7"/>
      <c r="AK3890" s="7"/>
      <c r="AL3890" s="7"/>
      <c r="AM3890" s="7"/>
      <c r="AN3890" s="7"/>
      <c r="AO3890" s="7"/>
      <c r="AP3890" s="7"/>
      <c r="AQ3890" s="7"/>
      <c r="AR3890" s="7"/>
      <c r="AS3890" s="7" t="s">
        <v>27</v>
      </c>
    </row>
    <row r="3891">
      <c r="A3891" s="7" t="s">
        <v>432</v>
      </c>
      <c r="B3891" s="7" t="s">
        <v>475</v>
      </c>
      <c r="C3891" s="7">
        <f>4+1</f>
        <v>5</v>
      </c>
      <c r="D3891" s="7">
        <v>4.0</v>
      </c>
      <c r="E3891" s="7">
        <v>3.0</v>
      </c>
      <c r="F3891" s="7" t="s">
        <v>83</v>
      </c>
      <c r="G3891" s="7" t="s">
        <v>1674</v>
      </c>
      <c r="H3891" s="9" t="s">
        <v>2979</v>
      </c>
      <c r="I3891" t="s">
        <v>3848</v>
      </c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  <c r="AA3891" s="7"/>
      <c r="AB3891" s="7"/>
      <c r="AC3891" s="7"/>
      <c r="AD3891" s="7" t="str">
        <f t="shared" si="1"/>
        <v>Built-up :</v>
      </c>
      <c r="AE3891" s="7" t="str">
        <f t="shared" si="2"/>
        <v> sq. ft.</v>
      </c>
      <c r="AF3891">
        <f>IFERROR(__xludf.DUMMYFUNCTION("VALUE(REGEXREPLACE(G3891,""[^[:digit:]]"", """"))"),3460.0)</f>
        <v>3460</v>
      </c>
      <c r="AG3891" s="7"/>
      <c r="AH3891" s="7"/>
      <c r="AI3891" s="7"/>
      <c r="AJ3891" s="7"/>
      <c r="AK3891" s="7"/>
      <c r="AL3891" s="7"/>
      <c r="AM3891" s="7"/>
      <c r="AN3891" s="7"/>
      <c r="AO3891" s="7"/>
      <c r="AP3891" s="7"/>
      <c r="AQ3891" s="7"/>
      <c r="AR3891" s="7"/>
      <c r="AS3891" s="7" t="s">
        <v>22</v>
      </c>
    </row>
    <row r="3892">
      <c r="A3892" s="7" t="s">
        <v>241</v>
      </c>
      <c r="B3892" s="7" t="s">
        <v>92</v>
      </c>
      <c r="C3892" s="7">
        <f>3</f>
        <v>3</v>
      </c>
      <c r="D3892" s="7">
        <v>2.0</v>
      </c>
      <c r="E3892" s="7">
        <v>2.0</v>
      </c>
      <c r="F3892" s="7" t="s">
        <v>30</v>
      </c>
      <c r="G3892" s="7" t="s">
        <v>1619</v>
      </c>
      <c r="H3892" s="9" t="s">
        <v>2979</v>
      </c>
      <c r="I3892" t="s">
        <v>3816</v>
      </c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  <c r="AA3892" s="7"/>
      <c r="AB3892" s="7"/>
      <c r="AC3892" s="7"/>
      <c r="AD3892" s="7" t="str">
        <f t="shared" si="1"/>
        <v>Built-up :</v>
      </c>
      <c r="AE3892" s="7" t="str">
        <f t="shared" si="2"/>
        <v> sq. ft.</v>
      </c>
      <c r="AF3892">
        <f>IFERROR(__xludf.DUMMYFUNCTION("VALUE(REGEXREPLACE(G3892,""[^[:digit:]]"", """"))"),1570.0)</f>
        <v>1570</v>
      </c>
      <c r="AG3892" s="7"/>
      <c r="AH3892" s="7"/>
      <c r="AI3892" s="7"/>
      <c r="AJ3892" s="7"/>
      <c r="AK3892" s="7"/>
      <c r="AL3892" s="7"/>
      <c r="AM3892" s="7"/>
      <c r="AN3892" s="7"/>
      <c r="AO3892" s="7"/>
      <c r="AP3892" s="7"/>
      <c r="AQ3892" s="7"/>
      <c r="AR3892" s="7"/>
      <c r="AS3892" s="7" t="s">
        <v>27</v>
      </c>
    </row>
    <row r="3893">
      <c r="A3893" s="7" t="s">
        <v>1158</v>
      </c>
      <c r="B3893" s="7" t="s">
        <v>563</v>
      </c>
      <c r="C3893" s="7" t="s">
        <v>325</v>
      </c>
      <c r="D3893" s="7">
        <v>1.0</v>
      </c>
      <c r="E3893" s="9">
        <v>2.0</v>
      </c>
      <c r="F3893" s="7" t="s">
        <v>20</v>
      </c>
      <c r="G3893" s="7" t="s">
        <v>1279</v>
      </c>
      <c r="H3893" s="9" t="s">
        <v>2979</v>
      </c>
      <c r="I3893" t="s">
        <v>3618</v>
      </c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  <c r="AA3893" s="7"/>
      <c r="AB3893" s="7"/>
      <c r="AC3893" s="7"/>
      <c r="AD3893" s="7" t="str">
        <f t="shared" si="1"/>
        <v>Built-up :</v>
      </c>
      <c r="AE3893" s="7" t="str">
        <f t="shared" si="2"/>
        <v> sq. ft.</v>
      </c>
      <c r="AF3893">
        <f>IFERROR(__xludf.DUMMYFUNCTION("VALUE(REGEXREPLACE(G3893,""[^[:digit:]]"", """"))"),468.0)</f>
        <v>468</v>
      </c>
      <c r="AG3893" s="7"/>
      <c r="AH3893" s="7"/>
      <c r="AI3893" s="7"/>
      <c r="AJ3893" s="7"/>
      <c r="AK3893" s="7"/>
      <c r="AL3893" s="7"/>
      <c r="AM3893" s="7"/>
      <c r="AN3893" s="7"/>
      <c r="AO3893" s="7"/>
      <c r="AP3893" s="7"/>
      <c r="AQ3893" s="7"/>
      <c r="AR3893" s="7"/>
      <c r="AS3893" s="7" t="s">
        <v>22</v>
      </c>
    </row>
    <row r="3894">
      <c r="A3894" s="7" t="s">
        <v>1158</v>
      </c>
      <c r="B3894" s="7" t="s">
        <v>34</v>
      </c>
      <c r="C3894" s="7">
        <f t="shared" ref="C3894:C3895" si="530">2+1</f>
        <v>3</v>
      </c>
      <c r="D3894" s="7">
        <v>2.0</v>
      </c>
      <c r="E3894" s="9">
        <v>2.0</v>
      </c>
      <c r="F3894" s="7" t="s">
        <v>82</v>
      </c>
      <c r="G3894" s="7" t="s">
        <v>2173</v>
      </c>
      <c r="H3894" s="9" t="s">
        <v>2979</v>
      </c>
      <c r="I3894" t="s">
        <v>4160</v>
      </c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  <c r="AA3894" s="7"/>
      <c r="AB3894" s="7"/>
      <c r="AC3894" s="7"/>
      <c r="AD3894" s="7" t="str">
        <f t="shared" si="1"/>
        <v>Built-up :</v>
      </c>
      <c r="AE3894" s="7" t="str">
        <f t="shared" si="2"/>
        <v> sq. ft.</v>
      </c>
      <c r="AF3894">
        <f>IFERROR(__xludf.DUMMYFUNCTION("VALUE(REGEXREPLACE(G3894,""[^[:digit:]]"", """"))"),838.0)</f>
        <v>838</v>
      </c>
      <c r="AG3894" s="7"/>
      <c r="AH3894" s="7"/>
      <c r="AI3894" s="7"/>
      <c r="AJ3894" s="7"/>
      <c r="AK3894" s="7"/>
      <c r="AL3894" s="7"/>
      <c r="AM3894" s="7"/>
      <c r="AN3894" s="7"/>
      <c r="AO3894" s="7"/>
      <c r="AP3894" s="7"/>
      <c r="AQ3894" s="7"/>
      <c r="AR3894" s="7"/>
      <c r="AS3894" s="7" t="s">
        <v>22</v>
      </c>
    </row>
    <row r="3895">
      <c r="A3895" s="7" t="s">
        <v>1158</v>
      </c>
      <c r="B3895" s="7" t="s">
        <v>138</v>
      </c>
      <c r="C3895" s="7">
        <f t="shared" si="530"/>
        <v>3</v>
      </c>
      <c r="D3895" s="7">
        <v>2.0</v>
      </c>
      <c r="E3895" s="9">
        <v>2.0</v>
      </c>
      <c r="F3895" s="7" t="s">
        <v>20</v>
      </c>
      <c r="G3895" s="7" t="s">
        <v>2173</v>
      </c>
      <c r="H3895" s="9" t="s">
        <v>2979</v>
      </c>
      <c r="I3895" t="s">
        <v>4160</v>
      </c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  <c r="AA3895" s="7"/>
      <c r="AB3895" s="7"/>
      <c r="AC3895" s="7"/>
      <c r="AD3895" s="7" t="str">
        <f t="shared" si="1"/>
        <v>Built-up :</v>
      </c>
      <c r="AE3895" s="7" t="str">
        <f t="shared" si="2"/>
        <v> sq. ft.</v>
      </c>
      <c r="AF3895">
        <f>IFERROR(__xludf.DUMMYFUNCTION("VALUE(REGEXREPLACE(G3895,""[^[:digit:]]"", """"))"),838.0)</f>
        <v>838</v>
      </c>
      <c r="AG3895" s="7"/>
      <c r="AH3895" s="7"/>
      <c r="AI3895" s="7"/>
      <c r="AJ3895" s="7"/>
      <c r="AK3895" s="7"/>
      <c r="AL3895" s="7"/>
      <c r="AM3895" s="7"/>
      <c r="AN3895" s="7"/>
      <c r="AO3895" s="7"/>
      <c r="AP3895" s="7"/>
      <c r="AQ3895" s="7"/>
      <c r="AR3895" s="7"/>
      <c r="AS3895" s="7" t="s">
        <v>22</v>
      </c>
    </row>
    <row r="3896">
      <c r="A3896" s="7" t="s">
        <v>1158</v>
      </c>
      <c r="B3896" s="7" t="s">
        <v>1390</v>
      </c>
      <c r="C3896" s="7" t="s">
        <v>325</v>
      </c>
      <c r="D3896" s="7">
        <v>1.0</v>
      </c>
      <c r="E3896" s="9">
        <v>2.0</v>
      </c>
      <c r="F3896" s="7" t="s">
        <v>20</v>
      </c>
      <c r="G3896" s="7" t="s">
        <v>1279</v>
      </c>
      <c r="H3896" s="9" t="s">
        <v>2979</v>
      </c>
      <c r="I3896" t="s">
        <v>3618</v>
      </c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  <c r="AA3896" s="7"/>
      <c r="AB3896" s="7"/>
      <c r="AC3896" s="7"/>
      <c r="AD3896" s="7" t="str">
        <f t="shared" si="1"/>
        <v>Built-up :</v>
      </c>
      <c r="AE3896" s="7" t="str">
        <f t="shared" si="2"/>
        <v> sq. ft.</v>
      </c>
      <c r="AF3896">
        <f>IFERROR(__xludf.DUMMYFUNCTION("VALUE(REGEXREPLACE(G3896,""[^[:digit:]]"", """"))"),468.0)</f>
        <v>468</v>
      </c>
      <c r="AG3896" s="7"/>
      <c r="AH3896" s="7"/>
      <c r="AI3896" s="7"/>
      <c r="AJ3896" s="7"/>
      <c r="AK3896" s="7"/>
      <c r="AL3896" s="7"/>
      <c r="AM3896" s="7"/>
      <c r="AN3896" s="7"/>
      <c r="AO3896" s="7"/>
      <c r="AP3896" s="7"/>
      <c r="AQ3896" s="7"/>
      <c r="AR3896" s="7"/>
      <c r="AS3896" s="7" t="s">
        <v>22</v>
      </c>
    </row>
    <row r="3897">
      <c r="A3897" s="7" t="s">
        <v>72</v>
      </c>
      <c r="B3897" s="7" t="s">
        <v>1328</v>
      </c>
      <c r="C3897" s="7">
        <f t="shared" ref="C3897:C3898" si="531">3+1</f>
        <v>4</v>
      </c>
      <c r="D3897" s="7">
        <v>3.0</v>
      </c>
      <c r="E3897" s="7">
        <v>2.0</v>
      </c>
      <c r="F3897" s="7" t="s">
        <v>93</v>
      </c>
      <c r="G3897" s="7" t="s">
        <v>1494</v>
      </c>
      <c r="H3897" s="9" t="s">
        <v>2979</v>
      </c>
      <c r="I3897" t="s">
        <v>3742</v>
      </c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  <c r="AA3897" s="7"/>
      <c r="AB3897" s="7"/>
      <c r="AC3897" s="7"/>
      <c r="AD3897" s="7" t="str">
        <f t="shared" si="1"/>
        <v>Built-up :</v>
      </c>
      <c r="AE3897" s="7" t="str">
        <f t="shared" si="2"/>
        <v> sq. ft.</v>
      </c>
      <c r="AF3897">
        <f>IFERROR(__xludf.DUMMYFUNCTION("VALUE(REGEXREPLACE(G3897,""[^[:digit:]]"", """"))"),1598.0)</f>
        <v>1598</v>
      </c>
      <c r="AG3897" s="7"/>
      <c r="AH3897" s="7"/>
      <c r="AI3897" s="7"/>
      <c r="AJ3897" s="7"/>
      <c r="AK3897" s="7"/>
      <c r="AL3897" s="7"/>
      <c r="AM3897" s="7"/>
      <c r="AN3897" s="7"/>
      <c r="AO3897" s="7"/>
      <c r="AP3897" s="7"/>
      <c r="AQ3897" s="7"/>
      <c r="AR3897" s="7"/>
      <c r="AS3897" s="7" t="s">
        <v>22</v>
      </c>
    </row>
    <row r="3898">
      <c r="A3898" s="7" t="s">
        <v>100</v>
      </c>
      <c r="B3898" s="7" t="s">
        <v>381</v>
      </c>
      <c r="C3898" s="7">
        <f t="shared" si="531"/>
        <v>4</v>
      </c>
      <c r="D3898" s="7">
        <v>3.0</v>
      </c>
      <c r="E3898" s="7">
        <v>2.0</v>
      </c>
      <c r="F3898" s="7" t="s">
        <v>30</v>
      </c>
      <c r="G3898" s="7" t="s">
        <v>1072</v>
      </c>
      <c r="H3898" s="9" t="s">
        <v>2979</v>
      </c>
      <c r="I3898" t="s">
        <v>3489</v>
      </c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  <c r="AA3898" s="7"/>
      <c r="AB3898" s="7"/>
      <c r="AC3898" s="7"/>
      <c r="AD3898" s="7" t="str">
        <f t="shared" si="1"/>
        <v>Built-up :</v>
      </c>
      <c r="AE3898" s="7" t="str">
        <f t="shared" si="2"/>
        <v> sq. ft.</v>
      </c>
      <c r="AF3898">
        <f>IFERROR(__xludf.DUMMYFUNCTION("VALUE(REGEXREPLACE(G3898,""[^[:digit:]]"", """"))"),1535.0)</f>
        <v>1535</v>
      </c>
      <c r="AG3898" s="7"/>
      <c r="AH3898" s="7"/>
      <c r="AI3898" s="7"/>
      <c r="AJ3898" s="7"/>
      <c r="AK3898" s="7"/>
      <c r="AL3898" s="7"/>
      <c r="AM3898" s="7"/>
      <c r="AN3898" s="7"/>
      <c r="AO3898" s="7"/>
      <c r="AP3898" s="7"/>
      <c r="AQ3898" s="7"/>
      <c r="AR3898" s="7"/>
      <c r="AS3898" s="7" t="s">
        <v>27</v>
      </c>
    </row>
    <row r="3899">
      <c r="A3899" s="7" t="s">
        <v>72</v>
      </c>
      <c r="B3899" s="7" t="s">
        <v>477</v>
      </c>
      <c r="C3899" s="7">
        <f>4+2</f>
        <v>6</v>
      </c>
      <c r="D3899" s="7">
        <v>6.0</v>
      </c>
      <c r="E3899" s="7">
        <v>3.0</v>
      </c>
      <c r="F3899" s="7" t="s">
        <v>83</v>
      </c>
      <c r="G3899" s="7" t="s">
        <v>989</v>
      </c>
      <c r="H3899" s="9" t="s">
        <v>2979</v>
      </c>
      <c r="I3899" t="s">
        <v>3438</v>
      </c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  <c r="AA3899" s="7"/>
      <c r="AB3899" s="7"/>
      <c r="AC3899" s="7"/>
      <c r="AD3899" s="7" t="str">
        <f t="shared" si="1"/>
        <v>Built-up :</v>
      </c>
      <c r="AE3899" s="7" t="str">
        <f t="shared" si="2"/>
        <v> sq. ft.</v>
      </c>
      <c r="AF3899">
        <f>IFERROR(__xludf.DUMMYFUNCTION("VALUE(REGEXREPLACE(G3899,""[^[:digit:]]"", """"))"),3729.0)</f>
        <v>3729</v>
      </c>
      <c r="AG3899" s="7"/>
      <c r="AH3899" s="7"/>
      <c r="AI3899" s="7"/>
      <c r="AJ3899" s="7"/>
      <c r="AK3899" s="7"/>
      <c r="AL3899" s="7"/>
      <c r="AM3899" s="7"/>
      <c r="AN3899" s="7"/>
      <c r="AO3899" s="7"/>
      <c r="AP3899" s="7"/>
      <c r="AQ3899" s="7"/>
      <c r="AR3899" s="7"/>
      <c r="AS3899" s="7" t="s">
        <v>27</v>
      </c>
    </row>
    <row r="3900">
      <c r="A3900" s="7" t="s">
        <v>72</v>
      </c>
      <c r="B3900" s="7" t="s">
        <v>468</v>
      </c>
      <c r="C3900" s="7">
        <f>4+1</f>
        <v>5</v>
      </c>
      <c r="D3900" s="7">
        <v>6.0</v>
      </c>
      <c r="E3900" s="7">
        <v>3.0</v>
      </c>
      <c r="F3900" s="7" t="s">
        <v>83</v>
      </c>
      <c r="G3900" s="7" t="s">
        <v>1230</v>
      </c>
      <c r="H3900" s="9" t="s">
        <v>2979</v>
      </c>
      <c r="I3900" t="s">
        <v>3593</v>
      </c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  <c r="AA3900" s="7"/>
      <c r="AB3900" s="7"/>
      <c r="AC3900" s="7"/>
      <c r="AD3900" s="7" t="str">
        <f t="shared" si="1"/>
        <v>Built-up :</v>
      </c>
      <c r="AE3900" s="7" t="str">
        <f t="shared" si="2"/>
        <v> sq. ft.</v>
      </c>
      <c r="AF3900">
        <f>IFERROR(__xludf.DUMMYFUNCTION("VALUE(REGEXREPLACE(G3900,""[^[:digit:]]"", """"))"),3317.0)</f>
        <v>3317</v>
      </c>
      <c r="AG3900" s="7"/>
      <c r="AH3900" s="7"/>
      <c r="AI3900" s="7"/>
      <c r="AJ3900" s="7"/>
      <c r="AK3900" s="7"/>
      <c r="AL3900" s="7"/>
      <c r="AM3900" s="7"/>
      <c r="AN3900" s="7"/>
      <c r="AO3900" s="7"/>
      <c r="AP3900" s="7"/>
      <c r="AQ3900" s="7"/>
      <c r="AR3900" s="7"/>
      <c r="AS3900" s="7" t="s">
        <v>27</v>
      </c>
    </row>
    <row r="3901">
      <c r="A3901" s="7" t="s">
        <v>32</v>
      </c>
      <c r="B3901" s="7" t="s">
        <v>329</v>
      </c>
      <c r="C3901" s="7">
        <f>5+1</f>
        <v>6</v>
      </c>
      <c r="D3901" s="7">
        <v>4.0</v>
      </c>
      <c r="E3901" s="9">
        <v>2.0</v>
      </c>
      <c r="F3901" s="7" t="s">
        <v>46</v>
      </c>
      <c r="G3901" s="7" t="s">
        <v>2382</v>
      </c>
      <c r="H3901" s="9" t="s">
        <v>2979</v>
      </c>
      <c r="I3901" t="s">
        <v>4283</v>
      </c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  <c r="AA3901" s="7"/>
      <c r="AB3901" s="7"/>
      <c r="AC3901" s="7"/>
      <c r="AD3901" s="7" t="str">
        <f t="shared" si="1"/>
        <v>Built-up :</v>
      </c>
      <c r="AE3901" s="7" t="str">
        <f t="shared" si="2"/>
        <v> sq. ft.</v>
      </c>
      <c r="AF3901">
        <f>IFERROR(__xludf.DUMMYFUNCTION("VALUE(REGEXREPLACE(G3901,""[^[:digit:]]"", """"))"),2850.0)</f>
        <v>2850</v>
      </c>
      <c r="AG3901" s="7"/>
      <c r="AH3901" s="7"/>
      <c r="AI3901" s="7"/>
      <c r="AJ3901" s="7"/>
      <c r="AK3901" s="7"/>
      <c r="AL3901" s="7"/>
      <c r="AM3901" s="7"/>
      <c r="AN3901" s="7"/>
      <c r="AO3901" s="7"/>
      <c r="AP3901" s="7"/>
      <c r="AQ3901" s="7"/>
      <c r="AR3901" s="7"/>
      <c r="AS3901" s="7" t="s">
        <v>27</v>
      </c>
    </row>
    <row r="3902">
      <c r="A3902" s="7" t="s">
        <v>143</v>
      </c>
      <c r="B3902" s="7" t="s">
        <v>311</v>
      </c>
      <c r="C3902" s="7">
        <f>1+1</f>
        <v>2</v>
      </c>
      <c r="D3902" s="7">
        <v>1.0</v>
      </c>
      <c r="E3902" s="7">
        <v>1.0</v>
      </c>
      <c r="F3902" s="7" t="s">
        <v>20</v>
      </c>
      <c r="G3902" s="7" t="s">
        <v>1537</v>
      </c>
      <c r="H3902" s="9" t="s">
        <v>2979</v>
      </c>
      <c r="I3902" t="s">
        <v>3766</v>
      </c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 t="str">
        <f t="shared" si="1"/>
        <v>Built-up :</v>
      </c>
      <c r="AE3902" s="7" t="str">
        <f t="shared" si="2"/>
        <v> sq. ft.</v>
      </c>
      <c r="AF3902">
        <f>IFERROR(__xludf.DUMMYFUNCTION("VALUE(REGEXREPLACE(G3902,""[^[:digit:]]"", """"))"),625.0)</f>
        <v>625</v>
      </c>
      <c r="AG3902" s="7"/>
      <c r="AH3902" s="7"/>
      <c r="AI3902" s="7"/>
      <c r="AJ3902" s="7"/>
      <c r="AK3902" s="7"/>
      <c r="AL3902" s="7"/>
      <c r="AM3902" s="7"/>
      <c r="AN3902" s="7"/>
      <c r="AO3902" s="7"/>
      <c r="AP3902" s="7"/>
      <c r="AQ3902" s="7"/>
      <c r="AR3902" s="7"/>
      <c r="AS3902" s="7" t="s">
        <v>22</v>
      </c>
    </row>
    <row r="3903">
      <c r="A3903" s="7" t="s">
        <v>72</v>
      </c>
      <c r="B3903" s="7" t="s">
        <v>790</v>
      </c>
      <c r="C3903" s="7">
        <f>4+1</f>
        <v>5</v>
      </c>
      <c r="D3903" s="7">
        <v>6.0</v>
      </c>
      <c r="E3903" s="7">
        <v>2.0</v>
      </c>
      <c r="F3903" s="7" t="s">
        <v>83</v>
      </c>
      <c r="G3903" s="7" t="s">
        <v>1284</v>
      </c>
      <c r="H3903" s="9" t="s">
        <v>2979</v>
      </c>
      <c r="I3903" t="s">
        <v>3623</v>
      </c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  <c r="AA3903" s="7"/>
      <c r="AB3903" s="7"/>
      <c r="AC3903" s="7"/>
      <c r="AD3903" s="7" t="str">
        <f t="shared" si="1"/>
        <v>Built-up :</v>
      </c>
      <c r="AE3903" s="7" t="str">
        <f t="shared" si="2"/>
        <v> sq. ft.</v>
      </c>
      <c r="AF3903">
        <f>IFERROR(__xludf.DUMMYFUNCTION("VALUE(REGEXREPLACE(G3903,""[^[:digit:]]"", """"))"),3169.0)</f>
        <v>3169</v>
      </c>
      <c r="AG3903" s="7"/>
      <c r="AH3903" s="7"/>
      <c r="AI3903" s="7"/>
      <c r="AJ3903" s="7"/>
      <c r="AK3903" s="7"/>
      <c r="AL3903" s="7"/>
      <c r="AM3903" s="7"/>
      <c r="AN3903" s="7"/>
      <c r="AO3903" s="7"/>
      <c r="AP3903" s="7"/>
      <c r="AQ3903" s="7"/>
      <c r="AR3903" s="7"/>
      <c r="AS3903" s="7" t="s">
        <v>27</v>
      </c>
    </row>
    <row r="3904">
      <c r="A3904" s="7" t="s">
        <v>143</v>
      </c>
      <c r="B3904" s="7" t="s">
        <v>329</v>
      </c>
      <c r="C3904" s="7">
        <f t="shared" ref="C3904:C3905" si="532">3</f>
        <v>3</v>
      </c>
      <c r="D3904" s="7">
        <v>2.0</v>
      </c>
      <c r="E3904" s="7">
        <v>1.0</v>
      </c>
      <c r="F3904" s="7" t="s">
        <v>82</v>
      </c>
      <c r="G3904" s="7" t="s">
        <v>1505</v>
      </c>
      <c r="H3904" s="9" t="s">
        <v>2979</v>
      </c>
      <c r="I3904" t="s">
        <v>3750</v>
      </c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  <c r="AA3904" s="7"/>
      <c r="AB3904" s="7"/>
      <c r="AC3904" s="7"/>
      <c r="AD3904" s="7" t="str">
        <f t="shared" si="1"/>
        <v>Built-up :</v>
      </c>
      <c r="AE3904" s="7" t="str">
        <f t="shared" si="2"/>
        <v> sq. ft.</v>
      </c>
      <c r="AF3904">
        <f>IFERROR(__xludf.DUMMYFUNCTION("VALUE(REGEXREPLACE(G3904,""[^[:digit:]]"", """"))"),1281.0)</f>
        <v>1281</v>
      </c>
      <c r="AG3904" s="7"/>
      <c r="AH3904" s="7"/>
      <c r="AI3904" s="7"/>
      <c r="AJ3904" s="7"/>
      <c r="AK3904" s="7"/>
      <c r="AL3904" s="7"/>
      <c r="AM3904" s="7"/>
      <c r="AN3904" s="7"/>
      <c r="AO3904" s="7"/>
      <c r="AP3904" s="7"/>
      <c r="AQ3904" s="7"/>
      <c r="AR3904" s="7"/>
      <c r="AS3904" s="7" t="s">
        <v>27</v>
      </c>
    </row>
    <row r="3905">
      <c r="A3905" s="7" t="s">
        <v>32</v>
      </c>
      <c r="B3905" s="7" t="s">
        <v>1673</v>
      </c>
      <c r="C3905" s="7">
        <f t="shared" si="532"/>
        <v>3</v>
      </c>
      <c r="D3905" s="7">
        <v>2.0</v>
      </c>
      <c r="E3905" s="7">
        <v>1.0</v>
      </c>
      <c r="F3905" s="7" t="s">
        <v>503</v>
      </c>
      <c r="G3905" s="7" t="s">
        <v>1270</v>
      </c>
      <c r="H3905" s="9" t="s">
        <v>2979</v>
      </c>
      <c r="I3905" t="s">
        <v>3613</v>
      </c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  <c r="AA3905" s="7"/>
      <c r="AB3905" s="7"/>
      <c r="AC3905" s="7"/>
      <c r="AD3905" s="7" t="str">
        <f t="shared" si="1"/>
        <v>Built-up :</v>
      </c>
      <c r="AE3905" s="7" t="str">
        <f t="shared" si="2"/>
        <v> sq. ft.</v>
      </c>
      <c r="AF3905">
        <f>IFERROR(__xludf.DUMMYFUNCTION("VALUE(REGEXREPLACE(G3905,""[^[:digit:]]"", """"))"),780.0)</f>
        <v>780</v>
      </c>
      <c r="AG3905" s="7"/>
      <c r="AH3905" s="7"/>
      <c r="AI3905" s="7"/>
      <c r="AJ3905" s="7"/>
      <c r="AK3905" s="7"/>
      <c r="AL3905" s="7"/>
      <c r="AM3905" s="7"/>
      <c r="AN3905" s="7"/>
      <c r="AO3905" s="7"/>
      <c r="AP3905" s="7"/>
      <c r="AQ3905" s="7"/>
      <c r="AR3905" s="7"/>
      <c r="AS3905" s="7" t="s">
        <v>27</v>
      </c>
    </row>
    <row r="3906">
      <c r="A3906" s="7" t="s">
        <v>86</v>
      </c>
      <c r="B3906" s="7" t="s">
        <v>1915</v>
      </c>
      <c r="C3906" s="7">
        <f>1</f>
        <v>1</v>
      </c>
      <c r="D3906" s="7">
        <v>1.0</v>
      </c>
      <c r="E3906" s="9">
        <v>2.0</v>
      </c>
      <c r="F3906" s="7" t="s">
        <v>82</v>
      </c>
      <c r="G3906" s="7" t="s">
        <v>673</v>
      </c>
      <c r="H3906" s="9" t="s">
        <v>2979</v>
      </c>
      <c r="I3906" t="s">
        <v>3278</v>
      </c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  <c r="AA3906" s="7"/>
      <c r="AB3906" s="7"/>
      <c r="AC3906" s="7"/>
      <c r="AD3906" s="7" t="str">
        <f t="shared" si="1"/>
        <v>Built-up :</v>
      </c>
      <c r="AE3906" s="7" t="str">
        <f t="shared" si="2"/>
        <v> sq. ft.</v>
      </c>
      <c r="AF3906">
        <f>IFERROR(__xludf.DUMMYFUNCTION("VALUE(REGEXREPLACE(G3906,""[^[:digit:]]"", """"))"),638.0)</f>
        <v>638</v>
      </c>
      <c r="AG3906" s="7"/>
      <c r="AH3906" s="7"/>
      <c r="AI3906" s="7"/>
      <c r="AJ3906" s="7"/>
      <c r="AK3906" s="7"/>
      <c r="AL3906" s="7"/>
      <c r="AM3906" s="7"/>
      <c r="AN3906" s="7"/>
      <c r="AO3906" s="7"/>
      <c r="AP3906" s="7"/>
      <c r="AQ3906" s="7"/>
      <c r="AR3906" s="7"/>
      <c r="AS3906" s="7" t="s">
        <v>22</v>
      </c>
    </row>
    <row r="3907">
      <c r="A3907" s="7" t="s">
        <v>143</v>
      </c>
      <c r="B3907" s="7" t="s">
        <v>852</v>
      </c>
      <c r="C3907" s="7" t="s">
        <v>325</v>
      </c>
      <c r="D3907" s="7">
        <v>1.0</v>
      </c>
      <c r="E3907" s="9">
        <v>2.0</v>
      </c>
      <c r="F3907" s="7" t="s">
        <v>20</v>
      </c>
      <c r="G3907" s="7" t="s">
        <v>2510</v>
      </c>
      <c r="H3907" s="9" t="s">
        <v>2979</v>
      </c>
      <c r="I3907" t="s">
        <v>4364</v>
      </c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  <c r="AA3907" s="7"/>
      <c r="AB3907" s="7"/>
      <c r="AC3907" s="7"/>
      <c r="AD3907" s="7" t="str">
        <f t="shared" si="1"/>
        <v>Built-up :</v>
      </c>
      <c r="AE3907" s="7" t="str">
        <f t="shared" si="2"/>
        <v> sq. ft.</v>
      </c>
      <c r="AF3907">
        <f>IFERROR(__xludf.DUMMYFUNCTION("VALUE(REGEXREPLACE(G3907,""[^[:digit:]]"", """"))"),325.0)</f>
        <v>325</v>
      </c>
      <c r="AG3907" s="7"/>
      <c r="AH3907" s="7"/>
      <c r="AI3907" s="7"/>
      <c r="AJ3907" s="7"/>
      <c r="AK3907" s="7"/>
      <c r="AL3907" s="7"/>
      <c r="AM3907" s="7"/>
      <c r="AN3907" s="7"/>
      <c r="AO3907" s="7"/>
      <c r="AP3907" s="7"/>
      <c r="AQ3907" s="7"/>
      <c r="AR3907" s="7"/>
      <c r="AS3907" s="7" t="s">
        <v>22</v>
      </c>
    </row>
    <row r="3908">
      <c r="A3908" s="7" t="s">
        <v>89</v>
      </c>
      <c r="B3908" s="7" t="s">
        <v>311</v>
      </c>
      <c r="C3908" s="7">
        <f>5</f>
        <v>5</v>
      </c>
      <c r="D3908" s="7">
        <v>4.0</v>
      </c>
      <c r="E3908" s="7">
        <v>2.0</v>
      </c>
      <c r="F3908" s="7" t="s">
        <v>90</v>
      </c>
      <c r="G3908" s="7" t="s">
        <v>1119</v>
      </c>
      <c r="H3908" s="9" t="s">
        <v>2981</v>
      </c>
      <c r="I3908" t="s">
        <v>3516</v>
      </c>
      <c r="J3908" s="7"/>
      <c r="K3908" s="7"/>
      <c r="L3908" s="7"/>
      <c r="M3908" s="7"/>
      <c r="N3908" s="7"/>
      <c r="O3908" s="7"/>
      <c r="P3908" s="7"/>
      <c r="Q3908" s="7"/>
      <c r="R3908" s="7"/>
      <c r="S3908" s="7" t="s">
        <v>3121</v>
      </c>
      <c r="T3908" s="7"/>
      <c r="U3908" s="7"/>
      <c r="V3908" s="7"/>
      <c r="W3908" s="7"/>
      <c r="X3908" s="7"/>
      <c r="Y3908" s="7"/>
      <c r="Z3908" s="7"/>
      <c r="AA3908" s="7"/>
      <c r="AB3908" s="7"/>
      <c r="AC3908" s="7"/>
      <c r="AD3908" s="7" t="str">
        <f t="shared" si="1"/>
        <v>Land area </v>
      </c>
      <c r="AE3908" s="7" t="str">
        <f t="shared" si="2"/>
        <v> sq. ft.</v>
      </c>
      <c r="AF3908">
        <f>IFERROR(__xludf.DUMMYFUNCTION("VALUE(REGEXREPLACE(G3908,""[^[:digit:]]"", """"))"),2070.0)</f>
        <v>2070</v>
      </c>
      <c r="AG3908" s="7"/>
      <c r="AH3908" s="7"/>
      <c r="AI3908" s="7"/>
      <c r="AJ3908" s="7"/>
      <c r="AK3908" s="7"/>
      <c r="AL3908" s="7"/>
      <c r="AM3908" s="7"/>
      <c r="AN3908" s="7"/>
      <c r="AO3908" s="7"/>
      <c r="AP3908" s="7"/>
      <c r="AQ3908" s="7"/>
      <c r="AR3908" s="7"/>
      <c r="AS3908" s="7" t="s">
        <v>27</v>
      </c>
    </row>
    <row r="3909">
      <c r="A3909" s="7" t="s">
        <v>72</v>
      </c>
      <c r="B3909" s="7" t="s">
        <v>322</v>
      </c>
      <c r="C3909" s="7">
        <f>3+1</f>
        <v>4</v>
      </c>
      <c r="D3909" s="7">
        <v>4.0</v>
      </c>
      <c r="E3909" s="7">
        <v>2.0</v>
      </c>
      <c r="F3909" s="7" t="s">
        <v>83</v>
      </c>
      <c r="G3909" s="7" t="s">
        <v>708</v>
      </c>
      <c r="H3909" s="9" t="s">
        <v>2979</v>
      </c>
      <c r="I3909" t="s">
        <v>3293</v>
      </c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  <c r="AA3909" s="7"/>
      <c r="AB3909" s="7"/>
      <c r="AC3909" s="7"/>
      <c r="AD3909" s="7" t="str">
        <f t="shared" si="1"/>
        <v>Built-up :</v>
      </c>
      <c r="AE3909" s="7" t="str">
        <f t="shared" si="2"/>
        <v> sq. ft.</v>
      </c>
      <c r="AF3909">
        <f>IFERROR(__xludf.DUMMYFUNCTION("VALUE(REGEXREPLACE(G3909,""[^[:digit:]]"", """"))"),2070.0)</f>
        <v>2070</v>
      </c>
      <c r="AG3909" s="7"/>
      <c r="AH3909" s="7"/>
      <c r="AI3909" s="7"/>
      <c r="AJ3909" s="7"/>
      <c r="AK3909" s="7"/>
      <c r="AL3909" s="7"/>
      <c r="AM3909" s="7"/>
      <c r="AN3909" s="7"/>
      <c r="AO3909" s="7"/>
      <c r="AP3909" s="7"/>
      <c r="AQ3909" s="7"/>
      <c r="AR3909" s="7"/>
      <c r="AS3909" s="7" t="s">
        <v>27</v>
      </c>
    </row>
    <row r="3910">
      <c r="A3910" s="7" t="s">
        <v>48</v>
      </c>
      <c r="B3910" s="7" t="s">
        <v>165</v>
      </c>
      <c r="C3910" s="7">
        <f>7</f>
        <v>7</v>
      </c>
      <c r="D3910" s="7">
        <v>7.0</v>
      </c>
      <c r="E3910" s="7">
        <v>4.0</v>
      </c>
      <c r="F3910" s="7" t="s">
        <v>61</v>
      </c>
      <c r="G3910" s="7" t="s">
        <v>1314</v>
      </c>
      <c r="H3910" s="9" t="s">
        <v>2981</v>
      </c>
      <c r="I3910" t="s">
        <v>3640</v>
      </c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  <c r="AA3910" s="7"/>
      <c r="AB3910" s="7"/>
      <c r="AC3910" s="7"/>
      <c r="AD3910" s="7" t="str">
        <f t="shared" si="1"/>
        <v>Land area </v>
      </c>
      <c r="AE3910" s="7" t="str">
        <f t="shared" si="2"/>
        <v> sq. ft.</v>
      </c>
      <c r="AF3910">
        <f>IFERROR(__xludf.DUMMYFUNCTION("VALUE(REGEXREPLACE(G3910,""[^[:digit:]]"", """"))"),4200.0)</f>
        <v>4200</v>
      </c>
      <c r="AG3910" s="7"/>
      <c r="AH3910" s="7"/>
      <c r="AI3910" s="7"/>
      <c r="AJ3910" s="7"/>
      <c r="AK3910" s="7"/>
      <c r="AL3910" s="7"/>
      <c r="AM3910" s="7"/>
      <c r="AN3910" s="7"/>
      <c r="AO3910" s="7"/>
      <c r="AP3910" s="7"/>
      <c r="AQ3910" s="7"/>
      <c r="AR3910" s="7"/>
      <c r="AS3910" s="7" t="s">
        <v>22</v>
      </c>
    </row>
    <row r="3911">
      <c r="A3911" s="7" t="s">
        <v>177</v>
      </c>
      <c r="B3911" s="7" t="s">
        <v>970</v>
      </c>
      <c r="C3911" s="7">
        <f>5</f>
        <v>5</v>
      </c>
      <c r="D3911" s="7">
        <v>5.0</v>
      </c>
      <c r="E3911" s="7">
        <v>4.0</v>
      </c>
      <c r="F3911" s="7" t="s">
        <v>61</v>
      </c>
      <c r="G3911" s="7" t="s">
        <v>498</v>
      </c>
      <c r="H3911" s="9" t="s">
        <v>2979</v>
      </c>
      <c r="I3911" t="s">
        <v>3196</v>
      </c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  <c r="AA3911" s="7"/>
      <c r="AB3911" s="7"/>
      <c r="AC3911" s="7"/>
      <c r="AD3911" s="7" t="str">
        <f t="shared" si="1"/>
        <v>Built-up :</v>
      </c>
      <c r="AE3911" s="7" t="str">
        <f t="shared" si="2"/>
        <v> sq. ft.</v>
      </c>
      <c r="AF3911">
        <f>IFERROR(__xludf.DUMMYFUNCTION("VALUE(REGEXREPLACE(G3911,""[^[:digit:]]"", """"))"),4000.0)</f>
        <v>4000</v>
      </c>
      <c r="AG3911" s="7"/>
      <c r="AH3911" s="7"/>
      <c r="AI3911" s="7"/>
      <c r="AJ3911" s="7"/>
      <c r="AK3911" s="7"/>
      <c r="AL3911" s="7"/>
      <c r="AM3911" s="7"/>
      <c r="AN3911" s="7"/>
      <c r="AO3911" s="7"/>
      <c r="AP3911" s="7"/>
      <c r="AQ3911" s="7"/>
      <c r="AR3911" s="7"/>
      <c r="AS3911" s="7" t="s">
        <v>27</v>
      </c>
    </row>
    <row r="3912">
      <c r="A3912" s="7" t="s">
        <v>188</v>
      </c>
      <c r="B3912" s="7" t="s">
        <v>2511</v>
      </c>
      <c r="C3912" s="7">
        <f>1</f>
        <v>1</v>
      </c>
      <c r="D3912" s="7">
        <v>1.0</v>
      </c>
      <c r="E3912" s="7">
        <v>1.0</v>
      </c>
      <c r="F3912" s="7" t="s">
        <v>20</v>
      </c>
      <c r="G3912" s="7" t="s">
        <v>2512</v>
      </c>
      <c r="H3912" s="9" t="s">
        <v>2979</v>
      </c>
      <c r="I3912" t="s">
        <v>4365</v>
      </c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  <c r="AA3912" s="7"/>
      <c r="AB3912" s="7"/>
      <c r="AC3912" s="7"/>
      <c r="AD3912" s="7" t="str">
        <f t="shared" si="1"/>
        <v>Built-up :</v>
      </c>
      <c r="AE3912" s="7" t="str">
        <f t="shared" si="2"/>
        <v> sq. ft.</v>
      </c>
      <c r="AF3912">
        <f>IFERROR(__xludf.DUMMYFUNCTION("VALUE(REGEXREPLACE(G3912,""[^[:digit:]]"", """"))"),652.0)</f>
        <v>652</v>
      </c>
      <c r="AG3912" s="7"/>
      <c r="AH3912" s="7"/>
      <c r="AI3912" s="7"/>
      <c r="AJ3912" s="7"/>
      <c r="AK3912" s="7"/>
      <c r="AL3912" s="7"/>
      <c r="AM3912" s="7"/>
      <c r="AN3912" s="7"/>
      <c r="AO3912" s="7"/>
      <c r="AP3912" s="7"/>
      <c r="AQ3912" s="7"/>
      <c r="AR3912" s="7"/>
      <c r="AS3912" s="7" t="s">
        <v>22</v>
      </c>
    </row>
    <row r="3913">
      <c r="A3913" s="7" t="s">
        <v>72</v>
      </c>
      <c r="B3913" s="7" t="s">
        <v>1831</v>
      </c>
      <c r="C3913" s="7">
        <f>4+1</f>
        <v>5</v>
      </c>
      <c r="D3913" s="7">
        <v>6.0</v>
      </c>
      <c r="E3913" s="7">
        <v>3.0</v>
      </c>
      <c r="F3913" s="7" t="s">
        <v>83</v>
      </c>
      <c r="G3913" s="7" t="s">
        <v>1037</v>
      </c>
      <c r="H3913" s="9" t="s">
        <v>2979</v>
      </c>
      <c r="I3913" t="s">
        <v>3470</v>
      </c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  <c r="AA3913" s="7"/>
      <c r="AB3913" s="7"/>
      <c r="AC3913" s="7"/>
      <c r="AD3913" s="7" t="str">
        <f t="shared" si="1"/>
        <v>Built-up :</v>
      </c>
      <c r="AE3913" s="7" t="str">
        <f t="shared" si="2"/>
        <v> sq. ft.</v>
      </c>
      <c r="AF3913">
        <f>IFERROR(__xludf.DUMMYFUNCTION("VALUE(REGEXREPLACE(G3913,""[^[:digit:]]"", """"))"),3500.0)</f>
        <v>3500</v>
      </c>
      <c r="AG3913" s="7"/>
      <c r="AH3913" s="7"/>
      <c r="AI3913" s="7"/>
      <c r="AJ3913" s="7"/>
      <c r="AK3913" s="7"/>
      <c r="AL3913" s="7"/>
      <c r="AM3913" s="7"/>
      <c r="AN3913" s="7"/>
      <c r="AO3913" s="7"/>
      <c r="AP3913" s="7"/>
      <c r="AQ3913" s="7"/>
      <c r="AR3913" s="7"/>
      <c r="AS3913" s="7" t="s">
        <v>22</v>
      </c>
    </row>
    <row r="3914">
      <c r="A3914" s="7" t="s">
        <v>428</v>
      </c>
      <c r="B3914" s="7" t="s">
        <v>327</v>
      </c>
      <c r="C3914" s="7">
        <f>3+1</f>
        <v>4</v>
      </c>
      <c r="D3914" s="7">
        <v>4.0</v>
      </c>
      <c r="E3914" s="9">
        <v>2.0</v>
      </c>
      <c r="F3914" s="7" t="s">
        <v>82</v>
      </c>
      <c r="G3914" s="7" t="s">
        <v>2513</v>
      </c>
      <c r="H3914" s="9" t="s">
        <v>2979</v>
      </c>
      <c r="I3914" t="s">
        <v>4366</v>
      </c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  <c r="AA3914" s="7"/>
      <c r="AB3914" s="7"/>
      <c r="AC3914" s="7"/>
      <c r="AD3914" s="7" t="str">
        <f t="shared" si="1"/>
        <v>Built-up :</v>
      </c>
      <c r="AE3914" s="7" t="str">
        <f t="shared" si="2"/>
        <v> sq. ft.</v>
      </c>
      <c r="AF3914">
        <f>IFERROR(__xludf.DUMMYFUNCTION("VALUE(REGEXREPLACE(G3914,""[^[:digit:]]"", """"))"),1435.0)</f>
        <v>1435</v>
      </c>
      <c r="AG3914" s="7"/>
      <c r="AH3914" s="7"/>
      <c r="AI3914" s="7"/>
      <c r="AJ3914" s="7"/>
      <c r="AK3914" s="7"/>
      <c r="AL3914" s="7"/>
      <c r="AM3914" s="7"/>
      <c r="AN3914" s="7"/>
      <c r="AO3914" s="7"/>
      <c r="AP3914" s="7"/>
      <c r="AQ3914" s="7"/>
      <c r="AR3914" s="7"/>
      <c r="AS3914" s="7" t="s">
        <v>27</v>
      </c>
    </row>
    <row r="3915">
      <c r="A3915" s="7" t="s">
        <v>32</v>
      </c>
      <c r="B3915" s="7" t="s">
        <v>2514</v>
      </c>
      <c r="C3915" s="7">
        <f t="shared" ref="C3915:C3917" si="533">3</f>
        <v>3</v>
      </c>
      <c r="D3915" s="7">
        <v>2.0</v>
      </c>
      <c r="E3915" s="7">
        <v>1.0</v>
      </c>
      <c r="F3915" s="7" t="s">
        <v>354</v>
      </c>
      <c r="G3915" s="7" t="s">
        <v>1270</v>
      </c>
      <c r="H3915" s="9" t="s">
        <v>2979</v>
      </c>
      <c r="I3915" t="s">
        <v>3613</v>
      </c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  <c r="AA3915" s="7"/>
      <c r="AB3915" s="7"/>
      <c r="AC3915" s="7"/>
      <c r="AD3915" s="7" t="str">
        <f t="shared" si="1"/>
        <v>Built-up :</v>
      </c>
      <c r="AE3915" s="7" t="str">
        <f t="shared" si="2"/>
        <v> sq. ft.</v>
      </c>
      <c r="AF3915">
        <f>IFERROR(__xludf.DUMMYFUNCTION("VALUE(REGEXREPLACE(G3915,""[^[:digit:]]"", """"))"),780.0)</f>
        <v>780</v>
      </c>
      <c r="AG3915" s="7"/>
      <c r="AH3915" s="7"/>
      <c r="AI3915" s="7"/>
      <c r="AJ3915" s="7"/>
      <c r="AK3915" s="7"/>
      <c r="AL3915" s="7"/>
      <c r="AM3915" s="7"/>
      <c r="AN3915" s="7"/>
      <c r="AO3915" s="7"/>
      <c r="AP3915" s="7"/>
      <c r="AQ3915" s="7"/>
      <c r="AR3915" s="7"/>
      <c r="AS3915" s="7" t="s">
        <v>27</v>
      </c>
    </row>
    <row r="3916">
      <c r="A3916" s="7" t="s">
        <v>143</v>
      </c>
      <c r="B3916" s="7" t="s">
        <v>329</v>
      </c>
      <c r="C3916" s="7">
        <f t="shared" si="533"/>
        <v>3</v>
      </c>
      <c r="D3916" s="7">
        <v>2.0</v>
      </c>
      <c r="E3916" s="7">
        <v>1.0</v>
      </c>
      <c r="F3916" s="7" t="s">
        <v>82</v>
      </c>
      <c r="G3916" s="7" t="s">
        <v>1505</v>
      </c>
      <c r="H3916" s="9" t="s">
        <v>2979</v>
      </c>
      <c r="I3916" t="s">
        <v>3750</v>
      </c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  <c r="AA3916" s="7"/>
      <c r="AB3916" s="7"/>
      <c r="AC3916" s="7"/>
      <c r="AD3916" s="7" t="str">
        <f t="shared" si="1"/>
        <v>Built-up :</v>
      </c>
      <c r="AE3916" s="7" t="str">
        <f t="shared" si="2"/>
        <v> sq. ft.</v>
      </c>
      <c r="AF3916">
        <f>IFERROR(__xludf.DUMMYFUNCTION("VALUE(REGEXREPLACE(G3916,""[^[:digit:]]"", """"))"),1281.0)</f>
        <v>1281</v>
      </c>
      <c r="AG3916" s="7"/>
      <c r="AH3916" s="7"/>
      <c r="AI3916" s="7"/>
      <c r="AJ3916" s="7"/>
      <c r="AK3916" s="7"/>
      <c r="AL3916" s="7"/>
      <c r="AM3916" s="7"/>
      <c r="AN3916" s="7"/>
      <c r="AO3916" s="7"/>
      <c r="AP3916" s="7"/>
      <c r="AQ3916" s="7"/>
      <c r="AR3916" s="7"/>
      <c r="AS3916" s="7" t="s">
        <v>27</v>
      </c>
    </row>
    <row r="3917">
      <c r="A3917" s="7" t="s">
        <v>109</v>
      </c>
      <c r="B3917" s="7" t="s">
        <v>1200</v>
      </c>
      <c r="C3917" s="7">
        <f t="shared" si="533"/>
        <v>3</v>
      </c>
      <c r="D3917" s="7">
        <v>2.0</v>
      </c>
      <c r="E3917" s="7">
        <v>1.0</v>
      </c>
      <c r="F3917" s="7" t="s">
        <v>93</v>
      </c>
      <c r="G3917" s="7" t="s">
        <v>157</v>
      </c>
      <c r="H3917" s="9" t="s">
        <v>2979</v>
      </c>
      <c r="I3917" t="s">
        <v>3031</v>
      </c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  <c r="AA3917" s="7"/>
      <c r="AB3917" s="7"/>
      <c r="AC3917" s="7"/>
      <c r="AD3917" s="7" t="str">
        <f t="shared" si="1"/>
        <v>Built-up :</v>
      </c>
      <c r="AE3917" s="7" t="str">
        <f t="shared" si="2"/>
        <v> sq. ft.</v>
      </c>
      <c r="AF3917">
        <f>IFERROR(__xludf.DUMMYFUNCTION("VALUE(REGEXREPLACE(G3917,""[^[:digit:]]"", """"))"),1050.0)</f>
        <v>1050</v>
      </c>
      <c r="AG3917" s="7"/>
      <c r="AH3917" s="7"/>
      <c r="AI3917" s="7"/>
      <c r="AJ3917" s="7"/>
      <c r="AK3917" s="7"/>
      <c r="AL3917" s="7"/>
      <c r="AM3917" s="7"/>
      <c r="AN3917" s="7"/>
      <c r="AO3917" s="7"/>
      <c r="AP3917" s="7"/>
      <c r="AQ3917" s="7"/>
      <c r="AR3917" s="7"/>
      <c r="AS3917" s="7" t="s">
        <v>22</v>
      </c>
    </row>
    <row r="3918">
      <c r="A3918" s="7" t="s">
        <v>32</v>
      </c>
      <c r="B3918" s="7" t="s">
        <v>398</v>
      </c>
      <c r="C3918" s="7">
        <f>5</f>
        <v>5</v>
      </c>
      <c r="D3918" s="7">
        <v>7.0</v>
      </c>
      <c r="E3918" s="7">
        <v>4.0</v>
      </c>
      <c r="F3918" s="7" t="s">
        <v>487</v>
      </c>
      <c r="G3918" s="7" t="s">
        <v>2515</v>
      </c>
      <c r="H3918" s="9" t="s">
        <v>2981</v>
      </c>
      <c r="I3918" t="s">
        <v>4367</v>
      </c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  <c r="AA3918" s="7"/>
      <c r="AB3918" s="7"/>
      <c r="AC3918" s="7"/>
      <c r="AD3918" s="7" t="str">
        <f t="shared" si="1"/>
        <v>Land area </v>
      </c>
      <c r="AE3918" s="7" t="str">
        <f t="shared" si="2"/>
        <v> sq. ft.</v>
      </c>
      <c r="AF3918">
        <f>IFERROR(__xludf.DUMMYFUNCTION("VALUE(REGEXREPLACE(G3918,""[^[:digit:]]"", """"))"),5900.0)</f>
        <v>5900</v>
      </c>
      <c r="AG3918" s="7"/>
      <c r="AH3918" s="7"/>
      <c r="AI3918" s="7"/>
      <c r="AJ3918" s="7"/>
      <c r="AK3918" s="7"/>
      <c r="AL3918" s="7"/>
      <c r="AM3918" s="7"/>
      <c r="AN3918" s="7"/>
      <c r="AO3918" s="7"/>
      <c r="AP3918" s="7"/>
      <c r="AQ3918" s="7"/>
      <c r="AR3918" s="7"/>
      <c r="AS3918" s="7" t="s">
        <v>27</v>
      </c>
    </row>
    <row r="3919">
      <c r="A3919" s="7" t="s">
        <v>143</v>
      </c>
      <c r="B3919" s="7" t="s">
        <v>322</v>
      </c>
      <c r="C3919" s="7">
        <f>3+1</f>
        <v>4</v>
      </c>
      <c r="D3919" s="7">
        <v>4.0</v>
      </c>
      <c r="E3919" s="7">
        <v>2.0</v>
      </c>
      <c r="F3919" s="7" t="s">
        <v>83</v>
      </c>
      <c r="G3919" s="7" t="s">
        <v>2516</v>
      </c>
      <c r="H3919" s="9" t="s">
        <v>2979</v>
      </c>
      <c r="I3919" t="s">
        <v>4368</v>
      </c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  <c r="AA3919" s="7"/>
      <c r="AB3919" s="7"/>
      <c r="AC3919" s="7"/>
      <c r="AD3919" s="7" t="str">
        <f t="shared" si="1"/>
        <v>Built-up :</v>
      </c>
      <c r="AE3919" s="7" t="str">
        <f t="shared" si="2"/>
        <v> sq. ft.</v>
      </c>
      <c r="AF3919">
        <f>IFERROR(__xludf.DUMMYFUNCTION("VALUE(REGEXREPLACE(G3919,""[^[:digit:]]"", """"))"),1595.0)</f>
        <v>1595</v>
      </c>
      <c r="AG3919" s="7"/>
      <c r="AH3919" s="7"/>
      <c r="AI3919" s="7"/>
      <c r="AJ3919" s="7"/>
      <c r="AK3919" s="7"/>
      <c r="AL3919" s="7"/>
      <c r="AM3919" s="7"/>
      <c r="AN3919" s="7"/>
      <c r="AO3919" s="7"/>
      <c r="AP3919" s="7"/>
      <c r="AQ3919" s="7"/>
      <c r="AR3919" s="7"/>
    </row>
    <row r="3920">
      <c r="A3920" s="7" t="s">
        <v>72</v>
      </c>
      <c r="B3920" s="7" t="s">
        <v>530</v>
      </c>
      <c r="C3920" s="7">
        <f t="shared" ref="C3920:C3921" si="534">4+1</f>
        <v>5</v>
      </c>
      <c r="D3920" s="7">
        <v>4.0</v>
      </c>
      <c r="E3920" s="9">
        <v>2.0</v>
      </c>
      <c r="F3920" s="7" t="s">
        <v>30</v>
      </c>
      <c r="G3920" s="7" t="s">
        <v>2517</v>
      </c>
      <c r="H3920" s="9" t="s">
        <v>2979</v>
      </c>
      <c r="I3920" t="s">
        <v>4369</v>
      </c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  <c r="AA3920" s="7"/>
      <c r="AB3920" s="7"/>
      <c r="AC3920" s="7"/>
      <c r="AD3920" s="7" t="str">
        <f t="shared" si="1"/>
        <v>Built-up :</v>
      </c>
      <c r="AE3920" s="7" t="str">
        <f t="shared" si="2"/>
        <v> sq. ft.</v>
      </c>
      <c r="AF3920">
        <f>IFERROR(__xludf.DUMMYFUNCTION("VALUE(REGEXREPLACE(G3920,""[^[:digit:]]"", """"))"),4690.0)</f>
        <v>4690</v>
      </c>
      <c r="AG3920" s="7"/>
      <c r="AH3920" s="7"/>
      <c r="AI3920" s="7"/>
      <c r="AJ3920" s="7"/>
      <c r="AK3920" s="7"/>
      <c r="AL3920" s="7"/>
      <c r="AM3920" s="7"/>
      <c r="AN3920" s="7"/>
      <c r="AO3920" s="7"/>
      <c r="AP3920" s="7"/>
      <c r="AQ3920" s="7"/>
      <c r="AR3920" s="7"/>
      <c r="AS3920" s="7" t="s">
        <v>27</v>
      </c>
    </row>
    <row r="3921">
      <c r="A3921" s="7" t="s">
        <v>177</v>
      </c>
      <c r="B3921" s="7" t="s">
        <v>1753</v>
      </c>
      <c r="C3921" s="7">
        <f t="shared" si="534"/>
        <v>5</v>
      </c>
      <c r="D3921" s="7">
        <v>6.0</v>
      </c>
      <c r="E3921" s="7">
        <v>4.0</v>
      </c>
      <c r="F3921" s="7" t="s">
        <v>30</v>
      </c>
      <c r="G3921" s="7" t="s">
        <v>550</v>
      </c>
      <c r="H3921" s="9" t="s">
        <v>2979</v>
      </c>
      <c r="I3921" t="s">
        <v>3220</v>
      </c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  <c r="AA3921" s="7"/>
      <c r="AB3921" s="7"/>
      <c r="AC3921" s="7"/>
      <c r="AD3921" s="7" t="str">
        <f t="shared" si="1"/>
        <v>Built-up :</v>
      </c>
      <c r="AE3921" s="7" t="str">
        <f t="shared" si="2"/>
        <v> sq. ft.</v>
      </c>
      <c r="AF3921">
        <f>IFERROR(__xludf.DUMMYFUNCTION("VALUE(REGEXREPLACE(G3921,""[^[:digit:]]"", """"))"),4771.0)</f>
        <v>4771</v>
      </c>
      <c r="AG3921" s="7"/>
      <c r="AH3921" s="7"/>
      <c r="AI3921" s="7"/>
      <c r="AJ3921" s="7"/>
      <c r="AK3921" s="7"/>
      <c r="AL3921" s="7"/>
      <c r="AM3921" s="7"/>
      <c r="AN3921" s="7"/>
      <c r="AO3921" s="7"/>
      <c r="AP3921" s="7"/>
      <c r="AQ3921" s="7"/>
      <c r="AR3921" s="7"/>
      <c r="AS3921" s="7" t="s">
        <v>27</v>
      </c>
    </row>
    <row r="3922">
      <c r="A3922" s="7" t="s">
        <v>17</v>
      </c>
      <c r="B3922" s="7" t="s">
        <v>2518</v>
      </c>
      <c r="C3922" s="7">
        <f t="shared" ref="C3922:C3923" si="535">2+1</f>
        <v>3</v>
      </c>
      <c r="D3922" s="7">
        <v>2.0</v>
      </c>
      <c r="E3922" s="7">
        <v>2.0</v>
      </c>
      <c r="F3922" s="7" t="s">
        <v>83</v>
      </c>
      <c r="G3922" s="7" t="s">
        <v>2519</v>
      </c>
      <c r="H3922" s="9" t="s">
        <v>2979</v>
      </c>
      <c r="I3922" t="s">
        <v>4370</v>
      </c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  <c r="AA3922" s="7"/>
      <c r="AB3922" s="7"/>
      <c r="AC3922" s="7"/>
      <c r="AD3922" s="7" t="str">
        <f t="shared" si="1"/>
        <v>Built-up :</v>
      </c>
      <c r="AE3922" s="7" t="str">
        <f t="shared" si="2"/>
        <v> sq. ft.</v>
      </c>
      <c r="AF3922">
        <f>IFERROR(__xludf.DUMMYFUNCTION("VALUE(REGEXREPLACE(G3922,""[^[:digit:]]"", """"))"),1559.0)</f>
        <v>1559</v>
      </c>
      <c r="AG3922" s="7"/>
      <c r="AH3922" s="7"/>
      <c r="AI3922" s="7"/>
      <c r="AJ3922" s="7"/>
      <c r="AK3922" s="7"/>
      <c r="AL3922" s="7"/>
      <c r="AM3922" s="7"/>
      <c r="AN3922" s="7"/>
      <c r="AO3922" s="7"/>
      <c r="AP3922" s="7"/>
      <c r="AQ3922" s="7"/>
      <c r="AR3922" s="7"/>
      <c r="AS3922" s="7" t="s">
        <v>27</v>
      </c>
    </row>
    <row r="3923">
      <c r="A3923" s="7" t="s">
        <v>428</v>
      </c>
      <c r="B3923" s="7" t="s">
        <v>134</v>
      </c>
      <c r="C3923" s="7">
        <f t="shared" si="535"/>
        <v>3</v>
      </c>
      <c r="D3923" s="7">
        <v>3.0</v>
      </c>
      <c r="E3923" s="7">
        <v>2.0</v>
      </c>
      <c r="F3923" s="7" t="s">
        <v>20</v>
      </c>
      <c r="G3923" s="7" t="s">
        <v>2513</v>
      </c>
      <c r="H3923" s="9" t="s">
        <v>2979</v>
      </c>
      <c r="I3923" t="s">
        <v>4366</v>
      </c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  <c r="AA3923" s="7"/>
      <c r="AB3923" s="7"/>
      <c r="AC3923" s="7"/>
      <c r="AD3923" s="7" t="str">
        <f t="shared" si="1"/>
        <v>Built-up :</v>
      </c>
      <c r="AE3923" s="7" t="str">
        <f t="shared" si="2"/>
        <v> sq. ft.</v>
      </c>
      <c r="AF3923">
        <f>IFERROR(__xludf.DUMMYFUNCTION("VALUE(REGEXREPLACE(G3923,""[^[:digit:]]"", """"))"),1435.0)</f>
        <v>1435</v>
      </c>
      <c r="AG3923" s="7"/>
      <c r="AH3923" s="7"/>
      <c r="AI3923" s="7"/>
      <c r="AJ3923" s="7"/>
      <c r="AK3923" s="7"/>
      <c r="AL3923" s="7"/>
      <c r="AM3923" s="7"/>
      <c r="AN3923" s="7"/>
      <c r="AO3923" s="7"/>
      <c r="AP3923" s="7"/>
      <c r="AQ3923" s="7"/>
      <c r="AR3923" s="7"/>
      <c r="AS3923" s="7" t="s">
        <v>22</v>
      </c>
    </row>
    <row r="3924">
      <c r="A3924" s="7" t="s">
        <v>177</v>
      </c>
      <c r="B3924" s="7" t="s">
        <v>132</v>
      </c>
      <c r="C3924" s="7">
        <f t="shared" ref="C3924:C3926" si="536">3</f>
        <v>3</v>
      </c>
      <c r="D3924" s="7">
        <v>2.0</v>
      </c>
      <c r="E3924" s="7">
        <v>1.0</v>
      </c>
      <c r="F3924" s="7" t="s">
        <v>93</v>
      </c>
      <c r="G3924" s="7" t="s">
        <v>551</v>
      </c>
      <c r="H3924" s="9" t="s">
        <v>2979</v>
      </c>
      <c r="I3924" t="s">
        <v>3221</v>
      </c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  <c r="AA3924" s="7"/>
      <c r="AB3924" s="7"/>
      <c r="AC3924" s="7"/>
      <c r="AD3924" s="7" t="str">
        <f t="shared" si="1"/>
        <v>Built-up :</v>
      </c>
      <c r="AE3924" s="7" t="str">
        <f t="shared" si="2"/>
        <v> sq. ft.</v>
      </c>
      <c r="AF3924">
        <f>IFERROR(__xludf.DUMMYFUNCTION("VALUE(REGEXREPLACE(G3924,""[^[:digit:]]"", """"))"),1590.0)</f>
        <v>1590</v>
      </c>
      <c r="AG3924" s="7"/>
      <c r="AH3924" s="7"/>
      <c r="AI3924" s="7"/>
      <c r="AJ3924" s="7"/>
      <c r="AK3924" s="7"/>
      <c r="AL3924" s="7"/>
      <c r="AM3924" s="7"/>
      <c r="AN3924" s="7"/>
      <c r="AO3924" s="7"/>
      <c r="AP3924" s="7"/>
      <c r="AQ3924" s="7"/>
      <c r="AR3924" s="7"/>
      <c r="AS3924" s="7" t="s">
        <v>22</v>
      </c>
    </row>
    <row r="3925">
      <c r="A3925" s="7" t="s">
        <v>86</v>
      </c>
      <c r="B3925" s="7" t="s">
        <v>1074</v>
      </c>
      <c r="C3925" s="7">
        <f t="shared" si="536"/>
        <v>3</v>
      </c>
      <c r="D3925" s="7">
        <v>2.0</v>
      </c>
      <c r="E3925" s="7">
        <v>2.0</v>
      </c>
      <c r="F3925" s="7" t="s">
        <v>93</v>
      </c>
      <c r="G3925" s="7" t="s">
        <v>303</v>
      </c>
      <c r="H3925" s="9" t="s">
        <v>2979</v>
      </c>
      <c r="I3925" t="s">
        <v>3099</v>
      </c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  <c r="AA3925" s="7"/>
      <c r="AB3925" s="7"/>
      <c r="AC3925" s="7"/>
      <c r="AD3925" s="7" t="str">
        <f t="shared" si="1"/>
        <v>Built-up :</v>
      </c>
      <c r="AE3925" s="7" t="str">
        <f t="shared" si="2"/>
        <v> sq. ft.</v>
      </c>
      <c r="AF3925">
        <f>IFERROR(__xludf.DUMMYFUNCTION("VALUE(REGEXREPLACE(G3925,""[^[:digit:]]"", """"))"),1485.0)</f>
        <v>1485</v>
      </c>
      <c r="AG3925" s="7"/>
      <c r="AH3925" s="7"/>
      <c r="AI3925" s="7"/>
      <c r="AJ3925" s="7"/>
      <c r="AK3925" s="7"/>
      <c r="AL3925" s="7"/>
      <c r="AM3925" s="7"/>
      <c r="AN3925" s="7"/>
      <c r="AO3925" s="7"/>
      <c r="AP3925" s="7"/>
      <c r="AQ3925" s="7"/>
      <c r="AR3925" s="7"/>
      <c r="AS3925" s="7" t="s">
        <v>22</v>
      </c>
    </row>
    <row r="3926">
      <c r="A3926" s="7" t="s">
        <v>177</v>
      </c>
      <c r="B3926" s="7" t="s">
        <v>18</v>
      </c>
      <c r="C3926" s="7">
        <f t="shared" si="536"/>
        <v>3</v>
      </c>
      <c r="D3926" s="7">
        <v>2.0</v>
      </c>
      <c r="E3926" s="7">
        <v>2.0</v>
      </c>
      <c r="F3926" s="7" t="s">
        <v>30</v>
      </c>
      <c r="G3926" s="7" t="s">
        <v>551</v>
      </c>
      <c r="H3926" s="9" t="s">
        <v>2979</v>
      </c>
      <c r="I3926" t="s">
        <v>3221</v>
      </c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  <c r="AA3926" s="7"/>
      <c r="AB3926" s="7"/>
      <c r="AC3926" s="7"/>
      <c r="AD3926" s="7" t="str">
        <f t="shared" si="1"/>
        <v>Built-up :</v>
      </c>
      <c r="AE3926" s="7" t="str">
        <f t="shared" si="2"/>
        <v> sq. ft.</v>
      </c>
      <c r="AF3926">
        <f>IFERROR(__xludf.DUMMYFUNCTION("VALUE(REGEXREPLACE(G3926,""[^[:digit:]]"", """"))"),1590.0)</f>
        <v>1590</v>
      </c>
      <c r="AG3926" s="7"/>
      <c r="AH3926" s="7"/>
      <c r="AI3926" s="7"/>
      <c r="AJ3926" s="7"/>
      <c r="AK3926" s="7"/>
      <c r="AL3926" s="7"/>
      <c r="AM3926" s="7"/>
      <c r="AN3926" s="7"/>
      <c r="AO3926" s="7"/>
      <c r="AP3926" s="7"/>
      <c r="AQ3926" s="7"/>
      <c r="AR3926" s="7"/>
      <c r="AS3926" s="7" t="s">
        <v>22</v>
      </c>
    </row>
    <row r="3927">
      <c r="A3927" s="7" t="s">
        <v>177</v>
      </c>
      <c r="B3927" s="7" t="s">
        <v>530</v>
      </c>
      <c r="C3927" s="7">
        <f>5+1</f>
        <v>6</v>
      </c>
      <c r="D3927" s="7">
        <v>5.0</v>
      </c>
      <c r="E3927" s="7">
        <v>6.0</v>
      </c>
      <c r="F3927" s="7" t="s">
        <v>25</v>
      </c>
      <c r="G3927" s="7" t="s">
        <v>1087</v>
      </c>
      <c r="H3927" s="9" t="s">
        <v>2981</v>
      </c>
      <c r="I3927" t="s">
        <v>3496</v>
      </c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  <c r="AA3927" s="7"/>
      <c r="AB3927" s="7"/>
      <c r="AC3927" s="7"/>
      <c r="AD3927" s="7" t="str">
        <f t="shared" si="1"/>
        <v>Land area </v>
      </c>
      <c r="AE3927" s="7" t="str">
        <f t="shared" si="2"/>
        <v> sq. ft.</v>
      </c>
      <c r="AF3927">
        <f>IFERROR(__xludf.DUMMYFUNCTION("VALUE(REGEXREPLACE(G3927,""[^[:digit:]]"", """"))"),6700.0)</f>
        <v>6700</v>
      </c>
      <c r="AG3927" s="7"/>
      <c r="AH3927" s="7"/>
      <c r="AI3927" s="7"/>
      <c r="AJ3927" s="7"/>
      <c r="AK3927" s="7"/>
      <c r="AL3927" s="7"/>
      <c r="AM3927" s="7"/>
      <c r="AN3927" s="7"/>
      <c r="AO3927" s="7"/>
      <c r="AP3927" s="7"/>
      <c r="AQ3927" s="7"/>
      <c r="AR3927" s="7"/>
      <c r="AS3927" s="7" t="s">
        <v>27</v>
      </c>
    </row>
    <row r="3928">
      <c r="A3928" s="7" t="s">
        <v>177</v>
      </c>
      <c r="B3928" s="7" t="s">
        <v>42</v>
      </c>
      <c r="C3928" s="7">
        <f>4</f>
        <v>4</v>
      </c>
      <c r="D3928" s="7">
        <v>3.0</v>
      </c>
      <c r="E3928" s="7">
        <v>5.0</v>
      </c>
      <c r="F3928" s="7" t="s">
        <v>184</v>
      </c>
      <c r="G3928" s="7" t="s">
        <v>2520</v>
      </c>
      <c r="H3928" s="9" t="s">
        <v>2981</v>
      </c>
      <c r="I3928" t="s">
        <v>4371</v>
      </c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  <c r="AA3928" s="7"/>
      <c r="AB3928" s="7"/>
      <c r="AC3928" s="7"/>
      <c r="AD3928" s="7" t="str">
        <f t="shared" si="1"/>
        <v>Land area </v>
      </c>
      <c r="AE3928" s="7" t="str">
        <f t="shared" si="2"/>
        <v> sq. ft.</v>
      </c>
      <c r="AF3928">
        <f>IFERROR(__xludf.DUMMYFUNCTION("VALUE(REGEXREPLACE(G3928,""[^[:digit:]]"", """"))"),3797.0)</f>
        <v>3797</v>
      </c>
      <c r="AG3928" s="7"/>
      <c r="AH3928" s="7"/>
      <c r="AI3928" s="7"/>
      <c r="AJ3928" s="7"/>
      <c r="AK3928" s="7"/>
      <c r="AL3928" s="7"/>
      <c r="AM3928" s="7"/>
      <c r="AN3928" s="7"/>
      <c r="AO3928" s="7"/>
      <c r="AP3928" s="7"/>
      <c r="AQ3928" s="7"/>
      <c r="AR3928" s="7"/>
      <c r="AS3928" s="7" t="s">
        <v>22</v>
      </c>
    </row>
    <row r="3929">
      <c r="A3929" s="7" t="s">
        <v>177</v>
      </c>
      <c r="B3929" s="7" t="s">
        <v>1351</v>
      </c>
      <c r="C3929" s="7">
        <f>3</f>
        <v>3</v>
      </c>
      <c r="D3929" s="7">
        <v>3.0</v>
      </c>
      <c r="E3929" s="7">
        <v>1.0</v>
      </c>
      <c r="F3929" s="7" t="s">
        <v>83</v>
      </c>
      <c r="G3929" s="7" t="s">
        <v>1585</v>
      </c>
      <c r="H3929" s="9" t="s">
        <v>2979</v>
      </c>
      <c r="I3929" t="s">
        <v>3794</v>
      </c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  <c r="AA3929" s="7"/>
      <c r="AB3929" s="7"/>
      <c r="AC3929" s="7"/>
      <c r="AD3929" s="7" t="str">
        <f t="shared" si="1"/>
        <v>Built-up :</v>
      </c>
      <c r="AE3929" s="7" t="str">
        <f t="shared" si="2"/>
        <v> sq. ft.</v>
      </c>
      <c r="AF3929">
        <f>IFERROR(__xludf.DUMMYFUNCTION("VALUE(REGEXREPLACE(G3929,""[^[:digit:]]"", """"))"),1529.0)</f>
        <v>1529</v>
      </c>
      <c r="AG3929" s="7"/>
      <c r="AH3929" s="7"/>
      <c r="AI3929" s="7"/>
      <c r="AJ3929" s="7"/>
      <c r="AK3929" s="7"/>
      <c r="AL3929" s="7"/>
      <c r="AM3929" s="7"/>
      <c r="AN3929" s="7"/>
      <c r="AO3929" s="7"/>
      <c r="AP3929" s="7"/>
      <c r="AQ3929" s="7"/>
      <c r="AR3929" s="7"/>
      <c r="AS3929" s="7" t="s">
        <v>22</v>
      </c>
    </row>
    <row r="3930">
      <c r="A3930" s="7" t="s">
        <v>72</v>
      </c>
      <c r="B3930" s="7" t="s">
        <v>1836</v>
      </c>
      <c r="C3930" s="7">
        <f>2</f>
        <v>2</v>
      </c>
      <c r="D3930" s="7">
        <v>2.0</v>
      </c>
      <c r="E3930" s="7">
        <v>1.0</v>
      </c>
      <c r="F3930" s="7" t="s">
        <v>20</v>
      </c>
      <c r="G3930" s="7" t="s">
        <v>1891</v>
      </c>
      <c r="H3930" s="9" t="s">
        <v>2979</v>
      </c>
      <c r="I3930" t="s">
        <v>3983</v>
      </c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  <c r="AA3930" s="7"/>
      <c r="AB3930" s="7"/>
      <c r="AC3930" s="7"/>
      <c r="AD3930" s="7" t="str">
        <f t="shared" si="1"/>
        <v>Built-up :</v>
      </c>
      <c r="AE3930" s="7" t="str">
        <f t="shared" si="2"/>
        <v> sq. ft.</v>
      </c>
      <c r="AF3930">
        <f>IFERROR(__xludf.DUMMYFUNCTION("VALUE(REGEXREPLACE(G3930,""[^[:digit:]]"", """"))"),868.0)</f>
        <v>868</v>
      </c>
      <c r="AG3930" s="7"/>
      <c r="AH3930" s="7"/>
      <c r="AI3930" s="7"/>
      <c r="AJ3930" s="7"/>
      <c r="AK3930" s="7"/>
      <c r="AL3930" s="7"/>
      <c r="AM3930" s="7"/>
      <c r="AN3930" s="7"/>
      <c r="AO3930" s="7"/>
      <c r="AP3930" s="7"/>
      <c r="AQ3930" s="7"/>
      <c r="AR3930" s="7"/>
      <c r="AS3930" s="7" t="s">
        <v>22</v>
      </c>
    </row>
    <row r="3931">
      <c r="A3931" s="7" t="s">
        <v>428</v>
      </c>
      <c r="B3931" s="7" t="s">
        <v>1328</v>
      </c>
      <c r="E3931" s="7">
        <v>1.0</v>
      </c>
      <c r="F3931" s="7" t="s">
        <v>20</v>
      </c>
      <c r="G3931" s="7" t="s">
        <v>1391</v>
      </c>
      <c r="H3931" s="9" t="s">
        <v>2979</v>
      </c>
      <c r="I3931" t="s">
        <v>3685</v>
      </c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  <c r="AA3931" s="7"/>
      <c r="AB3931" s="7"/>
      <c r="AC3931" s="7"/>
      <c r="AD3931" s="7" t="str">
        <f t="shared" si="1"/>
        <v>Built-up :</v>
      </c>
      <c r="AE3931" s="7" t="str">
        <f t="shared" si="2"/>
        <v> sq. ft.</v>
      </c>
      <c r="AF3931">
        <f>IFERROR(__xludf.DUMMYFUNCTION("VALUE(REGEXREPLACE(G3931,""[^[:digit:]]"", """"))"),1080.0)</f>
        <v>1080</v>
      </c>
      <c r="AG3931" s="7"/>
      <c r="AH3931" s="7"/>
      <c r="AI3931" s="7"/>
      <c r="AJ3931" s="7"/>
      <c r="AK3931" s="7"/>
      <c r="AL3931" s="7"/>
      <c r="AM3931" s="7"/>
      <c r="AN3931" s="7"/>
      <c r="AO3931" s="7"/>
      <c r="AP3931" s="7"/>
      <c r="AQ3931" s="7"/>
      <c r="AR3931" s="7"/>
      <c r="AS3931" s="7" t="s">
        <v>22</v>
      </c>
    </row>
    <row r="3932">
      <c r="A3932" s="7" t="s">
        <v>1014</v>
      </c>
      <c r="B3932" s="7" t="s">
        <v>671</v>
      </c>
      <c r="C3932" s="7">
        <f>6+1</f>
        <v>7</v>
      </c>
      <c r="D3932" s="7">
        <v>7.0</v>
      </c>
      <c r="E3932" s="9">
        <v>2.0</v>
      </c>
      <c r="F3932" s="7" t="s">
        <v>43</v>
      </c>
      <c r="G3932" s="7" t="s">
        <v>2521</v>
      </c>
      <c r="H3932" s="9" t="s">
        <v>2981</v>
      </c>
      <c r="I3932" t="s">
        <v>4372</v>
      </c>
      <c r="J3932" s="7"/>
      <c r="K3932" s="7"/>
      <c r="L3932" s="7"/>
      <c r="M3932" s="7"/>
      <c r="N3932" s="7"/>
      <c r="O3932" s="7"/>
      <c r="P3932" s="7"/>
      <c r="Q3932" s="7"/>
      <c r="R3932" s="7"/>
      <c r="S3932" s="7" t="s">
        <v>3400</v>
      </c>
      <c r="T3932" s="7"/>
      <c r="U3932" s="7"/>
      <c r="V3932" s="7"/>
      <c r="W3932" s="7"/>
      <c r="X3932" s="7"/>
      <c r="Y3932" s="7"/>
      <c r="Z3932" s="7"/>
      <c r="AA3932" s="7"/>
      <c r="AB3932" s="7"/>
      <c r="AC3932" s="7"/>
      <c r="AD3932" s="7" t="str">
        <f t="shared" si="1"/>
        <v>Land area </v>
      </c>
      <c r="AE3932" s="7" t="str">
        <f t="shared" si="2"/>
        <v> sq. ft.</v>
      </c>
      <c r="AF3932">
        <f>IFERROR(__xludf.DUMMYFUNCTION("VALUE(REGEXREPLACE(G3932,""[^[:digit:]]"", """"))"),3893.0)</f>
        <v>3893</v>
      </c>
      <c r="AG3932" s="7"/>
      <c r="AH3932" s="7"/>
      <c r="AI3932" s="7"/>
      <c r="AJ3932" s="7"/>
      <c r="AK3932" s="7"/>
      <c r="AL3932" s="7"/>
      <c r="AM3932" s="7"/>
      <c r="AN3932" s="7"/>
      <c r="AO3932" s="7"/>
      <c r="AP3932" s="7"/>
      <c r="AQ3932" s="7"/>
      <c r="AR3932" s="7"/>
      <c r="AS3932" s="7" t="s">
        <v>22</v>
      </c>
    </row>
    <row r="3933">
      <c r="A3933" s="7" t="s">
        <v>177</v>
      </c>
      <c r="B3933" s="7" t="s">
        <v>2446</v>
      </c>
      <c r="C3933" s="7">
        <f>3</f>
        <v>3</v>
      </c>
      <c r="D3933" s="7">
        <v>2.0</v>
      </c>
      <c r="E3933" s="7">
        <v>2.0</v>
      </c>
      <c r="F3933" s="7" t="s">
        <v>93</v>
      </c>
      <c r="G3933" s="7" t="s">
        <v>551</v>
      </c>
      <c r="H3933" s="9" t="s">
        <v>2979</v>
      </c>
      <c r="I3933" t="s">
        <v>3221</v>
      </c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  <c r="AA3933" s="7"/>
      <c r="AB3933" s="7"/>
      <c r="AC3933" s="7"/>
      <c r="AD3933" s="7" t="str">
        <f t="shared" si="1"/>
        <v>Built-up :</v>
      </c>
      <c r="AE3933" s="7" t="str">
        <f t="shared" si="2"/>
        <v> sq. ft.</v>
      </c>
      <c r="AF3933">
        <f>IFERROR(__xludf.DUMMYFUNCTION("VALUE(REGEXREPLACE(G3933,""[^[:digit:]]"", """"))"),1590.0)</f>
        <v>1590</v>
      </c>
      <c r="AG3933" s="7"/>
      <c r="AH3933" s="7"/>
      <c r="AI3933" s="7"/>
      <c r="AJ3933" s="7"/>
      <c r="AK3933" s="7"/>
      <c r="AL3933" s="7"/>
      <c r="AM3933" s="7"/>
      <c r="AN3933" s="7"/>
      <c r="AO3933" s="7"/>
      <c r="AP3933" s="7"/>
      <c r="AQ3933" s="7"/>
      <c r="AR3933" s="7"/>
      <c r="AS3933" s="7" t="s">
        <v>103</v>
      </c>
    </row>
    <row r="3934">
      <c r="A3934" s="7" t="s">
        <v>17</v>
      </c>
      <c r="B3934" s="7" t="s">
        <v>526</v>
      </c>
      <c r="C3934" s="7">
        <f t="shared" ref="C3934:C3935" si="537">2</f>
        <v>2</v>
      </c>
      <c r="D3934" s="7">
        <v>2.0</v>
      </c>
      <c r="E3934" s="7">
        <v>1.0</v>
      </c>
      <c r="F3934" s="7" t="s">
        <v>30</v>
      </c>
      <c r="G3934" s="7" t="s">
        <v>1153</v>
      </c>
      <c r="H3934" s="9" t="s">
        <v>2979</v>
      </c>
      <c r="I3934" t="s">
        <v>3542</v>
      </c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  <c r="AA3934" s="7"/>
      <c r="AB3934" s="7"/>
      <c r="AC3934" s="7"/>
      <c r="AD3934" s="7" t="str">
        <f t="shared" si="1"/>
        <v>Built-up :</v>
      </c>
      <c r="AE3934" s="7" t="str">
        <f t="shared" si="2"/>
        <v> sq. ft.</v>
      </c>
      <c r="AF3934">
        <f>IFERROR(__xludf.DUMMYFUNCTION("VALUE(REGEXREPLACE(G3934,""[^[:digit:]]"", """"))"),1356.0)</f>
        <v>1356</v>
      </c>
      <c r="AG3934" s="7"/>
      <c r="AH3934" s="7"/>
      <c r="AI3934" s="7"/>
      <c r="AJ3934" s="7"/>
      <c r="AK3934" s="7"/>
      <c r="AL3934" s="7"/>
      <c r="AM3934" s="7"/>
      <c r="AN3934" s="7"/>
      <c r="AO3934" s="7"/>
      <c r="AP3934" s="7"/>
      <c r="AQ3934" s="7"/>
      <c r="AR3934" s="7"/>
      <c r="AS3934" s="7" t="s">
        <v>22</v>
      </c>
    </row>
    <row r="3935">
      <c r="A3935" s="7" t="s">
        <v>17</v>
      </c>
      <c r="B3935" s="7" t="s">
        <v>1152</v>
      </c>
      <c r="C3935" s="7">
        <f t="shared" si="537"/>
        <v>2</v>
      </c>
      <c r="D3935" s="7">
        <v>2.0</v>
      </c>
      <c r="E3935" s="7">
        <v>1.0</v>
      </c>
      <c r="F3935" s="7" t="s">
        <v>30</v>
      </c>
      <c r="G3935" s="7" t="s">
        <v>335</v>
      </c>
      <c r="H3935" s="9" t="s">
        <v>2979</v>
      </c>
      <c r="I3935" t="s">
        <v>3113</v>
      </c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  <c r="AA3935" s="7"/>
      <c r="AB3935" s="7"/>
      <c r="AC3935" s="7"/>
      <c r="AD3935" s="7" t="str">
        <f t="shared" si="1"/>
        <v>Built-up :</v>
      </c>
      <c r="AE3935" s="7" t="str">
        <f t="shared" si="2"/>
        <v> sq. ft.</v>
      </c>
      <c r="AF3935">
        <f>IFERROR(__xludf.DUMMYFUNCTION("VALUE(REGEXREPLACE(G3935,""[^[:digit:]]"", """"))"),1368.0)</f>
        <v>1368</v>
      </c>
      <c r="AG3935" s="7"/>
      <c r="AH3935" s="7"/>
      <c r="AI3935" s="7"/>
      <c r="AJ3935" s="7"/>
      <c r="AK3935" s="7"/>
      <c r="AL3935" s="7"/>
      <c r="AM3935" s="7"/>
      <c r="AN3935" s="7"/>
      <c r="AO3935" s="7"/>
      <c r="AP3935" s="7"/>
      <c r="AQ3935" s="7"/>
      <c r="AR3935" s="7"/>
      <c r="AS3935" s="7" t="s">
        <v>22</v>
      </c>
    </row>
    <row r="3936">
      <c r="A3936" s="7" t="s">
        <v>33</v>
      </c>
      <c r="B3936" s="7" t="s">
        <v>314</v>
      </c>
      <c r="C3936" s="7">
        <f>3</f>
        <v>3</v>
      </c>
      <c r="D3936" s="7">
        <v>2.0</v>
      </c>
      <c r="E3936" s="7">
        <v>2.0</v>
      </c>
      <c r="F3936" s="7" t="s">
        <v>93</v>
      </c>
      <c r="G3936" s="7" t="s">
        <v>2522</v>
      </c>
      <c r="H3936" s="9" t="s">
        <v>2979</v>
      </c>
      <c r="I3936" t="s">
        <v>4373</v>
      </c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  <c r="AD3936" s="7" t="str">
        <f t="shared" si="1"/>
        <v>Built-up :</v>
      </c>
      <c r="AE3936" s="7" t="str">
        <f t="shared" si="2"/>
        <v> sq. ft.</v>
      </c>
      <c r="AF3936">
        <f>IFERROR(__xludf.DUMMYFUNCTION("VALUE(REGEXREPLACE(G3936,""[^[:digit:]]"", """"))"),1234.0)</f>
        <v>1234</v>
      </c>
      <c r="AG3936" s="7"/>
      <c r="AH3936" s="7"/>
      <c r="AI3936" s="7"/>
      <c r="AJ3936" s="7"/>
      <c r="AK3936" s="7"/>
      <c r="AL3936" s="7"/>
      <c r="AM3936" s="7"/>
      <c r="AN3936" s="7"/>
      <c r="AO3936" s="7"/>
      <c r="AP3936" s="7"/>
      <c r="AQ3936" s="7"/>
      <c r="AR3936" s="7"/>
      <c r="AS3936" s="7" t="s">
        <v>27</v>
      </c>
    </row>
    <row r="3937">
      <c r="A3937" s="7" t="s">
        <v>17</v>
      </c>
      <c r="B3937" s="7" t="s">
        <v>311</v>
      </c>
      <c r="C3937" s="7">
        <f>1</f>
        <v>1</v>
      </c>
      <c r="D3937" s="7">
        <v>1.0</v>
      </c>
      <c r="E3937" s="7">
        <v>1.0</v>
      </c>
      <c r="F3937" s="7" t="s">
        <v>20</v>
      </c>
      <c r="G3937" s="7" t="s">
        <v>836</v>
      </c>
      <c r="H3937" s="9" t="s">
        <v>2979</v>
      </c>
      <c r="I3937" t="s">
        <v>3363</v>
      </c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  <c r="AA3937" s="7"/>
      <c r="AB3937" s="7"/>
      <c r="AC3937" s="7"/>
      <c r="AD3937" s="7" t="str">
        <f t="shared" si="1"/>
        <v>Built-up :</v>
      </c>
      <c r="AE3937" s="7" t="str">
        <f t="shared" si="2"/>
        <v> sq. ft.</v>
      </c>
      <c r="AF3937">
        <f>IFERROR(__xludf.DUMMYFUNCTION("VALUE(REGEXREPLACE(G3937,""[^[:digit:]]"", """"))"),636.0)</f>
        <v>636</v>
      </c>
      <c r="AG3937" s="7"/>
      <c r="AH3937" s="7"/>
      <c r="AI3937" s="7"/>
      <c r="AJ3937" s="7"/>
      <c r="AK3937" s="7"/>
      <c r="AL3937" s="7"/>
      <c r="AM3937" s="7"/>
      <c r="AN3937" s="7"/>
      <c r="AO3937" s="7"/>
      <c r="AP3937" s="7"/>
      <c r="AQ3937" s="7"/>
      <c r="AR3937" s="7"/>
      <c r="AS3937" s="7" t="s">
        <v>22</v>
      </c>
    </row>
    <row r="3938">
      <c r="A3938" s="7" t="s">
        <v>32</v>
      </c>
      <c r="B3938" s="7" t="s">
        <v>2523</v>
      </c>
      <c r="C3938" s="7">
        <f>3</f>
        <v>3</v>
      </c>
      <c r="D3938" s="7">
        <v>2.0</v>
      </c>
      <c r="E3938" s="9">
        <v>2.0</v>
      </c>
      <c r="F3938" s="7" t="s">
        <v>2473</v>
      </c>
      <c r="G3938" s="7" t="s">
        <v>242</v>
      </c>
      <c r="H3938" s="9" t="s">
        <v>2979</v>
      </c>
      <c r="I3938" t="s">
        <v>3072</v>
      </c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  <c r="AA3938" s="7"/>
      <c r="AB3938" s="7"/>
      <c r="AC3938" s="7"/>
      <c r="AD3938" s="7" t="str">
        <f t="shared" si="1"/>
        <v>Built-up :</v>
      </c>
      <c r="AE3938" s="7" t="str">
        <f t="shared" si="2"/>
        <v> sq. ft.</v>
      </c>
      <c r="AF3938">
        <f>IFERROR(__xludf.DUMMYFUNCTION("VALUE(REGEXREPLACE(G3938,""[^[:digit:]]"", """"))"),650.0)</f>
        <v>650</v>
      </c>
      <c r="AG3938" s="7"/>
      <c r="AH3938" s="7"/>
      <c r="AI3938" s="7"/>
      <c r="AJ3938" s="7"/>
      <c r="AK3938" s="7"/>
      <c r="AL3938" s="7"/>
      <c r="AM3938" s="7"/>
      <c r="AN3938" s="7"/>
      <c r="AO3938" s="7"/>
      <c r="AP3938" s="7"/>
      <c r="AQ3938" s="7"/>
      <c r="AR3938" s="7"/>
      <c r="AS3938" s="7" t="s">
        <v>103</v>
      </c>
    </row>
    <row r="3939">
      <c r="A3939" s="7" t="s">
        <v>77</v>
      </c>
      <c r="B3939" s="7" t="s">
        <v>386</v>
      </c>
      <c r="C3939" s="7">
        <f>4+1</f>
        <v>5</v>
      </c>
      <c r="D3939" s="7">
        <v>5.0</v>
      </c>
      <c r="E3939" s="7">
        <v>4.0</v>
      </c>
      <c r="F3939" s="7" t="s">
        <v>83</v>
      </c>
      <c r="G3939" s="7" t="s">
        <v>2524</v>
      </c>
      <c r="H3939" s="9" t="s">
        <v>2979</v>
      </c>
      <c r="I3939" t="s">
        <v>4374</v>
      </c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  <c r="AA3939" s="7"/>
      <c r="AB3939" s="7"/>
      <c r="AC3939" s="7"/>
      <c r="AD3939" s="7" t="str">
        <f t="shared" si="1"/>
        <v>Built-up :</v>
      </c>
      <c r="AE3939" s="7" t="str">
        <f t="shared" si="2"/>
        <v> sq. ft.</v>
      </c>
      <c r="AF3939">
        <f>IFERROR(__xludf.DUMMYFUNCTION("VALUE(REGEXREPLACE(G3939,""[^[:digit:]]"", """"))"),2474.0)</f>
        <v>2474</v>
      </c>
      <c r="AG3939" s="7"/>
      <c r="AH3939" s="7"/>
      <c r="AI3939" s="7"/>
      <c r="AJ3939" s="7"/>
      <c r="AK3939" s="7"/>
      <c r="AL3939" s="7"/>
      <c r="AM3939" s="7"/>
      <c r="AN3939" s="7"/>
      <c r="AO3939" s="7"/>
      <c r="AP3939" s="7"/>
      <c r="AQ3939" s="7"/>
      <c r="AR3939" s="7"/>
      <c r="AS3939" s="7" t="s">
        <v>22</v>
      </c>
    </row>
    <row r="3940">
      <c r="A3940" s="7" t="s">
        <v>104</v>
      </c>
      <c r="B3940" s="7" t="s">
        <v>239</v>
      </c>
      <c r="C3940" s="7">
        <f>6</f>
        <v>6</v>
      </c>
      <c r="D3940" s="7">
        <v>4.0</v>
      </c>
      <c r="E3940" s="9">
        <v>2.0</v>
      </c>
      <c r="F3940" s="7" t="s">
        <v>562</v>
      </c>
      <c r="H3940" s="9" t="s">
        <v>2984</v>
      </c>
      <c r="I3940" t="s">
        <v>2985</v>
      </c>
      <c r="AD3940" s="7" t="str">
        <f t="shared" si="1"/>
        <v/>
      </c>
      <c r="AE3940" s="7" t="str">
        <f t="shared" si="2"/>
        <v/>
      </c>
      <c r="AF3940">
        <f>IFERROR(__xludf.DUMMYFUNCTION("VALUE(REGEXREPLACE(G3940,""[^[:digit:]]"", """"))"),0.0)</f>
        <v>0</v>
      </c>
    </row>
    <row r="3941">
      <c r="A3941" s="7" t="s">
        <v>104</v>
      </c>
      <c r="B3941" s="7" t="s">
        <v>761</v>
      </c>
      <c r="C3941" s="7">
        <f>3</f>
        <v>3</v>
      </c>
      <c r="D3941" s="7">
        <v>2.0</v>
      </c>
      <c r="E3941" s="7">
        <v>1.0</v>
      </c>
      <c r="F3941" s="7" t="s">
        <v>20</v>
      </c>
      <c r="G3941" s="7" t="s">
        <v>190</v>
      </c>
      <c r="H3941" s="9" t="s">
        <v>2979</v>
      </c>
      <c r="I3941" t="s">
        <v>3044</v>
      </c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  <c r="AA3941" s="7"/>
      <c r="AB3941" s="7"/>
      <c r="AC3941" s="7"/>
      <c r="AD3941" s="7" t="str">
        <f t="shared" si="1"/>
        <v>Built-up :</v>
      </c>
      <c r="AE3941" s="7" t="str">
        <f t="shared" si="2"/>
        <v> sq. ft.</v>
      </c>
      <c r="AF3941">
        <f>IFERROR(__xludf.DUMMYFUNCTION("VALUE(REGEXREPLACE(G3941,""[^[:digit:]]"", """"))"),1159.0)</f>
        <v>1159</v>
      </c>
      <c r="AG3941" s="7"/>
      <c r="AH3941" s="7"/>
      <c r="AI3941" s="7"/>
      <c r="AJ3941" s="7"/>
      <c r="AK3941" s="7"/>
      <c r="AL3941" s="7"/>
      <c r="AM3941" s="7"/>
      <c r="AN3941" s="7"/>
      <c r="AO3941" s="7"/>
      <c r="AP3941" s="7"/>
      <c r="AQ3941" s="7"/>
      <c r="AR3941" s="7"/>
    </row>
    <row r="3942">
      <c r="A3942" s="7" t="s">
        <v>104</v>
      </c>
      <c r="B3942" s="7" t="s">
        <v>372</v>
      </c>
      <c r="C3942" s="7">
        <f>4</f>
        <v>4</v>
      </c>
      <c r="D3942" s="7">
        <v>2.0</v>
      </c>
      <c r="E3942" s="7">
        <v>2.0</v>
      </c>
      <c r="F3942" s="7" t="s">
        <v>83</v>
      </c>
      <c r="G3942" s="7" t="s">
        <v>2525</v>
      </c>
      <c r="H3942" s="9" t="s">
        <v>2979</v>
      </c>
      <c r="I3942" t="s">
        <v>4375</v>
      </c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  <c r="AA3942" s="7"/>
      <c r="AB3942" s="7"/>
      <c r="AC3942" s="7"/>
      <c r="AD3942" s="7" t="str">
        <f t="shared" si="1"/>
        <v>Built-up :</v>
      </c>
      <c r="AE3942" s="7" t="str">
        <f t="shared" si="2"/>
        <v> sq. ft.</v>
      </c>
      <c r="AF3942">
        <f>IFERROR(__xludf.DUMMYFUNCTION("VALUE(REGEXREPLACE(G3942,""[^[:digit:]]"", """"))"),1396.0)</f>
        <v>1396</v>
      </c>
      <c r="AG3942" s="7"/>
      <c r="AH3942" s="7"/>
      <c r="AI3942" s="7"/>
      <c r="AJ3942" s="7"/>
      <c r="AK3942" s="7"/>
      <c r="AL3942" s="7"/>
      <c r="AM3942" s="7"/>
      <c r="AN3942" s="7"/>
      <c r="AO3942" s="7"/>
      <c r="AP3942" s="7"/>
      <c r="AQ3942" s="7"/>
      <c r="AR3942" s="7"/>
      <c r="AS3942" s="7" t="s">
        <v>22</v>
      </c>
    </row>
    <row r="3943">
      <c r="A3943" s="7" t="s">
        <v>580</v>
      </c>
      <c r="B3943" s="7" t="s">
        <v>1133</v>
      </c>
      <c r="C3943" s="7">
        <f>3+1</f>
        <v>4</v>
      </c>
      <c r="D3943" s="7">
        <v>2.0</v>
      </c>
      <c r="E3943" s="7">
        <v>1.0</v>
      </c>
      <c r="F3943" s="7" t="s">
        <v>20</v>
      </c>
      <c r="H3943" s="9" t="s">
        <v>2984</v>
      </c>
      <c r="I3943" t="s">
        <v>2985</v>
      </c>
      <c r="AD3943" s="7" t="str">
        <f t="shared" si="1"/>
        <v/>
      </c>
      <c r="AE3943" s="7" t="str">
        <f t="shared" si="2"/>
        <v/>
      </c>
      <c r="AF3943">
        <f>IFERROR(__xludf.DUMMYFUNCTION("VALUE(REGEXREPLACE(G3943,""[^[:digit:]]"", """"))"),0.0)</f>
        <v>0</v>
      </c>
    </row>
    <row r="3944">
      <c r="A3944" s="7" t="s">
        <v>432</v>
      </c>
      <c r="B3944" s="7" t="s">
        <v>890</v>
      </c>
      <c r="C3944" s="7" t="s">
        <v>325</v>
      </c>
      <c r="D3944" s="7">
        <v>1.0</v>
      </c>
      <c r="E3944" s="9">
        <v>2.0</v>
      </c>
      <c r="F3944" s="7" t="s">
        <v>20</v>
      </c>
      <c r="G3944" s="7" t="s">
        <v>2526</v>
      </c>
      <c r="H3944" s="9" t="s">
        <v>2979</v>
      </c>
      <c r="I3944" t="s">
        <v>4376</v>
      </c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  <c r="AA3944" s="7"/>
      <c r="AB3944" s="7"/>
      <c r="AC3944" s="7"/>
      <c r="AD3944" s="7" t="str">
        <f t="shared" si="1"/>
        <v>Built-up :</v>
      </c>
      <c r="AE3944" s="7" t="str">
        <f t="shared" si="2"/>
        <v> sq. ft.</v>
      </c>
      <c r="AF3944">
        <f>IFERROR(__xludf.DUMMYFUNCTION("VALUE(REGEXREPLACE(G3944,""[^[:digit:]]"", """"))"),595.0)</f>
        <v>595</v>
      </c>
      <c r="AG3944" s="7"/>
      <c r="AH3944" s="7"/>
      <c r="AI3944" s="7"/>
      <c r="AJ3944" s="7"/>
      <c r="AK3944" s="7"/>
      <c r="AL3944" s="7"/>
      <c r="AM3944" s="7"/>
      <c r="AN3944" s="7"/>
      <c r="AO3944" s="7"/>
      <c r="AP3944" s="7"/>
      <c r="AQ3944" s="7"/>
      <c r="AR3944" s="7"/>
    </row>
    <row r="3945">
      <c r="A3945" s="7" t="s">
        <v>358</v>
      </c>
      <c r="B3945" s="7" t="s">
        <v>639</v>
      </c>
      <c r="C3945" s="7">
        <f>3</f>
        <v>3</v>
      </c>
      <c r="D3945" s="7">
        <v>2.0</v>
      </c>
      <c r="E3945" s="7">
        <v>1.0</v>
      </c>
      <c r="F3945" s="7" t="s">
        <v>354</v>
      </c>
      <c r="G3945" s="7" t="s">
        <v>607</v>
      </c>
      <c r="H3945" s="9" t="s">
        <v>2979</v>
      </c>
      <c r="I3945" t="s">
        <v>3245</v>
      </c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  <c r="AA3945" s="7"/>
      <c r="AB3945" s="7"/>
      <c r="AC3945" s="7"/>
      <c r="AD3945" s="7" t="str">
        <f t="shared" si="1"/>
        <v>Built-up :</v>
      </c>
      <c r="AE3945" s="7" t="str">
        <f t="shared" si="2"/>
        <v> sq. ft.</v>
      </c>
      <c r="AF3945">
        <f>IFERROR(__xludf.DUMMYFUNCTION("VALUE(REGEXREPLACE(G3945,""[^[:digit:]]"", """"))"),918.0)</f>
        <v>918</v>
      </c>
      <c r="AG3945" s="7"/>
      <c r="AH3945" s="7"/>
      <c r="AI3945" s="7"/>
      <c r="AJ3945" s="7"/>
      <c r="AK3945" s="7"/>
      <c r="AL3945" s="7"/>
      <c r="AM3945" s="7"/>
      <c r="AN3945" s="7"/>
      <c r="AO3945" s="7"/>
      <c r="AP3945" s="7"/>
      <c r="AQ3945" s="7"/>
      <c r="AR3945" s="7"/>
    </row>
    <row r="3946">
      <c r="A3946" s="7" t="s">
        <v>28</v>
      </c>
      <c r="B3946" s="7" t="s">
        <v>407</v>
      </c>
      <c r="C3946" s="7">
        <f>1</f>
        <v>1</v>
      </c>
      <c r="D3946" s="7">
        <v>1.0</v>
      </c>
      <c r="E3946" s="7">
        <v>1.0</v>
      </c>
      <c r="F3946" s="7" t="s">
        <v>93</v>
      </c>
      <c r="G3946" s="7" t="s">
        <v>2527</v>
      </c>
      <c r="H3946" s="9" t="s">
        <v>2979</v>
      </c>
      <c r="I3946" t="s">
        <v>4377</v>
      </c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  <c r="AA3946" s="7"/>
      <c r="AB3946" s="7"/>
      <c r="AC3946" s="7"/>
      <c r="AD3946" s="7" t="str">
        <f t="shared" si="1"/>
        <v>Built-up :</v>
      </c>
      <c r="AE3946" s="7" t="str">
        <f t="shared" si="2"/>
        <v> sq. ft.</v>
      </c>
      <c r="AF3946">
        <f>IFERROR(__xludf.DUMMYFUNCTION("VALUE(REGEXREPLACE(G3946,""[^[:digit:]]"", """"))"),683.0)</f>
        <v>683</v>
      </c>
      <c r="AG3946" s="7"/>
      <c r="AH3946" s="7"/>
      <c r="AI3946" s="7"/>
      <c r="AJ3946" s="7"/>
      <c r="AK3946" s="7"/>
      <c r="AL3946" s="7"/>
      <c r="AM3946" s="7"/>
      <c r="AN3946" s="7"/>
      <c r="AO3946" s="7"/>
      <c r="AP3946" s="7"/>
      <c r="AQ3946" s="7"/>
      <c r="AR3946" s="7"/>
      <c r="AS3946" s="7" t="s">
        <v>22</v>
      </c>
    </row>
    <row r="3947">
      <c r="A3947" s="7" t="s">
        <v>17</v>
      </c>
      <c r="B3947" s="7" t="s">
        <v>2528</v>
      </c>
      <c r="C3947" s="7">
        <f>4+1</f>
        <v>5</v>
      </c>
      <c r="D3947" s="7">
        <v>4.0</v>
      </c>
      <c r="E3947" s="9">
        <v>2.0</v>
      </c>
      <c r="F3947" s="7" t="s">
        <v>30</v>
      </c>
      <c r="G3947" s="7" t="s">
        <v>840</v>
      </c>
      <c r="H3947" s="9" t="s">
        <v>2979</v>
      </c>
      <c r="I3947" t="s">
        <v>3365</v>
      </c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  <c r="AA3947" s="7"/>
      <c r="AB3947" s="7"/>
      <c r="AC3947" s="7"/>
      <c r="AD3947" s="7" t="str">
        <f t="shared" si="1"/>
        <v>Built-up :</v>
      </c>
      <c r="AE3947" s="7" t="str">
        <f t="shared" si="2"/>
        <v> sq. ft.</v>
      </c>
      <c r="AF3947">
        <f>IFERROR(__xludf.DUMMYFUNCTION("VALUE(REGEXREPLACE(G3947,""[^[:digit:]]"", """"))"),2916.0)</f>
        <v>2916</v>
      </c>
      <c r="AG3947" s="7"/>
      <c r="AH3947" s="7"/>
      <c r="AI3947" s="7"/>
      <c r="AJ3947" s="7"/>
      <c r="AK3947" s="7"/>
      <c r="AL3947" s="7"/>
      <c r="AM3947" s="7"/>
      <c r="AN3947" s="7"/>
      <c r="AO3947" s="7"/>
      <c r="AP3947" s="7"/>
      <c r="AQ3947" s="7"/>
      <c r="AR3947" s="7"/>
      <c r="AS3947" s="7" t="s">
        <v>27</v>
      </c>
    </row>
    <row r="3948">
      <c r="A3948" s="7" t="s">
        <v>32</v>
      </c>
      <c r="B3948" s="7" t="s">
        <v>2514</v>
      </c>
      <c r="C3948" s="7">
        <f>3</f>
        <v>3</v>
      </c>
      <c r="D3948" s="7">
        <v>2.0</v>
      </c>
      <c r="E3948" s="7">
        <v>1.0</v>
      </c>
      <c r="F3948" s="7" t="s">
        <v>354</v>
      </c>
      <c r="G3948" s="7" t="s">
        <v>1270</v>
      </c>
      <c r="H3948" s="9" t="s">
        <v>2979</v>
      </c>
      <c r="I3948" t="s">
        <v>3613</v>
      </c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  <c r="AA3948" s="7"/>
      <c r="AB3948" s="7"/>
      <c r="AC3948" s="7"/>
      <c r="AD3948" s="7" t="str">
        <f t="shared" si="1"/>
        <v>Built-up :</v>
      </c>
      <c r="AE3948" s="7" t="str">
        <f t="shared" si="2"/>
        <v> sq. ft.</v>
      </c>
      <c r="AF3948">
        <f>IFERROR(__xludf.DUMMYFUNCTION("VALUE(REGEXREPLACE(G3948,""[^[:digit:]]"", """"))"),780.0)</f>
        <v>780</v>
      </c>
      <c r="AG3948" s="7"/>
      <c r="AH3948" s="7"/>
      <c r="AI3948" s="7"/>
      <c r="AJ3948" s="7"/>
      <c r="AK3948" s="7"/>
      <c r="AL3948" s="7"/>
      <c r="AM3948" s="7"/>
      <c r="AN3948" s="7"/>
      <c r="AO3948" s="7"/>
      <c r="AP3948" s="7"/>
      <c r="AQ3948" s="7"/>
      <c r="AR3948" s="7"/>
      <c r="AS3948" s="7" t="s">
        <v>27</v>
      </c>
    </row>
    <row r="3949">
      <c r="A3949" s="7" t="s">
        <v>143</v>
      </c>
      <c r="B3949" s="7" t="s">
        <v>953</v>
      </c>
      <c r="C3949" s="7">
        <f>1</f>
        <v>1</v>
      </c>
      <c r="D3949" s="7">
        <v>1.0</v>
      </c>
      <c r="E3949" s="7">
        <v>1.0</v>
      </c>
      <c r="F3949" s="7" t="s">
        <v>20</v>
      </c>
      <c r="G3949" s="7" t="s">
        <v>1270</v>
      </c>
      <c r="H3949" s="9" t="s">
        <v>2979</v>
      </c>
      <c r="I3949" t="s">
        <v>3613</v>
      </c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  <c r="AA3949" s="7"/>
      <c r="AB3949" s="7"/>
      <c r="AC3949" s="7"/>
      <c r="AD3949" s="7" t="str">
        <f t="shared" si="1"/>
        <v>Built-up :</v>
      </c>
      <c r="AE3949" s="7" t="str">
        <f t="shared" si="2"/>
        <v> sq. ft.</v>
      </c>
      <c r="AF3949">
        <f>IFERROR(__xludf.DUMMYFUNCTION("VALUE(REGEXREPLACE(G3949,""[^[:digit:]]"", """"))"),780.0)</f>
        <v>780</v>
      </c>
      <c r="AG3949" s="7"/>
      <c r="AH3949" s="7"/>
      <c r="AI3949" s="7"/>
      <c r="AJ3949" s="7"/>
      <c r="AK3949" s="7"/>
      <c r="AL3949" s="7"/>
      <c r="AM3949" s="7"/>
      <c r="AN3949" s="7"/>
      <c r="AO3949" s="7"/>
      <c r="AP3949" s="7"/>
      <c r="AQ3949" s="7"/>
      <c r="AR3949" s="7"/>
    </row>
    <row r="3950">
      <c r="A3950" s="7" t="s">
        <v>143</v>
      </c>
      <c r="B3950" s="7" t="s">
        <v>329</v>
      </c>
      <c r="C3950" s="7">
        <f>3</f>
        <v>3</v>
      </c>
      <c r="D3950" s="7">
        <v>2.0</v>
      </c>
      <c r="E3950" s="7">
        <v>1.0</v>
      </c>
      <c r="F3950" s="7" t="s">
        <v>82</v>
      </c>
      <c r="G3950" s="7" t="s">
        <v>1505</v>
      </c>
      <c r="H3950" s="9" t="s">
        <v>2979</v>
      </c>
      <c r="I3950" t="s">
        <v>3750</v>
      </c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  <c r="AA3950" s="7"/>
      <c r="AB3950" s="7"/>
      <c r="AC3950" s="7"/>
      <c r="AD3950" s="7" t="str">
        <f t="shared" si="1"/>
        <v>Built-up :</v>
      </c>
      <c r="AE3950" s="7" t="str">
        <f t="shared" si="2"/>
        <v> sq. ft.</v>
      </c>
      <c r="AF3950">
        <f>IFERROR(__xludf.DUMMYFUNCTION("VALUE(REGEXREPLACE(G3950,""[^[:digit:]]"", """"))"),1281.0)</f>
        <v>1281</v>
      </c>
      <c r="AG3950" s="7"/>
      <c r="AH3950" s="7"/>
      <c r="AI3950" s="7"/>
      <c r="AJ3950" s="7"/>
      <c r="AK3950" s="7"/>
      <c r="AL3950" s="7"/>
      <c r="AM3950" s="7"/>
      <c r="AN3950" s="7"/>
      <c r="AO3950" s="7"/>
      <c r="AP3950" s="7"/>
      <c r="AQ3950" s="7"/>
      <c r="AR3950" s="7"/>
      <c r="AS3950" s="7" t="s">
        <v>27</v>
      </c>
    </row>
    <row r="3951">
      <c r="A3951" s="7" t="s">
        <v>32</v>
      </c>
      <c r="B3951" s="7" t="s">
        <v>599</v>
      </c>
      <c r="C3951" s="7">
        <f>4</f>
        <v>4</v>
      </c>
      <c r="D3951" s="7">
        <v>3.0</v>
      </c>
      <c r="E3951" s="7">
        <v>2.0</v>
      </c>
      <c r="F3951" s="7" t="s">
        <v>169</v>
      </c>
      <c r="H3951" s="9" t="s">
        <v>2984</v>
      </c>
      <c r="I3951" t="s">
        <v>2985</v>
      </c>
      <c r="AD3951" s="7" t="str">
        <f t="shared" si="1"/>
        <v/>
      </c>
      <c r="AE3951" s="7" t="str">
        <f t="shared" si="2"/>
        <v/>
      </c>
      <c r="AF3951">
        <f>IFERROR(__xludf.DUMMYFUNCTION("VALUE(REGEXREPLACE(G3951,""[^[:digit:]]"", """"))"),0.0)</f>
        <v>0</v>
      </c>
    </row>
    <row r="3952">
      <c r="A3952" s="7" t="s">
        <v>100</v>
      </c>
      <c r="B3952" s="7" t="s">
        <v>1328</v>
      </c>
      <c r="C3952" s="7">
        <f>3+1</f>
        <v>4</v>
      </c>
      <c r="D3952" s="7">
        <v>4.0</v>
      </c>
      <c r="E3952" s="7">
        <v>2.0</v>
      </c>
      <c r="F3952" s="7" t="s">
        <v>93</v>
      </c>
      <c r="G3952" s="7" t="s">
        <v>2529</v>
      </c>
      <c r="H3952" s="9" t="s">
        <v>2979</v>
      </c>
      <c r="I3952" t="s">
        <v>4378</v>
      </c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  <c r="AA3952" s="7"/>
      <c r="AB3952" s="7"/>
      <c r="AC3952" s="7"/>
      <c r="AD3952" s="7" t="str">
        <f t="shared" si="1"/>
        <v>Built-up :</v>
      </c>
      <c r="AE3952" s="7" t="str">
        <f t="shared" si="2"/>
        <v> sq. ft.</v>
      </c>
      <c r="AF3952">
        <f>IFERROR(__xludf.DUMMYFUNCTION("VALUE(REGEXREPLACE(G3952,""[^[:digit:]]"", """"))"),1363.0)</f>
        <v>1363</v>
      </c>
      <c r="AG3952" s="7"/>
      <c r="AH3952" s="7"/>
      <c r="AI3952" s="7"/>
      <c r="AJ3952" s="7"/>
      <c r="AK3952" s="7"/>
      <c r="AL3952" s="7"/>
      <c r="AM3952" s="7"/>
      <c r="AN3952" s="7"/>
      <c r="AO3952" s="7"/>
      <c r="AP3952" s="7"/>
      <c r="AQ3952" s="7"/>
      <c r="AR3952" s="7"/>
      <c r="AS3952" s="7" t="s">
        <v>27</v>
      </c>
    </row>
    <row r="3953">
      <c r="A3953" s="7" t="s">
        <v>72</v>
      </c>
      <c r="B3953" s="7" t="s">
        <v>42</v>
      </c>
      <c r="C3953" s="7">
        <f t="shared" ref="C3953:C3954" si="538">4+1</f>
        <v>5</v>
      </c>
      <c r="E3953" s="7">
        <v>3.0</v>
      </c>
      <c r="F3953" s="7" t="s">
        <v>83</v>
      </c>
      <c r="G3953" s="7" t="s">
        <v>2280</v>
      </c>
      <c r="H3953" s="9" t="s">
        <v>2979</v>
      </c>
      <c r="I3953" t="s">
        <v>4224</v>
      </c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  <c r="AA3953" s="7"/>
      <c r="AB3953" s="7"/>
      <c r="AC3953" s="7"/>
      <c r="AD3953" s="7" t="str">
        <f t="shared" si="1"/>
        <v>Built-up :</v>
      </c>
      <c r="AE3953" s="7" t="str">
        <f t="shared" si="2"/>
        <v> sq. ft.</v>
      </c>
      <c r="AF3953">
        <f>IFERROR(__xludf.DUMMYFUNCTION("VALUE(REGEXREPLACE(G3953,""[^[:digit:]]"", """"))"),3900.0)</f>
        <v>3900</v>
      </c>
      <c r="AG3953" s="7"/>
      <c r="AH3953" s="7"/>
      <c r="AI3953" s="7"/>
      <c r="AJ3953" s="7"/>
      <c r="AK3953" s="7"/>
      <c r="AL3953" s="7"/>
      <c r="AM3953" s="7"/>
      <c r="AN3953" s="7"/>
      <c r="AO3953" s="7"/>
      <c r="AP3953" s="7"/>
      <c r="AQ3953" s="7"/>
      <c r="AR3953" s="7"/>
      <c r="AS3953" s="7" t="s">
        <v>27</v>
      </c>
    </row>
    <row r="3954">
      <c r="A3954" s="7" t="s">
        <v>72</v>
      </c>
      <c r="B3954" s="7" t="s">
        <v>120</v>
      </c>
      <c r="C3954" s="7">
        <f t="shared" si="538"/>
        <v>5</v>
      </c>
      <c r="E3954" s="7">
        <v>3.0</v>
      </c>
      <c r="F3954" s="7" t="s">
        <v>793</v>
      </c>
      <c r="G3954" s="7" t="s">
        <v>2530</v>
      </c>
      <c r="H3954" s="9" t="s">
        <v>2979</v>
      </c>
      <c r="I3954" t="s">
        <v>4379</v>
      </c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  <c r="AA3954" s="7"/>
      <c r="AB3954" s="7"/>
      <c r="AC3954" s="7"/>
      <c r="AD3954" s="7" t="str">
        <f t="shared" si="1"/>
        <v>Built-up :</v>
      </c>
      <c r="AE3954" s="7" t="str">
        <f t="shared" si="2"/>
        <v> sq. ft.</v>
      </c>
      <c r="AF3954">
        <f>IFERROR(__xludf.DUMMYFUNCTION("VALUE(REGEXREPLACE(G3954,""[^[:digit:]]"", """"))"),5500.0)</f>
        <v>5500</v>
      </c>
      <c r="AG3954" s="7"/>
      <c r="AH3954" s="7"/>
      <c r="AI3954" s="7"/>
      <c r="AJ3954" s="7"/>
      <c r="AK3954" s="7"/>
      <c r="AL3954" s="7"/>
      <c r="AM3954" s="7"/>
      <c r="AN3954" s="7"/>
      <c r="AO3954" s="7"/>
      <c r="AP3954" s="7"/>
      <c r="AQ3954" s="7"/>
      <c r="AR3954" s="7"/>
      <c r="AS3954" s="7" t="s">
        <v>27</v>
      </c>
    </row>
    <row r="3955">
      <c r="A3955" s="7" t="s">
        <v>72</v>
      </c>
      <c r="B3955" s="7" t="s">
        <v>871</v>
      </c>
      <c r="C3955" s="7">
        <f>2+1</f>
        <v>3</v>
      </c>
      <c r="D3955" s="7">
        <v>2.0</v>
      </c>
      <c r="E3955" s="7">
        <v>2.0</v>
      </c>
      <c r="F3955" s="7" t="s">
        <v>83</v>
      </c>
      <c r="G3955" s="7" t="s">
        <v>2531</v>
      </c>
      <c r="H3955" s="9" t="s">
        <v>2979</v>
      </c>
      <c r="I3955" t="s">
        <v>4380</v>
      </c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  <c r="AA3955" s="7"/>
      <c r="AB3955" s="7"/>
      <c r="AC3955" s="7"/>
      <c r="AD3955" s="7" t="str">
        <f t="shared" si="1"/>
        <v>Built-up :</v>
      </c>
      <c r="AE3955" s="7" t="str">
        <f t="shared" si="2"/>
        <v> sq. ft.</v>
      </c>
      <c r="AF3955">
        <f>IFERROR(__xludf.DUMMYFUNCTION("VALUE(REGEXREPLACE(G3955,""[^[:digit:]]"", """"))"),1038.0)</f>
        <v>1038</v>
      </c>
      <c r="AG3955" s="7"/>
      <c r="AH3955" s="7"/>
      <c r="AI3955" s="7"/>
      <c r="AJ3955" s="7"/>
      <c r="AK3955" s="7"/>
      <c r="AL3955" s="7"/>
      <c r="AM3955" s="7"/>
      <c r="AN3955" s="7"/>
      <c r="AO3955" s="7"/>
      <c r="AP3955" s="7"/>
      <c r="AQ3955" s="7"/>
      <c r="AR3955" s="7"/>
      <c r="AS3955" s="7" t="s">
        <v>27</v>
      </c>
    </row>
    <row r="3956">
      <c r="A3956" s="7" t="s">
        <v>33</v>
      </c>
      <c r="B3956" s="7" t="s">
        <v>599</v>
      </c>
      <c r="C3956" s="7">
        <f t="shared" ref="C3956:C3957" si="539">4+1</f>
        <v>5</v>
      </c>
      <c r="D3956" s="7">
        <v>3.0</v>
      </c>
      <c r="E3956" s="7">
        <v>2.0</v>
      </c>
      <c r="F3956" s="7" t="s">
        <v>93</v>
      </c>
      <c r="G3956" s="7" t="s">
        <v>36</v>
      </c>
      <c r="H3956" s="9" t="s">
        <v>2979</v>
      </c>
      <c r="I3956" t="s">
        <v>2986</v>
      </c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  <c r="AA3956" s="7"/>
      <c r="AB3956" s="7"/>
      <c r="AC3956" s="7"/>
      <c r="AD3956" s="7" t="str">
        <f t="shared" si="1"/>
        <v>Built-up :</v>
      </c>
      <c r="AE3956" s="7" t="str">
        <f t="shared" si="2"/>
        <v> sq. ft.</v>
      </c>
      <c r="AF3956">
        <f>IFERROR(__xludf.DUMMYFUNCTION("VALUE(REGEXREPLACE(G3956,""[^[:digit:]]"", """"))"),1513.0)</f>
        <v>1513</v>
      </c>
      <c r="AG3956" s="7"/>
      <c r="AH3956" s="7"/>
      <c r="AI3956" s="7"/>
      <c r="AJ3956" s="7"/>
      <c r="AK3956" s="7"/>
      <c r="AL3956" s="7"/>
      <c r="AM3956" s="7"/>
      <c r="AN3956" s="7"/>
      <c r="AO3956" s="7"/>
      <c r="AP3956" s="7"/>
      <c r="AQ3956" s="7"/>
      <c r="AR3956" s="7"/>
      <c r="AS3956" s="7" t="s">
        <v>27</v>
      </c>
    </row>
    <row r="3957">
      <c r="A3957" s="7" t="s">
        <v>33</v>
      </c>
      <c r="B3957" s="7" t="s">
        <v>134</v>
      </c>
      <c r="C3957" s="7">
        <f t="shared" si="539"/>
        <v>5</v>
      </c>
      <c r="D3957" s="7">
        <v>4.0</v>
      </c>
      <c r="E3957" s="7">
        <v>4.0</v>
      </c>
      <c r="F3957" s="7" t="s">
        <v>93</v>
      </c>
      <c r="G3957" s="7" t="s">
        <v>137</v>
      </c>
      <c r="H3957" s="9" t="s">
        <v>2979</v>
      </c>
      <c r="I3957" t="s">
        <v>3024</v>
      </c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  <c r="AA3957" s="7"/>
      <c r="AB3957" s="7"/>
      <c r="AC3957" s="7"/>
      <c r="AD3957" s="7" t="str">
        <f t="shared" si="1"/>
        <v>Built-up :</v>
      </c>
      <c r="AE3957" s="7" t="str">
        <f t="shared" si="2"/>
        <v> sq. ft.</v>
      </c>
      <c r="AF3957">
        <f>IFERROR(__xludf.DUMMYFUNCTION("VALUE(REGEXREPLACE(G3957,""[^[:digit:]]"", """"))"),1772.0)</f>
        <v>1772</v>
      </c>
      <c r="AG3957" s="7"/>
      <c r="AH3957" s="7"/>
      <c r="AI3957" s="7"/>
      <c r="AJ3957" s="7"/>
      <c r="AK3957" s="7"/>
      <c r="AL3957" s="7"/>
      <c r="AM3957" s="7"/>
      <c r="AN3957" s="7"/>
      <c r="AO3957" s="7"/>
      <c r="AP3957" s="7"/>
      <c r="AQ3957" s="7"/>
      <c r="AR3957" s="7"/>
      <c r="AS3957" s="7" t="s">
        <v>27</v>
      </c>
    </row>
    <row r="3958">
      <c r="A3958" s="7" t="s">
        <v>72</v>
      </c>
      <c r="B3958" s="7" t="s">
        <v>1267</v>
      </c>
      <c r="C3958" s="7">
        <f>2+1</f>
        <v>3</v>
      </c>
      <c r="D3958" s="7">
        <v>2.0</v>
      </c>
      <c r="E3958" s="7">
        <v>2.0</v>
      </c>
      <c r="F3958" s="7" t="s">
        <v>83</v>
      </c>
      <c r="G3958" s="7" t="s">
        <v>2531</v>
      </c>
      <c r="H3958" s="9" t="s">
        <v>2979</v>
      </c>
      <c r="I3958" t="s">
        <v>4380</v>
      </c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  <c r="AA3958" s="7"/>
      <c r="AB3958" s="7"/>
      <c r="AC3958" s="7"/>
      <c r="AD3958" s="7" t="str">
        <f t="shared" si="1"/>
        <v>Built-up :</v>
      </c>
      <c r="AE3958" s="7" t="str">
        <f t="shared" si="2"/>
        <v> sq. ft.</v>
      </c>
      <c r="AF3958">
        <f>IFERROR(__xludf.DUMMYFUNCTION("VALUE(REGEXREPLACE(G3958,""[^[:digit:]]"", """"))"),1038.0)</f>
        <v>1038</v>
      </c>
      <c r="AG3958" s="7"/>
      <c r="AH3958" s="7"/>
      <c r="AI3958" s="7"/>
      <c r="AJ3958" s="7"/>
      <c r="AK3958" s="7"/>
      <c r="AL3958" s="7"/>
      <c r="AM3958" s="7"/>
      <c r="AN3958" s="7"/>
      <c r="AO3958" s="7"/>
      <c r="AP3958" s="7"/>
      <c r="AQ3958" s="7"/>
      <c r="AR3958" s="7"/>
      <c r="AS3958" s="7" t="s">
        <v>27</v>
      </c>
    </row>
    <row r="3959">
      <c r="A3959" s="7" t="s">
        <v>33</v>
      </c>
      <c r="B3959" s="7" t="s">
        <v>1152</v>
      </c>
      <c r="C3959" s="7">
        <f>5+1</f>
        <v>6</v>
      </c>
      <c r="D3959" s="7">
        <v>4.0</v>
      </c>
      <c r="E3959" s="7">
        <v>4.0</v>
      </c>
      <c r="F3959" s="7" t="s">
        <v>93</v>
      </c>
      <c r="G3959" s="7" t="s">
        <v>330</v>
      </c>
      <c r="H3959" s="9" t="s">
        <v>2979</v>
      </c>
      <c r="I3959" t="s">
        <v>3111</v>
      </c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  <c r="AA3959" s="7"/>
      <c r="AB3959" s="7"/>
      <c r="AC3959" s="7"/>
      <c r="AD3959" s="7" t="str">
        <f t="shared" si="1"/>
        <v>Built-up :</v>
      </c>
      <c r="AE3959" s="7" t="str">
        <f t="shared" si="2"/>
        <v> sq. ft.</v>
      </c>
      <c r="AF3959">
        <f>IFERROR(__xludf.DUMMYFUNCTION("VALUE(REGEXREPLACE(G3959,""[^[:digit:]]"", """"))"),1930.0)</f>
        <v>1930</v>
      </c>
      <c r="AG3959" s="7"/>
      <c r="AH3959" s="7"/>
      <c r="AI3959" s="7"/>
      <c r="AJ3959" s="7"/>
      <c r="AK3959" s="7"/>
      <c r="AL3959" s="7"/>
      <c r="AM3959" s="7"/>
      <c r="AN3959" s="7"/>
      <c r="AO3959" s="7"/>
      <c r="AP3959" s="7"/>
      <c r="AQ3959" s="7"/>
      <c r="AR3959" s="7"/>
      <c r="AS3959" s="7" t="s">
        <v>27</v>
      </c>
    </row>
    <row r="3960">
      <c r="A3960" s="7" t="s">
        <v>33</v>
      </c>
      <c r="B3960" s="7" t="s">
        <v>2532</v>
      </c>
      <c r="C3960" s="7">
        <f>4+1</f>
        <v>5</v>
      </c>
      <c r="D3960" s="7">
        <v>4.0</v>
      </c>
      <c r="E3960" s="7">
        <v>4.0</v>
      </c>
      <c r="F3960" s="7" t="s">
        <v>93</v>
      </c>
      <c r="G3960" s="7" t="s">
        <v>137</v>
      </c>
      <c r="H3960" s="9" t="s">
        <v>2979</v>
      </c>
      <c r="I3960" t="s">
        <v>3024</v>
      </c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  <c r="AA3960" s="7"/>
      <c r="AB3960" s="7"/>
      <c r="AC3960" s="7"/>
      <c r="AD3960" s="7" t="str">
        <f t="shared" si="1"/>
        <v>Built-up :</v>
      </c>
      <c r="AE3960" s="7" t="str">
        <f t="shared" si="2"/>
        <v> sq. ft.</v>
      </c>
      <c r="AF3960">
        <f>IFERROR(__xludf.DUMMYFUNCTION("VALUE(REGEXREPLACE(G3960,""[^[:digit:]]"", """"))"),1772.0)</f>
        <v>1772</v>
      </c>
      <c r="AG3960" s="7"/>
      <c r="AH3960" s="7"/>
      <c r="AI3960" s="7"/>
      <c r="AJ3960" s="7"/>
      <c r="AK3960" s="7"/>
      <c r="AL3960" s="7"/>
      <c r="AM3960" s="7"/>
      <c r="AN3960" s="7"/>
      <c r="AO3960" s="7"/>
      <c r="AP3960" s="7"/>
      <c r="AQ3960" s="7"/>
      <c r="AR3960" s="7"/>
      <c r="AS3960" s="7" t="s">
        <v>27</v>
      </c>
    </row>
    <row r="3961">
      <c r="A3961" s="7" t="s">
        <v>72</v>
      </c>
      <c r="B3961" s="7" t="s">
        <v>956</v>
      </c>
      <c r="C3961" s="7">
        <f>3</f>
        <v>3</v>
      </c>
      <c r="D3961" s="7">
        <v>3.0</v>
      </c>
      <c r="E3961" s="7">
        <v>2.0</v>
      </c>
      <c r="F3961" s="7" t="s">
        <v>20</v>
      </c>
      <c r="G3961" s="7" t="s">
        <v>2401</v>
      </c>
      <c r="H3961" s="9" t="s">
        <v>2979</v>
      </c>
      <c r="I3961" t="s">
        <v>4293</v>
      </c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  <c r="AA3961" s="7"/>
      <c r="AB3961" s="7"/>
      <c r="AC3961" s="7"/>
      <c r="AD3961" s="7" t="str">
        <f t="shared" si="1"/>
        <v>Built-up :</v>
      </c>
      <c r="AE3961" s="7" t="str">
        <f t="shared" si="2"/>
        <v> sq. ft.</v>
      </c>
      <c r="AF3961">
        <f>IFERROR(__xludf.DUMMYFUNCTION("VALUE(REGEXREPLACE(G3961,""[^[:digit:]]"", """"))"),1380.0)</f>
        <v>1380</v>
      </c>
      <c r="AG3961" s="7"/>
      <c r="AH3961" s="7"/>
      <c r="AI3961" s="7"/>
      <c r="AJ3961" s="7"/>
      <c r="AK3961" s="7"/>
      <c r="AL3961" s="7"/>
      <c r="AM3961" s="7"/>
      <c r="AN3961" s="7"/>
      <c r="AO3961" s="7"/>
      <c r="AP3961" s="7"/>
      <c r="AQ3961" s="7"/>
      <c r="AR3961" s="7"/>
      <c r="AS3961" s="7" t="s">
        <v>22</v>
      </c>
    </row>
    <row r="3962">
      <c r="A3962" s="7" t="s">
        <v>33</v>
      </c>
      <c r="B3962" s="7" t="s">
        <v>372</v>
      </c>
      <c r="D3962" s="7">
        <v>2.0</v>
      </c>
      <c r="E3962" s="7">
        <v>2.0</v>
      </c>
      <c r="F3962" s="7" t="s">
        <v>30</v>
      </c>
      <c r="G3962" s="7" t="s">
        <v>2533</v>
      </c>
      <c r="H3962" s="9" t="s">
        <v>2979</v>
      </c>
      <c r="I3962" t="s">
        <v>4381</v>
      </c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  <c r="AA3962" s="7"/>
      <c r="AB3962" s="7"/>
      <c r="AC3962" s="7"/>
      <c r="AD3962" s="7" t="str">
        <f t="shared" si="1"/>
        <v>Built-up :</v>
      </c>
      <c r="AE3962" s="7" t="str">
        <f t="shared" si="2"/>
        <v> sq. ft.</v>
      </c>
      <c r="AF3962">
        <f>IFERROR(__xludf.DUMMYFUNCTION("VALUE(REGEXREPLACE(G3962,""[^[:digit:]]"", """"))"),1407.0)</f>
        <v>1407</v>
      </c>
      <c r="AG3962" s="7"/>
      <c r="AH3962" s="7"/>
      <c r="AI3962" s="7"/>
      <c r="AJ3962" s="7"/>
      <c r="AK3962" s="7"/>
      <c r="AL3962" s="7"/>
      <c r="AM3962" s="7"/>
      <c r="AN3962" s="7"/>
      <c r="AO3962" s="7"/>
      <c r="AP3962" s="7"/>
      <c r="AQ3962" s="7"/>
      <c r="AR3962" s="7"/>
      <c r="AS3962" s="7" t="s">
        <v>27</v>
      </c>
    </row>
    <row r="3963">
      <c r="A3963" s="7" t="s">
        <v>41</v>
      </c>
      <c r="B3963" s="7" t="s">
        <v>2534</v>
      </c>
      <c r="C3963" s="7">
        <f>4+2</f>
        <v>6</v>
      </c>
      <c r="D3963" s="7">
        <v>6.0</v>
      </c>
      <c r="E3963" s="9">
        <v>2.0</v>
      </c>
      <c r="F3963" s="7" t="s">
        <v>25</v>
      </c>
      <c r="G3963" s="7" t="s">
        <v>2535</v>
      </c>
      <c r="H3963" s="9" t="s">
        <v>2981</v>
      </c>
      <c r="I3963" t="s">
        <v>4382</v>
      </c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  <c r="AA3963" s="7"/>
      <c r="AB3963" s="7"/>
      <c r="AC3963" s="7"/>
      <c r="AD3963" s="7" t="str">
        <f t="shared" si="1"/>
        <v>Land area </v>
      </c>
      <c r="AE3963" s="7" t="str">
        <f t="shared" si="2"/>
        <v> sq. ft.</v>
      </c>
      <c r="AF3963">
        <f>IFERROR(__xludf.DUMMYFUNCTION("VALUE(REGEXREPLACE(G3963,""[^[:digit:]]"", """"))"),5440.0)</f>
        <v>5440</v>
      </c>
      <c r="AG3963" s="7"/>
      <c r="AH3963" s="7"/>
      <c r="AI3963" s="7"/>
      <c r="AJ3963" s="7"/>
      <c r="AK3963" s="7"/>
      <c r="AL3963" s="7"/>
      <c r="AM3963" s="7"/>
      <c r="AN3963" s="7"/>
      <c r="AO3963" s="7"/>
      <c r="AP3963" s="7"/>
      <c r="AQ3963" s="7"/>
      <c r="AR3963" s="7"/>
      <c r="AS3963" s="7" t="s">
        <v>27</v>
      </c>
    </row>
    <row r="3964">
      <c r="A3964" s="7" t="s">
        <v>171</v>
      </c>
      <c r="B3964" s="7" t="s">
        <v>2016</v>
      </c>
      <c r="C3964" s="7">
        <f>3+1</f>
        <v>4</v>
      </c>
      <c r="D3964" s="7">
        <v>2.0</v>
      </c>
      <c r="E3964" s="7">
        <v>2.0</v>
      </c>
      <c r="F3964" s="7" t="s">
        <v>82</v>
      </c>
      <c r="G3964" s="7" t="s">
        <v>607</v>
      </c>
      <c r="H3964" s="9" t="s">
        <v>2979</v>
      </c>
      <c r="I3964" t="s">
        <v>3245</v>
      </c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  <c r="AA3964" s="7"/>
      <c r="AB3964" s="7"/>
      <c r="AC3964" s="7"/>
      <c r="AD3964" s="7" t="str">
        <f t="shared" si="1"/>
        <v>Built-up :</v>
      </c>
      <c r="AE3964" s="7" t="str">
        <f t="shared" si="2"/>
        <v> sq. ft.</v>
      </c>
      <c r="AF3964">
        <f>IFERROR(__xludf.DUMMYFUNCTION("VALUE(REGEXREPLACE(G3964,""[^[:digit:]]"", """"))"),918.0)</f>
        <v>918</v>
      </c>
      <c r="AG3964" s="7"/>
      <c r="AH3964" s="7"/>
      <c r="AI3964" s="7"/>
      <c r="AJ3964" s="7"/>
      <c r="AK3964" s="7"/>
      <c r="AL3964" s="7"/>
      <c r="AM3964" s="7"/>
      <c r="AN3964" s="7"/>
      <c r="AO3964" s="7"/>
      <c r="AP3964" s="7"/>
      <c r="AQ3964" s="7"/>
      <c r="AR3964" s="7"/>
      <c r="AS3964" s="7" t="s">
        <v>103</v>
      </c>
    </row>
    <row r="3965">
      <c r="A3965" s="7" t="s">
        <v>33</v>
      </c>
      <c r="B3965" s="7" t="s">
        <v>139</v>
      </c>
      <c r="E3965" s="9">
        <v>2.0</v>
      </c>
      <c r="F3965" s="7" t="s">
        <v>82</v>
      </c>
      <c r="G3965" s="7" t="s">
        <v>2403</v>
      </c>
      <c r="H3965" s="9" t="s">
        <v>2979</v>
      </c>
      <c r="I3965" t="s">
        <v>4294</v>
      </c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  <c r="AA3965" s="7"/>
      <c r="AB3965" s="7"/>
      <c r="AC3965" s="7"/>
      <c r="AD3965" s="7" t="str">
        <f t="shared" si="1"/>
        <v>Built-up :</v>
      </c>
      <c r="AE3965" s="7" t="str">
        <f t="shared" si="2"/>
        <v> sq. ft.</v>
      </c>
      <c r="AF3965">
        <f>IFERROR(__xludf.DUMMYFUNCTION("VALUE(REGEXREPLACE(G3965,""[^[:digit:]]"", """"))"),1125.0)</f>
        <v>1125</v>
      </c>
      <c r="AG3965" s="7"/>
      <c r="AH3965" s="7"/>
      <c r="AI3965" s="7"/>
      <c r="AJ3965" s="7"/>
      <c r="AK3965" s="7"/>
      <c r="AL3965" s="7"/>
      <c r="AM3965" s="7"/>
      <c r="AN3965" s="7"/>
      <c r="AO3965" s="7"/>
      <c r="AP3965" s="7"/>
      <c r="AQ3965" s="7"/>
      <c r="AR3965" s="7"/>
      <c r="AS3965" s="7" t="s">
        <v>27</v>
      </c>
    </row>
    <row r="3966">
      <c r="A3966" s="7" t="s">
        <v>223</v>
      </c>
      <c r="B3966" s="7" t="s">
        <v>138</v>
      </c>
      <c r="C3966" s="7">
        <f>2+1</f>
        <v>3</v>
      </c>
      <c r="D3966" s="7">
        <v>2.0</v>
      </c>
      <c r="E3966" s="7">
        <v>1.0</v>
      </c>
      <c r="F3966" s="7" t="s">
        <v>82</v>
      </c>
      <c r="G3966" s="7" t="s">
        <v>1004</v>
      </c>
      <c r="H3966" s="9" t="s">
        <v>2979</v>
      </c>
      <c r="I3966" t="s">
        <v>3449</v>
      </c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  <c r="AA3966" s="7"/>
      <c r="AB3966" s="7"/>
      <c r="AC3966" s="7"/>
      <c r="AD3966" s="7" t="str">
        <f t="shared" si="1"/>
        <v>Built-up :</v>
      </c>
      <c r="AE3966" s="7" t="str">
        <f t="shared" si="2"/>
        <v> sq. ft.</v>
      </c>
      <c r="AF3966">
        <f>IFERROR(__xludf.DUMMYFUNCTION("VALUE(REGEXREPLACE(G3966,""[^[:digit:]]"", """"))"),1300.0)</f>
        <v>1300</v>
      </c>
      <c r="AG3966" s="7"/>
      <c r="AH3966" s="7"/>
      <c r="AI3966" s="7"/>
      <c r="AJ3966" s="7"/>
      <c r="AK3966" s="7"/>
      <c r="AL3966" s="7"/>
      <c r="AM3966" s="7"/>
      <c r="AN3966" s="7"/>
      <c r="AO3966" s="7"/>
      <c r="AP3966" s="7"/>
      <c r="AQ3966" s="7"/>
      <c r="AR3966" s="7"/>
      <c r="AS3966" s="7" t="s">
        <v>22</v>
      </c>
    </row>
    <row r="3967">
      <c r="A3967" s="7" t="s">
        <v>223</v>
      </c>
      <c r="B3967" s="7" t="s">
        <v>1892</v>
      </c>
      <c r="C3967" s="7">
        <f>1</f>
        <v>1</v>
      </c>
      <c r="D3967" s="7">
        <v>1.0</v>
      </c>
      <c r="E3967" s="9">
        <v>2.0</v>
      </c>
      <c r="F3967" s="7" t="s">
        <v>82</v>
      </c>
      <c r="G3967" s="7" t="s">
        <v>537</v>
      </c>
      <c r="H3967" s="9" t="s">
        <v>2979</v>
      </c>
      <c r="I3967" t="s">
        <v>3212</v>
      </c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  <c r="AA3967" s="7"/>
      <c r="AB3967" s="7"/>
      <c r="AC3967" s="7"/>
      <c r="AD3967" s="7" t="str">
        <f t="shared" si="1"/>
        <v>Built-up :</v>
      </c>
      <c r="AE3967" s="7" t="str">
        <f t="shared" si="2"/>
        <v> sq. ft.</v>
      </c>
      <c r="AF3967">
        <f>IFERROR(__xludf.DUMMYFUNCTION("VALUE(REGEXREPLACE(G3967,""[^[:digit:]]"", """"))"),560.0)</f>
        <v>560</v>
      </c>
      <c r="AG3967" s="7"/>
      <c r="AH3967" s="7"/>
      <c r="AI3967" s="7"/>
      <c r="AJ3967" s="7"/>
      <c r="AK3967" s="7"/>
      <c r="AL3967" s="7"/>
      <c r="AM3967" s="7"/>
      <c r="AN3967" s="7"/>
      <c r="AO3967" s="7"/>
      <c r="AP3967" s="7"/>
      <c r="AQ3967" s="7"/>
      <c r="AR3967" s="7"/>
      <c r="AS3967" s="7" t="s">
        <v>22</v>
      </c>
    </row>
    <row r="3968">
      <c r="A3968" s="7" t="s">
        <v>48</v>
      </c>
      <c r="B3968" s="7" t="s">
        <v>245</v>
      </c>
      <c r="C3968" s="7">
        <f>3+1</f>
        <v>4</v>
      </c>
      <c r="D3968" s="7">
        <v>3.0</v>
      </c>
      <c r="E3968" s="9">
        <v>2.0</v>
      </c>
      <c r="F3968" s="7" t="s">
        <v>717</v>
      </c>
      <c r="G3968" s="7" t="s">
        <v>911</v>
      </c>
      <c r="H3968" s="9" t="s">
        <v>2981</v>
      </c>
      <c r="I3968" t="s">
        <v>3300</v>
      </c>
      <c r="J3968" s="7"/>
      <c r="K3968" s="7"/>
      <c r="L3968" s="7"/>
      <c r="M3968" s="7"/>
      <c r="N3968" s="7"/>
      <c r="O3968" s="7"/>
      <c r="P3968" s="7"/>
      <c r="Q3968" s="7"/>
      <c r="R3968" s="7"/>
      <c r="S3968" s="7" t="s">
        <v>3382</v>
      </c>
      <c r="T3968" s="7"/>
      <c r="U3968" s="7"/>
      <c r="V3968" s="7"/>
      <c r="W3968" s="7"/>
      <c r="X3968" s="7"/>
      <c r="Y3968" s="7"/>
      <c r="Z3968" s="7"/>
      <c r="AA3968" s="7"/>
      <c r="AB3968" s="7"/>
      <c r="AC3968" s="7"/>
      <c r="AD3968" s="7" t="str">
        <f t="shared" si="1"/>
        <v>Land area </v>
      </c>
      <c r="AE3968" s="7" t="str">
        <f t="shared" si="2"/>
        <v> sq. ft.</v>
      </c>
      <c r="AF3968">
        <f>IFERROR(__xludf.DUMMYFUNCTION("VALUE(REGEXREPLACE(G3968,""[^[:digit:]]"", """"))"),22100.0)</f>
        <v>22100</v>
      </c>
      <c r="AG3968" s="7"/>
      <c r="AH3968" s="7"/>
      <c r="AI3968" s="7"/>
      <c r="AJ3968" s="7"/>
      <c r="AK3968" s="7"/>
      <c r="AL3968" s="7"/>
      <c r="AM3968" s="7"/>
      <c r="AN3968" s="7"/>
      <c r="AO3968" s="7"/>
      <c r="AP3968" s="7"/>
      <c r="AQ3968" s="7"/>
      <c r="AR3968" s="7"/>
      <c r="AS3968" s="7" t="s">
        <v>22</v>
      </c>
    </row>
    <row r="3969">
      <c r="A3969" s="7" t="s">
        <v>223</v>
      </c>
      <c r="B3969" s="7" t="s">
        <v>983</v>
      </c>
      <c r="C3969" s="7" t="s">
        <v>325</v>
      </c>
      <c r="D3969" s="7">
        <v>1.0</v>
      </c>
      <c r="E3969" s="9">
        <v>2.0</v>
      </c>
      <c r="F3969" s="7" t="s">
        <v>20</v>
      </c>
      <c r="H3969" s="9" t="s">
        <v>2984</v>
      </c>
      <c r="I3969" t="s">
        <v>2985</v>
      </c>
      <c r="AD3969" s="7" t="str">
        <f t="shared" si="1"/>
        <v/>
      </c>
      <c r="AE3969" s="7" t="str">
        <f t="shared" si="2"/>
        <v/>
      </c>
      <c r="AF3969">
        <f>IFERROR(__xludf.DUMMYFUNCTION("VALUE(REGEXREPLACE(G3969,""[^[:digit:]]"", """"))"),0.0)</f>
        <v>0</v>
      </c>
      <c r="AS3969" s="7" t="s">
        <v>27</v>
      </c>
    </row>
    <row r="3970">
      <c r="A3970" s="7" t="s">
        <v>17</v>
      </c>
      <c r="B3970" s="7" t="s">
        <v>2536</v>
      </c>
      <c r="C3970" s="7">
        <f>3</f>
        <v>3</v>
      </c>
      <c r="D3970" s="7">
        <v>2.0</v>
      </c>
      <c r="E3970" s="7">
        <v>1.0</v>
      </c>
      <c r="F3970" s="7" t="s">
        <v>20</v>
      </c>
      <c r="G3970" s="7" t="s">
        <v>2386</v>
      </c>
      <c r="H3970" s="9" t="s">
        <v>2979</v>
      </c>
      <c r="I3970" t="s">
        <v>4286</v>
      </c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  <c r="AA3970" s="7"/>
      <c r="AB3970" s="7"/>
      <c r="AC3970" s="7"/>
      <c r="AD3970" s="7" t="str">
        <f t="shared" si="1"/>
        <v>Built-up :</v>
      </c>
      <c r="AE3970" s="7" t="str">
        <f t="shared" si="2"/>
        <v> sq. ft.</v>
      </c>
      <c r="AF3970">
        <f>IFERROR(__xludf.DUMMYFUNCTION("VALUE(REGEXREPLACE(G3970,""[^[:digit:]]"", """"))"),1190.0)</f>
        <v>1190</v>
      </c>
      <c r="AG3970" s="7"/>
      <c r="AH3970" s="7"/>
      <c r="AI3970" s="7"/>
      <c r="AJ3970" s="7"/>
      <c r="AK3970" s="7"/>
      <c r="AL3970" s="7"/>
      <c r="AM3970" s="7"/>
      <c r="AN3970" s="7"/>
      <c r="AO3970" s="7"/>
      <c r="AP3970" s="7"/>
      <c r="AQ3970" s="7"/>
      <c r="AR3970" s="7"/>
      <c r="AS3970" s="7" t="s">
        <v>22</v>
      </c>
    </row>
    <row r="3971">
      <c r="A3971" s="7" t="s">
        <v>32</v>
      </c>
      <c r="B3971" s="7" t="s">
        <v>1267</v>
      </c>
      <c r="C3971" s="7">
        <f>4</f>
        <v>4</v>
      </c>
      <c r="D3971" s="7">
        <v>3.0</v>
      </c>
      <c r="E3971" s="7">
        <v>4.0</v>
      </c>
      <c r="F3971" s="7" t="s">
        <v>46</v>
      </c>
      <c r="G3971" s="7" t="s">
        <v>248</v>
      </c>
      <c r="H3971" s="9" t="s">
        <v>2979</v>
      </c>
      <c r="I3971" t="s">
        <v>3075</v>
      </c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  <c r="AA3971" s="7"/>
      <c r="AB3971" s="7"/>
      <c r="AC3971" s="7"/>
      <c r="AD3971" s="7" t="str">
        <f t="shared" si="1"/>
        <v>Built-up :</v>
      </c>
      <c r="AE3971" s="7" t="str">
        <f t="shared" si="2"/>
        <v> sq. ft.</v>
      </c>
      <c r="AF3971">
        <f>IFERROR(__xludf.DUMMYFUNCTION("VALUE(REGEXREPLACE(G3971,""[^[:digit:]]"", """"))"),2200.0)</f>
        <v>2200</v>
      </c>
      <c r="AG3971" s="7"/>
      <c r="AH3971" s="7"/>
      <c r="AI3971" s="7"/>
      <c r="AJ3971" s="7"/>
      <c r="AK3971" s="7"/>
      <c r="AL3971" s="7"/>
      <c r="AM3971" s="7"/>
      <c r="AN3971" s="7"/>
      <c r="AO3971" s="7"/>
      <c r="AP3971" s="7"/>
      <c r="AQ3971" s="7"/>
      <c r="AR3971" s="7"/>
      <c r="AS3971" s="7" t="s">
        <v>27</v>
      </c>
    </row>
    <row r="3972">
      <c r="A3972" s="7" t="s">
        <v>223</v>
      </c>
      <c r="B3972" s="7" t="s">
        <v>969</v>
      </c>
      <c r="C3972" s="7" t="s">
        <v>325</v>
      </c>
      <c r="D3972" s="7">
        <v>1.0</v>
      </c>
      <c r="E3972" s="9">
        <v>2.0</v>
      </c>
      <c r="F3972" s="7" t="s">
        <v>82</v>
      </c>
      <c r="G3972" s="7" t="s">
        <v>244</v>
      </c>
      <c r="H3972" s="9" t="s">
        <v>2979</v>
      </c>
      <c r="I3972" t="s">
        <v>3073</v>
      </c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  <c r="AA3972" s="7"/>
      <c r="AB3972" s="7"/>
      <c r="AC3972" s="7"/>
      <c r="AD3972" s="7" t="str">
        <f t="shared" si="1"/>
        <v>Built-up :</v>
      </c>
      <c r="AE3972" s="7" t="str">
        <f t="shared" si="2"/>
        <v> sq. ft.</v>
      </c>
      <c r="AF3972">
        <f>IFERROR(__xludf.DUMMYFUNCTION("VALUE(REGEXREPLACE(G3972,""[^[:digit:]]"", """"))"),500.0)</f>
        <v>500</v>
      </c>
      <c r="AG3972" s="7"/>
      <c r="AH3972" s="7"/>
      <c r="AI3972" s="7"/>
      <c r="AJ3972" s="7"/>
      <c r="AK3972" s="7"/>
      <c r="AL3972" s="7"/>
      <c r="AM3972" s="7"/>
      <c r="AN3972" s="7"/>
      <c r="AO3972" s="7"/>
      <c r="AP3972" s="7"/>
      <c r="AQ3972" s="7"/>
      <c r="AR3972" s="7"/>
      <c r="AS3972" s="7" t="s">
        <v>27</v>
      </c>
    </row>
    <row r="3973">
      <c r="A3973" s="7" t="s">
        <v>2433</v>
      </c>
      <c r="B3973" s="7" t="s">
        <v>2537</v>
      </c>
      <c r="C3973" s="7">
        <f>6</f>
        <v>6</v>
      </c>
      <c r="D3973" s="7">
        <v>6.0</v>
      </c>
      <c r="E3973" s="7">
        <v>10.0</v>
      </c>
      <c r="F3973" s="7" t="s">
        <v>25</v>
      </c>
      <c r="G3973" s="7" t="s">
        <v>2538</v>
      </c>
      <c r="H3973" s="9" t="s">
        <v>2981</v>
      </c>
      <c r="I3973" t="s">
        <v>4383</v>
      </c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  <c r="AA3973" s="7"/>
      <c r="AB3973" s="7"/>
      <c r="AC3973" s="7"/>
      <c r="AD3973" s="7" t="str">
        <f t="shared" si="1"/>
        <v>Land area </v>
      </c>
      <c r="AE3973" s="7" t="str">
        <f t="shared" si="2"/>
        <v> sq. ft.</v>
      </c>
      <c r="AF3973">
        <f>IFERROR(__xludf.DUMMYFUNCTION("VALUE(REGEXREPLACE(G3973,""[^[:digit:]]"", """"))"),81000.0)</f>
        <v>81000</v>
      </c>
      <c r="AG3973" s="7"/>
      <c r="AH3973" s="7"/>
      <c r="AI3973" s="7"/>
      <c r="AJ3973" s="7"/>
      <c r="AK3973" s="7"/>
      <c r="AL3973" s="7"/>
      <c r="AM3973" s="7"/>
      <c r="AN3973" s="7"/>
      <c r="AO3973" s="7"/>
      <c r="AP3973" s="7"/>
      <c r="AQ3973" s="7"/>
      <c r="AR3973" s="7"/>
      <c r="AS3973" s="7" t="s">
        <v>27</v>
      </c>
    </row>
    <row r="3974">
      <c r="A3974" s="7" t="s">
        <v>32</v>
      </c>
      <c r="B3974" s="7" t="s">
        <v>507</v>
      </c>
      <c r="C3974" s="7">
        <f>4</f>
        <v>4</v>
      </c>
      <c r="D3974" s="7">
        <v>2.0</v>
      </c>
      <c r="E3974" s="7">
        <v>1.0</v>
      </c>
      <c r="F3974" s="7" t="s">
        <v>83</v>
      </c>
      <c r="G3974" s="7" t="s">
        <v>2539</v>
      </c>
      <c r="H3974" s="9" t="s">
        <v>2979</v>
      </c>
      <c r="I3974" t="s">
        <v>4384</v>
      </c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  <c r="AA3974" s="7"/>
      <c r="AB3974" s="7"/>
      <c r="AC3974" s="7"/>
      <c r="AD3974" s="7" t="str">
        <f t="shared" si="1"/>
        <v>Built-up :</v>
      </c>
      <c r="AE3974" s="7" t="str">
        <f t="shared" si="2"/>
        <v> sq. ft.</v>
      </c>
      <c r="AF3974">
        <f>IFERROR(__xludf.DUMMYFUNCTION("VALUE(REGEXREPLACE(G3974,""[^[:digit:]]"", """"))"),1285.0)</f>
        <v>1285</v>
      </c>
      <c r="AG3974" s="7"/>
      <c r="AH3974" s="7"/>
      <c r="AI3974" s="7"/>
      <c r="AJ3974" s="7"/>
      <c r="AK3974" s="7"/>
      <c r="AL3974" s="7"/>
      <c r="AM3974" s="7"/>
      <c r="AN3974" s="7"/>
      <c r="AO3974" s="7"/>
      <c r="AP3974" s="7"/>
      <c r="AQ3974" s="7"/>
      <c r="AR3974" s="7"/>
      <c r="AS3974" s="7" t="s">
        <v>27</v>
      </c>
    </row>
    <row r="3975">
      <c r="A3975" s="7" t="s">
        <v>33</v>
      </c>
      <c r="B3975" s="7" t="s">
        <v>1423</v>
      </c>
      <c r="C3975" s="7">
        <f t="shared" ref="C3975:C3980" si="540">3</f>
        <v>3</v>
      </c>
      <c r="D3975" s="7">
        <v>2.0</v>
      </c>
      <c r="E3975" s="7">
        <v>1.0</v>
      </c>
      <c r="F3975" s="7" t="s">
        <v>354</v>
      </c>
      <c r="G3975" s="7" t="s">
        <v>2540</v>
      </c>
      <c r="H3975" s="9" t="s">
        <v>2979</v>
      </c>
      <c r="I3975" t="s">
        <v>4385</v>
      </c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  <c r="AA3975" s="7"/>
      <c r="AB3975" s="7"/>
      <c r="AC3975" s="7"/>
      <c r="AD3975" s="7" t="str">
        <f t="shared" si="1"/>
        <v>Built-up :</v>
      </c>
      <c r="AE3975" s="7" t="str">
        <f t="shared" si="2"/>
        <v> sq. ft.</v>
      </c>
      <c r="AF3975">
        <f>IFERROR(__xludf.DUMMYFUNCTION("VALUE(REGEXREPLACE(G3975,""[^[:digit:]]"", """"))"),1008.0)</f>
        <v>1008</v>
      </c>
      <c r="AG3975" s="7"/>
      <c r="AH3975" s="7"/>
      <c r="AI3975" s="7"/>
      <c r="AJ3975" s="7"/>
      <c r="AK3975" s="7"/>
      <c r="AL3975" s="7"/>
      <c r="AM3975" s="7"/>
      <c r="AN3975" s="7"/>
      <c r="AO3975" s="7"/>
      <c r="AP3975" s="7"/>
      <c r="AQ3975" s="7"/>
      <c r="AR3975" s="7"/>
      <c r="AS3975" s="7" t="s">
        <v>27</v>
      </c>
    </row>
    <row r="3976">
      <c r="A3976" s="7" t="s">
        <v>28</v>
      </c>
      <c r="B3976" s="7" t="s">
        <v>2358</v>
      </c>
      <c r="C3976" s="7">
        <f t="shared" si="540"/>
        <v>3</v>
      </c>
      <c r="D3976" s="7">
        <v>2.0</v>
      </c>
      <c r="E3976" s="9">
        <v>2.0</v>
      </c>
      <c r="F3976" s="7" t="s">
        <v>83</v>
      </c>
      <c r="G3976" s="7" t="s">
        <v>1604</v>
      </c>
      <c r="H3976" s="9" t="s">
        <v>2979</v>
      </c>
      <c r="I3976" t="s">
        <v>3805</v>
      </c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  <c r="AA3976" s="7"/>
      <c r="AB3976" s="7"/>
      <c r="AC3976" s="7"/>
      <c r="AD3976" s="7" t="str">
        <f t="shared" si="1"/>
        <v>Built-up :</v>
      </c>
      <c r="AE3976" s="7" t="str">
        <f t="shared" si="2"/>
        <v> sq. ft.</v>
      </c>
      <c r="AF3976">
        <f>IFERROR(__xludf.DUMMYFUNCTION("VALUE(REGEXREPLACE(G3976,""[^[:digit:]]"", """"))"),1280.0)</f>
        <v>1280</v>
      </c>
      <c r="AG3976" s="7"/>
      <c r="AH3976" s="7"/>
      <c r="AI3976" s="7"/>
      <c r="AJ3976" s="7"/>
      <c r="AK3976" s="7"/>
      <c r="AL3976" s="7"/>
      <c r="AM3976" s="7"/>
      <c r="AN3976" s="7"/>
      <c r="AO3976" s="7"/>
      <c r="AP3976" s="7"/>
      <c r="AQ3976" s="7"/>
      <c r="AR3976" s="7"/>
      <c r="AS3976" s="7" t="s">
        <v>27</v>
      </c>
    </row>
    <row r="3977">
      <c r="A3977" s="7" t="s">
        <v>241</v>
      </c>
      <c r="B3977" s="7" t="s">
        <v>1735</v>
      </c>
      <c r="C3977" s="7">
        <f t="shared" si="540"/>
        <v>3</v>
      </c>
      <c r="D3977" s="7">
        <v>2.0</v>
      </c>
      <c r="E3977" s="7">
        <v>1.0</v>
      </c>
      <c r="F3977" s="7" t="s">
        <v>83</v>
      </c>
      <c r="G3977" s="7" t="s">
        <v>2541</v>
      </c>
      <c r="H3977" s="9" t="s">
        <v>2979</v>
      </c>
      <c r="I3977" t="s">
        <v>4386</v>
      </c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  <c r="AA3977" s="7"/>
      <c r="AB3977" s="7"/>
      <c r="AC3977" s="7"/>
      <c r="AD3977" s="7" t="str">
        <f t="shared" si="1"/>
        <v>Built-up :</v>
      </c>
      <c r="AE3977" s="7" t="str">
        <f t="shared" si="2"/>
        <v> sq. ft.</v>
      </c>
      <c r="AF3977">
        <f>IFERROR(__xludf.DUMMYFUNCTION("VALUE(REGEXREPLACE(G3977,""[^[:digit:]]"", """"))"),1070.0)</f>
        <v>1070</v>
      </c>
      <c r="AG3977" s="7"/>
      <c r="AH3977" s="7"/>
      <c r="AI3977" s="7"/>
      <c r="AJ3977" s="7"/>
      <c r="AK3977" s="7"/>
      <c r="AL3977" s="7"/>
      <c r="AM3977" s="7"/>
      <c r="AN3977" s="7"/>
      <c r="AO3977" s="7"/>
      <c r="AP3977" s="7"/>
      <c r="AQ3977" s="7"/>
      <c r="AR3977" s="7"/>
    </row>
    <row r="3978">
      <c r="A3978" s="7" t="s">
        <v>89</v>
      </c>
      <c r="B3978" s="7" t="s">
        <v>563</v>
      </c>
      <c r="C3978" s="7">
        <f t="shared" si="540"/>
        <v>3</v>
      </c>
      <c r="D3978" s="7">
        <v>2.0</v>
      </c>
      <c r="E3978" s="7">
        <v>2.0</v>
      </c>
      <c r="F3978" s="7" t="s">
        <v>20</v>
      </c>
      <c r="G3978" s="7" t="s">
        <v>764</v>
      </c>
      <c r="H3978" s="9" t="s">
        <v>2979</v>
      </c>
      <c r="I3978" t="s">
        <v>3325</v>
      </c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  <c r="AA3978" s="7"/>
      <c r="AB3978" s="7"/>
      <c r="AC3978" s="7"/>
      <c r="AD3978" s="7" t="str">
        <f t="shared" si="1"/>
        <v>Built-up :</v>
      </c>
      <c r="AE3978" s="7" t="str">
        <f t="shared" si="2"/>
        <v> sq. ft.</v>
      </c>
      <c r="AF3978">
        <f>IFERROR(__xludf.DUMMYFUNCTION("VALUE(REGEXREPLACE(G3978,""[^[:digit:]]"", """"))"),1025.0)</f>
        <v>1025</v>
      </c>
      <c r="AG3978" s="7"/>
      <c r="AH3978" s="7"/>
      <c r="AI3978" s="7"/>
      <c r="AJ3978" s="7"/>
      <c r="AK3978" s="7"/>
      <c r="AL3978" s="7"/>
      <c r="AM3978" s="7"/>
      <c r="AN3978" s="7"/>
      <c r="AO3978" s="7"/>
      <c r="AP3978" s="7"/>
      <c r="AQ3978" s="7"/>
      <c r="AR3978" s="7"/>
      <c r="AS3978" s="7" t="s">
        <v>27</v>
      </c>
    </row>
    <row r="3979">
      <c r="A3979" s="7" t="s">
        <v>1014</v>
      </c>
      <c r="B3979" s="7" t="s">
        <v>2542</v>
      </c>
      <c r="C3979" s="7">
        <f t="shared" si="540"/>
        <v>3</v>
      </c>
      <c r="D3979" s="7">
        <v>2.0</v>
      </c>
      <c r="E3979" s="7">
        <v>3.0</v>
      </c>
      <c r="F3979" s="7" t="s">
        <v>83</v>
      </c>
      <c r="G3979" s="7" t="s">
        <v>2188</v>
      </c>
      <c r="H3979" s="9" t="s">
        <v>2979</v>
      </c>
      <c r="I3979" t="s">
        <v>4168</v>
      </c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  <c r="AA3979" s="7"/>
      <c r="AB3979" s="7"/>
      <c r="AC3979" s="7"/>
      <c r="AD3979" s="7" t="str">
        <f t="shared" si="1"/>
        <v>Built-up :</v>
      </c>
      <c r="AE3979" s="7" t="str">
        <f t="shared" si="2"/>
        <v> sq. ft.</v>
      </c>
      <c r="AF3979">
        <f>IFERROR(__xludf.DUMMYFUNCTION("VALUE(REGEXREPLACE(G3979,""[^[:digit:]]"", """"))"),1037.0)</f>
        <v>1037</v>
      </c>
      <c r="AG3979" s="7"/>
      <c r="AH3979" s="7"/>
      <c r="AI3979" s="7"/>
      <c r="AJ3979" s="7"/>
      <c r="AK3979" s="7"/>
      <c r="AL3979" s="7"/>
      <c r="AM3979" s="7"/>
      <c r="AN3979" s="7"/>
      <c r="AO3979" s="7"/>
      <c r="AP3979" s="7"/>
      <c r="AQ3979" s="7"/>
      <c r="AR3979" s="7"/>
      <c r="AS3979" s="7" t="s">
        <v>27</v>
      </c>
    </row>
    <row r="3980">
      <c r="A3980" s="7" t="s">
        <v>33</v>
      </c>
      <c r="B3980" s="7" t="s">
        <v>563</v>
      </c>
      <c r="C3980" s="7">
        <f t="shared" si="540"/>
        <v>3</v>
      </c>
      <c r="D3980" s="7">
        <v>2.0</v>
      </c>
      <c r="E3980" s="7">
        <v>2.0</v>
      </c>
      <c r="F3980" s="7" t="s">
        <v>93</v>
      </c>
      <c r="G3980" s="7" t="s">
        <v>1688</v>
      </c>
      <c r="H3980" s="9" t="s">
        <v>2979</v>
      </c>
      <c r="I3980" t="s">
        <v>3858</v>
      </c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  <c r="AA3980" s="7"/>
      <c r="AB3980" s="7"/>
      <c r="AC3980" s="7"/>
      <c r="AD3980" s="7" t="str">
        <f t="shared" si="1"/>
        <v>Built-up :</v>
      </c>
      <c r="AE3980" s="7" t="str">
        <f t="shared" si="2"/>
        <v> sq. ft.</v>
      </c>
      <c r="AF3980">
        <f>IFERROR(__xludf.DUMMYFUNCTION("VALUE(REGEXREPLACE(G3980,""[^[:digit:]]"", """"))"),1250.0)</f>
        <v>1250</v>
      </c>
      <c r="AG3980" s="7"/>
      <c r="AH3980" s="7"/>
      <c r="AI3980" s="7"/>
      <c r="AJ3980" s="7"/>
      <c r="AK3980" s="7"/>
      <c r="AL3980" s="7"/>
      <c r="AM3980" s="7"/>
      <c r="AN3980" s="7"/>
      <c r="AO3980" s="7"/>
      <c r="AP3980" s="7"/>
      <c r="AQ3980" s="7"/>
      <c r="AR3980" s="7"/>
      <c r="AS3980" s="7" t="s">
        <v>27</v>
      </c>
    </row>
    <row r="3981">
      <c r="A3981" s="7" t="s">
        <v>33</v>
      </c>
      <c r="B3981" s="7" t="s">
        <v>1199</v>
      </c>
      <c r="C3981" s="7">
        <f>3+1</f>
        <v>4</v>
      </c>
      <c r="D3981" s="7">
        <v>3.0</v>
      </c>
      <c r="E3981" s="9">
        <v>2.0</v>
      </c>
      <c r="F3981" s="7" t="s">
        <v>83</v>
      </c>
      <c r="G3981" s="7" t="s">
        <v>2543</v>
      </c>
      <c r="H3981" s="9" t="s">
        <v>2981</v>
      </c>
      <c r="I3981" t="s">
        <v>4387</v>
      </c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  <c r="AA3981" s="7"/>
      <c r="AB3981" s="7"/>
      <c r="AC3981" s="7"/>
      <c r="AD3981" s="7" t="str">
        <f t="shared" si="1"/>
        <v>Land area </v>
      </c>
      <c r="AE3981" s="7" t="str">
        <f t="shared" si="2"/>
        <v> sq. ft.</v>
      </c>
      <c r="AF3981">
        <f>IFERROR(__xludf.DUMMYFUNCTION("VALUE(REGEXREPLACE(G3981,""[^[:digit:]]"", """"))"),1513.0)</f>
        <v>1513</v>
      </c>
      <c r="AG3981" s="7"/>
      <c r="AH3981" s="7"/>
      <c r="AI3981" s="7"/>
      <c r="AJ3981" s="7"/>
      <c r="AK3981" s="7"/>
      <c r="AL3981" s="7"/>
      <c r="AM3981" s="7"/>
      <c r="AN3981" s="7"/>
      <c r="AO3981" s="7"/>
      <c r="AP3981" s="7"/>
      <c r="AQ3981" s="7"/>
      <c r="AR3981" s="7"/>
      <c r="AS3981" s="7" t="s">
        <v>103</v>
      </c>
    </row>
    <row r="3982">
      <c r="A3982" s="7" t="s">
        <v>32</v>
      </c>
      <c r="B3982" s="7" t="s">
        <v>2358</v>
      </c>
      <c r="C3982" s="7">
        <f>4</f>
        <v>4</v>
      </c>
      <c r="D3982" s="7">
        <v>3.0</v>
      </c>
      <c r="E3982" s="9">
        <v>2.0</v>
      </c>
      <c r="F3982" s="7" t="s">
        <v>54</v>
      </c>
      <c r="G3982" s="7" t="s">
        <v>2544</v>
      </c>
      <c r="H3982" s="9" t="s">
        <v>2981</v>
      </c>
      <c r="I3982" t="s">
        <v>3297</v>
      </c>
      <c r="J3982" s="7"/>
      <c r="K3982" s="7"/>
      <c r="L3982" s="7"/>
      <c r="M3982" s="7"/>
      <c r="N3982" s="7"/>
      <c r="O3982" s="7"/>
      <c r="P3982" s="7"/>
      <c r="Q3982" s="7"/>
      <c r="R3982" s="7"/>
      <c r="S3982" s="7" t="s">
        <v>3298</v>
      </c>
      <c r="T3982" s="7"/>
      <c r="U3982" s="7"/>
      <c r="V3982" s="7"/>
      <c r="W3982" s="7"/>
      <c r="X3982" s="7"/>
      <c r="Y3982" s="7"/>
      <c r="Z3982" s="7"/>
      <c r="AA3982" s="7"/>
      <c r="AB3982" s="7"/>
      <c r="AC3982" s="7"/>
      <c r="AD3982" s="7" t="str">
        <f t="shared" si="1"/>
        <v>Land area </v>
      </c>
      <c r="AE3982" s="7" t="str">
        <f t="shared" si="2"/>
        <v> sq. ft.</v>
      </c>
      <c r="AF3982" s="7">
        <v>1300.0</v>
      </c>
      <c r="AG3982" s="7"/>
      <c r="AH3982" s="7"/>
      <c r="AI3982" s="7"/>
      <c r="AJ3982" s="7"/>
      <c r="AK3982" s="7"/>
      <c r="AL3982" s="7"/>
      <c r="AM3982" s="7"/>
      <c r="AN3982" s="7"/>
      <c r="AO3982" s="7"/>
      <c r="AP3982" s="7"/>
      <c r="AQ3982" s="7"/>
      <c r="AR3982" s="7"/>
      <c r="AS3982" s="7" t="s">
        <v>27</v>
      </c>
    </row>
    <row r="3983">
      <c r="A3983" s="7" t="s">
        <v>371</v>
      </c>
      <c r="B3983" s="7" t="s">
        <v>2545</v>
      </c>
      <c r="C3983" s="7">
        <f>3</f>
        <v>3</v>
      </c>
      <c r="D3983" s="7">
        <v>2.0</v>
      </c>
      <c r="E3983" s="9">
        <v>2.0</v>
      </c>
      <c r="F3983" s="7" t="s">
        <v>93</v>
      </c>
      <c r="G3983" s="7" t="s">
        <v>2546</v>
      </c>
      <c r="H3983" s="9" t="s">
        <v>2981</v>
      </c>
      <c r="I3983" t="s">
        <v>4388</v>
      </c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  <c r="AA3983" s="7"/>
      <c r="AB3983" s="7"/>
      <c r="AC3983" s="7"/>
      <c r="AD3983" s="7" t="str">
        <f t="shared" si="1"/>
        <v>Land area </v>
      </c>
      <c r="AE3983" s="7" t="str">
        <f t="shared" si="2"/>
        <v> sq. ft.</v>
      </c>
      <c r="AF3983">
        <f>IFERROR(__xludf.DUMMYFUNCTION("VALUE(REGEXREPLACE(G3983,""[^[:digit:]]"", """"))"),1270.0)</f>
        <v>1270</v>
      </c>
      <c r="AG3983" s="7"/>
      <c r="AH3983" s="7"/>
      <c r="AI3983" s="7"/>
      <c r="AJ3983" s="7"/>
      <c r="AK3983" s="7"/>
      <c r="AL3983" s="7"/>
      <c r="AM3983" s="7"/>
      <c r="AN3983" s="7"/>
      <c r="AO3983" s="7"/>
      <c r="AP3983" s="7"/>
      <c r="AQ3983" s="7"/>
      <c r="AR3983" s="7"/>
      <c r="AS3983" s="7" t="s">
        <v>103</v>
      </c>
    </row>
    <row r="3984">
      <c r="A3984" s="7" t="s">
        <v>164</v>
      </c>
      <c r="B3984" s="7" t="s">
        <v>322</v>
      </c>
      <c r="C3984" s="7">
        <f t="shared" ref="C3984:C3985" si="541">2</f>
        <v>2</v>
      </c>
      <c r="D3984" s="7">
        <v>2.0</v>
      </c>
      <c r="E3984" s="7">
        <v>1.0</v>
      </c>
      <c r="F3984" s="7" t="s">
        <v>20</v>
      </c>
      <c r="G3984" s="7" t="s">
        <v>234</v>
      </c>
      <c r="H3984" s="9" t="s">
        <v>2979</v>
      </c>
      <c r="I3984" t="s">
        <v>3068</v>
      </c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 t="str">
        <f t="shared" si="1"/>
        <v>Built-up :</v>
      </c>
      <c r="AE3984" s="7" t="str">
        <f t="shared" si="2"/>
        <v> sq. ft.</v>
      </c>
      <c r="AF3984">
        <f>IFERROR(__xludf.DUMMYFUNCTION("VALUE(REGEXREPLACE(G3984,""[^[:digit:]]"", """"))"),1399.0)</f>
        <v>1399</v>
      </c>
      <c r="AG3984" s="7"/>
      <c r="AH3984" s="7"/>
      <c r="AI3984" s="7"/>
      <c r="AJ3984" s="7"/>
      <c r="AK3984" s="7"/>
      <c r="AL3984" s="7"/>
      <c r="AM3984" s="7"/>
      <c r="AN3984" s="7"/>
      <c r="AO3984" s="7"/>
      <c r="AP3984" s="7"/>
      <c r="AQ3984" s="7"/>
      <c r="AR3984" s="7"/>
      <c r="AS3984" s="7" t="s">
        <v>22</v>
      </c>
    </row>
    <row r="3985">
      <c r="A3985" s="7" t="s">
        <v>177</v>
      </c>
      <c r="B3985" s="7" t="s">
        <v>302</v>
      </c>
      <c r="C3985" s="7">
        <f t="shared" si="541"/>
        <v>2</v>
      </c>
      <c r="D3985" s="7">
        <v>2.0</v>
      </c>
      <c r="E3985" s="7">
        <v>1.0</v>
      </c>
      <c r="F3985" s="7" t="s">
        <v>121</v>
      </c>
      <c r="G3985" s="7" t="s">
        <v>2547</v>
      </c>
      <c r="H3985" s="9" t="s">
        <v>2979</v>
      </c>
      <c r="I3985" t="s">
        <v>4389</v>
      </c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  <c r="AA3985" s="7"/>
      <c r="AB3985" s="7"/>
      <c r="AC3985" s="7"/>
      <c r="AD3985" s="7" t="str">
        <f t="shared" si="1"/>
        <v>Built-up :</v>
      </c>
      <c r="AE3985" s="7" t="str">
        <f t="shared" si="2"/>
        <v> sq. ft.</v>
      </c>
      <c r="AF3985">
        <f>IFERROR(__xludf.DUMMYFUNCTION("VALUE(REGEXREPLACE(G3985,""[^[:digit:]]"", """"))"),980.0)</f>
        <v>980</v>
      </c>
      <c r="AG3985" s="7"/>
      <c r="AH3985" s="7"/>
      <c r="AI3985" s="7"/>
      <c r="AJ3985" s="7"/>
      <c r="AK3985" s="7"/>
      <c r="AL3985" s="7"/>
      <c r="AM3985" s="7"/>
      <c r="AN3985" s="7"/>
      <c r="AO3985" s="7"/>
      <c r="AP3985" s="7"/>
      <c r="AQ3985" s="7"/>
      <c r="AR3985" s="7"/>
      <c r="AS3985" s="7" t="s">
        <v>22</v>
      </c>
    </row>
    <row r="3986">
      <c r="A3986" s="7" t="s">
        <v>164</v>
      </c>
      <c r="B3986" s="7" t="s">
        <v>569</v>
      </c>
      <c r="C3986" s="7">
        <f t="shared" ref="C3986:C3987" si="542">4</f>
        <v>4</v>
      </c>
      <c r="D3986" s="7">
        <v>4.0</v>
      </c>
      <c r="E3986" s="7">
        <v>3.0</v>
      </c>
      <c r="F3986" s="7" t="s">
        <v>312</v>
      </c>
      <c r="G3986" s="7" t="s">
        <v>570</v>
      </c>
      <c r="H3986" s="9" t="s">
        <v>2979</v>
      </c>
      <c r="I3986" t="s">
        <v>3230</v>
      </c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  <c r="AA3986" s="7"/>
      <c r="AB3986" s="7"/>
      <c r="AC3986" s="7"/>
      <c r="AD3986" s="7" t="str">
        <f t="shared" si="1"/>
        <v>Built-up :</v>
      </c>
      <c r="AE3986" s="7" t="str">
        <f t="shared" si="2"/>
        <v> sq. ft.</v>
      </c>
      <c r="AF3986">
        <f>IFERROR(__xludf.DUMMYFUNCTION("VALUE(REGEXREPLACE(G3986,""[^[:digit:]]"", """"))"),3143.0)</f>
        <v>3143</v>
      </c>
      <c r="AG3986" s="7"/>
      <c r="AH3986" s="7"/>
      <c r="AI3986" s="7"/>
      <c r="AJ3986" s="7"/>
      <c r="AK3986" s="7"/>
      <c r="AL3986" s="7"/>
      <c r="AM3986" s="7"/>
      <c r="AN3986" s="7"/>
      <c r="AO3986" s="7"/>
      <c r="AP3986" s="7"/>
      <c r="AQ3986" s="7"/>
      <c r="AR3986" s="7"/>
    </row>
    <row r="3987">
      <c r="A3987" s="7" t="s">
        <v>164</v>
      </c>
      <c r="B3987" s="7" t="s">
        <v>2548</v>
      </c>
      <c r="C3987" s="7">
        <f t="shared" si="542"/>
        <v>4</v>
      </c>
      <c r="D3987" s="7">
        <v>4.0</v>
      </c>
      <c r="E3987" s="7">
        <v>3.0</v>
      </c>
      <c r="F3987" s="7" t="s">
        <v>20</v>
      </c>
      <c r="G3987" s="7" t="s">
        <v>2549</v>
      </c>
      <c r="H3987" s="9" t="s">
        <v>2979</v>
      </c>
      <c r="I3987" t="s">
        <v>4390</v>
      </c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  <c r="AA3987" s="7"/>
      <c r="AB3987" s="7"/>
      <c r="AC3987" s="7"/>
      <c r="AD3987" s="7" t="str">
        <f t="shared" si="1"/>
        <v>Built-up :</v>
      </c>
      <c r="AE3987" s="7" t="str">
        <f t="shared" si="2"/>
        <v> sq. ft.</v>
      </c>
      <c r="AF3987">
        <f>IFERROR(__xludf.DUMMYFUNCTION("VALUE(REGEXREPLACE(G3987,""[^[:digit:]]"", """"))"),3283.0)</f>
        <v>3283</v>
      </c>
      <c r="AG3987" s="7"/>
      <c r="AH3987" s="7"/>
      <c r="AI3987" s="7"/>
      <c r="AJ3987" s="7"/>
      <c r="AK3987" s="7"/>
      <c r="AL3987" s="7"/>
      <c r="AM3987" s="7"/>
      <c r="AN3987" s="7"/>
      <c r="AO3987" s="7"/>
      <c r="AP3987" s="7"/>
      <c r="AQ3987" s="7"/>
      <c r="AR3987" s="7"/>
      <c r="AS3987" s="7" t="s">
        <v>27</v>
      </c>
    </row>
    <row r="3988">
      <c r="A3988" s="7" t="s">
        <v>164</v>
      </c>
      <c r="B3988" s="7" t="s">
        <v>2550</v>
      </c>
      <c r="C3988" s="7">
        <f>1</f>
        <v>1</v>
      </c>
      <c r="D3988" s="7">
        <v>2.0</v>
      </c>
      <c r="E3988" s="7">
        <v>1.0</v>
      </c>
      <c r="F3988" s="7" t="s">
        <v>20</v>
      </c>
      <c r="G3988" s="7" t="s">
        <v>621</v>
      </c>
      <c r="H3988" s="9" t="s">
        <v>2979</v>
      </c>
      <c r="I3988" t="s">
        <v>3251</v>
      </c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  <c r="AA3988" s="7"/>
      <c r="AB3988" s="7"/>
      <c r="AC3988" s="7"/>
      <c r="AD3988" s="7" t="str">
        <f t="shared" si="1"/>
        <v>Built-up :</v>
      </c>
      <c r="AE3988" s="7" t="str">
        <f t="shared" si="2"/>
        <v> sq. ft.</v>
      </c>
      <c r="AF3988">
        <f>IFERROR(__xludf.DUMMYFUNCTION("VALUE(REGEXREPLACE(G3988,""[^[:digit:]]"", """"))"),1119.0)</f>
        <v>1119</v>
      </c>
      <c r="AG3988" s="7"/>
      <c r="AH3988" s="7"/>
      <c r="AI3988" s="7"/>
      <c r="AJ3988" s="7"/>
      <c r="AK3988" s="7"/>
      <c r="AL3988" s="7"/>
      <c r="AM3988" s="7"/>
      <c r="AN3988" s="7"/>
      <c r="AO3988" s="7"/>
      <c r="AP3988" s="7"/>
      <c r="AQ3988" s="7"/>
      <c r="AR3988" s="7"/>
      <c r="AS3988" s="7" t="s">
        <v>27</v>
      </c>
    </row>
    <row r="3989">
      <c r="A3989" s="7" t="s">
        <v>164</v>
      </c>
      <c r="B3989" s="7" t="s">
        <v>2551</v>
      </c>
      <c r="C3989" s="7">
        <f t="shared" ref="C3989:C3990" si="543">4</f>
        <v>4</v>
      </c>
      <c r="D3989" s="7">
        <v>4.0</v>
      </c>
      <c r="E3989" s="7">
        <v>3.0</v>
      </c>
      <c r="F3989" s="7" t="s">
        <v>20</v>
      </c>
      <c r="G3989" s="7" t="s">
        <v>570</v>
      </c>
      <c r="H3989" s="9" t="s">
        <v>2979</v>
      </c>
      <c r="I3989" t="s">
        <v>3230</v>
      </c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  <c r="AA3989" s="7"/>
      <c r="AB3989" s="7"/>
      <c r="AC3989" s="7"/>
      <c r="AD3989" s="7" t="str">
        <f t="shared" si="1"/>
        <v>Built-up :</v>
      </c>
      <c r="AE3989" s="7" t="str">
        <f t="shared" si="2"/>
        <v> sq. ft.</v>
      </c>
      <c r="AF3989">
        <f>IFERROR(__xludf.DUMMYFUNCTION("VALUE(REGEXREPLACE(G3989,""[^[:digit:]]"", """"))"),3143.0)</f>
        <v>3143</v>
      </c>
      <c r="AG3989" s="7"/>
      <c r="AH3989" s="7"/>
      <c r="AI3989" s="7"/>
      <c r="AJ3989" s="7"/>
      <c r="AK3989" s="7"/>
      <c r="AL3989" s="7"/>
      <c r="AM3989" s="7"/>
      <c r="AN3989" s="7"/>
      <c r="AO3989" s="7"/>
      <c r="AP3989" s="7"/>
      <c r="AQ3989" s="7"/>
      <c r="AR3989" s="7"/>
      <c r="AS3989" s="7" t="s">
        <v>27</v>
      </c>
    </row>
    <row r="3990">
      <c r="A3990" s="7" t="s">
        <v>164</v>
      </c>
      <c r="B3990" s="7" t="s">
        <v>1827</v>
      </c>
      <c r="C3990" s="7">
        <f t="shared" si="543"/>
        <v>4</v>
      </c>
      <c r="D3990" s="7">
        <v>4.0</v>
      </c>
      <c r="E3990" s="7">
        <v>3.0</v>
      </c>
      <c r="F3990" s="7" t="s">
        <v>20</v>
      </c>
      <c r="G3990" s="7" t="s">
        <v>2552</v>
      </c>
      <c r="H3990" s="9" t="s">
        <v>2979</v>
      </c>
      <c r="I3990" t="s">
        <v>4391</v>
      </c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  <c r="AA3990" s="7"/>
      <c r="AB3990" s="7"/>
      <c r="AC3990" s="7"/>
      <c r="AD3990" s="7" t="str">
        <f t="shared" si="1"/>
        <v>Built-up :</v>
      </c>
      <c r="AE3990" s="7" t="str">
        <f t="shared" si="2"/>
        <v> sq. ft.</v>
      </c>
      <c r="AF3990">
        <f>IFERROR(__xludf.DUMMYFUNCTION("VALUE(REGEXREPLACE(G3990,""[^[:digit:]]"", """"))"),2949.0)</f>
        <v>2949</v>
      </c>
      <c r="AG3990" s="7"/>
      <c r="AH3990" s="7"/>
      <c r="AI3990" s="7"/>
      <c r="AJ3990" s="7"/>
      <c r="AK3990" s="7"/>
      <c r="AL3990" s="7"/>
      <c r="AM3990" s="7"/>
      <c r="AN3990" s="7"/>
      <c r="AO3990" s="7"/>
      <c r="AP3990" s="7"/>
      <c r="AQ3990" s="7"/>
      <c r="AR3990" s="7"/>
      <c r="AS3990" s="7" t="s">
        <v>27</v>
      </c>
    </row>
    <row r="3991">
      <c r="A3991" s="7" t="s">
        <v>32</v>
      </c>
      <c r="B3991" s="7" t="s">
        <v>951</v>
      </c>
      <c r="C3991" s="7">
        <f t="shared" ref="C3991:C3992" si="544">3</f>
        <v>3</v>
      </c>
      <c r="D3991" s="7">
        <v>2.0</v>
      </c>
      <c r="E3991" s="7">
        <v>1.0</v>
      </c>
      <c r="F3991" s="7" t="s">
        <v>30</v>
      </c>
      <c r="G3991" s="7" t="s">
        <v>976</v>
      </c>
      <c r="H3991" s="9" t="s">
        <v>2979</v>
      </c>
      <c r="I3991" t="s">
        <v>3432</v>
      </c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  <c r="AA3991" s="7"/>
      <c r="AB3991" s="7"/>
      <c r="AC3991" s="7"/>
      <c r="AD3991" s="7" t="str">
        <f t="shared" si="1"/>
        <v>Built-up :</v>
      </c>
      <c r="AE3991" s="7" t="str">
        <f t="shared" si="2"/>
        <v> sq. ft.</v>
      </c>
      <c r="AF3991">
        <f>IFERROR(__xludf.DUMMYFUNCTION("VALUE(REGEXREPLACE(G3991,""[^[:digit:]]"", """"))"),920.0)</f>
        <v>920</v>
      </c>
      <c r="AG3991" s="7"/>
      <c r="AH3991" s="7"/>
      <c r="AI3991" s="7"/>
      <c r="AJ3991" s="7"/>
      <c r="AK3991" s="7"/>
      <c r="AL3991" s="7"/>
      <c r="AM3991" s="7"/>
      <c r="AN3991" s="7"/>
      <c r="AO3991" s="7"/>
      <c r="AP3991" s="7"/>
      <c r="AQ3991" s="7"/>
      <c r="AR3991" s="7"/>
      <c r="AS3991" s="7" t="s">
        <v>22</v>
      </c>
    </row>
    <row r="3992">
      <c r="A3992" s="7" t="s">
        <v>41</v>
      </c>
      <c r="B3992" s="7" t="s">
        <v>2553</v>
      </c>
      <c r="C3992" s="7">
        <f t="shared" si="544"/>
        <v>3</v>
      </c>
      <c r="D3992" s="7">
        <v>2.0</v>
      </c>
      <c r="E3992" s="7">
        <v>2.0</v>
      </c>
      <c r="F3992" s="7" t="s">
        <v>30</v>
      </c>
      <c r="G3992" s="7" t="s">
        <v>237</v>
      </c>
      <c r="H3992" s="9" t="s">
        <v>2979</v>
      </c>
      <c r="I3992" t="s">
        <v>3069</v>
      </c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  <c r="AA3992" s="7"/>
      <c r="AB3992" s="7"/>
      <c r="AC3992" s="7"/>
      <c r="AD3992" s="7" t="str">
        <f t="shared" si="1"/>
        <v>Built-up :</v>
      </c>
      <c r="AE3992" s="7" t="str">
        <f t="shared" si="2"/>
        <v> sq. ft.</v>
      </c>
      <c r="AF3992">
        <f>IFERROR(__xludf.DUMMYFUNCTION("VALUE(REGEXREPLACE(G3992,""[^[:digit:]]"", """"))"),1087.0)</f>
        <v>1087</v>
      </c>
      <c r="AG3992" s="7"/>
      <c r="AH3992" s="7"/>
      <c r="AI3992" s="7"/>
      <c r="AJ3992" s="7"/>
      <c r="AK3992" s="7"/>
      <c r="AL3992" s="7"/>
      <c r="AM3992" s="7"/>
      <c r="AN3992" s="7"/>
      <c r="AO3992" s="7"/>
      <c r="AP3992" s="7"/>
      <c r="AQ3992" s="7"/>
      <c r="AR3992" s="7"/>
      <c r="AS3992" s="7" t="s">
        <v>27</v>
      </c>
    </row>
    <row r="3993">
      <c r="A3993" s="7" t="s">
        <v>41</v>
      </c>
      <c r="B3993" s="7" t="s">
        <v>2554</v>
      </c>
      <c r="C3993" s="7">
        <f t="shared" ref="C3993:C3994" si="545">1</f>
        <v>1</v>
      </c>
      <c r="D3993" s="7">
        <v>1.0</v>
      </c>
      <c r="E3993" s="7">
        <v>1.0</v>
      </c>
      <c r="F3993" s="7" t="s">
        <v>30</v>
      </c>
      <c r="G3993" s="7" t="s">
        <v>392</v>
      </c>
      <c r="H3993" s="9" t="s">
        <v>2979</v>
      </c>
      <c r="I3993" t="s">
        <v>3141</v>
      </c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  <c r="AA3993" s="7"/>
      <c r="AB3993" s="7"/>
      <c r="AC3993" s="7"/>
      <c r="AD3993" s="7" t="str">
        <f t="shared" si="1"/>
        <v>Built-up :</v>
      </c>
      <c r="AE3993" s="7" t="str">
        <f t="shared" si="2"/>
        <v> sq. ft.</v>
      </c>
      <c r="AF3993">
        <f>IFERROR(__xludf.DUMMYFUNCTION("VALUE(REGEXREPLACE(G3993,""[^[:digit:]]"", """"))"),850.0)</f>
        <v>850</v>
      </c>
      <c r="AG3993" s="7"/>
      <c r="AH3993" s="7"/>
      <c r="AI3993" s="7"/>
      <c r="AJ3993" s="7"/>
      <c r="AK3993" s="7"/>
      <c r="AL3993" s="7"/>
      <c r="AM3993" s="7"/>
      <c r="AN3993" s="7"/>
      <c r="AO3993" s="7"/>
      <c r="AP3993" s="7"/>
      <c r="AQ3993" s="7"/>
      <c r="AR3993" s="7"/>
      <c r="AS3993" s="7" t="s">
        <v>27</v>
      </c>
    </row>
    <row r="3994">
      <c r="A3994" s="7" t="s">
        <v>41</v>
      </c>
      <c r="B3994" s="7" t="s">
        <v>2555</v>
      </c>
      <c r="C3994" s="7">
        <f t="shared" si="545"/>
        <v>1</v>
      </c>
      <c r="D3994" s="7">
        <v>1.0</v>
      </c>
      <c r="E3994" s="7">
        <v>1.0</v>
      </c>
      <c r="F3994" s="7" t="s">
        <v>30</v>
      </c>
      <c r="G3994" s="7" t="s">
        <v>1245</v>
      </c>
      <c r="H3994" s="9" t="s">
        <v>2979</v>
      </c>
      <c r="I3994" t="s">
        <v>3603</v>
      </c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  <c r="AA3994" s="7"/>
      <c r="AB3994" s="7"/>
      <c r="AC3994" s="7"/>
      <c r="AD3994" s="7" t="str">
        <f t="shared" si="1"/>
        <v>Built-up :</v>
      </c>
      <c r="AE3994" s="7" t="str">
        <f t="shared" si="2"/>
        <v> sq. ft.</v>
      </c>
      <c r="AF3994">
        <f>IFERROR(__xludf.DUMMYFUNCTION("VALUE(REGEXREPLACE(G3994,""[^[:digit:]]"", """"))"),807.0)</f>
        <v>807</v>
      </c>
      <c r="AG3994" s="7"/>
      <c r="AH3994" s="7"/>
      <c r="AI3994" s="7"/>
      <c r="AJ3994" s="7"/>
      <c r="AK3994" s="7"/>
      <c r="AL3994" s="7"/>
      <c r="AM3994" s="7"/>
      <c r="AN3994" s="7"/>
      <c r="AO3994" s="7"/>
      <c r="AP3994" s="7"/>
      <c r="AQ3994" s="7"/>
      <c r="AR3994" s="7"/>
      <c r="AS3994" s="7" t="s">
        <v>27</v>
      </c>
    </row>
    <row r="3995">
      <c r="A3995" s="7" t="s">
        <v>32</v>
      </c>
      <c r="B3995" s="7" t="s">
        <v>1328</v>
      </c>
      <c r="C3995" s="7">
        <f>5</f>
        <v>5</v>
      </c>
      <c r="D3995" s="7">
        <v>3.0</v>
      </c>
      <c r="E3995" s="7">
        <v>2.0</v>
      </c>
      <c r="F3995" s="7" t="s">
        <v>54</v>
      </c>
      <c r="G3995" s="7" t="s">
        <v>718</v>
      </c>
      <c r="H3995" s="9" t="s">
        <v>2981</v>
      </c>
      <c r="I3995" t="s">
        <v>3297</v>
      </c>
      <c r="J3995" s="7"/>
      <c r="K3995" s="7"/>
      <c r="L3995" s="7"/>
      <c r="M3995" s="7"/>
      <c r="N3995" s="7"/>
      <c r="O3995" s="7"/>
      <c r="P3995" s="7"/>
      <c r="Q3995" s="7"/>
      <c r="R3995" s="7"/>
      <c r="S3995" s="7" t="s">
        <v>3298</v>
      </c>
      <c r="T3995" s="7"/>
      <c r="U3995" s="7"/>
      <c r="V3995" s="7"/>
      <c r="W3995" s="7"/>
      <c r="X3995" s="7"/>
      <c r="Y3995" s="7"/>
      <c r="Z3995" s="7"/>
      <c r="AA3995" s="7"/>
      <c r="AB3995" s="7"/>
      <c r="AC3995" s="7"/>
      <c r="AD3995" s="7" t="str">
        <f t="shared" si="1"/>
        <v>Land area </v>
      </c>
      <c r="AE3995" s="7" t="str">
        <f t="shared" si="2"/>
        <v> sq. ft.</v>
      </c>
      <c r="AF3995">
        <f>IFERROR(__xludf.DUMMYFUNCTION("VALUE(REGEXREPLACE(G3995,""[^[:digit:]]"", """"))"),2065.0)</f>
        <v>2065</v>
      </c>
      <c r="AG3995" s="7"/>
      <c r="AH3995" s="7"/>
      <c r="AI3995" s="7"/>
      <c r="AJ3995" s="7"/>
      <c r="AK3995" s="7"/>
      <c r="AL3995" s="7"/>
      <c r="AM3995" s="7"/>
      <c r="AN3995" s="7"/>
      <c r="AO3995" s="7"/>
      <c r="AP3995" s="7"/>
      <c r="AQ3995" s="7"/>
      <c r="AR3995" s="7"/>
      <c r="AS3995" s="7" t="s">
        <v>27</v>
      </c>
    </row>
    <row r="3996">
      <c r="A3996" s="7" t="s">
        <v>171</v>
      </c>
      <c r="B3996" s="7" t="s">
        <v>1423</v>
      </c>
      <c r="C3996" s="7">
        <f>3+1</f>
        <v>4</v>
      </c>
      <c r="D3996" s="7">
        <v>2.0</v>
      </c>
      <c r="E3996" s="9">
        <v>2.0</v>
      </c>
      <c r="F3996" s="7" t="s">
        <v>83</v>
      </c>
      <c r="G3996" s="7" t="s">
        <v>2556</v>
      </c>
      <c r="H3996" s="9" t="s">
        <v>2981</v>
      </c>
      <c r="I3996" t="s">
        <v>4392</v>
      </c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  <c r="AA3996" s="7"/>
      <c r="AB3996" s="7"/>
      <c r="AC3996" s="7"/>
      <c r="AD3996" s="7" t="str">
        <f t="shared" si="1"/>
        <v>Land area </v>
      </c>
      <c r="AE3996" s="7" t="str">
        <f t="shared" si="2"/>
        <v> sq. ft.</v>
      </c>
      <c r="AF3996">
        <f>IFERROR(__xludf.DUMMYFUNCTION("VALUE(REGEXREPLACE(G3996,""[^[:digit:]]"", """"))"),1207.0)</f>
        <v>1207</v>
      </c>
      <c r="AG3996" s="7"/>
      <c r="AH3996" s="7"/>
      <c r="AI3996" s="7"/>
      <c r="AJ3996" s="7"/>
      <c r="AK3996" s="7"/>
      <c r="AL3996" s="7"/>
      <c r="AM3996" s="7"/>
      <c r="AN3996" s="7"/>
      <c r="AO3996" s="7"/>
      <c r="AP3996" s="7"/>
      <c r="AQ3996" s="7"/>
      <c r="AR3996" s="7"/>
      <c r="AS3996" s="7" t="s">
        <v>103</v>
      </c>
    </row>
    <row r="3997">
      <c r="A3997" s="7" t="s">
        <v>28</v>
      </c>
      <c r="B3997" s="7" t="s">
        <v>134</v>
      </c>
      <c r="C3997" s="7">
        <f t="shared" ref="C3997:C3999" si="546">2</f>
        <v>2</v>
      </c>
      <c r="D3997" s="7">
        <v>2.0</v>
      </c>
      <c r="E3997" s="7">
        <v>2.0</v>
      </c>
      <c r="F3997" s="7" t="s">
        <v>20</v>
      </c>
      <c r="G3997" s="7" t="s">
        <v>937</v>
      </c>
      <c r="H3997" s="9" t="s">
        <v>2979</v>
      </c>
      <c r="I3997" t="s">
        <v>3416</v>
      </c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  <c r="AA3997" s="7"/>
      <c r="AB3997" s="7"/>
      <c r="AC3997" s="7"/>
      <c r="AD3997" s="7" t="str">
        <f t="shared" si="1"/>
        <v>Built-up :</v>
      </c>
      <c r="AE3997" s="7" t="str">
        <f t="shared" si="2"/>
        <v> sq. ft.</v>
      </c>
      <c r="AF3997">
        <f>IFERROR(__xludf.DUMMYFUNCTION("VALUE(REGEXREPLACE(G3997,""[^[:digit:]]"", """"))"),1148.0)</f>
        <v>1148</v>
      </c>
      <c r="AG3997" s="7"/>
      <c r="AH3997" s="7"/>
      <c r="AI3997" s="7"/>
      <c r="AJ3997" s="7"/>
      <c r="AK3997" s="7"/>
      <c r="AL3997" s="7"/>
      <c r="AM3997" s="7"/>
      <c r="AN3997" s="7"/>
      <c r="AO3997" s="7"/>
      <c r="AP3997" s="7"/>
      <c r="AQ3997" s="7"/>
      <c r="AR3997" s="7"/>
      <c r="AS3997" s="7" t="s">
        <v>22</v>
      </c>
    </row>
    <row r="3998">
      <c r="A3998" s="7" t="s">
        <v>28</v>
      </c>
      <c r="B3998" s="7" t="s">
        <v>984</v>
      </c>
      <c r="C3998" s="7">
        <f t="shared" si="546"/>
        <v>2</v>
      </c>
      <c r="D3998" s="7">
        <v>2.0</v>
      </c>
      <c r="E3998" s="7">
        <v>1.0</v>
      </c>
      <c r="F3998" s="7" t="s">
        <v>20</v>
      </c>
      <c r="G3998" s="7" t="s">
        <v>1656</v>
      </c>
      <c r="H3998" s="9" t="s">
        <v>2979</v>
      </c>
      <c r="I3998" t="s">
        <v>3840</v>
      </c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  <c r="AA3998" s="7"/>
      <c r="AB3998" s="7"/>
      <c r="AC3998" s="7"/>
      <c r="AD3998" s="7" t="str">
        <f t="shared" si="1"/>
        <v>Built-up :</v>
      </c>
      <c r="AE3998" s="7" t="str">
        <f t="shared" si="2"/>
        <v> sq. ft.</v>
      </c>
      <c r="AF3998">
        <f>IFERROR(__xludf.DUMMYFUNCTION("VALUE(REGEXREPLACE(G3998,""[^[:digit:]]"", """"))"),1145.0)</f>
        <v>1145</v>
      </c>
      <c r="AG3998" s="7"/>
      <c r="AH3998" s="7"/>
      <c r="AI3998" s="7"/>
      <c r="AJ3998" s="7"/>
      <c r="AK3998" s="7"/>
      <c r="AL3998" s="7"/>
      <c r="AM3998" s="7"/>
      <c r="AN3998" s="7"/>
      <c r="AO3998" s="7"/>
      <c r="AP3998" s="7"/>
      <c r="AQ3998" s="7"/>
      <c r="AR3998" s="7"/>
      <c r="AS3998" s="7" t="s">
        <v>22</v>
      </c>
    </row>
    <row r="3999">
      <c r="A3999" s="7" t="s">
        <v>28</v>
      </c>
      <c r="B3999" s="7" t="s">
        <v>229</v>
      </c>
      <c r="C3999" s="7">
        <f t="shared" si="546"/>
        <v>2</v>
      </c>
      <c r="D3999" s="7">
        <v>2.0</v>
      </c>
      <c r="E3999" s="7">
        <v>1.0</v>
      </c>
      <c r="F3999" s="7" t="s">
        <v>20</v>
      </c>
      <c r="G3999" s="7" t="s">
        <v>1656</v>
      </c>
      <c r="H3999" s="9" t="s">
        <v>2979</v>
      </c>
      <c r="I3999" t="s">
        <v>3840</v>
      </c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  <c r="AA3999" s="7"/>
      <c r="AB3999" s="7"/>
      <c r="AC3999" s="7"/>
      <c r="AD3999" s="7" t="str">
        <f t="shared" si="1"/>
        <v>Built-up :</v>
      </c>
      <c r="AE3999" s="7" t="str">
        <f t="shared" si="2"/>
        <v> sq. ft.</v>
      </c>
      <c r="AF3999">
        <f>IFERROR(__xludf.DUMMYFUNCTION("VALUE(REGEXREPLACE(G3999,""[^[:digit:]]"", """"))"),1145.0)</f>
        <v>1145</v>
      </c>
      <c r="AG3999" s="7"/>
      <c r="AH3999" s="7"/>
      <c r="AI3999" s="7"/>
      <c r="AJ3999" s="7"/>
      <c r="AK3999" s="7"/>
      <c r="AL3999" s="7"/>
      <c r="AM3999" s="7"/>
      <c r="AN3999" s="7"/>
      <c r="AO3999" s="7"/>
      <c r="AP3999" s="7"/>
      <c r="AQ3999" s="7"/>
      <c r="AR3999" s="7"/>
      <c r="AS3999" s="7" t="s">
        <v>22</v>
      </c>
    </row>
    <row r="4000">
      <c r="A4000" s="7" t="s">
        <v>65</v>
      </c>
      <c r="B4000" s="7" t="s">
        <v>2557</v>
      </c>
      <c r="C4000" s="7">
        <f>4</f>
        <v>4</v>
      </c>
      <c r="D4000" s="7">
        <v>4.0</v>
      </c>
      <c r="E4000" s="7">
        <v>5.0</v>
      </c>
      <c r="F4000" s="7" t="s">
        <v>83</v>
      </c>
      <c r="G4000" s="7" t="s">
        <v>1999</v>
      </c>
      <c r="H4000" s="9" t="s">
        <v>2979</v>
      </c>
      <c r="I4000" t="s">
        <v>4045</v>
      </c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  <c r="AA4000" s="7"/>
      <c r="AB4000" s="7"/>
      <c r="AC4000" s="7"/>
      <c r="AD4000" s="7" t="str">
        <f t="shared" si="1"/>
        <v>Built-up :</v>
      </c>
      <c r="AE4000" s="7" t="str">
        <f t="shared" si="2"/>
        <v> sq. ft.</v>
      </c>
      <c r="AF4000">
        <f>IFERROR(__xludf.DUMMYFUNCTION("VALUE(REGEXREPLACE(G4000,""[^[:digit:]]"", """"))"),2800.0)</f>
        <v>2800</v>
      </c>
      <c r="AG4000" s="7"/>
      <c r="AH4000" s="7"/>
      <c r="AI4000" s="7"/>
      <c r="AJ4000" s="7"/>
      <c r="AK4000" s="7"/>
      <c r="AL4000" s="7"/>
      <c r="AM4000" s="7"/>
      <c r="AN4000" s="7"/>
      <c r="AO4000" s="7"/>
      <c r="AP4000" s="7"/>
      <c r="AQ4000" s="7"/>
      <c r="AR4000" s="7"/>
      <c r="AS4000" s="7" t="s">
        <v>22</v>
      </c>
    </row>
    <row r="4001">
      <c r="A4001" s="7" t="s">
        <v>28</v>
      </c>
      <c r="B4001" s="7" t="s">
        <v>311</v>
      </c>
      <c r="C4001" s="7">
        <f>3</f>
        <v>3</v>
      </c>
      <c r="D4001" s="7">
        <v>2.0</v>
      </c>
      <c r="E4001" s="7">
        <v>2.0</v>
      </c>
      <c r="F4001" s="7" t="s">
        <v>20</v>
      </c>
      <c r="G4001" s="7" t="s">
        <v>1555</v>
      </c>
      <c r="H4001" s="9" t="s">
        <v>2979</v>
      </c>
      <c r="I4001" t="s">
        <v>3777</v>
      </c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  <c r="AA4001" s="7"/>
      <c r="AB4001" s="7"/>
      <c r="AC4001" s="7"/>
      <c r="AD4001" s="7" t="str">
        <f t="shared" si="1"/>
        <v>Built-up :</v>
      </c>
      <c r="AE4001" s="7" t="str">
        <f t="shared" si="2"/>
        <v> sq. ft.</v>
      </c>
      <c r="AF4001">
        <f>IFERROR(__xludf.DUMMYFUNCTION("VALUE(REGEXREPLACE(G4001,""[^[:digit:]]"", """"))"),1238.0)</f>
        <v>1238</v>
      </c>
      <c r="AG4001" s="7"/>
      <c r="AH4001" s="7"/>
      <c r="AI4001" s="7"/>
      <c r="AJ4001" s="7"/>
      <c r="AK4001" s="7"/>
      <c r="AL4001" s="7"/>
      <c r="AM4001" s="7"/>
      <c r="AN4001" s="7"/>
      <c r="AO4001" s="7"/>
      <c r="AP4001" s="7"/>
      <c r="AQ4001" s="7"/>
      <c r="AR4001" s="7"/>
      <c r="AS4001" s="7" t="s">
        <v>22</v>
      </c>
    </row>
    <row r="4002">
      <c r="A4002" s="7" t="s">
        <v>72</v>
      </c>
      <c r="B4002" s="7" t="s">
        <v>120</v>
      </c>
      <c r="C4002" s="7">
        <f>4+1</f>
        <v>5</v>
      </c>
      <c r="D4002" s="7">
        <v>5.0</v>
      </c>
      <c r="E4002" s="9">
        <v>2.0</v>
      </c>
      <c r="F4002" s="7" t="s">
        <v>83</v>
      </c>
      <c r="G4002" s="7" t="s">
        <v>76</v>
      </c>
      <c r="H4002" s="9" t="s">
        <v>2979</v>
      </c>
      <c r="I4002" t="s">
        <v>2999</v>
      </c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  <c r="AA4002" s="7"/>
      <c r="AB4002" s="7"/>
      <c r="AC4002" s="7"/>
      <c r="AD4002" s="7" t="str">
        <f t="shared" si="1"/>
        <v>Built-up :</v>
      </c>
      <c r="AE4002" s="7" t="str">
        <f t="shared" si="2"/>
        <v> sq. ft.</v>
      </c>
      <c r="AF4002">
        <f>IFERROR(__xludf.DUMMYFUNCTION("VALUE(REGEXREPLACE(G4002,""[^[:digit:]]"", """"))"),3720.0)</f>
        <v>3720</v>
      </c>
      <c r="AG4002" s="7"/>
      <c r="AH4002" s="7"/>
      <c r="AI4002" s="7"/>
      <c r="AJ4002" s="7"/>
      <c r="AK4002" s="7"/>
      <c r="AL4002" s="7"/>
      <c r="AM4002" s="7"/>
      <c r="AN4002" s="7"/>
      <c r="AO4002" s="7"/>
      <c r="AP4002" s="7"/>
      <c r="AQ4002" s="7"/>
      <c r="AR4002" s="7"/>
      <c r="AS4002" s="7" t="s">
        <v>22</v>
      </c>
    </row>
    <row r="4003">
      <c r="A4003" s="7" t="s">
        <v>28</v>
      </c>
      <c r="B4003" s="7" t="s">
        <v>635</v>
      </c>
      <c r="C4003" s="7">
        <f>1</f>
        <v>1</v>
      </c>
      <c r="D4003" s="7">
        <v>1.0</v>
      </c>
      <c r="E4003" s="7">
        <v>1.0</v>
      </c>
      <c r="F4003" s="7" t="s">
        <v>20</v>
      </c>
      <c r="G4003" s="7" t="s">
        <v>1127</v>
      </c>
      <c r="H4003" s="9" t="s">
        <v>2979</v>
      </c>
      <c r="I4003" t="s">
        <v>3521</v>
      </c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  <c r="AA4003" s="7"/>
      <c r="AB4003" s="7"/>
      <c r="AC4003" s="7"/>
      <c r="AD4003" s="7" t="str">
        <f t="shared" si="1"/>
        <v>Built-up :</v>
      </c>
      <c r="AE4003" s="7" t="str">
        <f t="shared" si="2"/>
        <v> sq. ft.</v>
      </c>
      <c r="AF4003">
        <f>IFERROR(__xludf.DUMMYFUNCTION("VALUE(REGEXREPLACE(G4003,""[^[:digit:]]"", """"))"),672.0)</f>
        <v>672</v>
      </c>
      <c r="AG4003" s="7"/>
      <c r="AH4003" s="7"/>
      <c r="AI4003" s="7"/>
      <c r="AJ4003" s="7"/>
      <c r="AK4003" s="7"/>
      <c r="AL4003" s="7"/>
      <c r="AM4003" s="7"/>
      <c r="AN4003" s="7"/>
      <c r="AO4003" s="7"/>
      <c r="AP4003" s="7"/>
      <c r="AQ4003" s="7"/>
      <c r="AR4003" s="7"/>
      <c r="AS4003" s="7" t="s">
        <v>22</v>
      </c>
    </row>
    <row r="4004">
      <c r="A4004" s="7" t="s">
        <v>432</v>
      </c>
      <c r="B4004" s="7" t="s">
        <v>969</v>
      </c>
      <c r="E4004" s="9">
        <v>2.0</v>
      </c>
      <c r="F4004" s="7" t="s">
        <v>20</v>
      </c>
      <c r="G4004" s="7" t="s">
        <v>244</v>
      </c>
      <c r="H4004" s="9" t="s">
        <v>2979</v>
      </c>
      <c r="I4004" t="s">
        <v>3073</v>
      </c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  <c r="AA4004" s="7"/>
      <c r="AB4004" s="7"/>
      <c r="AC4004" s="7"/>
      <c r="AD4004" s="7" t="str">
        <f t="shared" si="1"/>
        <v>Built-up :</v>
      </c>
      <c r="AE4004" s="7" t="str">
        <f t="shared" si="2"/>
        <v> sq. ft.</v>
      </c>
      <c r="AF4004">
        <f>IFERROR(__xludf.DUMMYFUNCTION("VALUE(REGEXREPLACE(G4004,""[^[:digit:]]"", """"))"),500.0)</f>
        <v>500</v>
      </c>
      <c r="AG4004" s="7"/>
      <c r="AH4004" s="7"/>
      <c r="AI4004" s="7"/>
      <c r="AJ4004" s="7"/>
      <c r="AK4004" s="7"/>
      <c r="AL4004" s="7"/>
      <c r="AM4004" s="7"/>
      <c r="AN4004" s="7"/>
      <c r="AO4004" s="7"/>
      <c r="AP4004" s="7"/>
      <c r="AQ4004" s="7"/>
      <c r="AR4004" s="7"/>
      <c r="AS4004" s="7" t="s">
        <v>22</v>
      </c>
    </row>
    <row r="4005">
      <c r="A4005" s="7" t="s">
        <v>358</v>
      </c>
      <c r="B4005" s="7" t="s">
        <v>759</v>
      </c>
      <c r="C4005" s="7">
        <f>3</f>
        <v>3</v>
      </c>
      <c r="D4005" s="7">
        <v>2.0</v>
      </c>
      <c r="E4005" s="9">
        <v>2.0</v>
      </c>
      <c r="F4005" s="7" t="s">
        <v>562</v>
      </c>
      <c r="G4005" s="7" t="s">
        <v>1677</v>
      </c>
      <c r="H4005" s="9" t="s">
        <v>2979</v>
      </c>
      <c r="I4005" t="s">
        <v>3850</v>
      </c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  <c r="AA4005" s="7"/>
      <c r="AB4005" s="7"/>
      <c r="AC4005" s="7"/>
      <c r="AD4005" s="7" t="str">
        <f t="shared" si="1"/>
        <v>Built-up :</v>
      </c>
      <c r="AE4005" s="7" t="str">
        <f t="shared" si="2"/>
        <v> sq. ft.</v>
      </c>
      <c r="AF4005">
        <f>IFERROR(__xludf.DUMMYFUNCTION("VALUE(REGEXREPLACE(G4005,""[^[:digit:]]"", """"))"),1142.0)</f>
        <v>1142</v>
      </c>
      <c r="AG4005" s="7"/>
      <c r="AH4005" s="7"/>
      <c r="AI4005" s="7"/>
      <c r="AJ4005" s="7"/>
      <c r="AK4005" s="7"/>
      <c r="AL4005" s="7"/>
      <c r="AM4005" s="7"/>
      <c r="AN4005" s="7"/>
      <c r="AO4005" s="7"/>
      <c r="AP4005" s="7"/>
      <c r="AQ4005" s="7"/>
      <c r="AR4005" s="7"/>
      <c r="AS4005" s="7" t="s">
        <v>22</v>
      </c>
    </row>
    <row r="4006">
      <c r="A4006" s="7" t="s">
        <v>28</v>
      </c>
      <c r="B4006" s="7" t="s">
        <v>1568</v>
      </c>
      <c r="C4006" s="7">
        <f t="shared" ref="C4006:C4007" si="547">1</f>
        <v>1</v>
      </c>
      <c r="D4006" s="7">
        <v>1.0</v>
      </c>
      <c r="E4006" s="7">
        <v>1.0</v>
      </c>
      <c r="F4006" s="7" t="s">
        <v>20</v>
      </c>
      <c r="G4006" s="7" t="s">
        <v>2558</v>
      </c>
      <c r="H4006" s="9" t="s">
        <v>2979</v>
      </c>
      <c r="I4006" t="s">
        <v>3431</v>
      </c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  <c r="AA4006" s="7"/>
      <c r="AB4006" s="7"/>
      <c r="AC4006" s="7"/>
      <c r="AD4006" s="7" t="str">
        <f t="shared" si="1"/>
        <v>Built-up :</v>
      </c>
      <c r="AE4006" s="7" t="str">
        <f t="shared" si="2"/>
        <v> sq. ft.</v>
      </c>
      <c r="AF4006">
        <f>IFERROR(__xludf.DUMMYFUNCTION("VALUE(REGEXREPLACE(G4006,""[^[:digit:]]"", """"))"),748.0)</f>
        <v>748</v>
      </c>
      <c r="AG4006" s="7"/>
      <c r="AH4006" s="7"/>
      <c r="AI4006" s="7"/>
      <c r="AJ4006" s="7"/>
      <c r="AK4006" s="7"/>
      <c r="AL4006" s="7"/>
      <c r="AM4006" s="7"/>
      <c r="AN4006" s="7"/>
      <c r="AO4006" s="7"/>
      <c r="AP4006" s="7"/>
      <c r="AQ4006" s="7"/>
      <c r="AR4006" s="7"/>
      <c r="AS4006" s="7" t="s">
        <v>22</v>
      </c>
    </row>
    <row r="4007">
      <c r="A4007" s="7" t="s">
        <v>28</v>
      </c>
      <c r="B4007" s="7" t="s">
        <v>156</v>
      </c>
      <c r="C4007" s="7">
        <f t="shared" si="547"/>
        <v>1</v>
      </c>
      <c r="D4007" s="7">
        <v>1.0</v>
      </c>
      <c r="E4007" s="7">
        <v>2.0</v>
      </c>
      <c r="F4007" s="7" t="s">
        <v>82</v>
      </c>
      <c r="G4007" s="7" t="s">
        <v>1127</v>
      </c>
      <c r="H4007" s="9" t="s">
        <v>2979</v>
      </c>
      <c r="I4007" t="s">
        <v>3521</v>
      </c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  <c r="AA4007" s="7"/>
      <c r="AB4007" s="7"/>
      <c r="AC4007" s="7"/>
      <c r="AD4007" s="7" t="str">
        <f t="shared" si="1"/>
        <v>Built-up :</v>
      </c>
      <c r="AE4007" s="7" t="str">
        <f t="shared" si="2"/>
        <v> sq. ft.</v>
      </c>
      <c r="AF4007">
        <f>IFERROR(__xludf.DUMMYFUNCTION("VALUE(REGEXREPLACE(G4007,""[^[:digit:]]"", """"))"),672.0)</f>
        <v>672</v>
      </c>
      <c r="AG4007" s="7"/>
      <c r="AH4007" s="7"/>
      <c r="AI4007" s="7"/>
      <c r="AJ4007" s="7"/>
      <c r="AK4007" s="7"/>
      <c r="AL4007" s="7"/>
      <c r="AM4007" s="7"/>
      <c r="AN4007" s="7"/>
      <c r="AO4007" s="7"/>
      <c r="AP4007" s="7"/>
      <c r="AQ4007" s="7"/>
      <c r="AR4007" s="7"/>
      <c r="AS4007" s="7" t="s">
        <v>22</v>
      </c>
    </row>
    <row r="4008">
      <c r="A4008" s="7" t="s">
        <v>41</v>
      </c>
      <c r="B4008" s="7" t="s">
        <v>635</v>
      </c>
      <c r="C4008" s="7">
        <f t="shared" ref="C4008:C4009" si="548">2</f>
        <v>2</v>
      </c>
      <c r="D4008" s="7">
        <v>2.0</v>
      </c>
      <c r="E4008" s="7">
        <v>1.0</v>
      </c>
      <c r="F4008" s="7" t="s">
        <v>83</v>
      </c>
      <c r="G4008" s="7" t="s">
        <v>1532</v>
      </c>
      <c r="H4008" s="9" t="s">
        <v>2979</v>
      </c>
      <c r="I4008" t="s">
        <v>3764</v>
      </c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  <c r="AA4008" s="7"/>
      <c r="AB4008" s="7"/>
      <c r="AC4008" s="7"/>
      <c r="AD4008" s="7" t="str">
        <f t="shared" si="1"/>
        <v>Built-up :</v>
      </c>
      <c r="AE4008" s="7" t="str">
        <f t="shared" si="2"/>
        <v> sq. ft.</v>
      </c>
      <c r="AF4008">
        <f>IFERROR(__xludf.DUMMYFUNCTION("VALUE(REGEXREPLACE(G4008,""[^[:digit:]]"", """"))"),1044.0)</f>
        <v>1044</v>
      </c>
      <c r="AG4008" s="7"/>
      <c r="AH4008" s="7"/>
      <c r="AI4008" s="7"/>
      <c r="AJ4008" s="7"/>
      <c r="AK4008" s="7"/>
      <c r="AL4008" s="7"/>
      <c r="AM4008" s="7"/>
      <c r="AN4008" s="7"/>
      <c r="AO4008" s="7"/>
      <c r="AP4008" s="7"/>
      <c r="AQ4008" s="7"/>
      <c r="AR4008" s="7"/>
      <c r="AS4008" s="7" t="s">
        <v>27</v>
      </c>
    </row>
    <row r="4009">
      <c r="A4009" s="7" t="s">
        <v>41</v>
      </c>
      <c r="B4009" s="7" t="s">
        <v>372</v>
      </c>
      <c r="C4009" s="7">
        <f t="shared" si="548"/>
        <v>2</v>
      </c>
      <c r="D4009" s="7">
        <v>2.0</v>
      </c>
      <c r="E4009" s="7">
        <v>1.0</v>
      </c>
      <c r="F4009" s="7" t="s">
        <v>83</v>
      </c>
      <c r="G4009" s="7" t="s">
        <v>2559</v>
      </c>
      <c r="H4009" s="9" t="s">
        <v>2979</v>
      </c>
      <c r="I4009" t="s">
        <v>4393</v>
      </c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  <c r="AA4009" s="7"/>
      <c r="AB4009" s="7"/>
      <c r="AC4009" s="7"/>
      <c r="AD4009" s="7" t="str">
        <f t="shared" si="1"/>
        <v>Built-up :</v>
      </c>
      <c r="AE4009" s="7" t="str">
        <f t="shared" si="2"/>
        <v> sq. ft.</v>
      </c>
      <c r="AF4009">
        <f>IFERROR(__xludf.DUMMYFUNCTION("VALUE(REGEXREPLACE(G4009,""[^[:digit:]]"", """"))"),1011.0)</f>
        <v>1011</v>
      </c>
      <c r="AG4009" s="7"/>
      <c r="AH4009" s="7"/>
      <c r="AI4009" s="7"/>
      <c r="AJ4009" s="7"/>
      <c r="AK4009" s="7"/>
      <c r="AL4009" s="7"/>
      <c r="AM4009" s="7"/>
      <c r="AN4009" s="7"/>
      <c r="AO4009" s="7"/>
      <c r="AP4009" s="7"/>
      <c r="AQ4009" s="7"/>
      <c r="AR4009" s="7"/>
      <c r="AS4009" s="7" t="s">
        <v>27</v>
      </c>
    </row>
    <row r="4010">
      <c r="A4010" s="7" t="s">
        <v>41</v>
      </c>
      <c r="B4010" s="7" t="s">
        <v>329</v>
      </c>
      <c r="C4010" s="7">
        <f>3+1</f>
        <v>4</v>
      </c>
      <c r="D4010" s="7">
        <v>3.0</v>
      </c>
      <c r="E4010" s="7">
        <v>2.0</v>
      </c>
      <c r="F4010" s="7" t="s">
        <v>83</v>
      </c>
      <c r="G4010" s="7" t="s">
        <v>80</v>
      </c>
      <c r="H4010" s="9" t="s">
        <v>2979</v>
      </c>
      <c r="I4010" t="s">
        <v>3000</v>
      </c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  <c r="AA4010" s="7"/>
      <c r="AB4010" s="7"/>
      <c r="AC4010" s="7"/>
      <c r="AD4010" s="7" t="str">
        <f t="shared" si="1"/>
        <v>Built-up :</v>
      </c>
      <c r="AE4010" s="7" t="str">
        <f t="shared" si="2"/>
        <v> sq. ft.</v>
      </c>
      <c r="AF4010">
        <f>IFERROR(__xludf.DUMMYFUNCTION("VALUE(REGEXREPLACE(G4010,""[^[:digit:]]"", """"))"),1798.0)</f>
        <v>1798</v>
      </c>
      <c r="AG4010" s="7"/>
      <c r="AH4010" s="7"/>
      <c r="AI4010" s="7"/>
      <c r="AJ4010" s="7"/>
      <c r="AK4010" s="7"/>
      <c r="AL4010" s="7"/>
      <c r="AM4010" s="7"/>
      <c r="AN4010" s="7"/>
      <c r="AO4010" s="7"/>
      <c r="AP4010" s="7"/>
      <c r="AQ4010" s="7"/>
      <c r="AR4010" s="7"/>
      <c r="AS4010" s="7" t="s">
        <v>27</v>
      </c>
    </row>
    <row r="4011">
      <c r="A4011" s="7" t="s">
        <v>155</v>
      </c>
      <c r="B4011" s="7" t="s">
        <v>1605</v>
      </c>
      <c r="C4011" s="7">
        <f t="shared" ref="C4011:C4012" si="549">3</f>
        <v>3</v>
      </c>
      <c r="D4011" s="7">
        <v>2.0</v>
      </c>
      <c r="E4011" s="7">
        <v>1.0</v>
      </c>
      <c r="F4011" s="7" t="s">
        <v>83</v>
      </c>
      <c r="G4011" s="7" t="s">
        <v>2560</v>
      </c>
      <c r="H4011" s="9" t="s">
        <v>2979</v>
      </c>
      <c r="I4011" t="s">
        <v>4394</v>
      </c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  <c r="AA4011" s="7"/>
      <c r="AB4011" s="7"/>
      <c r="AC4011" s="7"/>
      <c r="AD4011" s="7" t="str">
        <f t="shared" si="1"/>
        <v>Built-up :</v>
      </c>
      <c r="AE4011" s="7" t="str">
        <f t="shared" si="2"/>
        <v> sq. ft.</v>
      </c>
      <c r="AF4011">
        <f>IFERROR(__xludf.DUMMYFUNCTION("VALUE(REGEXREPLACE(G4011,""[^[:digit:]]"", """"))"),853.0)</f>
        <v>853</v>
      </c>
      <c r="AG4011" s="7"/>
      <c r="AH4011" s="7"/>
      <c r="AI4011" s="7"/>
      <c r="AJ4011" s="7"/>
      <c r="AK4011" s="7"/>
      <c r="AL4011" s="7"/>
      <c r="AM4011" s="7"/>
      <c r="AN4011" s="7"/>
      <c r="AO4011" s="7"/>
      <c r="AP4011" s="7"/>
      <c r="AQ4011" s="7"/>
      <c r="AR4011" s="7"/>
      <c r="AS4011" s="7" t="s">
        <v>27</v>
      </c>
    </row>
    <row r="4012">
      <c r="A4012" s="7" t="s">
        <v>428</v>
      </c>
      <c r="B4012" s="7" t="s">
        <v>854</v>
      </c>
      <c r="C4012" s="7">
        <f t="shared" si="549"/>
        <v>3</v>
      </c>
      <c r="D4012" s="7">
        <v>3.0</v>
      </c>
      <c r="E4012" s="7">
        <v>2.0</v>
      </c>
      <c r="F4012" s="7" t="s">
        <v>681</v>
      </c>
      <c r="G4012" s="7" t="s">
        <v>471</v>
      </c>
      <c r="H4012" s="9" t="s">
        <v>2979</v>
      </c>
      <c r="I4012" t="s">
        <v>3179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  <c r="AA4012" s="7"/>
      <c r="AB4012" s="7"/>
      <c r="AC4012" s="7"/>
      <c r="AD4012" s="7" t="str">
        <f t="shared" si="1"/>
        <v>Built-up :</v>
      </c>
      <c r="AE4012" s="7" t="str">
        <f t="shared" si="2"/>
        <v> sq. ft.</v>
      </c>
      <c r="AF4012">
        <f>IFERROR(__xludf.DUMMYFUNCTION("VALUE(REGEXREPLACE(G4012,""[^[:digit:]]"", """"))"),1400.0)</f>
        <v>1400</v>
      </c>
      <c r="AG4012" s="7"/>
      <c r="AH4012" s="7"/>
      <c r="AI4012" s="7"/>
      <c r="AJ4012" s="7"/>
      <c r="AK4012" s="7"/>
      <c r="AL4012" s="7"/>
      <c r="AM4012" s="7"/>
      <c r="AN4012" s="7"/>
      <c r="AO4012" s="7"/>
      <c r="AP4012" s="7"/>
      <c r="AQ4012" s="7"/>
      <c r="AR4012" s="7"/>
      <c r="AS4012" s="7" t="s">
        <v>27</v>
      </c>
    </row>
    <row r="4013">
      <c r="A4013" s="7" t="s">
        <v>77</v>
      </c>
      <c r="B4013" s="7" t="s">
        <v>125</v>
      </c>
      <c r="C4013" s="7">
        <f>5</f>
        <v>5</v>
      </c>
      <c r="D4013" s="7">
        <v>4.0</v>
      </c>
      <c r="E4013" s="9">
        <v>2.0</v>
      </c>
      <c r="F4013" s="7" t="s">
        <v>90</v>
      </c>
      <c r="G4013" s="7" t="s">
        <v>1027</v>
      </c>
      <c r="H4013" s="9" t="s">
        <v>2979</v>
      </c>
      <c r="I4013" t="s">
        <v>3463</v>
      </c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  <c r="AA4013" s="7"/>
      <c r="AB4013" s="7"/>
      <c r="AC4013" s="7"/>
      <c r="AD4013" s="7" t="str">
        <f t="shared" si="1"/>
        <v>Built-up :</v>
      </c>
      <c r="AE4013" s="7" t="str">
        <f t="shared" si="2"/>
        <v> sq. ft.</v>
      </c>
      <c r="AF4013">
        <f>IFERROR(__xludf.DUMMYFUNCTION("VALUE(REGEXREPLACE(G4013,""[^[:digit:]]"", """"))"),3200.0)</f>
        <v>3200</v>
      </c>
      <c r="AG4013" s="7"/>
      <c r="AH4013" s="7"/>
      <c r="AI4013" s="7"/>
      <c r="AJ4013" s="7"/>
      <c r="AK4013" s="7"/>
      <c r="AL4013" s="7"/>
      <c r="AM4013" s="7"/>
      <c r="AN4013" s="7"/>
      <c r="AO4013" s="7"/>
      <c r="AP4013" s="7"/>
      <c r="AQ4013" s="7"/>
      <c r="AR4013" s="7"/>
      <c r="AS4013" s="7" t="s">
        <v>27</v>
      </c>
    </row>
    <row r="4014">
      <c r="A4014" s="7" t="s">
        <v>72</v>
      </c>
      <c r="B4014" s="7" t="s">
        <v>460</v>
      </c>
      <c r="C4014" s="7">
        <f>3+1</f>
        <v>4</v>
      </c>
      <c r="D4014" s="7">
        <v>4.0</v>
      </c>
      <c r="E4014" s="7">
        <v>3.0</v>
      </c>
      <c r="F4014" s="7" t="s">
        <v>83</v>
      </c>
      <c r="G4014" s="7" t="s">
        <v>555</v>
      </c>
      <c r="H4014" s="9" t="s">
        <v>2979</v>
      </c>
      <c r="I4014" t="s">
        <v>3222</v>
      </c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  <c r="AA4014" s="7"/>
      <c r="AB4014" s="7"/>
      <c r="AC4014" s="7"/>
      <c r="AD4014" s="7" t="str">
        <f t="shared" si="1"/>
        <v>Built-up :</v>
      </c>
      <c r="AE4014" s="7" t="str">
        <f t="shared" si="2"/>
        <v> sq. ft.</v>
      </c>
      <c r="AF4014">
        <f>IFERROR(__xludf.DUMMYFUNCTION("VALUE(REGEXREPLACE(G4014,""[^[:digit:]]"", """"))"),2648.0)</f>
        <v>2648</v>
      </c>
      <c r="AG4014" s="7"/>
      <c r="AH4014" s="7"/>
      <c r="AI4014" s="7"/>
      <c r="AJ4014" s="7"/>
      <c r="AK4014" s="7"/>
      <c r="AL4014" s="7"/>
      <c r="AM4014" s="7"/>
      <c r="AN4014" s="7"/>
      <c r="AO4014" s="7"/>
      <c r="AP4014" s="7"/>
      <c r="AQ4014" s="7"/>
      <c r="AR4014" s="7"/>
      <c r="AS4014" s="7" t="s">
        <v>22</v>
      </c>
    </row>
    <row r="4015">
      <c r="A4015" s="7" t="s">
        <v>33</v>
      </c>
      <c r="B4015" s="7" t="s">
        <v>361</v>
      </c>
      <c r="C4015" s="7">
        <f>2</f>
        <v>2</v>
      </c>
      <c r="D4015" s="7">
        <v>2.0</v>
      </c>
      <c r="E4015" s="7">
        <v>1.0</v>
      </c>
      <c r="F4015" s="7" t="s">
        <v>96</v>
      </c>
      <c r="G4015" s="7" t="s">
        <v>471</v>
      </c>
      <c r="H4015" s="9" t="s">
        <v>2979</v>
      </c>
      <c r="I4015" t="s">
        <v>3179</v>
      </c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  <c r="AA4015" s="7"/>
      <c r="AB4015" s="7"/>
      <c r="AC4015" s="7"/>
      <c r="AD4015" s="7" t="str">
        <f t="shared" si="1"/>
        <v>Built-up :</v>
      </c>
      <c r="AE4015" s="7" t="str">
        <f t="shared" si="2"/>
        <v> sq. ft.</v>
      </c>
      <c r="AF4015">
        <f>IFERROR(__xludf.DUMMYFUNCTION("VALUE(REGEXREPLACE(G4015,""[^[:digit:]]"", """"))"),1400.0)</f>
        <v>1400</v>
      </c>
      <c r="AG4015" s="7"/>
      <c r="AH4015" s="7"/>
      <c r="AI4015" s="7"/>
      <c r="AJ4015" s="7"/>
      <c r="AK4015" s="7"/>
      <c r="AL4015" s="7"/>
      <c r="AM4015" s="7"/>
      <c r="AN4015" s="7"/>
      <c r="AO4015" s="7"/>
      <c r="AP4015" s="7"/>
      <c r="AQ4015" s="7"/>
      <c r="AR4015" s="7"/>
      <c r="AS4015" s="7" t="s">
        <v>22</v>
      </c>
    </row>
    <row r="4016">
      <c r="A4016" s="7" t="s">
        <v>33</v>
      </c>
      <c r="B4016" s="7" t="s">
        <v>172</v>
      </c>
      <c r="C4016" s="7">
        <f>3</f>
        <v>3</v>
      </c>
      <c r="D4016" s="7">
        <v>2.0</v>
      </c>
      <c r="E4016" s="7">
        <v>2.0</v>
      </c>
      <c r="F4016" s="7" t="s">
        <v>83</v>
      </c>
      <c r="G4016" s="7" t="s">
        <v>734</v>
      </c>
      <c r="H4016" s="9" t="s">
        <v>2979</v>
      </c>
      <c r="I4016" t="s">
        <v>3308</v>
      </c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  <c r="AA4016" s="7"/>
      <c r="AB4016" s="7"/>
      <c r="AC4016" s="7"/>
      <c r="AD4016" s="7" t="str">
        <f t="shared" si="1"/>
        <v>Built-up :</v>
      </c>
      <c r="AE4016" s="7" t="str">
        <f t="shared" si="2"/>
        <v> sq. ft.</v>
      </c>
      <c r="AF4016">
        <f>IFERROR(__xludf.DUMMYFUNCTION("VALUE(REGEXREPLACE(G4016,""[^[:digit:]]"", """"))"),1100.0)</f>
        <v>1100</v>
      </c>
      <c r="AG4016" s="7"/>
      <c r="AH4016" s="7"/>
      <c r="AI4016" s="7"/>
      <c r="AJ4016" s="7"/>
      <c r="AK4016" s="7"/>
      <c r="AL4016" s="7"/>
      <c r="AM4016" s="7"/>
      <c r="AN4016" s="7"/>
      <c r="AO4016" s="7"/>
      <c r="AP4016" s="7"/>
      <c r="AQ4016" s="7"/>
      <c r="AR4016" s="7"/>
      <c r="AS4016" s="7" t="s">
        <v>103</v>
      </c>
    </row>
    <row r="4017">
      <c r="A4017" s="7" t="s">
        <v>515</v>
      </c>
      <c r="B4017" s="7" t="s">
        <v>165</v>
      </c>
      <c r="C4017" s="7">
        <f>4</f>
        <v>4</v>
      </c>
      <c r="D4017" s="7">
        <v>4.0</v>
      </c>
      <c r="E4017" s="7">
        <v>6.0</v>
      </c>
      <c r="F4017" s="7" t="s">
        <v>25</v>
      </c>
      <c r="G4017" s="7" t="s">
        <v>696</v>
      </c>
      <c r="H4017" s="9" t="s">
        <v>2981</v>
      </c>
      <c r="I4017" t="s">
        <v>3288</v>
      </c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  <c r="AA4017" s="7"/>
      <c r="AB4017" s="7"/>
      <c r="AC4017" s="7"/>
      <c r="AD4017" s="7" t="str">
        <f t="shared" si="1"/>
        <v>Land area </v>
      </c>
      <c r="AE4017" s="7" t="str">
        <f t="shared" si="2"/>
        <v> sq. ft.</v>
      </c>
      <c r="AF4017">
        <f>IFERROR(__xludf.DUMMYFUNCTION("VALUE(REGEXREPLACE(G4017,""[^[:digit:]]"", """"))"),8000.0)</f>
        <v>8000</v>
      </c>
      <c r="AG4017" s="7"/>
      <c r="AH4017" s="7"/>
      <c r="AI4017" s="7"/>
      <c r="AJ4017" s="7"/>
      <c r="AK4017" s="7"/>
      <c r="AL4017" s="7"/>
      <c r="AM4017" s="7"/>
      <c r="AN4017" s="7"/>
      <c r="AO4017" s="7"/>
      <c r="AP4017" s="7"/>
      <c r="AQ4017" s="7"/>
      <c r="AR4017" s="7"/>
      <c r="AS4017" s="7" t="s">
        <v>27</v>
      </c>
    </row>
    <row r="4018">
      <c r="A4018" s="7" t="s">
        <v>515</v>
      </c>
      <c r="B4018" s="7" t="s">
        <v>563</v>
      </c>
      <c r="C4018" s="7">
        <f t="shared" ref="C4018:C4019" si="550">3</f>
        <v>3</v>
      </c>
      <c r="D4018" s="7">
        <v>2.0</v>
      </c>
      <c r="E4018" s="7">
        <v>2.0</v>
      </c>
      <c r="F4018" s="7" t="s">
        <v>169</v>
      </c>
      <c r="G4018" s="7" t="s">
        <v>2561</v>
      </c>
      <c r="H4018" s="9" t="s">
        <v>2979</v>
      </c>
      <c r="I4018" t="s">
        <v>4395</v>
      </c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  <c r="AA4018" s="7"/>
      <c r="AB4018" s="7"/>
      <c r="AC4018" s="7"/>
      <c r="AD4018" s="7" t="str">
        <f t="shared" si="1"/>
        <v>Built-up :</v>
      </c>
      <c r="AE4018" s="7" t="str">
        <f t="shared" si="2"/>
        <v> sq. ft.</v>
      </c>
      <c r="AF4018">
        <f>IFERROR(__xludf.DUMMYFUNCTION("VALUE(REGEXREPLACE(G4018,""[^[:digit:]]"", """"))"),1684.0)</f>
        <v>1684</v>
      </c>
      <c r="AG4018" s="7"/>
      <c r="AH4018" s="7"/>
      <c r="AI4018" s="7"/>
      <c r="AJ4018" s="7"/>
      <c r="AK4018" s="7"/>
      <c r="AL4018" s="7"/>
      <c r="AM4018" s="7"/>
      <c r="AN4018" s="7"/>
      <c r="AO4018" s="7"/>
      <c r="AP4018" s="7"/>
      <c r="AQ4018" s="7"/>
      <c r="AR4018" s="7"/>
      <c r="AS4018" s="7" t="s">
        <v>103</v>
      </c>
    </row>
    <row r="4019">
      <c r="A4019" s="7" t="s">
        <v>48</v>
      </c>
      <c r="B4019" s="7" t="s">
        <v>702</v>
      </c>
      <c r="C4019" s="7">
        <f t="shared" si="550"/>
        <v>3</v>
      </c>
      <c r="D4019" s="7">
        <v>2.0</v>
      </c>
      <c r="E4019" s="7">
        <v>1.0</v>
      </c>
      <c r="F4019" s="7" t="s">
        <v>1185</v>
      </c>
      <c r="G4019" s="7" t="s">
        <v>2562</v>
      </c>
      <c r="H4019" s="9" t="s">
        <v>2981</v>
      </c>
      <c r="I4019" t="s">
        <v>4396</v>
      </c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  <c r="AA4019" s="7"/>
      <c r="AB4019" s="7"/>
      <c r="AC4019" s="7"/>
      <c r="AD4019" s="7" t="str">
        <f t="shared" si="1"/>
        <v>Land area </v>
      </c>
      <c r="AE4019" s="7" t="str">
        <f t="shared" si="2"/>
        <v> sq. ft.</v>
      </c>
      <c r="AF4019">
        <f>IFERROR(__xludf.DUMMYFUNCTION("VALUE(REGEXREPLACE(G4019,""[^[:digit:]]"", """"))"),784.0)</f>
        <v>784</v>
      </c>
      <c r="AG4019" s="7"/>
      <c r="AH4019" s="7"/>
      <c r="AI4019" s="7"/>
      <c r="AJ4019" s="7"/>
      <c r="AK4019" s="7"/>
      <c r="AL4019" s="7"/>
      <c r="AM4019" s="7"/>
      <c r="AN4019" s="7"/>
      <c r="AO4019" s="7"/>
      <c r="AP4019" s="7"/>
      <c r="AQ4019" s="7"/>
      <c r="AR4019" s="7"/>
      <c r="AS4019" s="7" t="s">
        <v>27</v>
      </c>
    </row>
    <row r="4020">
      <c r="A4020" s="7" t="s">
        <v>143</v>
      </c>
      <c r="B4020" s="7" t="s">
        <v>34</v>
      </c>
      <c r="C4020" s="7">
        <f t="shared" ref="C4020:C4023" si="551">2</f>
        <v>2</v>
      </c>
      <c r="D4020" s="7">
        <v>2.0</v>
      </c>
      <c r="E4020" s="9">
        <v>2.0</v>
      </c>
      <c r="F4020" s="7" t="s">
        <v>20</v>
      </c>
      <c r="G4020" s="7" t="s">
        <v>1567</v>
      </c>
      <c r="H4020" s="9" t="s">
        <v>2979</v>
      </c>
      <c r="I4020" t="s">
        <v>3785</v>
      </c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 t="str">
        <f t="shared" si="1"/>
        <v>Built-up :</v>
      </c>
      <c r="AE4020" s="7" t="str">
        <f t="shared" si="2"/>
        <v> sq. ft.</v>
      </c>
      <c r="AF4020">
        <f>IFERROR(__xludf.DUMMYFUNCTION("VALUE(REGEXREPLACE(G4020,""[^[:digit:]]"", """"))"),861.0)</f>
        <v>861</v>
      </c>
      <c r="AG4020" s="7"/>
      <c r="AH4020" s="7"/>
      <c r="AI4020" s="7"/>
      <c r="AJ4020" s="7"/>
      <c r="AK4020" s="7"/>
      <c r="AL4020" s="7"/>
      <c r="AM4020" s="7"/>
      <c r="AN4020" s="7"/>
      <c r="AO4020" s="7"/>
      <c r="AP4020" s="7"/>
      <c r="AQ4020" s="7"/>
      <c r="AR4020" s="7"/>
      <c r="AS4020" s="7" t="s">
        <v>27</v>
      </c>
    </row>
    <row r="4021">
      <c r="A4021" s="7" t="s">
        <v>143</v>
      </c>
      <c r="B4021" s="7" t="s">
        <v>34</v>
      </c>
      <c r="C4021" s="7">
        <f t="shared" si="551"/>
        <v>2</v>
      </c>
      <c r="D4021" s="7">
        <v>2.0</v>
      </c>
      <c r="E4021" s="9">
        <v>2.0</v>
      </c>
      <c r="F4021" s="7" t="s">
        <v>20</v>
      </c>
      <c r="G4021" s="7" t="s">
        <v>1567</v>
      </c>
      <c r="H4021" s="9" t="s">
        <v>2979</v>
      </c>
      <c r="I4021" t="s">
        <v>3785</v>
      </c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  <c r="AA4021" s="7"/>
      <c r="AB4021" s="7"/>
      <c r="AC4021" s="7"/>
      <c r="AD4021" s="7" t="str">
        <f t="shared" si="1"/>
        <v>Built-up :</v>
      </c>
      <c r="AE4021" s="7" t="str">
        <f t="shared" si="2"/>
        <v> sq. ft.</v>
      </c>
      <c r="AF4021">
        <f>IFERROR(__xludf.DUMMYFUNCTION("VALUE(REGEXREPLACE(G4021,""[^[:digit:]]"", """"))"),861.0)</f>
        <v>861</v>
      </c>
      <c r="AG4021" s="7"/>
      <c r="AH4021" s="7"/>
      <c r="AI4021" s="7"/>
      <c r="AJ4021" s="7"/>
      <c r="AK4021" s="7"/>
      <c r="AL4021" s="7"/>
      <c r="AM4021" s="7"/>
      <c r="AN4021" s="7"/>
      <c r="AO4021" s="7"/>
      <c r="AP4021" s="7"/>
      <c r="AQ4021" s="7"/>
      <c r="AR4021" s="7"/>
      <c r="AS4021" s="7" t="s">
        <v>27</v>
      </c>
    </row>
    <row r="4022">
      <c r="A4022" s="7" t="s">
        <v>143</v>
      </c>
      <c r="B4022" s="7" t="s">
        <v>136</v>
      </c>
      <c r="C4022" s="7">
        <f t="shared" si="551"/>
        <v>2</v>
      </c>
      <c r="D4022" s="7">
        <v>2.0</v>
      </c>
      <c r="E4022" s="9">
        <v>2.0</v>
      </c>
      <c r="F4022" s="7" t="s">
        <v>20</v>
      </c>
      <c r="G4022" s="7" t="s">
        <v>2347</v>
      </c>
      <c r="H4022" s="9" t="s">
        <v>2979</v>
      </c>
      <c r="I4022" t="s">
        <v>4267</v>
      </c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  <c r="AA4022" s="7"/>
      <c r="AB4022" s="7"/>
      <c r="AC4022" s="7"/>
      <c r="AD4022" s="7" t="str">
        <f t="shared" si="1"/>
        <v>Built-up :</v>
      </c>
      <c r="AE4022" s="7" t="str">
        <f t="shared" si="2"/>
        <v> sq. ft.</v>
      </c>
      <c r="AF4022">
        <f>IFERROR(__xludf.DUMMYFUNCTION("VALUE(REGEXREPLACE(G4022,""[^[:digit:]]"", """"))"),891.0)</f>
        <v>891</v>
      </c>
      <c r="AG4022" s="7"/>
      <c r="AH4022" s="7"/>
      <c r="AI4022" s="7"/>
      <c r="AJ4022" s="7"/>
      <c r="AK4022" s="7"/>
      <c r="AL4022" s="7"/>
      <c r="AM4022" s="7"/>
      <c r="AN4022" s="7"/>
      <c r="AO4022" s="7"/>
      <c r="AP4022" s="7"/>
      <c r="AQ4022" s="7"/>
      <c r="AR4022" s="7"/>
      <c r="AS4022" s="7" t="s">
        <v>27</v>
      </c>
    </row>
    <row r="4023">
      <c r="A4023" s="7" t="s">
        <v>143</v>
      </c>
      <c r="B4023" s="7" t="s">
        <v>136</v>
      </c>
      <c r="C4023" s="7">
        <f t="shared" si="551"/>
        <v>2</v>
      </c>
      <c r="D4023" s="7">
        <v>2.0</v>
      </c>
      <c r="E4023" s="9">
        <v>2.0</v>
      </c>
      <c r="F4023" s="7" t="s">
        <v>20</v>
      </c>
      <c r="G4023" s="7" t="s">
        <v>2347</v>
      </c>
      <c r="H4023" s="9" t="s">
        <v>2979</v>
      </c>
      <c r="I4023" t="s">
        <v>4267</v>
      </c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  <c r="AA4023" s="7"/>
      <c r="AB4023" s="7"/>
      <c r="AC4023" s="7"/>
      <c r="AD4023" s="7" t="str">
        <f t="shared" si="1"/>
        <v>Built-up :</v>
      </c>
      <c r="AE4023" s="7" t="str">
        <f t="shared" si="2"/>
        <v> sq. ft.</v>
      </c>
      <c r="AF4023">
        <f>IFERROR(__xludf.DUMMYFUNCTION("VALUE(REGEXREPLACE(G4023,""[^[:digit:]]"", """"))"),891.0)</f>
        <v>891</v>
      </c>
      <c r="AG4023" s="7"/>
      <c r="AH4023" s="7"/>
      <c r="AI4023" s="7"/>
      <c r="AJ4023" s="7"/>
      <c r="AK4023" s="7"/>
      <c r="AL4023" s="7"/>
      <c r="AM4023" s="7"/>
      <c r="AN4023" s="7"/>
      <c r="AO4023" s="7"/>
      <c r="AP4023" s="7"/>
      <c r="AQ4023" s="7"/>
      <c r="AR4023" s="7"/>
      <c r="AS4023" s="7" t="s">
        <v>27</v>
      </c>
    </row>
    <row r="4024">
      <c r="A4024" s="7" t="s">
        <v>432</v>
      </c>
      <c r="B4024" s="7" t="s">
        <v>411</v>
      </c>
      <c r="C4024" s="7">
        <f>3+1</f>
        <v>4</v>
      </c>
      <c r="D4024" s="7">
        <v>4.0</v>
      </c>
      <c r="E4024" s="7">
        <v>2.0</v>
      </c>
      <c r="F4024" s="7" t="s">
        <v>30</v>
      </c>
      <c r="G4024" s="7" t="s">
        <v>1627</v>
      </c>
      <c r="H4024" s="9" t="s">
        <v>2979</v>
      </c>
      <c r="I4024" t="s">
        <v>3820</v>
      </c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  <c r="AA4024" s="7"/>
      <c r="AB4024" s="7"/>
      <c r="AC4024" s="7"/>
      <c r="AD4024" s="7" t="str">
        <f t="shared" si="1"/>
        <v>Built-up :</v>
      </c>
      <c r="AE4024" s="7" t="str">
        <f t="shared" si="2"/>
        <v> sq. ft.</v>
      </c>
      <c r="AF4024">
        <f>IFERROR(__xludf.DUMMYFUNCTION("VALUE(REGEXREPLACE(G4024,""[^[:digit:]]"", """"))"),2573.0)</f>
        <v>2573</v>
      </c>
      <c r="AG4024" s="7"/>
      <c r="AH4024" s="7"/>
      <c r="AI4024" s="7"/>
      <c r="AJ4024" s="7"/>
      <c r="AK4024" s="7"/>
      <c r="AL4024" s="7"/>
      <c r="AM4024" s="7"/>
      <c r="AN4024" s="7"/>
      <c r="AO4024" s="7"/>
      <c r="AP4024" s="7"/>
      <c r="AQ4024" s="7"/>
      <c r="AR4024" s="7"/>
      <c r="AS4024" s="7" t="s">
        <v>22</v>
      </c>
    </row>
    <row r="4025">
      <c r="A4025" s="7" t="s">
        <v>32</v>
      </c>
      <c r="B4025" s="7" t="s">
        <v>1892</v>
      </c>
      <c r="C4025" s="7">
        <f>2</f>
        <v>2</v>
      </c>
      <c r="D4025" s="7">
        <v>2.0</v>
      </c>
      <c r="E4025" s="9">
        <v>2.0</v>
      </c>
      <c r="F4025" s="7" t="s">
        <v>121</v>
      </c>
      <c r="G4025" s="7" t="s">
        <v>240</v>
      </c>
      <c r="H4025" s="9" t="s">
        <v>2979</v>
      </c>
      <c r="I4025" t="s">
        <v>3071</v>
      </c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  <c r="AA4025" s="7"/>
      <c r="AB4025" s="7"/>
      <c r="AC4025" s="7"/>
      <c r="AD4025" s="7" t="str">
        <f t="shared" si="1"/>
        <v>Built-up :</v>
      </c>
      <c r="AE4025" s="7" t="str">
        <f t="shared" si="2"/>
        <v> sq. ft.</v>
      </c>
      <c r="AF4025">
        <f>IFERROR(__xludf.DUMMYFUNCTION("VALUE(REGEXREPLACE(G4025,""[^[:digit:]]"", """"))"),736.0)</f>
        <v>736</v>
      </c>
      <c r="AG4025" s="7"/>
      <c r="AH4025" s="7"/>
      <c r="AI4025" s="7"/>
      <c r="AJ4025" s="7"/>
      <c r="AK4025" s="7"/>
      <c r="AL4025" s="7"/>
      <c r="AM4025" s="7"/>
      <c r="AN4025" s="7"/>
      <c r="AO4025" s="7"/>
      <c r="AP4025" s="7"/>
      <c r="AQ4025" s="7"/>
      <c r="AR4025" s="7"/>
      <c r="AS4025" s="7" t="s">
        <v>27</v>
      </c>
    </row>
    <row r="4026">
      <c r="A4026" s="7" t="s">
        <v>32</v>
      </c>
      <c r="B4026" s="7" t="s">
        <v>92</v>
      </c>
      <c r="C4026" s="7">
        <f t="shared" ref="C4026:C4027" si="552">3</f>
        <v>3</v>
      </c>
      <c r="D4026" s="7">
        <v>2.0</v>
      </c>
      <c r="E4026" s="9">
        <v>2.0</v>
      </c>
      <c r="F4026" s="7" t="s">
        <v>121</v>
      </c>
      <c r="G4026" s="7" t="s">
        <v>1449</v>
      </c>
      <c r="H4026" s="9" t="s">
        <v>2979</v>
      </c>
      <c r="I4026" t="s">
        <v>3721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  <c r="AA4026" s="7"/>
      <c r="AB4026" s="7"/>
      <c r="AC4026" s="7"/>
      <c r="AD4026" s="7" t="str">
        <f t="shared" si="1"/>
        <v>Built-up :</v>
      </c>
      <c r="AE4026" s="7" t="str">
        <f t="shared" si="2"/>
        <v> sq. ft.</v>
      </c>
      <c r="AF4026">
        <f>IFERROR(__xludf.DUMMYFUNCTION("VALUE(REGEXREPLACE(G4026,""[^[:digit:]]"", """"))"),931.0)</f>
        <v>931</v>
      </c>
      <c r="AG4026" s="7"/>
      <c r="AH4026" s="7"/>
      <c r="AI4026" s="7"/>
      <c r="AJ4026" s="7"/>
      <c r="AK4026" s="7"/>
      <c r="AL4026" s="7"/>
      <c r="AM4026" s="7"/>
      <c r="AN4026" s="7"/>
      <c r="AO4026" s="7"/>
      <c r="AP4026" s="7"/>
      <c r="AQ4026" s="7"/>
      <c r="AR4026" s="7"/>
      <c r="AS4026" s="7" t="s">
        <v>27</v>
      </c>
    </row>
    <row r="4027">
      <c r="A4027" s="7" t="s">
        <v>171</v>
      </c>
      <c r="B4027" s="7" t="s">
        <v>1880</v>
      </c>
      <c r="C4027" s="7">
        <f t="shared" si="552"/>
        <v>3</v>
      </c>
      <c r="D4027" s="7">
        <v>3.0</v>
      </c>
      <c r="E4027" s="7">
        <v>2.0</v>
      </c>
      <c r="F4027" s="7" t="s">
        <v>83</v>
      </c>
      <c r="G4027" s="7" t="s">
        <v>734</v>
      </c>
      <c r="H4027" s="9" t="s">
        <v>2979</v>
      </c>
      <c r="I4027" t="s">
        <v>3308</v>
      </c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  <c r="AA4027" s="7"/>
      <c r="AB4027" s="7"/>
      <c r="AC4027" s="7"/>
      <c r="AD4027" s="7" t="str">
        <f t="shared" si="1"/>
        <v>Built-up :</v>
      </c>
      <c r="AE4027" s="7" t="str">
        <f t="shared" si="2"/>
        <v> sq. ft.</v>
      </c>
      <c r="AF4027">
        <f>IFERROR(__xludf.DUMMYFUNCTION("VALUE(REGEXREPLACE(G4027,""[^[:digit:]]"", """"))"),1100.0)</f>
        <v>1100</v>
      </c>
      <c r="AG4027" s="7"/>
      <c r="AH4027" s="7"/>
      <c r="AI4027" s="7"/>
      <c r="AJ4027" s="7"/>
      <c r="AK4027" s="7"/>
      <c r="AL4027" s="7"/>
      <c r="AM4027" s="7"/>
      <c r="AN4027" s="7"/>
      <c r="AO4027" s="7"/>
      <c r="AP4027" s="7"/>
      <c r="AQ4027" s="7"/>
      <c r="AR4027" s="7"/>
    </row>
    <row r="4028">
      <c r="A4028" s="7" t="s">
        <v>32</v>
      </c>
      <c r="B4028" s="7" t="s">
        <v>399</v>
      </c>
      <c r="C4028" s="7">
        <f>5+1</f>
        <v>6</v>
      </c>
      <c r="D4028" s="7">
        <v>6.0</v>
      </c>
      <c r="E4028" s="9">
        <v>2.0</v>
      </c>
      <c r="F4028" s="7" t="s">
        <v>64</v>
      </c>
      <c r="G4028" s="7" t="s">
        <v>2399</v>
      </c>
      <c r="H4028" s="9" t="s">
        <v>2981</v>
      </c>
      <c r="I4028" t="s">
        <v>3183</v>
      </c>
      <c r="J4028" s="7"/>
      <c r="K4028" s="7"/>
      <c r="L4028" s="7"/>
      <c r="M4028" s="7"/>
      <c r="N4028" s="7"/>
      <c r="O4028" s="7"/>
      <c r="P4028" s="7"/>
      <c r="Q4028" s="7"/>
      <c r="R4028" s="7"/>
      <c r="S4028" s="7" t="s">
        <v>2993</v>
      </c>
      <c r="T4028" s="7"/>
      <c r="U4028" s="7"/>
      <c r="V4028" s="7"/>
      <c r="W4028" s="7"/>
      <c r="X4028" s="7"/>
      <c r="Y4028" s="7"/>
      <c r="Z4028" s="7"/>
      <c r="AA4028" s="7"/>
      <c r="AB4028" s="7"/>
      <c r="AC4028" s="7"/>
      <c r="AD4028" s="7" t="str">
        <f t="shared" si="1"/>
        <v>Land area </v>
      </c>
      <c r="AE4028" s="7" t="str">
        <f t="shared" si="2"/>
        <v> sq. ft.</v>
      </c>
      <c r="AF4028" s="7">
        <v>3200.0</v>
      </c>
      <c r="AG4028" s="7"/>
      <c r="AH4028" s="7"/>
      <c r="AI4028" s="7"/>
      <c r="AJ4028" s="7"/>
      <c r="AK4028" s="7"/>
      <c r="AL4028" s="7"/>
      <c r="AM4028" s="7"/>
      <c r="AN4028" s="7"/>
      <c r="AO4028" s="7"/>
      <c r="AP4028" s="7"/>
      <c r="AQ4028" s="7"/>
      <c r="AR4028" s="7"/>
      <c r="AS4028" s="7" t="s">
        <v>103</v>
      </c>
    </row>
    <row r="4029">
      <c r="A4029" s="7" t="s">
        <v>32</v>
      </c>
      <c r="B4029" s="7" t="s">
        <v>2563</v>
      </c>
      <c r="C4029" s="7">
        <f>3</f>
        <v>3</v>
      </c>
      <c r="D4029" s="7">
        <v>2.0</v>
      </c>
      <c r="E4029" s="7">
        <v>2.0</v>
      </c>
      <c r="F4029" s="7" t="s">
        <v>184</v>
      </c>
      <c r="G4029" s="7" t="s">
        <v>1644</v>
      </c>
      <c r="H4029" s="9" t="s">
        <v>2981</v>
      </c>
      <c r="I4029" t="s">
        <v>3831</v>
      </c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  <c r="AA4029" s="7"/>
      <c r="AB4029" s="7"/>
      <c r="AC4029" s="7"/>
      <c r="AD4029" s="7" t="str">
        <f t="shared" si="1"/>
        <v>Land area </v>
      </c>
      <c r="AE4029" s="7" t="str">
        <f t="shared" si="2"/>
        <v> sq. ft.</v>
      </c>
      <c r="AF4029">
        <f>IFERROR(__xludf.DUMMYFUNCTION("VALUE(REGEXREPLACE(G4029,""[^[:digit:]]"", """"))"),3000.0)</f>
        <v>3000</v>
      </c>
      <c r="AG4029" s="7"/>
      <c r="AH4029" s="7"/>
      <c r="AI4029" s="7"/>
      <c r="AJ4029" s="7"/>
      <c r="AK4029" s="7"/>
      <c r="AL4029" s="7"/>
      <c r="AM4029" s="7"/>
      <c r="AN4029" s="7"/>
      <c r="AO4029" s="7"/>
      <c r="AP4029" s="7"/>
      <c r="AQ4029" s="7"/>
      <c r="AR4029" s="7"/>
      <c r="AS4029" s="7" t="s">
        <v>103</v>
      </c>
    </row>
    <row r="4030">
      <c r="A4030" s="7" t="s">
        <v>32</v>
      </c>
      <c r="B4030" s="7" t="s">
        <v>221</v>
      </c>
      <c r="C4030" s="7">
        <f>4</f>
        <v>4</v>
      </c>
      <c r="D4030" s="7">
        <v>3.0</v>
      </c>
      <c r="E4030" s="7">
        <v>2.0</v>
      </c>
      <c r="F4030" s="7" t="s">
        <v>54</v>
      </c>
      <c r="G4030" s="7" t="s">
        <v>283</v>
      </c>
      <c r="H4030" s="9" t="s">
        <v>2981</v>
      </c>
      <c r="I4030" t="s">
        <v>3091</v>
      </c>
      <c r="J4030" s="7"/>
      <c r="K4030" s="7"/>
      <c r="L4030" s="7"/>
      <c r="M4030" s="7"/>
      <c r="N4030" s="7"/>
      <c r="O4030" s="7"/>
      <c r="P4030" s="7"/>
      <c r="Q4030" s="7"/>
      <c r="R4030" s="7"/>
      <c r="S4030" s="7" t="s">
        <v>2990</v>
      </c>
      <c r="T4030" s="7"/>
      <c r="U4030" s="7"/>
      <c r="V4030" s="7"/>
      <c r="W4030" s="7"/>
      <c r="X4030" s="7"/>
      <c r="Y4030" s="7"/>
      <c r="Z4030" s="7"/>
      <c r="AA4030" s="7"/>
      <c r="AB4030" s="7"/>
      <c r="AC4030" s="7"/>
      <c r="AD4030" s="7" t="str">
        <f t="shared" si="1"/>
        <v>Land area </v>
      </c>
      <c r="AE4030" s="7" t="str">
        <f t="shared" si="2"/>
        <v> sq. ft.</v>
      </c>
      <c r="AF4030">
        <f>IFERROR(__xludf.DUMMYFUNCTION("VALUE(REGEXREPLACE(G4030,""[^[:digit:]]"", """"))"),2275.0)</f>
        <v>2275</v>
      </c>
      <c r="AG4030" s="7"/>
      <c r="AH4030" s="7"/>
      <c r="AI4030" s="7"/>
      <c r="AJ4030" s="7"/>
      <c r="AK4030" s="7"/>
      <c r="AL4030" s="7"/>
      <c r="AM4030" s="7"/>
      <c r="AN4030" s="7"/>
      <c r="AO4030" s="7"/>
      <c r="AP4030" s="7"/>
      <c r="AQ4030" s="7"/>
      <c r="AR4030" s="7"/>
      <c r="AS4030" s="7" t="s">
        <v>22</v>
      </c>
    </row>
    <row r="4031">
      <c r="A4031" s="7" t="s">
        <v>32</v>
      </c>
      <c r="B4031" s="7" t="s">
        <v>322</v>
      </c>
      <c r="C4031" s="7">
        <f>5</f>
        <v>5</v>
      </c>
      <c r="D4031" s="7">
        <v>3.0</v>
      </c>
      <c r="E4031" s="7">
        <v>6.0</v>
      </c>
      <c r="F4031" s="7" t="s">
        <v>61</v>
      </c>
      <c r="G4031" s="7" t="s">
        <v>2564</v>
      </c>
      <c r="H4031" s="9" t="s">
        <v>2981</v>
      </c>
      <c r="I4031" t="s">
        <v>4397</v>
      </c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  <c r="AA4031" s="7"/>
      <c r="AB4031" s="7"/>
      <c r="AC4031" s="7"/>
      <c r="AD4031" s="7" t="str">
        <f t="shared" si="1"/>
        <v>Land area </v>
      </c>
      <c r="AE4031" s="7" t="str">
        <f t="shared" si="2"/>
        <v> sq. ft.</v>
      </c>
      <c r="AF4031">
        <f>IFERROR(__xludf.DUMMYFUNCTION("VALUE(REGEXREPLACE(G4031,""[^[:digit:]]"", """"))"),10350.0)</f>
        <v>10350</v>
      </c>
      <c r="AG4031" s="7"/>
      <c r="AH4031" s="7"/>
      <c r="AI4031" s="7"/>
      <c r="AJ4031" s="7"/>
      <c r="AK4031" s="7"/>
      <c r="AL4031" s="7"/>
      <c r="AM4031" s="7"/>
      <c r="AN4031" s="7"/>
      <c r="AO4031" s="7"/>
      <c r="AP4031" s="7"/>
      <c r="AQ4031" s="7"/>
      <c r="AR4031" s="7"/>
      <c r="AS4031" s="7" t="s">
        <v>27</v>
      </c>
    </row>
    <row r="4032">
      <c r="A4032" s="7" t="s">
        <v>32</v>
      </c>
      <c r="B4032" s="7" t="s">
        <v>951</v>
      </c>
      <c r="C4032" s="7">
        <f>1</f>
        <v>1</v>
      </c>
      <c r="D4032" s="7">
        <v>1.0</v>
      </c>
      <c r="E4032" s="9">
        <v>2.0</v>
      </c>
      <c r="F4032" s="7" t="s">
        <v>121</v>
      </c>
      <c r="G4032" s="7" t="s">
        <v>961</v>
      </c>
      <c r="H4032" s="9" t="s">
        <v>2979</v>
      </c>
      <c r="I4032" t="s">
        <v>3428</v>
      </c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  <c r="AA4032" s="7"/>
      <c r="AB4032" s="7"/>
      <c r="AC4032" s="7"/>
      <c r="AD4032" s="7" t="str">
        <f t="shared" si="1"/>
        <v>Built-up :</v>
      </c>
      <c r="AE4032" s="7" t="str">
        <f t="shared" si="2"/>
        <v> sq. ft.</v>
      </c>
      <c r="AF4032">
        <f>IFERROR(__xludf.DUMMYFUNCTION("VALUE(REGEXREPLACE(G4032,""[^[:digit:]]"", """"))"),600.0)</f>
        <v>600</v>
      </c>
      <c r="AG4032" s="7"/>
      <c r="AH4032" s="7"/>
      <c r="AI4032" s="7"/>
      <c r="AJ4032" s="7"/>
      <c r="AK4032" s="7"/>
      <c r="AL4032" s="7"/>
      <c r="AM4032" s="7"/>
      <c r="AN4032" s="7"/>
      <c r="AO4032" s="7"/>
      <c r="AP4032" s="7"/>
      <c r="AQ4032" s="7"/>
      <c r="AR4032" s="7"/>
      <c r="AS4032" s="7" t="s">
        <v>27</v>
      </c>
    </row>
    <row r="4033">
      <c r="A4033" s="7" t="s">
        <v>32</v>
      </c>
      <c r="B4033" s="7" t="s">
        <v>761</v>
      </c>
      <c r="C4033" s="7">
        <f>2</f>
        <v>2</v>
      </c>
      <c r="D4033" s="7">
        <v>2.0</v>
      </c>
      <c r="E4033" s="9">
        <v>2.0</v>
      </c>
      <c r="F4033" s="7" t="s">
        <v>121</v>
      </c>
      <c r="G4033" s="7" t="s">
        <v>2565</v>
      </c>
      <c r="H4033" s="9" t="s">
        <v>2979</v>
      </c>
      <c r="I4033" t="s">
        <v>4398</v>
      </c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  <c r="AA4033" s="7"/>
      <c r="AB4033" s="7"/>
      <c r="AC4033" s="7"/>
      <c r="AD4033" s="7" t="str">
        <f t="shared" si="1"/>
        <v>Built-up :</v>
      </c>
      <c r="AE4033" s="7" t="str">
        <f t="shared" si="2"/>
        <v> sq. ft.</v>
      </c>
      <c r="AF4033">
        <f>IFERROR(__xludf.DUMMYFUNCTION("VALUE(REGEXREPLACE(G4033,""[^[:digit:]]"", """"))"),686.0)</f>
        <v>686</v>
      </c>
      <c r="AG4033" s="7"/>
      <c r="AH4033" s="7"/>
      <c r="AI4033" s="7"/>
      <c r="AJ4033" s="7"/>
      <c r="AK4033" s="7"/>
      <c r="AL4033" s="7"/>
      <c r="AM4033" s="7"/>
      <c r="AN4033" s="7"/>
      <c r="AO4033" s="7"/>
      <c r="AP4033" s="7"/>
      <c r="AQ4033" s="7"/>
      <c r="AR4033" s="7"/>
      <c r="AS4033" s="7" t="s">
        <v>27</v>
      </c>
    </row>
    <row r="4034">
      <c r="A4034" s="7" t="s">
        <v>32</v>
      </c>
      <c r="B4034" s="7" t="s">
        <v>956</v>
      </c>
      <c r="C4034" s="7">
        <f t="shared" ref="C4034:C4035" si="553">4</f>
        <v>4</v>
      </c>
      <c r="D4034" s="7">
        <v>2.0</v>
      </c>
      <c r="E4034" s="9">
        <v>2.0</v>
      </c>
      <c r="F4034" s="7" t="s">
        <v>121</v>
      </c>
      <c r="G4034" s="7" t="s">
        <v>1228</v>
      </c>
      <c r="H4034" s="9" t="s">
        <v>2979</v>
      </c>
      <c r="I4034" t="s">
        <v>3592</v>
      </c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  <c r="AA4034" s="7"/>
      <c r="AB4034" s="7"/>
      <c r="AC4034" s="7"/>
      <c r="AD4034" s="7" t="str">
        <f t="shared" si="1"/>
        <v>Built-up :</v>
      </c>
      <c r="AE4034" s="7" t="str">
        <f t="shared" si="2"/>
        <v> sq. ft.</v>
      </c>
      <c r="AF4034">
        <f>IFERROR(__xludf.DUMMYFUNCTION("VALUE(REGEXREPLACE(G4034,""[^[:digit:]]"", """"))"),1278.0)</f>
        <v>1278</v>
      </c>
      <c r="AG4034" s="7"/>
      <c r="AH4034" s="7"/>
      <c r="AI4034" s="7"/>
      <c r="AJ4034" s="7"/>
      <c r="AK4034" s="7"/>
      <c r="AL4034" s="7"/>
      <c r="AM4034" s="7"/>
      <c r="AN4034" s="7"/>
      <c r="AO4034" s="7"/>
      <c r="AP4034" s="7"/>
      <c r="AQ4034" s="7"/>
      <c r="AR4034" s="7"/>
      <c r="AS4034" s="7" t="s">
        <v>27</v>
      </c>
    </row>
    <row r="4035">
      <c r="A4035" s="7" t="s">
        <v>32</v>
      </c>
      <c r="B4035" s="7" t="s">
        <v>599</v>
      </c>
      <c r="C4035" s="7">
        <f t="shared" si="553"/>
        <v>4</v>
      </c>
      <c r="D4035" s="7">
        <v>3.0</v>
      </c>
      <c r="E4035" s="9">
        <v>2.0</v>
      </c>
      <c r="F4035" s="7" t="s">
        <v>121</v>
      </c>
      <c r="G4035" s="7" t="s">
        <v>2566</v>
      </c>
      <c r="H4035" s="9" t="s">
        <v>2979</v>
      </c>
      <c r="I4035" t="s">
        <v>4399</v>
      </c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  <c r="AA4035" s="7"/>
      <c r="AB4035" s="7"/>
      <c r="AC4035" s="7"/>
      <c r="AD4035" s="7" t="str">
        <f t="shared" si="1"/>
        <v>Built-up :</v>
      </c>
      <c r="AE4035" s="7" t="str">
        <f t="shared" si="2"/>
        <v> sq. ft.</v>
      </c>
      <c r="AF4035">
        <f>IFERROR(__xludf.DUMMYFUNCTION("VALUE(REGEXREPLACE(G4035,""[^[:digit:]]"", """"))"),1470.0)</f>
        <v>1470</v>
      </c>
      <c r="AG4035" s="7"/>
      <c r="AH4035" s="7"/>
      <c r="AI4035" s="7"/>
      <c r="AJ4035" s="7"/>
      <c r="AK4035" s="7"/>
      <c r="AL4035" s="7"/>
      <c r="AM4035" s="7"/>
      <c r="AN4035" s="7"/>
      <c r="AO4035" s="7"/>
      <c r="AP4035" s="7"/>
      <c r="AQ4035" s="7"/>
      <c r="AR4035" s="7"/>
      <c r="AS4035" s="7" t="s">
        <v>27</v>
      </c>
    </row>
    <row r="4036">
      <c r="A4036" s="7" t="s">
        <v>267</v>
      </c>
      <c r="B4036" s="7" t="s">
        <v>2567</v>
      </c>
      <c r="C4036" s="7">
        <f>5+1</f>
        <v>6</v>
      </c>
      <c r="D4036" s="7">
        <v>5.0</v>
      </c>
      <c r="E4036" s="7">
        <v>6.0</v>
      </c>
      <c r="F4036" s="7" t="s">
        <v>25</v>
      </c>
      <c r="G4036" s="7" t="s">
        <v>40</v>
      </c>
      <c r="H4036" s="9" t="s">
        <v>2981</v>
      </c>
      <c r="I4036" t="s">
        <v>2987</v>
      </c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  <c r="AA4036" s="7"/>
      <c r="AB4036" s="7"/>
      <c r="AC4036" s="7"/>
      <c r="AD4036" s="7" t="str">
        <f t="shared" si="1"/>
        <v>Land area </v>
      </c>
      <c r="AE4036" s="7" t="str">
        <f t="shared" si="2"/>
        <v> sq. ft.</v>
      </c>
      <c r="AF4036">
        <f>IFERROR(__xludf.DUMMYFUNCTION("VALUE(REGEXREPLACE(G4036,""[^[:digit:]]"", """"))"),7200.0)</f>
        <v>7200</v>
      </c>
      <c r="AG4036" s="7"/>
      <c r="AH4036" s="7"/>
      <c r="AI4036" s="7"/>
      <c r="AJ4036" s="7"/>
      <c r="AK4036" s="7"/>
      <c r="AL4036" s="7"/>
      <c r="AM4036" s="7"/>
      <c r="AN4036" s="7"/>
      <c r="AO4036" s="7"/>
      <c r="AP4036" s="7"/>
      <c r="AQ4036" s="7"/>
      <c r="AR4036" s="7"/>
      <c r="AS4036" s="7" t="s">
        <v>27</v>
      </c>
    </row>
    <row r="4037">
      <c r="A4037" s="7" t="s">
        <v>2022</v>
      </c>
      <c r="B4037" s="7" t="s">
        <v>2568</v>
      </c>
      <c r="C4037" s="7">
        <f t="shared" ref="C4037:C4042" si="554">4+1</f>
        <v>5</v>
      </c>
      <c r="D4037" s="7">
        <v>5.0</v>
      </c>
      <c r="E4037" s="7">
        <v>4.0</v>
      </c>
      <c r="F4037" s="7" t="s">
        <v>184</v>
      </c>
      <c r="G4037" s="7" t="s">
        <v>2569</v>
      </c>
      <c r="H4037" s="9" t="s">
        <v>2981</v>
      </c>
      <c r="I4037" t="s">
        <v>4400</v>
      </c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  <c r="AA4037" s="7"/>
      <c r="AB4037" s="7"/>
      <c r="AC4037" s="7"/>
      <c r="AD4037" s="7" t="str">
        <f t="shared" si="1"/>
        <v>Land area </v>
      </c>
      <c r="AE4037" s="7" t="str">
        <f t="shared" si="2"/>
        <v> sq. ft.</v>
      </c>
      <c r="AF4037">
        <f>IFERROR(__xludf.DUMMYFUNCTION("VALUE(REGEXREPLACE(G4037,""[^[:digit:]]"", """"))"),3756.0)</f>
        <v>3756</v>
      </c>
      <c r="AG4037" s="7"/>
      <c r="AH4037" s="7"/>
      <c r="AI4037" s="7"/>
      <c r="AJ4037" s="7"/>
      <c r="AK4037" s="7"/>
      <c r="AL4037" s="7"/>
      <c r="AM4037" s="7"/>
      <c r="AN4037" s="7"/>
      <c r="AO4037" s="7"/>
      <c r="AP4037" s="7"/>
      <c r="AQ4037" s="7"/>
      <c r="AR4037" s="7"/>
    </row>
    <row r="4038">
      <c r="A4038" s="7" t="s">
        <v>692</v>
      </c>
      <c r="B4038" s="7" t="s">
        <v>2568</v>
      </c>
      <c r="C4038" s="7">
        <f t="shared" si="554"/>
        <v>5</v>
      </c>
      <c r="D4038" s="7">
        <v>5.0</v>
      </c>
      <c r="E4038" s="7">
        <v>4.0</v>
      </c>
      <c r="F4038" s="7" t="s">
        <v>184</v>
      </c>
      <c r="G4038" s="7" t="s">
        <v>2569</v>
      </c>
      <c r="H4038" s="9" t="s">
        <v>2981</v>
      </c>
      <c r="I4038" t="s">
        <v>4400</v>
      </c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  <c r="AA4038" s="7"/>
      <c r="AB4038" s="7"/>
      <c r="AC4038" s="7"/>
      <c r="AD4038" s="7" t="str">
        <f t="shared" si="1"/>
        <v>Land area </v>
      </c>
      <c r="AE4038" s="7" t="str">
        <f t="shared" si="2"/>
        <v> sq. ft.</v>
      </c>
      <c r="AF4038">
        <f>IFERROR(__xludf.DUMMYFUNCTION("VALUE(REGEXREPLACE(G4038,""[^[:digit:]]"", """"))"),3756.0)</f>
        <v>3756</v>
      </c>
      <c r="AG4038" s="7"/>
      <c r="AH4038" s="7"/>
      <c r="AI4038" s="7"/>
      <c r="AJ4038" s="7"/>
      <c r="AK4038" s="7"/>
      <c r="AL4038" s="7"/>
      <c r="AM4038" s="7"/>
      <c r="AN4038" s="7"/>
      <c r="AO4038" s="7"/>
      <c r="AP4038" s="7"/>
      <c r="AQ4038" s="7"/>
      <c r="AR4038" s="7"/>
    </row>
    <row r="4039">
      <c r="A4039" s="7" t="s">
        <v>37</v>
      </c>
      <c r="B4039" s="7" t="s">
        <v>2570</v>
      </c>
      <c r="C4039" s="7">
        <f t="shared" si="554"/>
        <v>5</v>
      </c>
      <c r="D4039" s="7">
        <v>5.0</v>
      </c>
      <c r="E4039" s="7">
        <v>4.0</v>
      </c>
      <c r="F4039" s="7" t="s">
        <v>487</v>
      </c>
      <c r="G4039" s="7" t="s">
        <v>2571</v>
      </c>
      <c r="H4039" s="9" t="s">
        <v>2981</v>
      </c>
      <c r="I4039" t="s">
        <v>4401</v>
      </c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  <c r="AA4039" s="7"/>
      <c r="AB4039" s="7"/>
      <c r="AC4039" s="7"/>
      <c r="AD4039" s="7" t="str">
        <f t="shared" si="1"/>
        <v>Land area </v>
      </c>
      <c r="AE4039" s="7" t="str">
        <f t="shared" si="2"/>
        <v> sq. ft.</v>
      </c>
      <c r="AF4039">
        <f>IFERROR(__xludf.DUMMYFUNCTION("VALUE(REGEXREPLACE(G4039,""[^[:digit:]]"", """"))"),4004.0)</f>
        <v>4004</v>
      </c>
      <c r="AG4039" s="7"/>
      <c r="AH4039" s="7"/>
      <c r="AI4039" s="7"/>
      <c r="AJ4039" s="7"/>
      <c r="AK4039" s="7"/>
      <c r="AL4039" s="7"/>
      <c r="AM4039" s="7"/>
      <c r="AN4039" s="7"/>
      <c r="AO4039" s="7"/>
      <c r="AP4039" s="7"/>
      <c r="AQ4039" s="7"/>
      <c r="AR4039" s="7"/>
      <c r="AS4039" s="7" t="s">
        <v>103</v>
      </c>
    </row>
    <row r="4040">
      <c r="A4040" s="7" t="s">
        <v>2433</v>
      </c>
      <c r="B4040" s="7" t="s">
        <v>2570</v>
      </c>
      <c r="C4040" s="7">
        <f t="shared" si="554"/>
        <v>5</v>
      </c>
      <c r="D4040" s="7">
        <v>5.0</v>
      </c>
      <c r="E4040" s="7">
        <v>4.0</v>
      </c>
      <c r="F4040" s="7" t="s">
        <v>487</v>
      </c>
      <c r="G4040" s="7" t="s">
        <v>2571</v>
      </c>
      <c r="H4040" s="9" t="s">
        <v>2981</v>
      </c>
      <c r="I4040" t="s">
        <v>4401</v>
      </c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  <c r="AA4040" s="7"/>
      <c r="AB4040" s="7"/>
      <c r="AC4040" s="7"/>
      <c r="AD4040" s="7" t="str">
        <f t="shared" si="1"/>
        <v>Land area </v>
      </c>
      <c r="AE4040" s="7" t="str">
        <f t="shared" si="2"/>
        <v> sq. ft.</v>
      </c>
      <c r="AF4040">
        <f>IFERROR(__xludf.DUMMYFUNCTION("VALUE(REGEXREPLACE(G4040,""[^[:digit:]]"", """"))"),4004.0)</f>
        <v>4004</v>
      </c>
      <c r="AG4040" s="7"/>
      <c r="AH4040" s="7"/>
      <c r="AI4040" s="7"/>
      <c r="AJ4040" s="7"/>
      <c r="AK4040" s="7"/>
      <c r="AL4040" s="7"/>
      <c r="AM4040" s="7"/>
      <c r="AN4040" s="7"/>
      <c r="AO4040" s="7"/>
      <c r="AP4040" s="7"/>
      <c r="AQ4040" s="7"/>
      <c r="AR4040" s="7"/>
      <c r="AS4040" s="7" t="s">
        <v>103</v>
      </c>
    </row>
    <row r="4041">
      <c r="A4041" s="7" t="s">
        <v>77</v>
      </c>
      <c r="B4041" s="7" t="s">
        <v>2570</v>
      </c>
      <c r="C4041" s="7">
        <f t="shared" si="554"/>
        <v>5</v>
      </c>
      <c r="D4041" s="7">
        <v>5.0</v>
      </c>
      <c r="E4041" s="7">
        <v>4.0</v>
      </c>
      <c r="F4041" s="7" t="s">
        <v>487</v>
      </c>
      <c r="G4041" s="7" t="s">
        <v>2571</v>
      </c>
      <c r="H4041" s="9" t="s">
        <v>2981</v>
      </c>
      <c r="I4041" t="s">
        <v>4401</v>
      </c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  <c r="AA4041" s="7"/>
      <c r="AB4041" s="7"/>
      <c r="AC4041" s="7"/>
      <c r="AD4041" s="7" t="str">
        <f t="shared" si="1"/>
        <v>Land area </v>
      </c>
      <c r="AE4041" s="7" t="str">
        <f t="shared" si="2"/>
        <v> sq. ft.</v>
      </c>
      <c r="AF4041">
        <f>IFERROR(__xludf.DUMMYFUNCTION("VALUE(REGEXREPLACE(G4041,""[^[:digit:]]"", """"))"),4004.0)</f>
        <v>4004</v>
      </c>
      <c r="AG4041" s="7"/>
      <c r="AH4041" s="7"/>
      <c r="AI4041" s="7"/>
      <c r="AJ4041" s="7"/>
      <c r="AK4041" s="7"/>
      <c r="AL4041" s="7"/>
      <c r="AM4041" s="7"/>
      <c r="AN4041" s="7"/>
      <c r="AO4041" s="7"/>
      <c r="AP4041" s="7"/>
      <c r="AQ4041" s="7"/>
      <c r="AR4041" s="7"/>
      <c r="AS4041" s="7" t="s">
        <v>103</v>
      </c>
    </row>
    <row r="4042">
      <c r="A4042" s="7" t="s">
        <v>104</v>
      </c>
      <c r="B4042" s="7" t="s">
        <v>2570</v>
      </c>
      <c r="C4042" s="7">
        <f t="shared" si="554"/>
        <v>5</v>
      </c>
      <c r="D4042" s="7">
        <v>5.0</v>
      </c>
      <c r="E4042" s="7">
        <v>4.0</v>
      </c>
      <c r="F4042" s="7" t="s">
        <v>487</v>
      </c>
      <c r="G4042" s="7" t="s">
        <v>2571</v>
      </c>
      <c r="H4042" s="9" t="s">
        <v>2981</v>
      </c>
      <c r="I4042" t="s">
        <v>4401</v>
      </c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  <c r="AA4042" s="7"/>
      <c r="AB4042" s="7"/>
      <c r="AC4042" s="7"/>
      <c r="AD4042" s="7" t="str">
        <f t="shared" si="1"/>
        <v>Land area </v>
      </c>
      <c r="AE4042" s="7" t="str">
        <f t="shared" si="2"/>
        <v> sq. ft.</v>
      </c>
      <c r="AF4042">
        <f>IFERROR(__xludf.DUMMYFUNCTION("VALUE(REGEXREPLACE(G4042,""[^[:digit:]]"", """"))"),4004.0)</f>
        <v>4004</v>
      </c>
      <c r="AG4042" s="7"/>
      <c r="AH4042" s="7"/>
      <c r="AI4042" s="7"/>
      <c r="AJ4042" s="7"/>
      <c r="AK4042" s="7"/>
      <c r="AL4042" s="7"/>
      <c r="AM4042" s="7"/>
      <c r="AN4042" s="7"/>
      <c r="AO4042" s="7"/>
      <c r="AP4042" s="7"/>
      <c r="AQ4042" s="7"/>
      <c r="AR4042" s="7"/>
      <c r="AS4042" s="7" t="s">
        <v>103</v>
      </c>
    </row>
    <row r="4043">
      <c r="A4043" s="7" t="s">
        <v>358</v>
      </c>
      <c r="B4043" s="7" t="s">
        <v>702</v>
      </c>
      <c r="C4043" s="7">
        <f>3</f>
        <v>3</v>
      </c>
      <c r="D4043" s="7">
        <v>2.0</v>
      </c>
      <c r="E4043" s="9">
        <v>2.0</v>
      </c>
      <c r="F4043" s="7" t="s">
        <v>50</v>
      </c>
      <c r="G4043" s="7" t="s">
        <v>964</v>
      </c>
      <c r="H4043" s="9" t="s">
        <v>2979</v>
      </c>
      <c r="I4043" t="s">
        <v>3429</v>
      </c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  <c r="AA4043" s="7"/>
      <c r="AB4043" s="7"/>
      <c r="AC4043" s="7"/>
      <c r="AD4043" s="7" t="str">
        <f t="shared" si="1"/>
        <v>Built-up :</v>
      </c>
      <c r="AE4043" s="7" t="str">
        <f t="shared" si="2"/>
        <v> sq. ft.</v>
      </c>
      <c r="AF4043">
        <f>IFERROR(__xludf.DUMMYFUNCTION("VALUE(REGEXREPLACE(G4043,""[^[:digit:]]"", """"))"),926.0)</f>
        <v>926</v>
      </c>
      <c r="AG4043" s="7"/>
      <c r="AH4043" s="7"/>
      <c r="AI4043" s="7"/>
      <c r="AJ4043" s="7"/>
      <c r="AK4043" s="7"/>
      <c r="AL4043" s="7"/>
      <c r="AM4043" s="7"/>
      <c r="AN4043" s="7"/>
      <c r="AO4043" s="7"/>
      <c r="AP4043" s="7"/>
      <c r="AQ4043" s="7"/>
      <c r="AR4043" s="7"/>
      <c r="AS4043" s="7" t="s">
        <v>27</v>
      </c>
    </row>
    <row r="4044">
      <c r="A4044" s="7" t="s">
        <v>72</v>
      </c>
      <c r="B4044" s="7" t="s">
        <v>2572</v>
      </c>
      <c r="E4044" s="9">
        <v>2.0</v>
      </c>
      <c r="F4044" s="7" t="s">
        <v>1453</v>
      </c>
      <c r="G4044" s="7" t="s">
        <v>2573</v>
      </c>
      <c r="H4044" s="9" t="s">
        <v>2981</v>
      </c>
      <c r="I4044" t="s">
        <v>4402</v>
      </c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  <c r="AA4044" s="7"/>
      <c r="AB4044" s="7"/>
      <c r="AC4044" s="7"/>
      <c r="AD4044" s="7" t="str">
        <f t="shared" si="1"/>
        <v>Land area </v>
      </c>
      <c r="AE4044" s="7" t="str">
        <f t="shared" si="2"/>
        <v> sq. ft.</v>
      </c>
      <c r="AF4044">
        <f>IFERROR(__xludf.DUMMYFUNCTION("VALUE(REGEXREPLACE(G4044,""[^[:digit:]]"", """"))"),13832.0)</f>
        <v>13832</v>
      </c>
      <c r="AG4044" s="7"/>
      <c r="AH4044" s="7"/>
      <c r="AI4044" s="7"/>
      <c r="AJ4044" s="7"/>
      <c r="AK4044" s="7"/>
      <c r="AL4044" s="7"/>
      <c r="AM4044" s="7"/>
      <c r="AN4044" s="7"/>
      <c r="AO4044" s="7"/>
      <c r="AP4044" s="7"/>
      <c r="AQ4044" s="7"/>
      <c r="AR4044" s="7"/>
    </row>
    <row r="4045">
      <c r="A4045" s="7" t="s">
        <v>32</v>
      </c>
      <c r="B4045" s="7" t="s">
        <v>168</v>
      </c>
      <c r="C4045" s="7">
        <f>3+1</f>
        <v>4</v>
      </c>
      <c r="D4045" s="7">
        <v>3.0</v>
      </c>
      <c r="E4045" s="7">
        <v>2.0</v>
      </c>
      <c r="F4045" s="7" t="s">
        <v>30</v>
      </c>
      <c r="G4045" s="7" t="s">
        <v>726</v>
      </c>
      <c r="H4045" s="9" t="s">
        <v>2979</v>
      </c>
      <c r="I4045" t="s">
        <v>3304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  <c r="AA4045" s="7"/>
      <c r="AB4045" s="7"/>
      <c r="AC4045" s="7"/>
      <c r="AD4045" s="7" t="str">
        <f t="shared" si="1"/>
        <v>Built-up :</v>
      </c>
      <c r="AE4045" s="7" t="str">
        <f t="shared" si="2"/>
        <v> sq. ft.</v>
      </c>
      <c r="AF4045">
        <f>IFERROR(__xludf.DUMMYFUNCTION("VALUE(REGEXREPLACE(G4045,""[^[:digit:]]"", """"))"),1700.0)</f>
        <v>1700</v>
      </c>
      <c r="AG4045" s="7"/>
      <c r="AH4045" s="7"/>
      <c r="AI4045" s="7"/>
      <c r="AJ4045" s="7"/>
      <c r="AK4045" s="7"/>
      <c r="AL4045" s="7"/>
      <c r="AM4045" s="7"/>
      <c r="AN4045" s="7"/>
      <c r="AO4045" s="7"/>
      <c r="AP4045" s="7"/>
      <c r="AQ4045" s="7"/>
      <c r="AR4045" s="7"/>
      <c r="AS4045" s="7" t="s">
        <v>27</v>
      </c>
    </row>
    <row r="4046">
      <c r="A4046" s="7" t="s">
        <v>32</v>
      </c>
      <c r="B4046" s="7" t="s">
        <v>1318</v>
      </c>
      <c r="C4046" s="7">
        <f>4</f>
        <v>4</v>
      </c>
      <c r="D4046" s="7">
        <v>2.0</v>
      </c>
      <c r="E4046" s="7">
        <v>1.0</v>
      </c>
      <c r="F4046" s="7" t="s">
        <v>30</v>
      </c>
      <c r="G4046" s="7" t="s">
        <v>1776</v>
      </c>
      <c r="H4046" s="9" t="s">
        <v>2979</v>
      </c>
      <c r="I4046" t="s">
        <v>3918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  <c r="AA4046" s="7"/>
      <c r="AB4046" s="7"/>
      <c r="AC4046" s="7"/>
      <c r="AD4046" s="7" t="str">
        <f t="shared" si="1"/>
        <v>Built-up :</v>
      </c>
      <c r="AE4046" s="7" t="str">
        <f t="shared" si="2"/>
        <v> sq. ft.</v>
      </c>
      <c r="AF4046">
        <f>IFERROR(__xludf.DUMMYFUNCTION("VALUE(REGEXREPLACE(G4046,""[^[:digit:]]"", """"))"),1307.0)</f>
        <v>1307</v>
      </c>
      <c r="AG4046" s="7"/>
      <c r="AH4046" s="7"/>
      <c r="AI4046" s="7"/>
      <c r="AJ4046" s="7"/>
      <c r="AK4046" s="7"/>
      <c r="AL4046" s="7"/>
      <c r="AM4046" s="7"/>
      <c r="AN4046" s="7"/>
      <c r="AO4046" s="7"/>
      <c r="AP4046" s="7"/>
      <c r="AQ4046" s="7"/>
      <c r="AR4046" s="7"/>
      <c r="AS4046" s="7" t="s">
        <v>22</v>
      </c>
    </row>
    <row r="4047">
      <c r="A4047" s="7" t="s">
        <v>23</v>
      </c>
      <c r="B4047" s="7" t="s">
        <v>2574</v>
      </c>
      <c r="C4047" s="7">
        <f>4+1</f>
        <v>5</v>
      </c>
      <c r="D4047" s="7">
        <v>6.0</v>
      </c>
      <c r="E4047" s="9">
        <v>2.0</v>
      </c>
      <c r="F4047" s="7" t="s">
        <v>487</v>
      </c>
      <c r="G4047" s="7" t="s">
        <v>44</v>
      </c>
      <c r="H4047" s="9" t="s">
        <v>2981</v>
      </c>
      <c r="I4047" t="s">
        <v>2988</v>
      </c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  <c r="AA4047" s="7"/>
      <c r="AB4047" s="7"/>
      <c r="AC4047" s="7"/>
      <c r="AD4047" s="7" t="str">
        <f t="shared" si="1"/>
        <v>Land area </v>
      </c>
      <c r="AE4047" s="7" t="str">
        <f t="shared" si="2"/>
        <v> sq. ft.</v>
      </c>
      <c r="AF4047">
        <f>IFERROR(__xludf.DUMMYFUNCTION("VALUE(REGEXREPLACE(G4047,""[^[:digit:]]"", """"))"),3600.0)</f>
        <v>3600</v>
      </c>
      <c r="AG4047" s="7"/>
      <c r="AH4047" s="7"/>
      <c r="AI4047" s="7"/>
      <c r="AJ4047" s="7"/>
      <c r="AK4047" s="7"/>
      <c r="AL4047" s="7"/>
      <c r="AM4047" s="7"/>
      <c r="AN4047" s="7"/>
      <c r="AO4047" s="7"/>
      <c r="AP4047" s="7"/>
      <c r="AQ4047" s="7"/>
      <c r="AR4047" s="7"/>
      <c r="AS4047" s="7" t="s">
        <v>27</v>
      </c>
    </row>
    <row r="4048">
      <c r="A4048" s="7" t="s">
        <v>432</v>
      </c>
      <c r="B4048" s="7" t="s">
        <v>66</v>
      </c>
      <c r="C4048" s="7">
        <f>6+1</f>
        <v>7</v>
      </c>
      <c r="D4048" s="7">
        <v>7.0</v>
      </c>
      <c r="E4048" s="7">
        <v>6.0</v>
      </c>
      <c r="F4048" s="7" t="s">
        <v>67</v>
      </c>
      <c r="G4048" s="7" t="s">
        <v>2575</v>
      </c>
      <c r="H4048" s="9" t="s">
        <v>2981</v>
      </c>
      <c r="I4048" t="s">
        <v>4403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  <c r="AA4048" s="7"/>
      <c r="AB4048" s="7"/>
      <c r="AC4048" s="7"/>
      <c r="AD4048" s="7" t="str">
        <f t="shared" si="1"/>
        <v>Land area </v>
      </c>
      <c r="AE4048" s="7" t="str">
        <f t="shared" si="2"/>
        <v> sq. ft.</v>
      </c>
      <c r="AF4048">
        <f>IFERROR(__xludf.DUMMYFUNCTION("VALUE(REGEXREPLACE(G4048,""[^[:digit:]]"", """"))"),16436.0)</f>
        <v>16436</v>
      </c>
      <c r="AG4048" s="7"/>
      <c r="AH4048" s="7"/>
      <c r="AI4048" s="7"/>
      <c r="AJ4048" s="7"/>
      <c r="AK4048" s="7"/>
      <c r="AL4048" s="7"/>
      <c r="AM4048" s="7"/>
      <c r="AN4048" s="7"/>
      <c r="AO4048" s="7"/>
      <c r="AP4048" s="7"/>
      <c r="AQ4048" s="7"/>
      <c r="AR4048" s="7"/>
      <c r="AS4048" s="7" t="s">
        <v>22</v>
      </c>
    </row>
    <row r="4049">
      <c r="A4049" s="7" t="s">
        <v>23</v>
      </c>
      <c r="B4049" s="7" t="s">
        <v>2576</v>
      </c>
      <c r="C4049" s="7">
        <f>4+1</f>
        <v>5</v>
      </c>
      <c r="D4049" s="7">
        <v>4.0</v>
      </c>
      <c r="E4049" s="7">
        <v>2.0</v>
      </c>
      <c r="F4049" s="7" t="s">
        <v>67</v>
      </c>
      <c r="G4049" s="7" t="s">
        <v>2577</v>
      </c>
      <c r="H4049" s="9" t="s">
        <v>2981</v>
      </c>
      <c r="I4049" t="s">
        <v>4404</v>
      </c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  <c r="AA4049" s="7"/>
      <c r="AB4049" s="7"/>
      <c r="AC4049" s="7"/>
      <c r="AD4049" s="7" t="str">
        <f t="shared" si="1"/>
        <v>Land area </v>
      </c>
      <c r="AE4049" s="7" t="str">
        <f t="shared" si="2"/>
        <v> sq. ft.</v>
      </c>
      <c r="AF4049">
        <f>IFERROR(__xludf.DUMMYFUNCTION("VALUE(REGEXREPLACE(G4049,""[^[:digit:]]"", """"))"),7800.0)</f>
        <v>7800</v>
      </c>
      <c r="AG4049" s="7"/>
      <c r="AH4049" s="7"/>
      <c r="AI4049" s="7"/>
      <c r="AJ4049" s="7"/>
      <c r="AK4049" s="7"/>
      <c r="AL4049" s="7"/>
      <c r="AM4049" s="7"/>
      <c r="AN4049" s="7"/>
      <c r="AO4049" s="7"/>
      <c r="AP4049" s="7"/>
      <c r="AQ4049" s="7"/>
      <c r="AR4049" s="7"/>
      <c r="AS4049" s="7" t="s">
        <v>27</v>
      </c>
    </row>
    <row r="4050">
      <c r="A4050" s="7" t="s">
        <v>23</v>
      </c>
      <c r="B4050" s="7" t="s">
        <v>523</v>
      </c>
      <c r="C4050" s="7">
        <f>5+1</f>
        <v>6</v>
      </c>
      <c r="D4050" s="7">
        <v>6.0</v>
      </c>
      <c r="E4050" s="7">
        <v>4.0</v>
      </c>
      <c r="F4050" s="7" t="s">
        <v>67</v>
      </c>
      <c r="G4050" s="7" t="s">
        <v>1738</v>
      </c>
      <c r="H4050" s="9" t="s">
        <v>2981</v>
      </c>
      <c r="I4050" t="s">
        <v>3893</v>
      </c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  <c r="AA4050" s="7"/>
      <c r="AB4050" s="7"/>
      <c r="AC4050" s="7"/>
      <c r="AD4050" s="7" t="str">
        <f t="shared" si="1"/>
        <v>Land area </v>
      </c>
      <c r="AE4050" s="7" t="str">
        <f t="shared" si="2"/>
        <v> sq. ft.</v>
      </c>
      <c r="AF4050">
        <f>IFERROR(__xludf.DUMMYFUNCTION("VALUE(REGEXREPLACE(G4050,""[^[:digit:]]"", """"))"),6100.0)</f>
        <v>6100</v>
      </c>
      <c r="AG4050" s="7"/>
      <c r="AH4050" s="7"/>
      <c r="AI4050" s="7"/>
      <c r="AJ4050" s="7"/>
      <c r="AK4050" s="7"/>
      <c r="AL4050" s="7"/>
      <c r="AM4050" s="7"/>
      <c r="AN4050" s="7"/>
      <c r="AO4050" s="7"/>
      <c r="AP4050" s="7"/>
      <c r="AQ4050" s="7"/>
      <c r="AR4050" s="7"/>
      <c r="AS4050" s="7" t="s">
        <v>27</v>
      </c>
    </row>
    <row r="4051">
      <c r="A4051" s="7" t="s">
        <v>262</v>
      </c>
      <c r="B4051" s="7" t="s">
        <v>545</v>
      </c>
      <c r="C4051" s="7">
        <f>9</f>
        <v>9</v>
      </c>
      <c r="D4051" s="7">
        <v>10.0</v>
      </c>
      <c r="E4051" s="7">
        <v>8.0</v>
      </c>
      <c r="F4051" s="7" t="s">
        <v>67</v>
      </c>
      <c r="G4051" s="7" t="s">
        <v>2274</v>
      </c>
      <c r="H4051" s="9" t="s">
        <v>2981</v>
      </c>
      <c r="I4051" t="s">
        <v>4221</v>
      </c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  <c r="AA4051" s="7"/>
      <c r="AB4051" s="7"/>
      <c r="AC4051" s="7"/>
      <c r="AD4051" s="7" t="str">
        <f t="shared" si="1"/>
        <v>Land area </v>
      </c>
      <c r="AE4051" s="7" t="str">
        <f t="shared" si="2"/>
        <v> sq. ft.</v>
      </c>
      <c r="AF4051">
        <f>IFERROR(__xludf.DUMMYFUNCTION("VALUE(REGEXREPLACE(G4051,""[^[:digit:]]"", """"))"),11700.0)</f>
        <v>11700</v>
      </c>
      <c r="AG4051" s="7"/>
      <c r="AH4051" s="7"/>
      <c r="AI4051" s="7"/>
      <c r="AJ4051" s="7"/>
      <c r="AK4051" s="7"/>
      <c r="AL4051" s="7"/>
      <c r="AM4051" s="7"/>
      <c r="AN4051" s="7"/>
      <c r="AO4051" s="7"/>
      <c r="AP4051" s="7"/>
      <c r="AQ4051" s="7"/>
      <c r="AR4051" s="7"/>
      <c r="AS4051" s="7" t="s">
        <v>27</v>
      </c>
    </row>
    <row r="4052">
      <c r="A4052" s="7" t="s">
        <v>223</v>
      </c>
      <c r="B4052" s="7" t="s">
        <v>372</v>
      </c>
      <c r="C4052" s="7">
        <f>2</f>
        <v>2</v>
      </c>
      <c r="D4052" s="7">
        <v>2.0</v>
      </c>
      <c r="E4052" s="7">
        <v>1.0</v>
      </c>
      <c r="F4052" s="7" t="s">
        <v>82</v>
      </c>
      <c r="G4052" s="7" t="s">
        <v>2578</v>
      </c>
      <c r="H4052" s="9" t="s">
        <v>2979</v>
      </c>
      <c r="I4052" t="s">
        <v>4405</v>
      </c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  <c r="AA4052" s="7"/>
      <c r="AB4052" s="7"/>
      <c r="AC4052" s="7"/>
      <c r="AD4052" s="7" t="str">
        <f t="shared" si="1"/>
        <v>Built-up :</v>
      </c>
      <c r="AE4052" s="7" t="str">
        <f t="shared" si="2"/>
        <v> sq. ft.</v>
      </c>
      <c r="AF4052">
        <f>IFERROR(__xludf.DUMMYFUNCTION("VALUE(REGEXREPLACE(G4052,""[^[:digit:]]"", """"))"),924.0)</f>
        <v>924</v>
      </c>
      <c r="AG4052" s="7"/>
      <c r="AH4052" s="7"/>
      <c r="AI4052" s="7"/>
      <c r="AJ4052" s="7"/>
      <c r="AK4052" s="7"/>
      <c r="AL4052" s="7"/>
      <c r="AM4052" s="7"/>
      <c r="AN4052" s="7"/>
      <c r="AO4052" s="7"/>
      <c r="AP4052" s="7"/>
      <c r="AQ4052" s="7"/>
      <c r="AR4052" s="7"/>
      <c r="AS4052" s="7" t="s">
        <v>22</v>
      </c>
    </row>
    <row r="4053">
      <c r="A4053" s="7" t="s">
        <v>241</v>
      </c>
      <c r="B4053" s="7" t="s">
        <v>268</v>
      </c>
      <c r="C4053" s="7">
        <f>3</f>
        <v>3</v>
      </c>
      <c r="D4053" s="7">
        <v>2.0</v>
      </c>
      <c r="E4053" s="7">
        <v>1.0</v>
      </c>
      <c r="F4053" s="7" t="s">
        <v>121</v>
      </c>
      <c r="G4053" s="7" t="s">
        <v>954</v>
      </c>
      <c r="H4053" s="9" t="s">
        <v>2979</v>
      </c>
      <c r="I4053" t="s">
        <v>3424</v>
      </c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  <c r="AA4053" s="7"/>
      <c r="AB4053" s="7"/>
      <c r="AC4053" s="7"/>
      <c r="AD4053" s="7" t="str">
        <f t="shared" si="1"/>
        <v>Built-up :</v>
      </c>
      <c r="AE4053" s="7" t="str">
        <f t="shared" si="2"/>
        <v> sq. ft.</v>
      </c>
      <c r="AF4053">
        <f>IFERROR(__xludf.DUMMYFUNCTION("VALUE(REGEXREPLACE(G4053,""[^[:digit:]]"", """"))"),935.0)</f>
        <v>935</v>
      </c>
      <c r="AG4053" s="7"/>
      <c r="AH4053" s="7"/>
      <c r="AI4053" s="7"/>
      <c r="AJ4053" s="7"/>
      <c r="AK4053" s="7"/>
      <c r="AL4053" s="7"/>
      <c r="AM4053" s="7"/>
      <c r="AN4053" s="7"/>
      <c r="AO4053" s="7"/>
      <c r="AP4053" s="7"/>
      <c r="AQ4053" s="7"/>
      <c r="AR4053" s="7"/>
      <c r="AS4053" s="7" t="s">
        <v>27</v>
      </c>
    </row>
    <row r="4054">
      <c r="A4054" s="7" t="s">
        <v>23</v>
      </c>
      <c r="B4054" s="7" t="s">
        <v>243</v>
      </c>
      <c r="C4054" s="7">
        <f>2+1</f>
        <v>3</v>
      </c>
      <c r="D4054" s="7">
        <v>3.0</v>
      </c>
      <c r="E4054" s="7">
        <v>1.0</v>
      </c>
      <c r="F4054" s="7" t="s">
        <v>93</v>
      </c>
      <c r="G4054" s="7" t="s">
        <v>1302</v>
      </c>
      <c r="H4054" s="9" t="s">
        <v>2979</v>
      </c>
      <c r="I4054" t="s">
        <v>3633</v>
      </c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  <c r="AA4054" s="7"/>
      <c r="AB4054" s="7"/>
      <c r="AC4054" s="7"/>
      <c r="AD4054" s="7" t="str">
        <f t="shared" si="1"/>
        <v>Built-up :</v>
      </c>
      <c r="AE4054" s="7" t="str">
        <f t="shared" si="2"/>
        <v> sq. ft.</v>
      </c>
      <c r="AF4054">
        <f>IFERROR(__xludf.DUMMYFUNCTION("VALUE(REGEXREPLACE(G4054,""[^[:digit:]]"", """"))"),1938.0)</f>
        <v>1938</v>
      </c>
      <c r="AG4054" s="7"/>
      <c r="AH4054" s="7"/>
      <c r="AI4054" s="7"/>
      <c r="AJ4054" s="7"/>
      <c r="AK4054" s="7"/>
      <c r="AL4054" s="7"/>
      <c r="AM4054" s="7"/>
      <c r="AN4054" s="7"/>
      <c r="AO4054" s="7"/>
      <c r="AP4054" s="7"/>
      <c r="AQ4054" s="7"/>
      <c r="AR4054" s="7"/>
      <c r="AS4054" s="7" t="s">
        <v>27</v>
      </c>
    </row>
    <row r="4055">
      <c r="A4055" s="7" t="s">
        <v>23</v>
      </c>
      <c r="B4055" s="7" t="s">
        <v>132</v>
      </c>
      <c r="C4055" s="7">
        <f t="shared" ref="C4055:C4056" si="555">3+1</f>
        <v>4</v>
      </c>
      <c r="D4055" s="7">
        <v>3.0</v>
      </c>
      <c r="E4055" s="7">
        <v>1.0</v>
      </c>
      <c r="F4055" s="7" t="s">
        <v>83</v>
      </c>
      <c r="G4055" s="7" t="s">
        <v>2579</v>
      </c>
      <c r="H4055" s="9" t="s">
        <v>2979</v>
      </c>
      <c r="I4055" t="s">
        <v>4406</v>
      </c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  <c r="AA4055" s="7"/>
      <c r="AB4055" s="7"/>
      <c r="AC4055" s="7"/>
      <c r="AD4055" s="7" t="str">
        <f t="shared" si="1"/>
        <v>Built-up :</v>
      </c>
      <c r="AE4055" s="7" t="str">
        <f t="shared" si="2"/>
        <v> sq. ft.</v>
      </c>
      <c r="AF4055">
        <f>IFERROR(__xludf.DUMMYFUNCTION("VALUE(REGEXREPLACE(G4055,""[^[:digit:]]"", """"))"),1979.0)</f>
        <v>1979</v>
      </c>
      <c r="AG4055" s="7"/>
      <c r="AH4055" s="7"/>
      <c r="AI4055" s="7"/>
      <c r="AJ4055" s="7"/>
      <c r="AK4055" s="7"/>
      <c r="AL4055" s="7"/>
      <c r="AM4055" s="7"/>
      <c r="AN4055" s="7"/>
      <c r="AO4055" s="7"/>
      <c r="AP4055" s="7"/>
      <c r="AQ4055" s="7"/>
      <c r="AR4055" s="7"/>
      <c r="AS4055" s="7" t="s">
        <v>22</v>
      </c>
    </row>
    <row r="4056">
      <c r="A4056" s="7" t="s">
        <v>65</v>
      </c>
      <c r="B4056" s="7" t="s">
        <v>63</v>
      </c>
      <c r="C4056" s="7">
        <f t="shared" si="555"/>
        <v>4</v>
      </c>
      <c r="D4056" s="7">
        <v>5.0</v>
      </c>
      <c r="E4056" s="7">
        <v>3.0</v>
      </c>
      <c r="F4056" s="7" t="s">
        <v>93</v>
      </c>
      <c r="G4056" s="7" t="s">
        <v>2580</v>
      </c>
      <c r="H4056" s="9" t="s">
        <v>2979</v>
      </c>
      <c r="I4056" t="s">
        <v>4407</v>
      </c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  <c r="AA4056" s="7"/>
      <c r="AB4056" s="7"/>
      <c r="AC4056" s="7"/>
      <c r="AD4056" s="7" t="str">
        <f t="shared" si="1"/>
        <v>Built-up :</v>
      </c>
      <c r="AE4056" s="7" t="str">
        <f t="shared" si="2"/>
        <v> sq. ft.</v>
      </c>
      <c r="AF4056">
        <f>IFERROR(__xludf.DUMMYFUNCTION("VALUE(REGEXREPLACE(G4056,""[^[:digit:]]"", """"))"),2996.0)</f>
        <v>2996</v>
      </c>
      <c r="AG4056" s="7"/>
      <c r="AH4056" s="7"/>
      <c r="AI4056" s="7"/>
      <c r="AJ4056" s="7"/>
      <c r="AK4056" s="7"/>
      <c r="AL4056" s="7"/>
      <c r="AM4056" s="7"/>
      <c r="AN4056" s="7"/>
      <c r="AO4056" s="7"/>
      <c r="AP4056" s="7"/>
      <c r="AQ4056" s="7"/>
      <c r="AR4056" s="7"/>
      <c r="AS4056" s="7" t="s">
        <v>27</v>
      </c>
    </row>
    <row r="4057">
      <c r="A4057" s="7" t="s">
        <v>17</v>
      </c>
      <c r="B4057" s="7" t="s">
        <v>2563</v>
      </c>
      <c r="C4057" s="7">
        <f>1</f>
        <v>1</v>
      </c>
      <c r="D4057" s="7">
        <v>1.0</v>
      </c>
      <c r="E4057" s="9">
        <v>2.0</v>
      </c>
      <c r="F4057" s="7" t="s">
        <v>20</v>
      </c>
      <c r="G4057" s="7" t="s">
        <v>1363</v>
      </c>
      <c r="H4057" s="9" t="s">
        <v>2979</v>
      </c>
      <c r="I4057" t="s">
        <v>3671</v>
      </c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  <c r="AA4057" s="7"/>
      <c r="AB4057" s="7"/>
      <c r="AC4057" s="7"/>
      <c r="AD4057" s="7" t="str">
        <f t="shared" si="1"/>
        <v>Built-up :</v>
      </c>
      <c r="AE4057" s="7" t="str">
        <f t="shared" si="2"/>
        <v> sq. ft.</v>
      </c>
      <c r="AF4057">
        <f>IFERROR(__xludf.DUMMYFUNCTION("VALUE(REGEXREPLACE(G4057,""[^[:digit:]]"", """"))"),605.0)</f>
        <v>605</v>
      </c>
      <c r="AG4057" s="7"/>
      <c r="AH4057" s="7"/>
      <c r="AI4057" s="7"/>
      <c r="AJ4057" s="7"/>
      <c r="AK4057" s="7"/>
      <c r="AL4057" s="7"/>
      <c r="AM4057" s="7"/>
      <c r="AN4057" s="7"/>
      <c r="AO4057" s="7"/>
      <c r="AP4057" s="7"/>
      <c r="AQ4057" s="7"/>
      <c r="AR4057" s="7"/>
      <c r="AS4057" s="7" t="s">
        <v>22</v>
      </c>
    </row>
    <row r="4058">
      <c r="A4058" s="7" t="s">
        <v>180</v>
      </c>
      <c r="B4058" s="7" t="s">
        <v>260</v>
      </c>
      <c r="C4058" s="7">
        <f>3+1</f>
        <v>4</v>
      </c>
      <c r="D4058" s="7">
        <v>3.0</v>
      </c>
      <c r="E4058" s="7">
        <v>2.0</v>
      </c>
      <c r="F4058" s="7" t="s">
        <v>93</v>
      </c>
      <c r="G4058" s="7" t="s">
        <v>1596</v>
      </c>
      <c r="H4058" s="9" t="s">
        <v>2979</v>
      </c>
      <c r="I4058" t="s">
        <v>3801</v>
      </c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  <c r="AA4058" s="7"/>
      <c r="AB4058" s="7"/>
      <c r="AC4058" s="7"/>
      <c r="AD4058" s="7" t="str">
        <f t="shared" si="1"/>
        <v>Built-up :</v>
      </c>
      <c r="AE4058" s="7" t="str">
        <f t="shared" si="2"/>
        <v> sq. ft.</v>
      </c>
      <c r="AF4058">
        <f>IFERROR(__xludf.DUMMYFUNCTION("VALUE(REGEXREPLACE(G4058,""[^[:digit:]]"", """"))"),1890.0)</f>
        <v>1890</v>
      </c>
      <c r="AG4058" s="7"/>
      <c r="AH4058" s="7"/>
      <c r="AI4058" s="7"/>
      <c r="AJ4058" s="7"/>
      <c r="AK4058" s="7"/>
      <c r="AL4058" s="7"/>
      <c r="AM4058" s="7"/>
      <c r="AN4058" s="7"/>
      <c r="AO4058" s="7"/>
      <c r="AP4058" s="7"/>
      <c r="AQ4058" s="7"/>
      <c r="AR4058" s="7"/>
      <c r="AS4058" s="7" t="s">
        <v>22</v>
      </c>
    </row>
    <row r="4059">
      <c r="A4059" s="7" t="s">
        <v>33</v>
      </c>
      <c r="B4059" s="7" t="s">
        <v>349</v>
      </c>
      <c r="C4059" s="7">
        <f t="shared" ref="C4059:C4061" si="556">4+1</f>
        <v>5</v>
      </c>
      <c r="D4059" s="7">
        <v>5.0</v>
      </c>
      <c r="E4059" s="7">
        <v>2.0</v>
      </c>
      <c r="F4059" s="7" t="s">
        <v>90</v>
      </c>
      <c r="G4059" s="7" t="s">
        <v>2581</v>
      </c>
      <c r="H4059" s="9" t="s">
        <v>2981</v>
      </c>
      <c r="I4059" t="s">
        <v>4408</v>
      </c>
      <c r="J4059" s="7"/>
      <c r="K4059" s="7"/>
      <c r="L4059" s="7"/>
      <c r="M4059" s="7"/>
      <c r="N4059" s="7"/>
      <c r="O4059" s="7"/>
      <c r="P4059" s="7"/>
      <c r="Q4059" s="7"/>
      <c r="R4059" s="7"/>
      <c r="S4059" s="7" t="s">
        <v>4409</v>
      </c>
      <c r="T4059" s="7"/>
      <c r="U4059" s="7"/>
      <c r="V4059" s="7"/>
      <c r="W4059" s="7"/>
      <c r="X4059" s="7"/>
      <c r="Y4059" s="7"/>
      <c r="Z4059" s="7"/>
      <c r="AA4059" s="7"/>
      <c r="AB4059" s="7"/>
      <c r="AC4059" s="7"/>
      <c r="AD4059" s="7" t="str">
        <f t="shared" si="1"/>
        <v>Land area </v>
      </c>
      <c r="AE4059" s="7" t="str">
        <f t="shared" si="2"/>
        <v> sq. ft.</v>
      </c>
      <c r="AF4059">
        <f>IFERROR(__xludf.DUMMYFUNCTION("VALUE(REGEXREPLACE(G4059,""[^[:digit:]]"", """"))"),2272.0)</f>
        <v>2272</v>
      </c>
      <c r="AG4059" s="7"/>
      <c r="AH4059" s="7"/>
      <c r="AI4059" s="7"/>
      <c r="AJ4059" s="7"/>
      <c r="AK4059" s="7"/>
      <c r="AL4059" s="7"/>
      <c r="AM4059" s="7"/>
      <c r="AN4059" s="7"/>
      <c r="AO4059" s="7"/>
      <c r="AP4059" s="7"/>
      <c r="AQ4059" s="7"/>
      <c r="AR4059" s="7"/>
      <c r="AS4059" s="7" t="s">
        <v>103</v>
      </c>
    </row>
    <row r="4060">
      <c r="A4060" s="7" t="s">
        <v>432</v>
      </c>
      <c r="B4060" s="7" t="s">
        <v>101</v>
      </c>
      <c r="C4060" s="7">
        <f t="shared" si="556"/>
        <v>5</v>
      </c>
      <c r="D4060" s="7">
        <v>6.0</v>
      </c>
      <c r="E4060" s="7">
        <v>3.0</v>
      </c>
      <c r="F4060" s="7" t="s">
        <v>93</v>
      </c>
      <c r="G4060" s="7" t="s">
        <v>1626</v>
      </c>
      <c r="H4060" s="9" t="s">
        <v>2979</v>
      </c>
      <c r="I4060" t="s">
        <v>3819</v>
      </c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  <c r="AA4060" s="7"/>
      <c r="AB4060" s="7"/>
      <c r="AC4060" s="7"/>
      <c r="AD4060" s="7" t="str">
        <f t="shared" si="1"/>
        <v>Built-up :</v>
      </c>
      <c r="AE4060" s="7" t="str">
        <f t="shared" si="2"/>
        <v> sq. ft.</v>
      </c>
      <c r="AF4060">
        <f>IFERROR(__xludf.DUMMYFUNCTION("VALUE(REGEXREPLACE(G4060,""[^[:digit:]]"", """"))"),3983.0)</f>
        <v>3983</v>
      </c>
      <c r="AG4060" s="7"/>
      <c r="AH4060" s="7"/>
      <c r="AI4060" s="7"/>
      <c r="AJ4060" s="7"/>
      <c r="AK4060" s="7"/>
      <c r="AL4060" s="7"/>
      <c r="AM4060" s="7"/>
      <c r="AN4060" s="7"/>
      <c r="AO4060" s="7"/>
      <c r="AP4060" s="7"/>
      <c r="AQ4060" s="7"/>
      <c r="AR4060" s="7"/>
      <c r="AS4060" s="7" t="s">
        <v>22</v>
      </c>
    </row>
    <row r="4061">
      <c r="A4061" s="7" t="s">
        <v>432</v>
      </c>
      <c r="B4061" s="7" t="s">
        <v>534</v>
      </c>
      <c r="C4061" s="7">
        <f t="shared" si="556"/>
        <v>5</v>
      </c>
      <c r="D4061" s="7">
        <v>6.0</v>
      </c>
      <c r="E4061" s="7">
        <v>4.0</v>
      </c>
      <c r="F4061" s="7" t="s">
        <v>30</v>
      </c>
      <c r="G4061" s="7" t="s">
        <v>1495</v>
      </c>
      <c r="H4061" s="9" t="s">
        <v>2979</v>
      </c>
      <c r="I4061" t="s">
        <v>3743</v>
      </c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  <c r="AA4061" s="7"/>
      <c r="AB4061" s="7"/>
      <c r="AC4061" s="7"/>
      <c r="AD4061" s="7" t="str">
        <f t="shared" si="1"/>
        <v>Built-up :</v>
      </c>
      <c r="AE4061" s="7" t="str">
        <f t="shared" si="2"/>
        <v> sq. ft.</v>
      </c>
      <c r="AF4061">
        <f>IFERROR(__xludf.DUMMYFUNCTION("VALUE(REGEXREPLACE(G4061,""[^[:digit:]]"", """"))"),3466.0)</f>
        <v>3466</v>
      </c>
      <c r="AG4061" s="7"/>
      <c r="AH4061" s="7"/>
      <c r="AI4061" s="7"/>
      <c r="AJ4061" s="7"/>
      <c r="AK4061" s="7"/>
      <c r="AL4061" s="7"/>
      <c r="AM4061" s="7"/>
      <c r="AN4061" s="7"/>
      <c r="AO4061" s="7"/>
      <c r="AP4061" s="7"/>
      <c r="AQ4061" s="7"/>
      <c r="AR4061" s="7"/>
      <c r="AS4061" s="7" t="s">
        <v>27</v>
      </c>
    </row>
    <row r="4062">
      <c r="A4062" s="7" t="s">
        <v>23</v>
      </c>
      <c r="B4062" s="7" t="s">
        <v>327</v>
      </c>
      <c r="C4062" s="7">
        <f>3+2</f>
        <v>5</v>
      </c>
      <c r="D4062" s="7">
        <v>3.0</v>
      </c>
      <c r="E4062" s="7">
        <v>1.0</v>
      </c>
      <c r="F4062" s="7" t="s">
        <v>30</v>
      </c>
      <c r="G4062" s="7" t="s">
        <v>1302</v>
      </c>
      <c r="H4062" s="9" t="s">
        <v>2979</v>
      </c>
      <c r="I4062" t="s">
        <v>3633</v>
      </c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  <c r="AA4062" s="7"/>
      <c r="AB4062" s="7"/>
      <c r="AC4062" s="7"/>
      <c r="AD4062" s="7" t="str">
        <f t="shared" si="1"/>
        <v>Built-up :</v>
      </c>
      <c r="AE4062" s="7" t="str">
        <f t="shared" si="2"/>
        <v> sq. ft.</v>
      </c>
      <c r="AF4062">
        <f>IFERROR(__xludf.DUMMYFUNCTION("VALUE(REGEXREPLACE(G4062,""[^[:digit:]]"", """"))"),1938.0)</f>
        <v>1938</v>
      </c>
      <c r="AG4062" s="7"/>
      <c r="AH4062" s="7"/>
      <c r="AI4062" s="7"/>
      <c r="AJ4062" s="7"/>
      <c r="AK4062" s="7"/>
      <c r="AL4062" s="7"/>
      <c r="AM4062" s="7"/>
      <c r="AN4062" s="7"/>
      <c r="AO4062" s="7"/>
      <c r="AP4062" s="7"/>
      <c r="AQ4062" s="7"/>
      <c r="AR4062" s="7"/>
      <c r="AS4062" s="7" t="s">
        <v>27</v>
      </c>
    </row>
    <row r="4063">
      <c r="A4063" s="7" t="s">
        <v>23</v>
      </c>
      <c r="B4063" s="7" t="s">
        <v>2582</v>
      </c>
      <c r="C4063" s="7">
        <f>2+1</f>
        <v>3</v>
      </c>
      <c r="D4063" s="7">
        <v>3.0</v>
      </c>
      <c r="E4063" s="7">
        <v>1.0</v>
      </c>
      <c r="F4063" s="7" t="s">
        <v>93</v>
      </c>
      <c r="G4063" s="7" t="s">
        <v>1302</v>
      </c>
      <c r="H4063" s="9" t="s">
        <v>2979</v>
      </c>
      <c r="I4063" t="s">
        <v>3633</v>
      </c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  <c r="AA4063" s="7"/>
      <c r="AB4063" s="7"/>
      <c r="AC4063" s="7"/>
      <c r="AD4063" s="7" t="str">
        <f t="shared" si="1"/>
        <v>Built-up :</v>
      </c>
      <c r="AE4063" s="7" t="str">
        <f t="shared" si="2"/>
        <v> sq. ft.</v>
      </c>
      <c r="AF4063">
        <f>IFERROR(__xludf.DUMMYFUNCTION("VALUE(REGEXREPLACE(G4063,""[^[:digit:]]"", """"))"),1938.0)</f>
        <v>1938</v>
      </c>
      <c r="AG4063" s="7"/>
      <c r="AH4063" s="7"/>
      <c r="AI4063" s="7"/>
      <c r="AJ4063" s="7"/>
      <c r="AK4063" s="7"/>
      <c r="AL4063" s="7"/>
      <c r="AM4063" s="7"/>
      <c r="AN4063" s="7"/>
      <c r="AO4063" s="7"/>
      <c r="AP4063" s="7"/>
      <c r="AQ4063" s="7"/>
      <c r="AR4063" s="7"/>
      <c r="AS4063" s="7" t="s">
        <v>27</v>
      </c>
    </row>
    <row r="4064">
      <c r="A4064" s="7" t="s">
        <v>177</v>
      </c>
      <c r="B4064" s="7" t="s">
        <v>120</v>
      </c>
      <c r="C4064" s="7">
        <f>4+1</f>
        <v>5</v>
      </c>
      <c r="D4064" s="7">
        <v>6.0</v>
      </c>
      <c r="E4064" s="7">
        <v>3.0</v>
      </c>
      <c r="F4064" s="7" t="s">
        <v>30</v>
      </c>
      <c r="G4064" s="7" t="s">
        <v>2583</v>
      </c>
      <c r="H4064" s="9" t="s">
        <v>2979</v>
      </c>
      <c r="I4064" t="s">
        <v>4410</v>
      </c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  <c r="AA4064" s="7"/>
      <c r="AB4064" s="7"/>
      <c r="AC4064" s="7"/>
      <c r="AD4064" s="7" t="str">
        <f t="shared" si="1"/>
        <v>Built-up :</v>
      </c>
      <c r="AE4064" s="7" t="str">
        <f t="shared" si="2"/>
        <v> sq. ft.</v>
      </c>
      <c r="AF4064">
        <f>IFERROR(__xludf.DUMMYFUNCTION("VALUE(REGEXREPLACE(G4064,""[^[:digit:]]"", """"))"),3891.0)</f>
        <v>3891</v>
      </c>
      <c r="AG4064" s="7"/>
      <c r="AH4064" s="7"/>
      <c r="AI4064" s="7"/>
      <c r="AJ4064" s="7"/>
      <c r="AK4064" s="7"/>
      <c r="AL4064" s="7"/>
      <c r="AM4064" s="7"/>
      <c r="AN4064" s="7"/>
      <c r="AO4064" s="7"/>
      <c r="AP4064" s="7"/>
      <c r="AQ4064" s="7"/>
      <c r="AR4064" s="7"/>
      <c r="AS4064" s="7" t="s">
        <v>27</v>
      </c>
    </row>
    <row r="4065">
      <c r="A4065" s="7" t="s">
        <v>17</v>
      </c>
      <c r="B4065" s="7" t="s">
        <v>2584</v>
      </c>
      <c r="C4065" s="7">
        <f>5+1</f>
        <v>6</v>
      </c>
      <c r="D4065" s="7">
        <v>7.0</v>
      </c>
      <c r="E4065" s="7">
        <v>3.0</v>
      </c>
      <c r="F4065" s="7" t="s">
        <v>93</v>
      </c>
      <c r="G4065" s="7" t="s">
        <v>2585</v>
      </c>
      <c r="H4065" s="9" t="s">
        <v>2979</v>
      </c>
      <c r="I4065" t="s">
        <v>4411</v>
      </c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  <c r="AA4065" s="7"/>
      <c r="AB4065" s="7"/>
      <c r="AC4065" s="7"/>
      <c r="AD4065" s="7" t="str">
        <f t="shared" si="1"/>
        <v>Built-up :</v>
      </c>
      <c r="AE4065" s="7" t="str">
        <f t="shared" si="2"/>
        <v> sq. ft.</v>
      </c>
      <c r="AF4065">
        <f>IFERROR(__xludf.DUMMYFUNCTION("VALUE(REGEXREPLACE(G4065,""[^[:digit:]]"", """"))"),3941.0)</f>
        <v>3941</v>
      </c>
      <c r="AG4065" s="7"/>
      <c r="AH4065" s="7"/>
      <c r="AI4065" s="7"/>
      <c r="AJ4065" s="7"/>
      <c r="AK4065" s="7"/>
      <c r="AL4065" s="7"/>
      <c r="AM4065" s="7"/>
      <c r="AN4065" s="7"/>
      <c r="AO4065" s="7"/>
      <c r="AP4065" s="7"/>
      <c r="AQ4065" s="7"/>
      <c r="AR4065" s="7"/>
      <c r="AS4065" s="7" t="s">
        <v>27</v>
      </c>
    </row>
    <row r="4066">
      <c r="A4066" s="7" t="s">
        <v>23</v>
      </c>
      <c r="B4066" s="7" t="s">
        <v>327</v>
      </c>
      <c r="C4066" s="7">
        <f>3</f>
        <v>3</v>
      </c>
      <c r="D4066" s="7">
        <v>3.0</v>
      </c>
      <c r="E4066" s="7">
        <v>1.0</v>
      </c>
      <c r="F4066" s="7" t="s">
        <v>93</v>
      </c>
      <c r="G4066" s="7" t="s">
        <v>2586</v>
      </c>
      <c r="H4066" s="9" t="s">
        <v>2979</v>
      </c>
      <c r="I4066" t="s">
        <v>4412</v>
      </c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  <c r="AA4066" s="7"/>
      <c r="AB4066" s="7"/>
      <c r="AC4066" s="7"/>
      <c r="AD4066" s="7" t="str">
        <f t="shared" si="1"/>
        <v>Built-up :</v>
      </c>
      <c r="AE4066" s="7" t="str">
        <f t="shared" si="2"/>
        <v> sq. ft.</v>
      </c>
      <c r="AF4066">
        <f>IFERROR(__xludf.DUMMYFUNCTION("VALUE(REGEXREPLACE(G4066,""[^[:digit:]]"", """"))"),2121.0)</f>
        <v>2121</v>
      </c>
      <c r="AG4066" s="7"/>
      <c r="AH4066" s="7"/>
      <c r="AI4066" s="7"/>
      <c r="AJ4066" s="7"/>
      <c r="AK4066" s="7"/>
      <c r="AL4066" s="7"/>
      <c r="AM4066" s="7"/>
      <c r="AN4066" s="7"/>
      <c r="AO4066" s="7"/>
      <c r="AP4066" s="7"/>
      <c r="AQ4066" s="7"/>
      <c r="AR4066" s="7"/>
      <c r="AS4066" s="7" t="s">
        <v>27</v>
      </c>
    </row>
    <row r="4067">
      <c r="A4067" s="7" t="s">
        <v>177</v>
      </c>
      <c r="B4067" s="7" t="s">
        <v>401</v>
      </c>
      <c r="C4067" s="7">
        <f t="shared" ref="C4067:C4068" si="557">4+1</f>
        <v>5</v>
      </c>
      <c r="D4067" s="7">
        <v>5.0</v>
      </c>
      <c r="E4067" s="7">
        <v>2.0</v>
      </c>
      <c r="F4067" s="7" t="s">
        <v>300</v>
      </c>
      <c r="G4067" s="7" t="s">
        <v>1024</v>
      </c>
      <c r="H4067" s="9" t="s">
        <v>2981</v>
      </c>
      <c r="I4067" t="s">
        <v>3460</v>
      </c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  <c r="AA4067" s="7"/>
      <c r="AB4067" s="7"/>
      <c r="AC4067" s="7"/>
      <c r="AD4067" s="7" t="str">
        <f t="shared" si="1"/>
        <v>Land area </v>
      </c>
      <c r="AE4067" s="7" t="str">
        <f t="shared" si="2"/>
        <v> sq. ft.</v>
      </c>
      <c r="AF4067">
        <f>IFERROR(__xludf.DUMMYFUNCTION("VALUE(REGEXREPLACE(G4067,""[^[:digit:]]"", """"))"),2000.0)</f>
        <v>2000</v>
      </c>
      <c r="AG4067" s="7"/>
      <c r="AH4067" s="7"/>
      <c r="AI4067" s="7"/>
      <c r="AJ4067" s="7"/>
      <c r="AK4067" s="7"/>
      <c r="AL4067" s="7"/>
      <c r="AM4067" s="7"/>
      <c r="AN4067" s="7"/>
      <c r="AO4067" s="7"/>
      <c r="AP4067" s="7"/>
      <c r="AQ4067" s="7"/>
      <c r="AR4067" s="7"/>
      <c r="AS4067" s="7" t="s">
        <v>27</v>
      </c>
    </row>
    <row r="4068">
      <c r="A4068" s="7" t="s">
        <v>23</v>
      </c>
      <c r="B4068" s="7" t="s">
        <v>322</v>
      </c>
      <c r="C4068" s="7">
        <f t="shared" si="557"/>
        <v>5</v>
      </c>
      <c r="D4068" s="7">
        <v>5.0</v>
      </c>
      <c r="E4068" s="7">
        <v>2.0</v>
      </c>
      <c r="F4068" s="7" t="s">
        <v>93</v>
      </c>
      <c r="G4068" s="7" t="s">
        <v>570</v>
      </c>
      <c r="H4068" s="9" t="s">
        <v>2979</v>
      </c>
      <c r="I4068" t="s">
        <v>3230</v>
      </c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  <c r="AA4068" s="7"/>
      <c r="AB4068" s="7"/>
      <c r="AC4068" s="7"/>
      <c r="AD4068" s="7" t="str">
        <f t="shared" si="1"/>
        <v>Built-up :</v>
      </c>
      <c r="AE4068" s="7" t="str">
        <f t="shared" si="2"/>
        <v> sq. ft.</v>
      </c>
      <c r="AF4068">
        <f>IFERROR(__xludf.DUMMYFUNCTION("VALUE(REGEXREPLACE(G4068,""[^[:digit:]]"", """"))"),3143.0)</f>
        <v>3143</v>
      </c>
      <c r="AG4068" s="7"/>
      <c r="AH4068" s="7"/>
      <c r="AI4068" s="7"/>
      <c r="AJ4068" s="7"/>
      <c r="AK4068" s="7"/>
      <c r="AL4068" s="7"/>
      <c r="AM4068" s="7"/>
      <c r="AN4068" s="7"/>
      <c r="AO4068" s="7"/>
      <c r="AP4068" s="7"/>
      <c r="AQ4068" s="7"/>
      <c r="AR4068" s="7"/>
      <c r="AS4068" s="7" t="s">
        <v>27</v>
      </c>
    </row>
    <row r="4069">
      <c r="A4069" s="7" t="s">
        <v>72</v>
      </c>
      <c r="B4069" s="7" t="s">
        <v>156</v>
      </c>
      <c r="C4069" s="7">
        <f>3+1</f>
        <v>4</v>
      </c>
      <c r="D4069" s="7">
        <v>3.0</v>
      </c>
      <c r="E4069" s="7">
        <v>1.0</v>
      </c>
      <c r="F4069" s="7" t="s">
        <v>82</v>
      </c>
      <c r="G4069" s="7" t="s">
        <v>2039</v>
      </c>
      <c r="H4069" s="9" t="s">
        <v>2979</v>
      </c>
      <c r="I4069" t="s">
        <v>4073</v>
      </c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  <c r="AA4069" s="7"/>
      <c r="AB4069" s="7"/>
      <c r="AC4069" s="7"/>
      <c r="AD4069" s="7" t="str">
        <f t="shared" si="1"/>
        <v>Built-up :</v>
      </c>
      <c r="AE4069" s="7" t="str">
        <f t="shared" si="2"/>
        <v> sq. ft.</v>
      </c>
      <c r="AF4069">
        <f>IFERROR(__xludf.DUMMYFUNCTION("VALUE(REGEXREPLACE(G4069,""[^[:digit:]]"", """"))"),1428.0)</f>
        <v>1428</v>
      </c>
      <c r="AG4069" s="7"/>
      <c r="AH4069" s="7"/>
      <c r="AI4069" s="7"/>
      <c r="AJ4069" s="7"/>
      <c r="AK4069" s="7"/>
      <c r="AL4069" s="7"/>
      <c r="AM4069" s="7"/>
      <c r="AN4069" s="7"/>
      <c r="AO4069" s="7"/>
      <c r="AP4069" s="7"/>
      <c r="AQ4069" s="7"/>
      <c r="AR4069" s="7"/>
      <c r="AS4069" s="7" t="s">
        <v>22</v>
      </c>
    </row>
    <row r="4070">
      <c r="A4070" s="7" t="s">
        <v>32</v>
      </c>
      <c r="B4070" s="7" t="s">
        <v>1344</v>
      </c>
      <c r="C4070" s="7">
        <f t="shared" ref="C4070:C4071" si="558">4</f>
        <v>4</v>
      </c>
      <c r="D4070" s="7">
        <v>3.0</v>
      </c>
      <c r="E4070" s="7">
        <v>2.0</v>
      </c>
      <c r="F4070" s="7" t="s">
        <v>54</v>
      </c>
      <c r="G4070" s="7" t="s">
        <v>711</v>
      </c>
      <c r="H4070" s="9" t="s">
        <v>2981</v>
      </c>
      <c r="I4070" t="s">
        <v>3294</v>
      </c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  <c r="AA4070" s="7"/>
      <c r="AB4070" s="7"/>
      <c r="AC4070" s="7"/>
      <c r="AD4070" s="7" t="str">
        <f t="shared" si="1"/>
        <v>Land area </v>
      </c>
      <c r="AE4070" s="7" t="str">
        <f t="shared" si="2"/>
        <v> sq. ft.</v>
      </c>
      <c r="AF4070">
        <f>IFERROR(__xludf.DUMMYFUNCTION("VALUE(REGEXREPLACE(G4070,""[^[:digit:]]"", """"))"),1200.0)</f>
        <v>1200</v>
      </c>
      <c r="AG4070" s="7"/>
      <c r="AH4070" s="7"/>
      <c r="AI4070" s="7"/>
      <c r="AJ4070" s="7"/>
      <c r="AK4070" s="7"/>
      <c r="AL4070" s="7"/>
      <c r="AM4070" s="7"/>
      <c r="AN4070" s="7"/>
      <c r="AO4070" s="7"/>
      <c r="AP4070" s="7"/>
      <c r="AQ4070" s="7"/>
      <c r="AR4070" s="7"/>
      <c r="AS4070" s="7" t="s">
        <v>27</v>
      </c>
    </row>
    <row r="4071">
      <c r="A4071" s="7" t="s">
        <v>77</v>
      </c>
      <c r="B4071" s="7" t="s">
        <v>575</v>
      </c>
      <c r="C4071" s="7">
        <f t="shared" si="558"/>
        <v>4</v>
      </c>
      <c r="D4071" s="7">
        <v>4.0</v>
      </c>
      <c r="E4071" s="7">
        <v>2.0</v>
      </c>
      <c r="F4071" s="7" t="s">
        <v>54</v>
      </c>
      <c r="G4071" s="7" t="s">
        <v>283</v>
      </c>
      <c r="H4071" s="9" t="s">
        <v>2981</v>
      </c>
      <c r="I4071" t="s">
        <v>3091</v>
      </c>
      <c r="J4071" s="7"/>
      <c r="K4071" s="7"/>
      <c r="L4071" s="7"/>
      <c r="M4071" s="7"/>
      <c r="N4071" s="7"/>
      <c r="O4071" s="7"/>
      <c r="P4071" s="7"/>
      <c r="Q4071" s="7"/>
      <c r="R4071" s="7"/>
      <c r="S4071" s="7" t="s">
        <v>2990</v>
      </c>
      <c r="T4071" s="7"/>
      <c r="U4071" s="7"/>
      <c r="V4071" s="7"/>
      <c r="W4071" s="7"/>
      <c r="X4071" s="7"/>
      <c r="Y4071" s="7"/>
      <c r="Z4071" s="7"/>
      <c r="AA4071" s="7"/>
      <c r="AB4071" s="7"/>
      <c r="AC4071" s="7"/>
      <c r="AD4071" s="7" t="str">
        <f t="shared" si="1"/>
        <v>Land area </v>
      </c>
      <c r="AE4071" s="7" t="str">
        <f t="shared" si="2"/>
        <v> sq. ft.</v>
      </c>
      <c r="AF4071">
        <f>IFERROR(__xludf.DUMMYFUNCTION("VALUE(REGEXREPLACE(G4071,""[^[:digit:]]"", """"))"),2275.0)</f>
        <v>2275</v>
      </c>
      <c r="AG4071" s="7"/>
      <c r="AH4071" s="7"/>
      <c r="AI4071" s="7"/>
      <c r="AJ4071" s="7"/>
      <c r="AK4071" s="7"/>
      <c r="AL4071" s="7"/>
      <c r="AM4071" s="7"/>
      <c r="AN4071" s="7"/>
      <c r="AO4071" s="7"/>
      <c r="AP4071" s="7"/>
      <c r="AQ4071" s="7"/>
      <c r="AR4071" s="7"/>
      <c r="AS4071" s="7" t="s">
        <v>103</v>
      </c>
    </row>
    <row r="4072">
      <c r="A4072" s="7" t="s">
        <v>77</v>
      </c>
      <c r="B4072" s="7" t="s">
        <v>168</v>
      </c>
      <c r="C4072" s="7">
        <f>5</f>
        <v>5</v>
      </c>
      <c r="D4072" s="7">
        <v>4.0</v>
      </c>
      <c r="E4072" s="7">
        <v>4.0</v>
      </c>
      <c r="F4072" s="7" t="s">
        <v>184</v>
      </c>
      <c r="G4072" s="7" t="s">
        <v>1886</v>
      </c>
      <c r="H4072" s="9" t="s">
        <v>2981</v>
      </c>
      <c r="I4072" t="s">
        <v>3571</v>
      </c>
      <c r="J4072" s="7"/>
      <c r="K4072" s="7"/>
      <c r="L4072" s="7"/>
      <c r="M4072" s="7"/>
      <c r="N4072" s="7"/>
      <c r="O4072" s="7"/>
      <c r="P4072" s="7"/>
      <c r="Q4072" s="7"/>
      <c r="R4072" s="7"/>
      <c r="S4072" s="7" t="s">
        <v>3188</v>
      </c>
      <c r="T4072" s="7"/>
      <c r="U4072" s="7"/>
      <c r="V4072" s="7"/>
      <c r="W4072" s="7"/>
      <c r="X4072" s="7"/>
      <c r="Y4072" s="7"/>
      <c r="Z4072" s="7"/>
      <c r="AA4072" s="7"/>
      <c r="AB4072" s="7"/>
      <c r="AC4072" s="7"/>
      <c r="AD4072" s="7" t="str">
        <f t="shared" si="1"/>
        <v>Land area </v>
      </c>
      <c r="AE4072" s="7" t="str">
        <f t="shared" si="2"/>
        <v> sq. ft.</v>
      </c>
      <c r="AF4072">
        <f>IFERROR(__xludf.DUMMYFUNCTION("VALUE(REGEXREPLACE(G4072,""[^[:digit:]]"", """"))"),2490.0)</f>
        <v>2490</v>
      </c>
      <c r="AG4072" s="7"/>
      <c r="AH4072" s="7"/>
      <c r="AI4072" s="7"/>
      <c r="AJ4072" s="7"/>
      <c r="AK4072" s="7"/>
      <c r="AL4072" s="7"/>
      <c r="AM4072" s="7"/>
      <c r="AN4072" s="7"/>
      <c r="AO4072" s="7"/>
      <c r="AP4072" s="7"/>
      <c r="AQ4072" s="7"/>
      <c r="AR4072" s="7"/>
      <c r="AS4072" s="7" t="s">
        <v>27</v>
      </c>
    </row>
    <row r="4073">
      <c r="A4073" s="7" t="s">
        <v>177</v>
      </c>
      <c r="B4073" s="7" t="s">
        <v>2587</v>
      </c>
      <c r="C4073" s="7">
        <f>2+1</f>
        <v>3</v>
      </c>
      <c r="D4073" s="7">
        <v>2.0</v>
      </c>
      <c r="E4073" s="7">
        <v>2.0</v>
      </c>
      <c r="F4073" s="7" t="s">
        <v>93</v>
      </c>
      <c r="G4073" s="7" t="s">
        <v>2467</v>
      </c>
      <c r="H4073" s="9" t="s">
        <v>2979</v>
      </c>
      <c r="I4073" t="s">
        <v>4335</v>
      </c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  <c r="AA4073" s="7"/>
      <c r="AB4073" s="7"/>
      <c r="AC4073" s="7"/>
      <c r="AD4073" s="7" t="str">
        <f t="shared" si="1"/>
        <v>Built-up :</v>
      </c>
      <c r="AE4073" s="7" t="str">
        <f t="shared" si="2"/>
        <v> sq. ft.</v>
      </c>
      <c r="AF4073">
        <f>IFERROR(__xludf.DUMMYFUNCTION("VALUE(REGEXREPLACE(G4073,""[^[:digit:]]"", """"))"),966.0)</f>
        <v>966</v>
      </c>
      <c r="AG4073" s="7"/>
      <c r="AH4073" s="7"/>
      <c r="AI4073" s="7"/>
      <c r="AJ4073" s="7"/>
      <c r="AK4073" s="7"/>
      <c r="AL4073" s="7"/>
      <c r="AM4073" s="7"/>
      <c r="AN4073" s="7"/>
      <c r="AO4073" s="7"/>
      <c r="AP4073" s="7"/>
      <c r="AQ4073" s="7"/>
      <c r="AR4073" s="7"/>
      <c r="AS4073" s="7" t="s">
        <v>27</v>
      </c>
    </row>
    <row r="4074">
      <c r="A4074" s="7" t="s">
        <v>32</v>
      </c>
      <c r="B4074" s="7" t="s">
        <v>125</v>
      </c>
      <c r="C4074" s="7">
        <f>5+1</f>
        <v>6</v>
      </c>
      <c r="D4074" s="7">
        <v>3.0</v>
      </c>
      <c r="E4074" s="7">
        <v>4.0</v>
      </c>
      <c r="F4074" s="7" t="s">
        <v>61</v>
      </c>
      <c r="G4074" s="7" t="s">
        <v>1202</v>
      </c>
      <c r="H4074" s="9" t="s">
        <v>2981</v>
      </c>
      <c r="I4074" t="s">
        <v>3574</v>
      </c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  <c r="AA4074" s="7"/>
      <c r="AB4074" s="7"/>
      <c r="AC4074" s="7"/>
      <c r="AD4074" s="7" t="str">
        <f t="shared" si="1"/>
        <v>Land area </v>
      </c>
      <c r="AE4074" s="7" t="str">
        <f t="shared" si="2"/>
        <v> sq. ft.</v>
      </c>
      <c r="AF4074">
        <f>IFERROR(__xludf.DUMMYFUNCTION("VALUE(REGEXREPLACE(G4074,""[^[:digit:]]"", """"))"),4500.0)</f>
        <v>4500</v>
      </c>
      <c r="AG4074" s="7"/>
      <c r="AH4074" s="7"/>
      <c r="AI4074" s="7"/>
      <c r="AJ4074" s="7"/>
      <c r="AK4074" s="7"/>
      <c r="AL4074" s="7"/>
      <c r="AM4074" s="7"/>
      <c r="AN4074" s="7"/>
      <c r="AO4074" s="7"/>
      <c r="AP4074" s="7"/>
      <c r="AQ4074" s="7"/>
      <c r="AR4074" s="7"/>
      <c r="AS4074" s="7" t="s">
        <v>27</v>
      </c>
    </row>
    <row r="4075">
      <c r="A4075" s="7" t="s">
        <v>23</v>
      </c>
      <c r="B4075" s="7" t="s">
        <v>1152</v>
      </c>
      <c r="C4075" s="7">
        <f t="shared" ref="C4075:C4077" si="559">2+1</f>
        <v>3</v>
      </c>
      <c r="D4075" s="7">
        <v>3.0</v>
      </c>
      <c r="E4075" s="7">
        <v>1.0</v>
      </c>
      <c r="F4075" s="7" t="s">
        <v>30</v>
      </c>
      <c r="G4075" s="7" t="s">
        <v>1522</v>
      </c>
      <c r="H4075" s="9" t="s">
        <v>2979</v>
      </c>
      <c r="I4075" t="s">
        <v>3759</v>
      </c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  <c r="AA4075" s="7"/>
      <c r="AB4075" s="7"/>
      <c r="AC4075" s="7"/>
      <c r="AD4075" s="7" t="str">
        <f t="shared" si="1"/>
        <v>Built-up :</v>
      </c>
      <c r="AE4075" s="7" t="str">
        <f t="shared" si="2"/>
        <v> sq. ft.</v>
      </c>
      <c r="AF4075">
        <f>IFERROR(__xludf.DUMMYFUNCTION("VALUE(REGEXREPLACE(G4075,""[^[:digit:]]"", """"))"),1290.0)</f>
        <v>1290</v>
      </c>
      <c r="AG4075" s="7"/>
      <c r="AH4075" s="7"/>
      <c r="AI4075" s="7"/>
      <c r="AJ4075" s="7"/>
      <c r="AK4075" s="7"/>
      <c r="AL4075" s="7"/>
      <c r="AM4075" s="7"/>
      <c r="AN4075" s="7"/>
      <c r="AO4075" s="7"/>
      <c r="AP4075" s="7"/>
      <c r="AQ4075" s="7"/>
      <c r="AR4075" s="7"/>
      <c r="AS4075" s="7" t="s">
        <v>27</v>
      </c>
    </row>
    <row r="4076">
      <c r="A4076" s="7" t="s">
        <v>37</v>
      </c>
      <c r="B4076" s="7" t="s">
        <v>260</v>
      </c>
      <c r="C4076" s="7">
        <f t="shared" si="559"/>
        <v>3</v>
      </c>
      <c r="D4076" s="7">
        <v>3.0</v>
      </c>
      <c r="E4076" s="7">
        <v>2.0</v>
      </c>
      <c r="F4076" s="7" t="s">
        <v>121</v>
      </c>
      <c r="G4076" s="7" t="s">
        <v>1093</v>
      </c>
      <c r="H4076" s="9" t="s">
        <v>2979</v>
      </c>
      <c r="I4076" t="s">
        <v>3501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  <c r="AA4076" s="7"/>
      <c r="AB4076" s="7"/>
      <c r="AC4076" s="7"/>
      <c r="AD4076" s="7" t="str">
        <f t="shared" si="1"/>
        <v>Built-up :</v>
      </c>
      <c r="AE4076" s="7" t="str">
        <f t="shared" si="2"/>
        <v> sq. ft.</v>
      </c>
      <c r="AF4076">
        <f>IFERROR(__xludf.DUMMYFUNCTION("VALUE(REGEXREPLACE(G4076,""[^[:digit:]]"", """"))"),1691.0)</f>
        <v>1691</v>
      </c>
      <c r="AG4076" s="7"/>
      <c r="AH4076" s="7"/>
      <c r="AI4076" s="7"/>
      <c r="AJ4076" s="7"/>
      <c r="AK4076" s="7"/>
      <c r="AL4076" s="7"/>
      <c r="AM4076" s="7"/>
      <c r="AN4076" s="7"/>
      <c r="AO4076" s="7"/>
      <c r="AP4076" s="7"/>
      <c r="AQ4076" s="7"/>
      <c r="AR4076" s="7"/>
      <c r="AS4076" s="7" t="s">
        <v>22</v>
      </c>
    </row>
    <row r="4077">
      <c r="A4077" s="7" t="s">
        <v>37</v>
      </c>
      <c r="B4077" s="7" t="s">
        <v>260</v>
      </c>
      <c r="C4077" s="7">
        <f t="shared" si="559"/>
        <v>3</v>
      </c>
      <c r="D4077" s="7">
        <v>3.0</v>
      </c>
      <c r="E4077" s="7">
        <v>2.0</v>
      </c>
      <c r="F4077" s="7" t="s">
        <v>121</v>
      </c>
      <c r="G4077" s="7" t="s">
        <v>1093</v>
      </c>
      <c r="H4077" s="9" t="s">
        <v>2979</v>
      </c>
      <c r="I4077" t="s">
        <v>3501</v>
      </c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  <c r="AA4077" s="7"/>
      <c r="AB4077" s="7"/>
      <c r="AC4077" s="7"/>
      <c r="AD4077" s="7" t="str">
        <f t="shared" si="1"/>
        <v>Built-up :</v>
      </c>
      <c r="AE4077" s="7" t="str">
        <f t="shared" si="2"/>
        <v> sq. ft.</v>
      </c>
      <c r="AF4077">
        <f>IFERROR(__xludf.DUMMYFUNCTION("VALUE(REGEXREPLACE(G4077,""[^[:digit:]]"", """"))"),1691.0)</f>
        <v>1691</v>
      </c>
      <c r="AG4077" s="7"/>
      <c r="AH4077" s="7"/>
      <c r="AI4077" s="7"/>
      <c r="AJ4077" s="7"/>
      <c r="AK4077" s="7"/>
      <c r="AL4077" s="7"/>
      <c r="AM4077" s="7"/>
      <c r="AN4077" s="7"/>
      <c r="AO4077" s="7"/>
      <c r="AP4077" s="7"/>
      <c r="AQ4077" s="7"/>
      <c r="AR4077" s="7"/>
      <c r="AS4077" s="7" t="s">
        <v>22</v>
      </c>
    </row>
    <row r="4078">
      <c r="A4078" s="7" t="s">
        <v>72</v>
      </c>
      <c r="B4078" s="7" t="s">
        <v>1166</v>
      </c>
      <c r="C4078" s="7">
        <f t="shared" ref="C4078:C4079" si="560">2</f>
        <v>2</v>
      </c>
      <c r="D4078" s="7">
        <v>2.0</v>
      </c>
      <c r="E4078" s="7">
        <v>1.0</v>
      </c>
      <c r="F4078" s="7" t="s">
        <v>83</v>
      </c>
      <c r="G4078" s="7" t="s">
        <v>747</v>
      </c>
      <c r="H4078" s="9" t="s">
        <v>2979</v>
      </c>
      <c r="I4078" t="s">
        <v>3318</v>
      </c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  <c r="AA4078" s="7"/>
      <c r="AB4078" s="7"/>
      <c r="AC4078" s="7"/>
      <c r="AD4078" s="7" t="str">
        <f t="shared" si="1"/>
        <v>Built-up :</v>
      </c>
      <c r="AE4078" s="7" t="str">
        <f t="shared" si="2"/>
        <v> sq. ft.</v>
      </c>
      <c r="AF4078">
        <f>IFERROR(__xludf.DUMMYFUNCTION("VALUE(REGEXREPLACE(G4078,""[^[:digit:]]"", """"))"),1000.0)</f>
        <v>1000</v>
      </c>
      <c r="AG4078" s="7"/>
      <c r="AH4078" s="7"/>
      <c r="AI4078" s="7"/>
      <c r="AJ4078" s="7"/>
      <c r="AK4078" s="7"/>
      <c r="AL4078" s="7"/>
      <c r="AM4078" s="7"/>
      <c r="AN4078" s="7"/>
      <c r="AO4078" s="7"/>
      <c r="AP4078" s="7"/>
      <c r="AQ4078" s="7"/>
      <c r="AR4078" s="7"/>
    </row>
    <row r="4079">
      <c r="A4079" s="7" t="s">
        <v>608</v>
      </c>
      <c r="B4079" s="7" t="s">
        <v>279</v>
      </c>
      <c r="C4079" s="7">
        <f t="shared" si="560"/>
        <v>2</v>
      </c>
      <c r="D4079" s="7">
        <v>2.0</v>
      </c>
      <c r="E4079" s="7">
        <v>1.0</v>
      </c>
      <c r="F4079" s="7" t="s">
        <v>30</v>
      </c>
      <c r="G4079" s="7" t="s">
        <v>609</v>
      </c>
      <c r="H4079" s="9" t="s">
        <v>2979</v>
      </c>
      <c r="I4079" t="s">
        <v>3246</v>
      </c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  <c r="AA4079" s="7"/>
      <c r="AB4079" s="7"/>
      <c r="AC4079" s="7"/>
      <c r="AD4079" s="7" t="str">
        <f t="shared" si="1"/>
        <v>Built-up :</v>
      </c>
      <c r="AE4079" s="7" t="str">
        <f t="shared" si="2"/>
        <v> sq. ft.</v>
      </c>
      <c r="AF4079">
        <f>IFERROR(__xludf.DUMMYFUNCTION("VALUE(REGEXREPLACE(G4079,""[^[:digit:]]"", """"))"),969.0)</f>
        <v>969</v>
      </c>
      <c r="AG4079" s="7"/>
      <c r="AH4079" s="7"/>
      <c r="AI4079" s="7"/>
      <c r="AJ4079" s="7"/>
      <c r="AK4079" s="7"/>
      <c r="AL4079" s="7"/>
      <c r="AM4079" s="7"/>
      <c r="AN4079" s="7"/>
      <c r="AO4079" s="7"/>
      <c r="AP4079" s="7"/>
      <c r="AQ4079" s="7"/>
      <c r="AR4079" s="7"/>
      <c r="AS4079" s="7" t="s">
        <v>27</v>
      </c>
    </row>
    <row r="4080">
      <c r="A4080" s="7" t="s">
        <v>23</v>
      </c>
      <c r="B4080" s="7" t="s">
        <v>447</v>
      </c>
      <c r="C4080" s="7">
        <f t="shared" ref="C4080:C4081" si="561">4+1</f>
        <v>5</v>
      </c>
      <c r="D4080" s="7">
        <v>4.0</v>
      </c>
      <c r="E4080" s="7">
        <v>4.0</v>
      </c>
      <c r="F4080" s="7" t="s">
        <v>487</v>
      </c>
      <c r="G4080" s="7" t="s">
        <v>2588</v>
      </c>
      <c r="H4080" s="9" t="s">
        <v>2981</v>
      </c>
      <c r="I4080" t="s">
        <v>4413</v>
      </c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  <c r="AA4080" s="7"/>
      <c r="AB4080" s="7"/>
      <c r="AC4080" s="7"/>
      <c r="AD4080" s="7" t="str">
        <f t="shared" si="1"/>
        <v>Land area </v>
      </c>
      <c r="AE4080" s="7" t="str">
        <f t="shared" si="2"/>
        <v> sq. ft.</v>
      </c>
      <c r="AF4080">
        <f>IFERROR(__xludf.DUMMYFUNCTION("VALUE(REGEXREPLACE(G4080,""[^[:digit:]]"", """"))"),5354.0)</f>
        <v>5354</v>
      </c>
      <c r="AG4080" s="7"/>
      <c r="AH4080" s="7"/>
      <c r="AI4080" s="7"/>
      <c r="AJ4080" s="7"/>
      <c r="AK4080" s="7"/>
      <c r="AL4080" s="7"/>
      <c r="AM4080" s="7"/>
      <c r="AN4080" s="7"/>
      <c r="AO4080" s="7"/>
      <c r="AP4080" s="7"/>
      <c r="AQ4080" s="7"/>
      <c r="AR4080" s="7"/>
      <c r="AS4080" s="7" t="s">
        <v>27</v>
      </c>
    </row>
    <row r="4081">
      <c r="A4081" s="7" t="s">
        <v>23</v>
      </c>
      <c r="B4081" s="7" t="s">
        <v>921</v>
      </c>
      <c r="C4081" s="7">
        <f t="shared" si="561"/>
        <v>5</v>
      </c>
      <c r="D4081" s="7">
        <v>4.0</v>
      </c>
      <c r="E4081" s="7">
        <v>4.0</v>
      </c>
      <c r="F4081" s="7" t="s">
        <v>64</v>
      </c>
      <c r="G4081" s="7" t="s">
        <v>928</v>
      </c>
      <c r="H4081" s="9" t="s">
        <v>2981</v>
      </c>
      <c r="I4081" t="s">
        <v>3410</v>
      </c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  <c r="AA4081" s="7"/>
      <c r="AB4081" s="7"/>
      <c r="AC4081" s="7"/>
      <c r="AD4081" s="7" t="str">
        <f t="shared" si="1"/>
        <v>Land area </v>
      </c>
      <c r="AE4081" s="7" t="str">
        <f t="shared" si="2"/>
        <v> sq. ft.</v>
      </c>
      <c r="AF4081">
        <f>IFERROR(__xludf.DUMMYFUNCTION("VALUE(REGEXREPLACE(G4081,""[^[:digit:]]"", """"))"),3550.0)</f>
        <v>3550</v>
      </c>
      <c r="AG4081" s="7"/>
      <c r="AH4081" s="7"/>
      <c r="AI4081" s="7"/>
      <c r="AJ4081" s="7"/>
      <c r="AK4081" s="7"/>
      <c r="AL4081" s="7"/>
      <c r="AM4081" s="7"/>
      <c r="AN4081" s="7"/>
      <c r="AO4081" s="7"/>
      <c r="AP4081" s="7"/>
      <c r="AQ4081" s="7"/>
      <c r="AR4081" s="7"/>
      <c r="AS4081" s="7" t="s">
        <v>27</v>
      </c>
    </row>
    <row r="4082">
      <c r="A4082" s="7" t="s">
        <v>52</v>
      </c>
      <c r="B4082" s="7" t="s">
        <v>85</v>
      </c>
      <c r="C4082" s="7">
        <f>3</f>
        <v>3</v>
      </c>
      <c r="D4082" s="7">
        <v>2.0</v>
      </c>
      <c r="E4082" s="7">
        <v>2.0</v>
      </c>
      <c r="F4082" s="7" t="s">
        <v>121</v>
      </c>
      <c r="G4082" s="7" t="s">
        <v>2589</v>
      </c>
      <c r="H4082" s="9" t="s">
        <v>2979</v>
      </c>
      <c r="I4082" t="s">
        <v>4414</v>
      </c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  <c r="AA4082" s="7"/>
      <c r="AB4082" s="7"/>
      <c r="AC4082" s="7"/>
      <c r="AD4082" s="7" t="str">
        <f t="shared" si="1"/>
        <v>Built-up :</v>
      </c>
      <c r="AE4082" s="7" t="str">
        <f t="shared" si="2"/>
        <v> sq. ft.</v>
      </c>
      <c r="AF4082">
        <f>IFERROR(__xludf.DUMMYFUNCTION("VALUE(REGEXREPLACE(G4082,""[^[:digit:]]"", """"))"),1512.0)</f>
        <v>1512</v>
      </c>
      <c r="AG4082" s="7"/>
      <c r="AH4082" s="7"/>
      <c r="AI4082" s="7"/>
      <c r="AJ4082" s="7"/>
      <c r="AK4082" s="7"/>
      <c r="AL4082" s="7"/>
      <c r="AM4082" s="7"/>
      <c r="AN4082" s="7"/>
      <c r="AO4082" s="7"/>
      <c r="AP4082" s="7"/>
      <c r="AQ4082" s="7"/>
      <c r="AR4082" s="7"/>
      <c r="AS4082" s="7" t="s">
        <v>27</v>
      </c>
    </row>
    <row r="4083">
      <c r="A4083" s="7" t="s">
        <v>23</v>
      </c>
      <c r="B4083" s="7" t="s">
        <v>322</v>
      </c>
      <c r="C4083" s="7">
        <f>3+1</f>
        <v>4</v>
      </c>
      <c r="D4083" s="7">
        <v>4.0</v>
      </c>
      <c r="E4083" s="7">
        <v>2.0</v>
      </c>
      <c r="F4083" s="7" t="s">
        <v>93</v>
      </c>
      <c r="G4083" s="7" t="s">
        <v>461</v>
      </c>
      <c r="H4083" s="9" t="s">
        <v>2979</v>
      </c>
      <c r="I4083" t="s">
        <v>3172</v>
      </c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  <c r="AA4083" s="7"/>
      <c r="AB4083" s="7"/>
      <c r="AC4083" s="7"/>
      <c r="AD4083" s="7" t="str">
        <f t="shared" si="1"/>
        <v>Built-up :</v>
      </c>
      <c r="AE4083" s="7" t="str">
        <f t="shared" si="2"/>
        <v> sq. ft.</v>
      </c>
      <c r="AF4083">
        <f>IFERROR(__xludf.DUMMYFUNCTION("VALUE(REGEXREPLACE(G4083,""[^[:digit:]]"", """"))"),1900.0)</f>
        <v>1900</v>
      </c>
      <c r="AG4083" s="7"/>
      <c r="AH4083" s="7"/>
      <c r="AI4083" s="7"/>
      <c r="AJ4083" s="7"/>
      <c r="AK4083" s="7"/>
      <c r="AL4083" s="7"/>
      <c r="AM4083" s="7"/>
      <c r="AN4083" s="7"/>
      <c r="AO4083" s="7"/>
      <c r="AP4083" s="7"/>
      <c r="AQ4083" s="7"/>
      <c r="AR4083" s="7"/>
      <c r="AS4083" s="7" t="s">
        <v>27</v>
      </c>
    </row>
    <row r="4084">
      <c r="A4084" s="7" t="s">
        <v>23</v>
      </c>
      <c r="B4084" s="7" t="s">
        <v>1289</v>
      </c>
      <c r="C4084" s="7">
        <f>4+1</f>
        <v>5</v>
      </c>
      <c r="D4084" s="7">
        <v>4.0</v>
      </c>
      <c r="E4084" s="7">
        <v>2.0</v>
      </c>
      <c r="F4084" s="7" t="s">
        <v>30</v>
      </c>
      <c r="G4084" s="7" t="s">
        <v>2590</v>
      </c>
      <c r="H4084" s="9" t="s">
        <v>2979</v>
      </c>
      <c r="I4084" t="s">
        <v>4415</v>
      </c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  <c r="AA4084" s="7"/>
      <c r="AB4084" s="7"/>
      <c r="AC4084" s="7"/>
      <c r="AD4084" s="7" t="str">
        <f t="shared" si="1"/>
        <v>Built-up :</v>
      </c>
      <c r="AE4084" s="7" t="str">
        <f t="shared" si="2"/>
        <v> sq. ft.</v>
      </c>
      <c r="AF4084">
        <f>IFERROR(__xludf.DUMMYFUNCTION("VALUE(REGEXREPLACE(G4084,""[^[:digit:]]"", """"))"),2743.0)</f>
        <v>2743</v>
      </c>
      <c r="AG4084" s="7"/>
      <c r="AH4084" s="7"/>
      <c r="AI4084" s="7"/>
      <c r="AJ4084" s="7"/>
      <c r="AK4084" s="7"/>
      <c r="AL4084" s="7"/>
      <c r="AM4084" s="7"/>
      <c r="AN4084" s="7"/>
      <c r="AO4084" s="7"/>
      <c r="AP4084" s="7"/>
      <c r="AQ4084" s="7"/>
      <c r="AR4084" s="7"/>
      <c r="AS4084" s="7" t="s">
        <v>27</v>
      </c>
    </row>
    <row r="4085">
      <c r="A4085" s="7" t="s">
        <v>23</v>
      </c>
      <c r="B4085" s="7" t="s">
        <v>18</v>
      </c>
      <c r="C4085" s="7">
        <f>2+1</f>
        <v>3</v>
      </c>
      <c r="D4085" s="7">
        <v>2.0</v>
      </c>
      <c r="E4085" s="7">
        <v>1.0</v>
      </c>
      <c r="F4085" s="7" t="s">
        <v>30</v>
      </c>
      <c r="G4085" s="7" t="s">
        <v>1688</v>
      </c>
      <c r="H4085" s="9" t="s">
        <v>2979</v>
      </c>
      <c r="I4085" t="s">
        <v>3858</v>
      </c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  <c r="AA4085" s="7"/>
      <c r="AB4085" s="7"/>
      <c r="AC4085" s="7"/>
      <c r="AD4085" s="7" t="str">
        <f t="shared" si="1"/>
        <v>Built-up :</v>
      </c>
      <c r="AE4085" s="7" t="str">
        <f t="shared" si="2"/>
        <v> sq. ft.</v>
      </c>
      <c r="AF4085">
        <f>IFERROR(__xludf.DUMMYFUNCTION("VALUE(REGEXREPLACE(G4085,""[^[:digit:]]"", """"))"),1250.0)</f>
        <v>1250</v>
      </c>
      <c r="AG4085" s="7"/>
      <c r="AH4085" s="7"/>
      <c r="AI4085" s="7"/>
      <c r="AJ4085" s="7"/>
      <c r="AK4085" s="7"/>
      <c r="AL4085" s="7"/>
      <c r="AM4085" s="7"/>
      <c r="AN4085" s="7"/>
      <c r="AO4085" s="7"/>
      <c r="AP4085" s="7"/>
      <c r="AQ4085" s="7"/>
      <c r="AR4085" s="7"/>
      <c r="AS4085" s="7" t="s">
        <v>27</v>
      </c>
    </row>
    <row r="4086">
      <c r="A4086" s="7" t="s">
        <v>23</v>
      </c>
      <c r="B4086" s="7" t="s">
        <v>2591</v>
      </c>
      <c r="C4086" s="7">
        <f>3+1</f>
        <v>4</v>
      </c>
      <c r="D4086" s="7">
        <v>4.0</v>
      </c>
      <c r="E4086" s="7">
        <v>1.0</v>
      </c>
      <c r="F4086" s="7" t="s">
        <v>30</v>
      </c>
      <c r="G4086" s="7" t="s">
        <v>2592</v>
      </c>
      <c r="H4086" s="9" t="s">
        <v>2979</v>
      </c>
      <c r="I4086" t="s">
        <v>4416</v>
      </c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  <c r="AA4086" s="7"/>
      <c r="AB4086" s="7"/>
      <c r="AC4086" s="7"/>
      <c r="AD4086" s="7" t="str">
        <f t="shared" si="1"/>
        <v>Built-up :</v>
      </c>
      <c r="AE4086" s="7" t="str">
        <f t="shared" si="2"/>
        <v> sq. ft.</v>
      </c>
      <c r="AF4086">
        <f>IFERROR(__xludf.DUMMYFUNCTION("VALUE(REGEXREPLACE(G4086,""[^[:digit:]]"", """"))"),1660.0)</f>
        <v>1660</v>
      </c>
      <c r="AG4086" s="7"/>
      <c r="AH4086" s="7"/>
      <c r="AI4086" s="7"/>
      <c r="AJ4086" s="7"/>
      <c r="AK4086" s="7"/>
      <c r="AL4086" s="7"/>
      <c r="AM4086" s="7"/>
      <c r="AN4086" s="7"/>
      <c r="AO4086" s="7"/>
      <c r="AP4086" s="7"/>
      <c r="AQ4086" s="7"/>
      <c r="AR4086" s="7"/>
      <c r="AS4086" s="7" t="s">
        <v>27</v>
      </c>
    </row>
    <row r="4087">
      <c r="A4087" s="7" t="s">
        <v>23</v>
      </c>
      <c r="B4087" s="7" t="s">
        <v>921</v>
      </c>
      <c r="C4087" s="7">
        <f>4+1</f>
        <v>5</v>
      </c>
      <c r="D4087" s="7">
        <v>4.0</v>
      </c>
      <c r="E4087" s="7">
        <v>3.0</v>
      </c>
      <c r="F4087" s="7" t="s">
        <v>64</v>
      </c>
      <c r="G4087" s="7" t="s">
        <v>928</v>
      </c>
      <c r="H4087" s="9" t="s">
        <v>2981</v>
      </c>
      <c r="I4087" t="s">
        <v>3410</v>
      </c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  <c r="AA4087" s="7"/>
      <c r="AB4087" s="7"/>
      <c r="AC4087" s="7"/>
      <c r="AD4087" s="7" t="str">
        <f t="shared" si="1"/>
        <v>Land area </v>
      </c>
      <c r="AE4087" s="7" t="str">
        <f t="shared" si="2"/>
        <v> sq. ft.</v>
      </c>
      <c r="AF4087">
        <f>IFERROR(__xludf.DUMMYFUNCTION("VALUE(REGEXREPLACE(G4087,""[^[:digit:]]"", """"))"),3550.0)</f>
        <v>3550</v>
      </c>
      <c r="AG4087" s="7"/>
      <c r="AH4087" s="7"/>
      <c r="AI4087" s="7"/>
      <c r="AJ4087" s="7"/>
      <c r="AK4087" s="7"/>
      <c r="AL4087" s="7"/>
      <c r="AM4087" s="7"/>
      <c r="AN4087" s="7"/>
      <c r="AO4087" s="7"/>
      <c r="AP4087" s="7"/>
      <c r="AQ4087" s="7"/>
      <c r="AR4087" s="7"/>
      <c r="AS4087" s="7" t="s">
        <v>27</v>
      </c>
    </row>
    <row r="4088">
      <c r="A4088" s="7" t="s">
        <v>23</v>
      </c>
      <c r="B4088" s="7" t="s">
        <v>1079</v>
      </c>
      <c r="C4088" s="7">
        <f>3+2</f>
        <v>5</v>
      </c>
      <c r="D4088" s="7">
        <v>4.0</v>
      </c>
      <c r="E4088" s="7">
        <v>2.0</v>
      </c>
      <c r="F4088" s="7" t="s">
        <v>30</v>
      </c>
      <c r="G4088" s="7" t="s">
        <v>2593</v>
      </c>
      <c r="H4088" s="9" t="s">
        <v>2979</v>
      </c>
      <c r="I4088" t="s">
        <v>4417</v>
      </c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  <c r="AA4088" s="7"/>
      <c r="AB4088" s="7"/>
      <c r="AC4088" s="7"/>
      <c r="AD4088" s="7" t="str">
        <f t="shared" si="1"/>
        <v>Built-up :</v>
      </c>
      <c r="AE4088" s="7" t="str">
        <f t="shared" si="2"/>
        <v> sq. ft.</v>
      </c>
      <c r="AF4088">
        <f>IFERROR(__xludf.DUMMYFUNCTION("VALUE(REGEXREPLACE(G4088,""[^[:digit:]]"", """"))"),2516.0)</f>
        <v>2516</v>
      </c>
      <c r="AG4088" s="7"/>
      <c r="AH4088" s="7"/>
      <c r="AI4088" s="7"/>
      <c r="AJ4088" s="7"/>
      <c r="AK4088" s="7"/>
      <c r="AL4088" s="7"/>
      <c r="AM4088" s="7"/>
      <c r="AN4088" s="7"/>
      <c r="AO4088" s="7"/>
      <c r="AP4088" s="7"/>
      <c r="AQ4088" s="7"/>
      <c r="AR4088" s="7"/>
      <c r="AS4088" s="7" t="s">
        <v>27</v>
      </c>
    </row>
    <row r="4089">
      <c r="A4089" s="7" t="s">
        <v>23</v>
      </c>
      <c r="B4089" s="7" t="s">
        <v>2594</v>
      </c>
      <c r="C4089" s="7">
        <f>4+1</f>
        <v>5</v>
      </c>
      <c r="D4089" s="7">
        <v>4.0</v>
      </c>
      <c r="E4089" s="7">
        <v>2.0</v>
      </c>
      <c r="F4089" s="7" t="s">
        <v>30</v>
      </c>
      <c r="G4089" s="7" t="s">
        <v>1999</v>
      </c>
      <c r="H4089" s="9" t="s">
        <v>2979</v>
      </c>
      <c r="I4089" t="s">
        <v>4045</v>
      </c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  <c r="AA4089" s="7"/>
      <c r="AB4089" s="7"/>
      <c r="AC4089" s="7"/>
      <c r="AD4089" s="7" t="str">
        <f t="shared" si="1"/>
        <v>Built-up :</v>
      </c>
      <c r="AE4089" s="7" t="str">
        <f t="shared" si="2"/>
        <v> sq. ft.</v>
      </c>
      <c r="AF4089">
        <f>IFERROR(__xludf.DUMMYFUNCTION("VALUE(REGEXREPLACE(G4089,""[^[:digit:]]"", """"))"),2800.0)</f>
        <v>2800</v>
      </c>
      <c r="AG4089" s="7"/>
      <c r="AH4089" s="7"/>
      <c r="AI4089" s="7"/>
      <c r="AJ4089" s="7"/>
      <c r="AK4089" s="7"/>
      <c r="AL4089" s="7"/>
      <c r="AM4089" s="7"/>
      <c r="AN4089" s="7"/>
      <c r="AO4089" s="7"/>
      <c r="AP4089" s="7"/>
      <c r="AQ4089" s="7"/>
      <c r="AR4089" s="7"/>
      <c r="AS4089" s="7" t="s">
        <v>27</v>
      </c>
    </row>
    <row r="4090">
      <c r="A4090" s="7" t="s">
        <v>33</v>
      </c>
      <c r="B4090" s="7" t="s">
        <v>260</v>
      </c>
      <c r="C4090" s="7">
        <f>5</f>
        <v>5</v>
      </c>
      <c r="D4090" s="7">
        <v>5.0</v>
      </c>
      <c r="E4090" s="7">
        <v>2.0</v>
      </c>
      <c r="F4090" s="7" t="s">
        <v>90</v>
      </c>
      <c r="G4090" s="7" t="s">
        <v>2595</v>
      </c>
      <c r="H4090" s="9" t="s">
        <v>2981</v>
      </c>
      <c r="I4090" t="s">
        <v>4408</v>
      </c>
      <c r="J4090" s="7"/>
      <c r="K4090" s="7"/>
      <c r="L4090" s="7"/>
      <c r="M4090" s="7"/>
      <c r="N4090" s="7"/>
      <c r="O4090" s="7"/>
      <c r="P4090" s="7"/>
      <c r="Q4090" s="7"/>
      <c r="R4090" s="7"/>
      <c r="S4090" s="7" t="s">
        <v>4409</v>
      </c>
      <c r="T4090" s="7"/>
      <c r="U4090" s="7"/>
      <c r="V4090" s="7"/>
      <c r="W4090" s="7"/>
      <c r="X4090" s="7"/>
      <c r="Y4090" s="7"/>
      <c r="Z4090" s="7"/>
      <c r="AA4090" s="7"/>
      <c r="AB4090" s="7"/>
      <c r="AC4090" s="7"/>
      <c r="AD4090" s="7" t="str">
        <f t="shared" si="1"/>
        <v>Land area </v>
      </c>
      <c r="AE4090" s="7" t="str">
        <f t="shared" si="2"/>
        <v> sq. ft.</v>
      </c>
      <c r="AF4090" s="7">
        <v>1584.0</v>
      </c>
      <c r="AG4090" s="7"/>
      <c r="AH4090" s="7"/>
      <c r="AI4090" s="7"/>
      <c r="AJ4090" s="7"/>
      <c r="AK4090" s="7"/>
      <c r="AL4090" s="7"/>
      <c r="AM4090" s="7"/>
      <c r="AN4090" s="7"/>
      <c r="AO4090" s="7"/>
      <c r="AP4090" s="7"/>
      <c r="AQ4090" s="7"/>
      <c r="AR4090" s="7"/>
      <c r="AS4090" s="7" t="s">
        <v>103</v>
      </c>
    </row>
    <row r="4091">
      <c r="A4091" s="7" t="s">
        <v>23</v>
      </c>
      <c r="B4091" s="7" t="s">
        <v>281</v>
      </c>
      <c r="C4091" s="7">
        <f>3</f>
        <v>3</v>
      </c>
      <c r="D4091" s="7">
        <v>3.0</v>
      </c>
      <c r="E4091" s="7">
        <v>4.0</v>
      </c>
      <c r="F4091" s="7" t="s">
        <v>30</v>
      </c>
      <c r="G4091" s="7" t="s">
        <v>2596</v>
      </c>
      <c r="H4091" s="9" t="s">
        <v>2979</v>
      </c>
      <c r="I4091" t="s">
        <v>4418</v>
      </c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  <c r="AA4091" s="7"/>
      <c r="AB4091" s="7"/>
      <c r="AC4091" s="7"/>
      <c r="AD4091" s="7" t="str">
        <f t="shared" si="1"/>
        <v>Built-up :</v>
      </c>
      <c r="AE4091" s="7" t="str">
        <f t="shared" si="2"/>
        <v> sq. ft.</v>
      </c>
      <c r="AF4091">
        <f>IFERROR(__xludf.DUMMYFUNCTION("VALUE(REGEXREPLACE(G4091,""[^[:digit:]]"", """"))"),2248.0)</f>
        <v>2248</v>
      </c>
      <c r="AG4091" s="7"/>
      <c r="AH4091" s="7"/>
      <c r="AI4091" s="7"/>
      <c r="AJ4091" s="7"/>
      <c r="AK4091" s="7"/>
      <c r="AL4091" s="7"/>
      <c r="AM4091" s="7"/>
      <c r="AN4091" s="7"/>
      <c r="AO4091" s="7"/>
      <c r="AP4091" s="7"/>
      <c r="AQ4091" s="7"/>
      <c r="AR4091" s="7"/>
      <c r="AS4091" s="7" t="s">
        <v>27</v>
      </c>
    </row>
    <row r="4092">
      <c r="A4092" s="7" t="s">
        <v>23</v>
      </c>
      <c r="B4092" s="7" t="s">
        <v>322</v>
      </c>
      <c r="C4092" s="7">
        <f>3+1</f>
        <v>4</v>
      </c>
      <c r="D4092" s="7">
        <v>4.0</v>
      </c>
      <c r="E4092" s="7">
        <v>2.0</v>
      </c>
      <c r="F4092" s="7" t="s">
        <v>93</v>
      </c>
      <c r="G4092" s="7" t="s">
        <v>461</v>
      </c>
      <c r="H4092" s="9" t="s">
        <v>2979</v>
      </c>
      <c r="I4092" t="s">
        <v>3172</v>
      </c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  <c r="AA4092" s="7"/>
      <c r="AB4092" s="7"/>
      <c r="AC4092" s="7"/>
      <c r="AD4092" s="7" t="str">
        <f t="shared" si="1"/>
        <v>Built-up :</v>
      </c>
      <c r="AE4092" s="7" t="str">
        <f t="shared" si="2"/>
        <v> sq. ft.</v>
      </c>
      <c r="AF4092">
        <f>IFERROR(__xludf.DUMMYFUNCTION("VALUE(REGEXREPLACE(G4092,""[^[:digit:]]"", """"))"),1900.0)</f>
        <v>1900</v>
      </c>
      <c r="AG4092" s="7"/>
      <c r="AH4092" s="7"/>
      <c r="AI4092" s="7"/>
      <c r="AJ4092" s="7"/>
      <c r="AK4092" s="7"/>
      <c r="AL4092" s="7"/>
      <c r="AM4092" s="7"/>
      <c r="AN4092" s="7"/>
      <c r="AO4092" s="7"/>
      <c r="AP4092" s="7"/>
      <c r="AQ4092" s="7"/>
      <c r="AR4092" s="7"/>
      <c r="AS4092" s="7" t="s">
        <v>27</v>
      </c>
    </row>
    <row r="4093">
      <c r="A4093" s="7" t="s">
        <v>28</v>
      </c>
      <c r="B4093" s="7" t="s">
        <v>257</v>
      </c>
      <c r="C4093" s="7">
        <f>5+1</f>
        <v>6</v>
      </c>
      <c r="D4093" s="7">
        <v>5.0</v>
      </c>
      <c r="E4093" s="7">
        <v>3.0</v>
      </c>
      <c r="F4093" s="7" t="s">
        <v>43</v>
      </c>
      <c r="G4093" s="7" t="s">
        <v>2597</v>
      </c>
      <c r="H4093" s="9" t="s">
        <v>2979</v>
      </c>
      <c r="I4093" t="s">
        <v>4419</v>
      </c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  <c r="AA4093" s="7"/>
      <c r="AB4093" s="7"/>
      <c r="AC4093" s="7"/>
      <c r="AD4093" s="7" t="str">
        <f t="shared" si="1"/>
        <v>Built-up :</v>
      </c>
      <c r="AE4093" s="7" t="str">
        <f t="shared" si="2"/>
        <v> sq. ft.</v>
      </c>
      <c r="AF4093">
        <f>IFERROR(__xludf.DUMMYFUNCTION("VALUE(REGEXREPLACE(G4093,""[^[:digit:]]"", """"))"),4333.0)</f>
        <v>4333</v>
      </c>
      <c r="AG4093" s="7"/>
      <c r="AH4093" s="7"/>
      <c r="AI4093" s="7"/>
      <c r="AJ4093" s="7"/>
      <c r="AK4093" s="7"/>
      <c r="AL4093" s="7"/>
      <c r="AM4093" s="7"/>
      <c r="AN4093" s="7"/>
      <c r="AO4093" s="7"/>
      <c r="AP4093" s="7"/>
      <c r="AQ4093" s="7"/>
      <c r="AR4093" s="7"/>
      <c r="AS4093" s="7" t="s">
        <v>27</v>
      </c>
    </row>
    <row r="4094">
      <c r="A4094" s="7" t="s">
        <v>41</v>
      </c>
      <c r="B4094" s="7" t="s">
        <v>1908</v>
      </c>
      <c r="C4094" s="7">
        <f>3</f>
        <v>3</v>
      </c>
      <c r="D4094" s="7">
        <v>2.0</v>
      </c>
      <c r="E4094" s="7">
        <v>1.0</v>
      </c>
      <c r="F4094" s="7" t="s">
        <v>93</v>
      </c>
      <c r="G4094" s="7" t="s">
        <v>2598</v>
      </c>
      <c r="H4094" s="9" t="s">
        <v>2979</v>
      </c>
      <c r="I4094" t="s">
        <v>4420</v>
      </c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  <c r="AA4094" s="7"/>
      <c r="AB4094" s="7"/>
      <c r="AC4094" s="7"/>
      <c r="AD4094" s="7" t="str">
        <f t="shared" si="1"/>
        <v>Built-up :</v>
      </c>
      <c r="AE4094" s="7" t="str">
        <f t="shared" si="2"/>
        <v> sq. ft.</v>
      </c>
      <c r="AF4094">
        <f>IFERROR(__xludf.DUMMYFUNCTION("VALUE(REGEXREPLACE(G4094,""[^[:digit:]]"", """"))"),1312.0)</f>
        <v>1312</v>
      </c>
      <c r="AG4094" s="7"/>
      <c r="AH4094" s="7"/>
      <c r="AI4094" s="7"/>
      <c r="AJ4094" s="7"/>
      <c r="AK4094" s="7"/>
      <c r="AL4094" s="7"/>
      <c r="AM4094" s="7"/>
      <c r="AN4094" s="7"/>
      <c r="AO4094" s="7"/>
      <c r="AP4094" s="7"/>
      <c r="AQ4094" s="7"/>
      <c r="AR4094" s="7"/>
      <c r="AS4094" s="7" t="s">
        <v>27</v>
      </c>
    </row>
    <row r="4095">
      <c r="A4095" s="7" t="s">
        <v>72</v>
      </c>
      <c r="B4095" s="7" t="s">
        <v>854</v>
      </c>
      <c r="C4095" s="7">
        <f>2</f>
        <v>2</v>
      </c>
      <c r="D4095" s="7">
        <v>2.0</v>
      </c>
      <c r="E4095" s="7">
        <v>1.0</v>
      </c>
      <c r="F4095" s="7" t="s">
        <v>83</v>
      </c>
      <c r="G4095" s="7" t="s">
        <v>2540</v>
      </c>
      <c r="H4095" s="9" t="s">
        <v>2979</v>
      </c>
      <c r="I4095" t="s">
        <v>4385</v>
      </c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  <c r="AA4095" s="7"/>
      <c r="AB4095" s="7"/>
      <c r="AC4095" s="7"/>
      <c r="AD4095" s="7" t="str">
        <f t="shared" si="1"/>
        <v>Built-up :</v>
      </c>
      <c r="AE4095" s="7" t="str">
        <f t="shared" si="2"/>
        <v> sq. ft.</v>
      </c>
      <c r="AF4095">
        <f>IFERROR(__xludf.DUMMYFUNCTION("VALUE(REGEXREPLACE(G4095,""[^[:digit:]]"", """"))"),1008.0)</f>
        <v>1008</v>
      </c>
      <c r="AG4095" s="7"/>
      <c r="AH4095" s="7"/>
      <c r="AI4095" s="7"/>
      <c r="AJ4095" s="7"/>
      <c r="AK4095" s="7"/>
      <c r="AL4095" s="7"/>
      <c r="AM4095" s="7"/>
      <c r="AN4095" s="7"/>
      <c r="AO4095" s="7"/>
      <c r="AP4095" s="7"/>
      <c r="AQ4095" s="7"/>
      <c r="AR4095" s="7"/>
      <c r="AS4095" s="7" t="s">
        <v>22</v>
      </c>
    </row>
    <row r="4096">
      <c r="A4096" s="7" t="s">
        <v>23</v>
      </c>
      <c r="B4096" s="7" t="s">
        <v>309</v>
      </c>
      <c r="C4096" s="7">
        <f>4+1</f>
        <v>5</v>
      </c>
      <c r="D4096" s="7">
        <v>5.0</v>
      </c>
      <c r="E4096" s="7">
        <v>2.0</v>
      </c>
      <c r="F4096" s="7" t="s">
        <v>93</v>
      </c>
      <c r="G4096" s="7" t="s">
        <v>2599</v>
      </c>
      <c r="H4096" s="9" t="s">
        <v>2979</v>
      </c>
      <c r="I4096" t="s">
        <v>4421</v>
      </c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  <c r="AA4096" s="7"/>
      <c r="AB4096" s="7"/>
      <c r="AC4096" s="7"/>
      <c r="AD4096" s="7" t="str">
        <f t="shared" si="1"/>
        <v>Built-up :</v>
      </c>
      <c r="AE4096" s="7" t="str">
        <f t="shared" si="2"/>
        <v> sq. ft.</v>
      </c>
      <c r="AF4096">
        <f>IFERROR(__xludf.DUMMYFUNCTION("VALUE(REGEXREPLACE(G4096,""[^[:digit:]]"", """"))"),3240.0)</f>
        <v>3240</v>
      </c>
      <c r="AG4096" s="7"/>
      <c r="AH4096" s="7"/>
      <c r="AI4096" s="7"/>
      <c r="AJ4096" s="7"/>
      <c r="AK4096" s="7"/>
      <c r="AL4096" s="7"/>
      <c r="AM4096" s="7"/>
      <c r="AN4096" s="7"/>
      <c r="AO4096" s="7"/>
      <c r="AP4096" s="7"/>
      <c r="AQ4096" s="7"/>
      <c r="AR4096" s="7"/>
      <c r="AS4096" s="7" t="s">
        <v>251</v>
      </c>
    </row>
    <row r="4097">
      <c r="A4097" s="7" t="s">
        <v>23</v>
      </c>
      <c r="B4097" s="7" t="s">
        <v>158</v>
      </c>
      <c r="C4097" s="7">
        <f>3+1</f>
        <v>4</v>
      </c>
      <c r="D4097" s="7">
        <v>4.0</v>
      </c>
      <c r="E4097" s="7">
        <v>1.0</v>
      </c>
      <c r="F4097" s="7" t="s">
        <v>30</v>
      </c>
      <c r="G4097" s="7" t="s">
        <v>2600</v>
      </c>
      <c r="H4097" s="9" t="s">
        <v>2979</v>
      </c>
      <c r="I4097" t="s">
        <v>4422</v>
      </c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  <c r="AA4097" s="7"/>
      <c r="AB4097" s="7"/>
      <c r="AC4097" s="7"/>
      <c r="AD4097" s="7" t="str">
        <f t="shared" si="1"/>
        <v>Built-up :</v>
      </c>
      <c r="AE4097" s="7" t="str">
        <f t="shared" si="2"/>
        <v> sq. ft.</v>
      </c>
      <c r="AF4097">
        <f>IFERROR(__xludf.DUMMYFUNCTION("VALUE(REGEXREPLACE(G4097,""[^[:digit:]]"", """"))"),1679.0)</f>
        <v>1679</v>
      </c>
      <c r="AG4097" s="7"/>
      <c r="AH4097" s="7"/>
      <c r="AI4097" s="7"/>
      <c r="AJ4097" s="7"/>
      <c r="AK4097" s="7"/>
      <c r="AL4097" s="7"/>
      <c r="AM4097" s="7"/>
      <c r="AN4097" s="7"/>
      <c r="AO4097" s="7"/>
      <c r="AP4097" s="7"/>
      <c r="AQ4097" s="7"/>
      <c r="AR4097" s="7"/>
      <c r="AS4097" s="7" t="s">
        <v>27</v>
      </c>
    </row>
    <row r="4098">
      <c r="A4098" s="7" t="s">
        <v>23</v>
      </c>
      <c r="B4098" s="7" t="s">
        <v>309</v>
      </c>
      <c r="C4098" s="7">
        <f t="shared" ref="C4098:C4099" si="562">4+1</f>
        <v>5</v>
      </c>
      <c r="D4098" s="7">
        <v>5.0</v>
      </c>
      <c r="E4098" s="7">
        <v>2.0</v>
      </c>
      <c r="F4098" s="7" t="s">
        <v>93</v>
      </c>
      <c r="G4098" s="7" t="s">
        <v>2599</v>
      </c>
      <c r="H4098" s="9" t="s">
        <v>2979</v>
      </c>
      <c r="I4098" t="s">
        <v>4421</v>
      </c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  <c r="AA4098" s="7"/>
      <c r="AB4098" s="7"/>
      <c r="AC4098" s="7"/>
      <c r="AD4098" s="7" t="str">
        <f t="shared" si="1"/>
        <v>Built-up :</v>
      </c>
      <c r="AE4098" s="7" t="str">
        <f t="shared" si="2"/>
        <v> sq. ft.</v>
      </c>
      <c r="AF4098">
        <f>IFERROR(__xludf.DUMMYFUNCTION("VALUE(REGEXREPLACE(G4098,""[^[:digit:]]"", """"))"),3240.0)</f>
        <v>3240</v>
      </c>
      <c r="AG4098" s="7"/>
      <c r="AH4098" s="7"/>
      <c r="AI4098" s="7"/>
      <c r="AJ4098" s="7"/>
      <c r="AK4098" s="7"/>
      <c r="AL4098" s="7"/>
      <c r="AM4098" s="7"/>
      <c r="AN4098" s="7"/>
      <c r="AO4098" s="7"/>
      <c r="AP4098" s="7"/>
      <c r="AQ4098" s="7"/>
      <c r="AR4098" s="7"/>
      <c r="AS4098" s="7" t="s">
        <v>27</v>
      </c>
    </row>
    <row r="4099">
      <c r="A4099" s="7" t="s">
        <v>23</v>
      </c>
      <c r="B4099" s="7" t="s">
        <v>309</v>
      </c>
      <c r="C4099" s="7">
        <f t="shared" si="562"/>
        <v>5</v>
      </c>
      <c r="D4099" s="7">
        <v>5.0</v>
      </c>
      <c r="E4099" s="7">
        <v>2.0</v>
      </c>
      <c r="F4099" s="7" t="s">
        <v>93</v>
      </c>
      <c r="G4099" s="7" t="s">
        <v>2599</v>
      </c>
      <c r="H4099" s="9" t="s">
        <v>2979</v>
      </c>
      <c r="I4099" t="s">
        <v>4421</v>
      </c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  <c r="AA4099" s="7"/>
      <c r="AB4099" s="7"/>
      <c r="AC4099" s="7"/>
      <c r="AD4099" s="7" t="str">
        <f t="shared" si="1"/>
        <v>Built-up :</v>
      </c>
      <c r="AE4099" s="7" t="str">
        <f t="shared" si="2"/>
        <v> sq. ft.</v>
      </c>
      <c r="AF4099">
        <f>IFERROR(__xludf.DUMMYFUNCTION("VALUE(REGEXREPLACE(G4099,""[^[:digit:]]"", """"))"),3240.0)</f>
        <v>3240</v>
      </c>
      <c r="AG4099" s="7"/>
      <c r="AH4099" s="7"/>
      <c r="AI4099" s="7"/>
      <c r="AJ4099" s="7"/>
      <c r="AK4099" s="7"/>
      <c r="AL4099" s="7"/>
      <c r="AM4099" s="7"/>
      <c r="AN4099" s="7"/>
      <c r="AO4099" s="7"/>
      <c r="AP4099" s="7"/>
      <c r="AQ4099" s="7"/>
      <c r="AR4099" s="7"/>
      <c r="AS4099" s="7" t="s">
        <v>27</v>
      </c>
    </row>
    <row r="4100">
      <c r="A4100" s="7" t="s">
        <v>177</v>
      </c>
      <c r="B4100" s="7" t="s">
        <v>575</v>
      </c>
      <c r="C4100" s="7">
        <f>1</f>
        <v>1</v>
      </c>
      <c r="D4100" s="7">
        <v>1.0</v>
      </c>
      <c r="E4100" s="7">
        <v>1.0</v>
      </c>
      <c r="F4100" s="7" t="s">
        <v>30</v>
      </c>
      <c r="G4100" s="7" t="s">
        <v>200</v>
      </c>
      <c r="H4100" s="9" t="s">
        <v>2979</v>
      </c>
      <c r="I4100" t="s">
        <v>3049</v>
      </c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  <c r="AA4100" s="7"/>
      <c r="AB4100" s="7"/>
      <c r="AC4100" s="7"/>
      <c r="AD4100" s="7" t="str">
        <f t="shared" si="1"/>
        <v>Built-up :</v>
      </c>
      <c r="AE4100" s="7" t="str">
        <f t="shared" si="2"/>
        <v> sq. ft.</v>
      </c>
      <c r="AF4100">
        <f>IFERROR(__xludf.DUMMYFUNCTION("VALUE(REGEXREPLACE(G4100,""[^[:digit:]]"", """"))"),700.0)</f>
        <v>700</v>
      </c>
      <c r="AG4100" s="7"/>
      <c r="AH4100" s="7"/>
      <c r="AI4100" s="7"/>
      <c r="AJ4100" s="7"/>
      <c r="AK4100" s="7"/>
      <c r="AL4100" s="7"/>
      <c r="AM4100" s="7"/>
      <c r="AN4100" s="7"/>
      <c r="AO4100" s="7"/>
      <c r="AP4100" s="7"/>
      <c r="AQ4100" s="7"/>
      <c r="AR4100" s="7"/>
      <c r="AS4100" s="7" t="s">
        <v>27</v>
      </c>
    </row>
    <row r="4101">
      <c r="A4101" s="7" t="s">
        <v>17</v>
      </c>
      <c r="B4101" s="7" t="s">
        <v>158</v>
      </c>
      <c r="C4101" s="7">
        <f>3+1</f>
        <v>4</v>
      </c>
      <c r="D4101" s="7">
        <v>4.0</v>
      </c>
      <c r="E4101" s="7">
        <v>1.0</v>
      </c>
      <c r="F4101" s="7" t="s">
        <v>30</v>
      </c>
      <c r="G4101" s="7" t="s">
        <v>2225</v>
      </c>
      <c r="H4101" s="9" t="s">
        <v>2979</v>
      </c>
      <c r="I4101" t="s">
        <v>4193</v>
      </c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  <c r="AA4101" s="7"/>
      <c r="AB4101" s="7"/>
      <c r="AC4101" s="7"/>
      <c r="AD4101" s="7" t="str">
        <f t="shared" si="1"/>
        <v>Built-up :</v>
      </c>
      <c r="AE4101" s="7" t="str">
        <f t="shared" si="2"/>
        <v> sq. ft.</v>
      </c>
      <c r="AF4101">
        <f>IFERROR(__xludf.DUMMYFUNCTION("VALUE(REGEXREPLACE(G4101,""[^[:digit:]]"", """"))"),2207.0)</f>
        <v>2207</v>
      </c>
      <c r="AG4101" s="7"/>
      <c r="AH4101" s="7"/>
      <c r="AI4101" s="7"/>
      <c r="AJ4101" s="7"/>
      <c r="AK4101" s="7"/>
      <c r="AL4101" s="7"/>
      <c r="AM4101" s="7"/>
      <c r="AN4101" s="7"/>
      <c r="AO4101" s="7"/>
      <c r="AP4101" s="7"/>
      <c r="AQ4101" s="7"/>
      <c r="AR4101" s="7"/>
    </row>
    <row r="4102">
      <c r="A4102" s="7" t="s">
        <v>709</v>
      </c>
      <c r="B4102" s="7" t="s">
        <v>1060</v>
      </c>
      <c r="C4102" s="7">
        <f t="shared" ref="C4102:C4103" si="563">5+1</f>
        <v>6</v>
      </c>
      <c r="D4102" s="7">
        <v>6.0</v>
      </c>
      <c r="E4102" s="7">
        <v>4.0</v>
      </c>
      <c r="F4102" s="7" t="s">
        <v>25</v>
      </c>
      <c r="G4102" s="7" t="s">
        <v>612</v>
      </c>
      <c r="H4102" s="9" t="s">
        <v>2981</v>
      </c>
      <c r="I4102" t="s">
        <v>3248</v>
      </c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  <c r="AA4102" s="7"/>
      <c r="AB4102" s="7"/>
      <c r="AC4102" s="7"/>
      <c r="AD4102" s="7" t="str">
        <f t="shared" si="1"/>
        <v>Land area </v>
      </c>
      <c r="AE4102" s="7" t="str">
        <f t="shared" si="2"/>
        <v> sq. ft.</v>
      </c>
      <c r="AF4102">
        <f>IFERROR(__xludf.DUMMYFUNCTION("VALUE(REGEXREPLACE(G4102,""[^[:digit:]]"", """"))"),8300.0)</f>
        <v>8300</v>
      </c>
      <c r="AG4102" s="7"/>
      <c r="AH4102" s="7"/>
      <c r="AI4102" s="7"/>
      <c r="AJ4102" s="7"/>
      <c r="AK4102" s="7"/>
      <c r="AL4102" s="7"/>
      <c r="AM4102" s="7"/>
      <c r="AN4102" s="7"/>
      <c r="AO4102" s="7"/>
      <c r="AP4102" s="7"/>
      <c r="AQ4102" s="7"/>
      <c r="AR4102" s="7"/>
      <c r="AS4102" s="7" t="s">
        <v>27</v>
      </c>
    </row>
    <row r="4103">
      <c r="A4103" s="7" t="s">
        <v>23</v>
      </c>
      <c r="B4103" s="7" t="s">
        <v>2601</v>
      </c>
      <c r="C4103" s="7">
        <f t="shared" si="563"/>
        <v>6</v>
      </c>
      <c r="D4103" s="7">
        <v>5.0</v>
      </c>
      <c r="E4103" s="7">
        <v>4.0</v>
      </c>
      <c r="F4103" s="7" t="s">
        <v>25</v>
      </c>
      <c r="G4103" s="7" t="s">
        <v>2602</v>
      </c>
      <c r="H4103" s="9" t="s">
        <v>2979</v>
      </c>
      <c r="I4103" t="s">
        <v>4423</v>
      </c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  <c r="AA4103" s="7"/>
      <c r="AB4103" s="7"/>
      <c r="AC4103" s="7"/>
      <c r="AD4103" s="7" t="str">
        <f t="shared" si="1"/>
        <v>Built-up :</v>
      </c>
      <c r="AE4103" s="7" t="str">
        <f t="shared" si="2"/>
        <v> sq. ft.</v>
      </c>
      <c r="AF4103">
        <f>IFERROR(__xludf.DUMMYFUNCTION("VALUE(REGEXREPLACE(G4103,""[^[:digit:]]"", """"))"),8365.0)</f>
        <v>8365</v>
      </c>
      <c r="AG4103" s="7"/>
      <c r="AH4103" s="7"/>
      <c r="AI4103" s="7"/>
      <c r="AJ4103" s="7"/>
      <c r="AK4103" s="7"/>
      <c r="AL4103" s="7"/>
      <c r="AM4103" s="7"/>
      <c r="AN4103" s="7"/>
      <c r="AO4103" s="7"/>
      <c r="AP4103" s="7"/>
      <c r="AQ4103" s="7"/>
      <c r="AR4103" s="7"/>
      <c r="AS4103" s="7" t="s">
        <v>27</v>
      </c>
    </row>
    <row r="4104">
      <c r="A4104" s="7" t="s">
        <v>23</v>
      </c>
      <c r="B4104" s="7" t="s">
        <v>327</v>
      </c>
      <c r="C4104" s="7">
        <f>3</f>
        <v>3</v>
      </c>
      <c r="D4104" s="7">
        <v>2.0</v>
      </c>
      <c r="E4104" s="7">
        <v>1.0</v>
      </c>
      <c r="F4104" s="7" t="s">
        <v>30</v>
      </c>
      <c r="G4104" s="7" t="s">
        <v>817</v>
      </c>
      <c r="H4104" s="9" t="s">
        <v>2979</v>
      </c>
      <c r="I4104" t="s">
        <v>3354</v>
      </c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  <c r="AA4104" s="7"/>
      <c r="AB4104" s="7"/>
      <c r="AC4104" s="7"/>
      <c r="AD4104" s="7" t="str">
        <f t="shared" si="1"/>
        <v>Built-up :</v>
      </c>
      <c r="AE4104" s="7" t="str">
        <f t="shared" si="2"/>
        <v> sq. ft.</v>
      </c>
      <c r="AF4104">
        <f>IFERROR(__xludf.DUMMYFUNCTION("VALUE(REGEXREPLACE(G4104,""[^[:digit:]]"", """"))"),1580.0)</f>
        <v>1580</v>
      </c>
      <c r="AG4104" s="7"/>
      <c r="AH4104" s="7"/>
      <c r="AI4104" s="7"/>
      <c r="AJ4104" s="7"/>
      <c r="AK4104" s="7"/>
      <c r="AL4104" s="7"/>
      <c r="AM4104" s="7"/>
      <c r="AN4104" s="7"/>
      <c r="AO4104" s="7"/>
      <c r="AP4104" s="7"/>
      <c r="AQ4104" s="7"/>
      <c r="AR4104" s="7"/>
      <c r="AS4104" s="7" t="s">
        <v>22</v>
      </c>
    </row>
    <row r="4105">
      <c r="A4105" s="7" t="s">
        <v>23</v>
      </c>
      <c r="B4105" s="7" t="s">
        <v>874</v>
      </c>
      <c r="E4105" s="7">
        <v>1.0</v>
      </c>
      <c r="F4105" s="7" t="s">
        <v>82</v>
      </c>
      <c r="G4105" s="7" t="s">
        <v>512</v>
      </c>
      <c r="H4105" s="9" t="s">
        <v>2979</v>
      </c>
      <c r="I4105" t="s">
        <v>3201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  <c r="AA4105" s="7"/>
      <c r="AB4105" s="7"/>
      <c r="AC4105" s="7"/>
      <c r="AD4105" s="7" t="str">
        <f t="shared" si="1"/>
        <v>Built-up :</v>
      </c>
      <c r="AE4105" s="7" t="str">
        <f t="shared" si="2"/>
        <v> sq. ft.</v>
      </c>
      <c r="AF4105">
        <f>IFERROR(__xludf.DUMMYFUNCTION("VALUE(REGEXREPLACE(G4105,""[^[:digit:]]"", """"))"),764.0)</f>
        <v>764</v>
      </c>
      <c r="AG4105" s="7"/>
      <c r="AH4105" s="7"/>
      <c r="AI4105" s="7"/>
      <c r="AJ4105" s="7"/>
      <c r="AK4105" s="7"/>
      <c r="AL4105" s="7"/>
      <c r="AM4105" s="7"/>
      <c r="AN4105" s="7"/>
      <c r="AO4105" s="7"/>
      <c r="AP4105" s="7"/>
      <c r="AQ4105" s="7"/>
      <c r="AR4105" s="7"/>
      <c r="AS4105" s="7" t="s">
        <v>22</v>
      </c>
    </row>
    <row r="4106">
      <c r="A4106" s="7" t="s">
        <v>23</v>
      </c>
      <c r="B4106" s="7" t="s">
        <v>279</v>
      </c>
      <c r="C4106" s="7">
        <f t="shared" ref="C4106:C4107" si="564">2+1</f>
        <v>3</v>
      </c>
      <c r="D4106" s="7">
        <v>2.0</v>
      </c>
      <c r="E4106" s="7">
        <v>1.0</v>
      </c>
      <c r="F4106" s="7" t="s">
        <v>30</v>
      </c>
      <c r="G4106" s="7" t="s">
        <v>1243</v>
      </c>
      <c r="H4106" s="9" t="s">
        <v>2979</v>
      </c>
      <c r="I4106" t="s">
        <v>3601</v>
      </c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  <c r="AA4106" s="7"/>
      <c r="AB4106" s="7"/>
      <c r="AC4106" s="7"/>
      <c r="AD4106" s="7" t="str">
        <f t="shared" si="1"/>
        <v>Built-up :</v>
      </c>
      <c r="AE4106" s="7" t="str">
        <f t="shared" si="2"/>
        <v> sq. ft.</v>
      </c>
      <c r="AF4106">
        <f>IFERROR(__xludf.DUMMYFUNCTION("VALUE(REGEXREPLACE(G4106,""[^[:digit:]]"", """"))"),1410.0)</f>
        <v>1410</v>
      </c>
      <c r="AG4106" s="7"/>
      <c r="AH4106" s="7"/>
      <c r="AI4106" s="7"/>
      <c r="AJ4106" s="7"/>
      <c r="AK4106" s="7"/>
      <c r="AL4106" s="7"/>
      <c r="AM4106" s="7"/>
      <c r="AN4106" s="7"/>
      <c r="AO4106" s="7"/>
      <c r="AP4106" s="7"/>
      <c r="AQ4106" s="7"/>
      <c r="AR4106" s="7"/>
      <c r="AS4106" s="7" t="s">
        <v>103</v>
      </c>
    </row>
    <row r="4107">
      <c r="A4107" s="7" t="s">
        <v>23</v>
      </c>
      <c r="B4107" s="7" t="s">
        <v>279</v>
      </c>
      <c r="C4107" s="7">
        <f t="shared" si="564"/>
        <v>3</v>
      </c>
      <c r="D4107" s="7">
        <v>2.0</v>
      </c>
      <c r="E4107" s="7">
        <v>1.0</v>
      </c>
      <c r="F4107" s="7" t="s">
        <v>30</v>
      </c>
      <c r="G4107" s="7" t="s">
        <v>2603</v>
      </c>
      <c r="H4107" s="9" t="s">
        <v>2979</v>
      </c>
      <c r="I4107" t="s">
        <v>4424</v>
      </c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  <c r="AA4107" s="7"/>
      <c r="AB4107" s="7"/>
      <c r="AC4107" s="7"/>
      <c r="AD4107" s="7" t="str">
        <f t="shared" si="1"/>
        <v>Built-up :</v>
      </c>
      <c r="AE4107" s="7" t="str">
        <f t="shared" si="2"/>
        <v> sq. ft.</v>
      </c>
      <c r="AF4107">
        <f>IFERROR(__xludf.DUMMYFUNCTION("VALUE(REGEXREPLACE(G4107,""[^[:digit:]]"", """"))"),1390.0)</f>
        <v>1390</v>
      </c>
      <c r="AG4107" s="7"/>
      <c r="AH4107" s="7"/>
      <c r="AI4107" s="7"/>
      <c r="AJ4107" s="7"/>
      <c r="AK4107" s="7"/>
      <c r="AL4107" s="7"/>
      <c r="AM4107" s="7"/>
      <c r="AN4107" s="7"/>
      <c r="AO4107" s="7"/>
      <c r="AP4107" s="7"/>
      <c r="AQ4107" s="7"/>
      <c r="AR4107" s="7"/>
      <c r="AS4107" s="7" t="s">
        <v>103</v>
      </c>
    </row>
    <row r="4108">
      <c r="A4108" s="7" t="s">
        <v>72</v>
      </c>
      <c r="B4108" s="7" t="s">
        <v>118</v>
      </c>
      <c r="C4108" s="7">
        <f t="shared" ref="C4108:C4109" si="565">4+1</f>
        <v>5</v>
      </c>
      <c r="D4108" s="7">
        <v>4.0</v>
      </c>
      <c r="E4108" s="7">
        <v>2.0</v>
      </c>
      <c r="F4108" s="7" t="s">
        <v>30</v>
      </c>
      <c r="G4108" s="7" t="s">
        <v>307</v>
      </c>
      <c r="H4108" s="9" t="s">
        <v>2979</v>
      </c>
      <c r="I4108" t="s">
        <v>3102</v>
      </c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  <c r="AA4108" s="7"/>
      <c r="AB4108" s="7"/>
      <c r="AC4108" s="7"/>
      <c r="AD4108" s="7" t="str">
        <f t="shared" si="1"/>
        <v>Built-up :</v>
      </c>
      <c r="AE4108" s="7" t="str">
        <f t="shared" si="2"/>
        <v> sq. ft.</v>
      </c>
      <c r="AF4108">
        <f>IFERROR(__xludf.DUMMYFUNCTION("VALUE(REGEXREPLACE(G4108,""[^[:digit:]]"", """"))"),2500.0)</f>
        <v>2500</v>
      </c>
      <c r="AG4108" s="7"/>
      <c r="AH4108" s="7"/>
      <c r="AI4108" s="7"/>
      <c r="AJ4108" s="7"/>
      <c r="AK4108" s="7"/>
      <c r="AL4108" s="7"/>
      <c r="AM4108" s="7"/>
      <c r="AN4108" s="7"/>
      <c r="AO4108" s="7"/>
      <c r="AP4108" s="7"/>
      <c r="AQ4108" s="7"/>
      <c r="AR4108" s="7"/>
      <c r="AS4108" s="7" t="s">
        <v>22</v>
      </c>
    </row>
    <row r="4109">
      <c r="A4109" s="7" t="s">
        <v>23</v>
      </c>
      <c r="B4109" s="7" t="s">
        <v>398</v>
      </c>
      <c r="C4109" s="7">
        <f t="shared" si="565"/>
        <v>5</v>
      </c>
      <c r="D4109" s="7">
        <v>4.0</v>
      </c>
      <c r="E4109" s="7">
        <v>2.0</v>
      </c>
      <c r="F4109" s="7" t="s">
        <v>30</v>
      </c>
      <c r="G4109" s="7" t="s">
        <v>1009</v>
      </c>
      <c r="H4109" s="9" t="s">
        <v>2979</v>
      </c>
      <c r="I4109" t="s">
        <v>3453</v>
      </c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  <c r="AA4109" s="7"/>
      <c r="AB4109" s="7"/>
      <c r="AC4109" s="7"/>
      <c r="AD4109" s="7" t="str">
        <f t="shared" si="1"/>
        <v>Built-up :</v>
      </c>
      <c r="AE4109" s="7" t="str">
        <f t="shared" si="2"/>
        <v> sq. ft.</v>
      </c>
      <c r="AF4109">
        <f>IFERROR(__xludf.DUMMYFUNCTION("VALUE(REGEXREPLACE(G4109,""[^[:digit:]]"", """"))"),3303.0)</f>
        <v>3303</v>
      </c>
      <c r="AG4109" s="7"/>
      <c r="AH4109" s="7"/>
      <c r="AI4109" s="7"/>
      <c r="AJ4109" s="7"/>
      <c r="AK4109" s="7"/>
      <c r="AL4109" s="7"/>
      <c r="AM4109" s="7"/>
      <c r="AN4109" s="7"/>
      <c r="AO4109" s="7"/>
      <c r="AP4109" s="7"/>
      <c r="AQ4109" s="7"/>
      <c r="AR4109" s="7"/>
      <c r="AS4109" s="7" t="s">
        <v>27</v>
      </c>
    </row>
    <row r="4110">
      <c r="A4110" s="7" t="s">
        <v>177</v>
      </c>
      <c r="B4110" s="7" t="s">
        <v>599</v>
      </c>
      <c r="C4110" s="7">
        <f>2+1</f>
        <v>3</v>
      </c>
      <c r="D4110" s="7">
        <v>2.0</v>
      </c>
      <c r="E4110" s="7">
        <v>1.0</v>
      </c>
      <c r="F4110" s="7" t="s">
        <v>30</v>
      </c>
      <c r="G4110" s="7" t="s">
        <v>1008</v>
      </c>
      <c r="H4110" s="9" t="s">
        <v>2979</v>
      </c>
      <c r="I4110" t="s">
        <v>3452</v>
      </c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  <c r="AA4110" s="7"/>
      <c r="AB4110" s="7"/>
      <c r="AC4110" s="7"/>
      <c r="AD4110" s="7" t="str">
        <f t="shared" si="1"/>
        <v>Built-up :</v>
      </c>
      <c r="AE4110" s="7" t="str">
        <f t="shared" si="2"/>
        <v> sq. ft.</v>
      </c>
      <c r="AF4110">
        <f>IFERROR(__xludf.DUMMYFUNCTION("VALUE(REGEXREPLACE(G4110,""[^[:digit:]]"", """"))"),1518.0)</f>
        <v>1518</v>
      </c>
      <c r="AG4110" s="7"/>
      <c r="AH4110" s="7"/>
      <c r="AI4110" s="7"/>
      <c r="AJ4110" s="7"/>
      <c r="AK4110" s="7"/>
      <c r="AL4110" s="7"/>
      <c r="AM4110" s="7"/>
      <c r="AN4110" s="7"/>
      <c r="AO4110" s="7"/>
      <c r="AP4110" s="7"/>
      <c r="AQ4110" s="7"/>
      <c r="AR4110" s="7"/>
      <c r="AS4110" s="7" t="s">
        <v>27</v>
      </c>
    </row>
    <row r="4111">
      <c r="A4111" s="7" t="s">
        <v>177</v>
      </c>
      <c r="B4111" s="7" t="s">
        <v>2604</v>
      </c>
      <c r="C4111" s="7">
        <f>4+1</f>
        <v>5</v>
      </c>
      <c r="D4111" s="7">
        <v>4.0</v>
      </c>
      <c r="E4111" s="7">
        <v>1.0</v>
      </c>
      <c r="F4111" s="7" t="s">
        <v>30</v>
      </c>
      <c r="G4111" s="7" t="s">
        <v>2605</v>
      </c>
      <c r="H4111" s="9" t="s">
        <v>2979</v>
      </c>
      <c r="I4111" t="s">
        <v>4425</v>
      </c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  <c r="AA4111" s="7"/>
      <c r="AB4111" s="7"/>
      <c r="AC4111" s="7"/>
      <c r="AD4111" s="7" t="str">
        <f t="shared" si="1"/>
        <v>Built-up :</v>
      </c>
      <c r="AE4111" s="7" t="str">
        <f t="shared" si="2"/>
        <v> sq. ft.</v>
      </c>
      <c r="AF4111">
        <f>IFERROR(__xludf.DUMMYFUNCTION("VALUE(REGEXREPLACE(G4111,""[^[:digit:]]"", """"))"),2280.0)</f>
        <v>2280</v>
      </c>
      <c r="AG4111" s="7"/>
      <c r="AH4111" s="7"/>
      <c r="AI4111" s="7"/>
      <c r="AJ4111" s="7"/>
      <c r="AK4111" s="7"/>
      <c r="AL4111" s="7"/>
      <c r="AM4111" s="7"/>
      <c r="AN4111" s="7"/>
      <c r="AO4111" s="7"/>
      <c r="AP4111" s="7"/>
      <c r="AQ4111" s="7"/>
      <c r="AR4111" s="7"/>
      <c r="AS4111" s="7" t="s">
        <v>27</v>
      </c>
    </row>
    <row r="4112">
      <c r="A4112" s="7" t="s">
        <v>23</v>
      </c>
      <c r="B4112" s="7" t="s">
        <v>110</v>
      </c>
      <c r="C4112" s="7">
        <f>3+1</f>
        <v>4</v>
      </c>
      <c r="D4112" s="7">
        <v>4.0</v>
      </c>
      <c r="E4112" s="7">
        <v>2.0</v>
      </c>
      <c r="F4112" s="7" t="s">
        <v>30</v>
      </c>
      <c r="G4112" s="7" t="s">
        <v>1999</v>
      </c>
      <c r="H4112" s="9" t="s">
        <v>2979</v>
      </c>
      <c r="I4112" t="s">
        <v>4045</v>
      </c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  <c r="AA4112" s="7"/>
      <c r="AB4112" s="7"/>
      <c r="AC4112" s="7"/>
      <c r="AD4112" s="7" t="str">
        <f t="shared" si="1"/>
        <v>Built-up :</v>
      </c>
      <c r="AE4112" s="7" t="str">
        <f t="shared" si="2"/>
        <v> sq. ft.</v>
      </c>
      <c r="AF4112">
        <f>IFERROR(__xludf.DUMMYFUNCTION("VALUE(REGEXREPLACE(G4112,""[^[:digit:]]"", """"))"),2800.0)</f>
        <v>2800</v>
      </c>
      <c r="AG4112" s="7"/>
      <c r="AH4112" s="7"/>
      <c r="AI4112" s="7"/>
      <c r="AJ4112" s="7"/>
      <c r="AK4112" s="7"/>
      <c r="AL4112" s="7"/>
      <c r="AM4112" s="7"/>
      <c r="AN4112" s="7"/>
      <c r="AO4112" s="7"/>
      <c r="AP4112" s="7"/>
      <c r="AQ4112" s="7"/>
      <c r="AR4112" s="7"/>
      <c r="AS4112" s="7" t="s">
        <v>27</v>
      </c>
    </row>
    <row r="4113">
      <c r="A4113" s="7" t="s">
        <v>1241</v>
      </c>
      <c r="B4113" s="7" t="s">
        <v>599</v>
      </c>
      <c r="C4113" s="7">
        <f t="shared" ref="C4113:C4114" si="566">2</f>
        <v>2</v>
      </c>
      <c r="D4113" s="7">
        <v>2.0</v>
      </c>
      <c r="E4113" s="9">
        <v>2.0</v>
      </c>
      <c r="F4113" s="7" t="s">
        <v>20</v>
      </c>
      <c r="G4113" s="7" t="s">
        <v>237</v>
      </c>
      <c r="H4113" s="9" t="s">
        <v>2979</v>
      </c>
      <c r="I4113" t="s">
        <v>3069</v>
      </c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  <c r="AA4113" s="7"/>
      <c r="AB4113" s="7"/>
      <c r="AC4113" s="7"/>
      <c r="AD4113" s="7" t="str">
        <f t="shared" si="1"/>
        <v>Built-up :</v>
      </c>
      <c r="AE4113" s="7" t="str">
        <f t="shared" si="2"/>
        <v> sq. ft.</v>
      </c>
      <c r="AF4113">
        <f>IFERROR(__xludf.DUMMYFUNCTION("VALUE(REGEXREPLACE(G4113,""[^[:digit:]]"", """"))"),1087.0)</f>
        <v>1087</v>
      </c>
      <c r="AG4113" s="7"/>
      <c r="AH4113" s="7"/>
      <c r="AI4113" s="7"/>
      <c r="AJ4113" s="7"/>
      <c r="AK4113" s="7"/>
      <c r="AL4113" s="7"/>
      <c r="AM4113" s="7"/>
      <c r="AN4113" s="7"/>
      <c r="AO4113" s="7"/>
      <c r="AP4113" s="7"/>
      <c r="AQ4113" s="7"/>
      <c r="AR4113" s="7"/>
      <c r="AS4113" s="7" t="s">
        <v>22</v>
      </c>
    </row>
    <row r="4114">
      <c r="A4114" s="7" t="s">
        <v>41</v>
      </c>
      <c r="B4114" s="7" t="s">
        <v>201</v>
      </c>
      <c r="C4114" s="7">
        <f t="shared" si="566"/>
        <v>2</v>
      </c>
      <c r="D4114" s="7">
        <v>2.0</v>
      </c>
      <c r="E4114" s="7">
        <v>2.0</v>
      </c>
      <c r="F4114" s="7" t="s">
        <v>93</v>
      </c>
      <c r="G4114" s="7" t="s">
        <v>1686</v>
      </c>
      <c r="H4114" s="9" t="s">
        <v>2979</v>
      </c>
      <c r="I4114" t="s">
        <v>3856</v>
      </c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  <c r="AA4114" s="7"/>
      <c r="AB4114" s="7"/>
      <c r="AC4114" s="7"/>
      <c r="AD4114" s="7" t="str">
        <f t="shared" si="1"/>
        <v>Built-up :</v>
      </c>
      <c r="AE4114" s="7" t="str">
        <f t="shared" si="2"/>
        <v> sq. ft.</v>
      </c>
      <c r="AF4114">
        <f>IFERROR(__xludf.DUMMYFUNCTION("VALUE(REGEXREPLACE(G4114,""[^[:digit:]]"", """"))"),1021.0)</f>
        <v>1021</v>
      </c>
      <c r="AG4114" s="7"/>
      <c r="AH4114" s="7"/>
      <c r="AI4114" s="7"/>
      <c r="AJ4114" s="7"/>
      <c r="AK4114" s="7"/>
      <c r="AL4114" s="7"/>
      <c r="AM4114" s="7"/>
      <c r="AN4114" s="7"/>
      <c r="AO4114" s="7"/>
      <c r="AP4114" s="7"/>
      <c r="AQ4114" s="7"/>
      <c r="AR4114" s="7"/>
      <c r="AS4114" s="7" t="s">
        <v>22</v>
      </c>
    </row>
    <row r="4115">
      <c r="A4115" s="7" t="s">
        <v>104</v>
      </c>
      <c r="B4115" s="7" t="s">
        <v>1786</v>
      </c>
      <c r="C4115" s="7">
        <f>4</f>
        <v>4</v>
      </c>
      <c r="D4115" s="7">
        <v>3.0</v>
      </c>
      <c r="E4115" s="9">
        <v>2.0</v>
      </c>
      <c r="F4115" s="7" t="s">
        <v>54</v>
      </c>
      <c r="G4115" s="7" t="s">
        <v>2606</v>
      </c>
      <c r="H4115" s="9" t="s">
        <v>2981</v>
      </c>
      <c r="I4115" t="s">
        <v>4021</v>
      </c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  <c r="AA4115" s="7"/>
      <c r="AB4115" s="7"/>
      <c r="AC4115" s="7"/>
      <c r="AD4115" s="7" t="str">
        <f t="shared" si="1"/>
        <v>Land area </v>
      </c>
      <c r="AE4115" s="7" t="str">
        <f t="shared" si="2"/>
        <v> sq. ft.</v>
      </c>
      <c r="AF4115">
        <f>IFERROR(__xludf.DUMMYFUNCTION("VALUE(REGEXREPLACE(G4115,""[^[:digit:]]"", """"))"),1700.0)</f>
        <v>1700</v>
      </c>
      <c r="AG4115" s="7"/>
      <c r="AH4115" s="7"/>
      <c r="AI4115" s="7"/>
      <c r="AJ4115" s="7"/>
      <c r="AK4115" s="7"/>
      <c r="AL4115" s="7"/>
      <c r="AM4115" s="7"/>
      <c r="AN4115" s="7"/>
      <c r="AO4115" s="7"/>
      <c r="AP4115" s="7"/>
      <c r="AQ4115" s="7"/>
      <c r="AR4115" s="7"/>
      <c r="AS4115" s="7" t="s">
        <v>27</v>
      </c>
    </row>
    <row r="4116">
      <c r="A4116" s="7" t="s">
        <v>171</v>
      </c>
      <c r="B4116" s="7" t="s">
        <v>144</v>
      </c>
      <c r="C4116" s="7">
        <f>7</f>
        <v>7</v>
      </c>
      <c r="D4116" s="7">
        <v>6.0</v>
      </c>
      <c r="E4116" s="7">
        <v>8.0</v>
      </c>
      <c r="F4116" s="7" t="s">
        <v>203</v>
      </c>
      <c r="G4116" s="7" t="s">
        <v>2607</v>
      </c>
      <c r="H4116" s="9" t="s">
        <v>2981</v>
      </c>
      <c r="I4116" t="s">
        <v>4426</v>
      </c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  <c r="AA4116" s="7"/>
      <c r="AB4116" s="7"/>
      <c r="AC4116" s="7"/>
      <c r="AD4116" s="7" t="str">
        <f t="shared" si="1"/>
        <v>Land area </v>
      </c>
      <c r="AE4116" s="7" t="str">
        <f t="shared" si="2"/>
        <v> sq. ft.</v>
      </c>
      <c r="AF4116">
        <f>IFERROR(__xludf.DUMMYFUNCTION("VALUE(REGEXREPLACE(G4116,""[^[:digit:]]"", """"))"),3844.0)</f>
        <v>3844</v>
      </c>
      <c r="AG4116" s="7"/>
      <c r="AH4116" s="7"/>
      <c r="AI4116" s="7"/>
      <c r="AJ4116" s="7"/>
      <c r="AK4116" s="7"/>
      <c r="AL4116" s="7"/>
      <c r="AM4116" s="7"/>
      <c r="AN4116" s="7"/>
      <c r="AO4116" s="7"/>
      <c r="AP4116" s="7"/>
      <c r="AQ4116" s="7"/>
      <c r="AR4116" s="7"/>
      <c r="AS4116" s="7" t="s">
        <v>27</v>
      </c>
    </row>
    <row r="4117">
      <c r="A4117" s="7" t="s">
        <v>72</v>
      </c>
      <c r="B4117" s="7" t="s">
        <v>174</v>
      </c>
      <c r="C4117" s="7">
        <f>5+1</f>
        <v>6</v>
      </c>
      <c r="D4117" s="7">
        <v>5.0</v>
      </c>
      <c r="E4117" s="9">
        <v>2.0</v>
      </c>
      <c r="F4117" s="7" t="s">
        <v>487</v>
      </c>
      <c r="G4117" s="7" t="s">
        <v>860</v>
      </c>
      <c r="H4117" s="9" t="s">
        <v>2981</v>
      </c>
      <c r="I4117" t="s">
        <v>3376</v>
      </c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  <c r="AA4117" s="7"/>
      <c r="AB4117" s="7"/>
      <c r="AC4117" s="7"/>
      <c r="AD4117" s="7" t="str">
        <f t="shared" si="1"/>
        <v>Land area </v>
      </c>
      <c r="AE4117" s="7" t="str">
        <f t="shared" si="2"/>
        <v> sq. ft.</v>
      </c>
      <c r="AF4117">
        <f>IFERROR(__xludf.DUMMYFUNCTION("VALUE(REGEXREPLACE(G4117,""[^[:digit:]]"", """"))"),4000.0)</f>
        <v>4000</v>
      </c>
      <c r="AG4117" s="7"/>
      <c r="AH4117" s="7"/>
      <c r="AI4117" s="7"/>
      <c r="AJ4117" s="7"/>
      <c r="AK4117" s="7"/>
      <c r="AL4117" s="7"/>
      <c r="AM4117" s="7"/>
      <c r="AN4117" s="7"/>
      <c r="AO4117" s="7"/>
      <c r="AP4117" s="7"/>
      <c r="AQ4117" s="7"/>
      <c r="AR4117" s="7"/>
      <c r="AS4117" s="7" t="s">
        <v>27</v>
      </c>
    </row>
    <row r="4118">
      <c r="A4118" s="7" t="s">
        <v>177</v>
      </c>
      <c r="B4118" s="7" t="s">
        <v>191</v>
      </c>
      <c r="C4118" s="7">
        <f>2</f>
        <v>2</v>
      </c>
      <c r="D4118" s="7">
        <v>2.0</v>
      </c>
      <c r="E4118" s="7">
        <v>1.0</v>
      </c>
      <c r="F4118" s="7" t="s">
        <v>93</v>
      </c>
      <c r="G4118" s="7" t="s">
        <v>2608</v>
      </c>
      <c r="H4118" s="9" t="s">
        <v>2979</v>
      </c>
      <c r="I4118" t="s">
        <v>4427</v>
      </c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  <c r="AA4118" s="7"/>
      <c r="AB4118" s="7"/>
      <c r="AC4118" s="7"/>
      <c r="AD4118" s="7" t="str">
        <f t="shared" si="1"/>
        <v>Built-up :</v>
      </c>
      <c r="AE4118" s="7" t="str">
        <f t="shared" si="2"/>
        <v> sq. ft.</v>
      </c>
      <c r="AF4118">
        <f>IFERROR(__xludf.DUMMYFUNCTION("VALUE(REGEXREPLACE(G4118,""[^[:digit:]]"", """"))"),1252.0)</f>
        <v>1252</v>
      </c>
      <c r="AG4118" s="7"/>
      <c r="AH4118" s="7"/>
      <c r="AI4118" s="7"/>
      <c r="AJ4118" s="7"/>
      <c r="AK4118" s="7"/>
      <c r="AL4118" s="7"/>
      <c r="AM4118" s="7"/>
      <c r="AN4118" s="7"/>
      <c r="AO4118" s="7"/>
      <c r="AP4118" s="7"/>
      <c r="AQ4118" s="7"/>
      <c r="AR4118" s="7"/>
      <c r="AS4118" s="7" t="s">
        <v>27</v>
      </c>
    </row>
    <row r="4119">
      <c r="A4119" s="7" t="s">
        <v>709</v>
      </c>
      <c r="B4119" s="7" t="s">
        <v>372</v>
      </c>
      <c r="C4119" s="7">
        <f>3</f>
        <v>3</v>
      </c>
      <c r="D4119" s="7">
        <v>2.0</v>
      </c>
      <c r="E4119" s="7">
        <v>1.0</v>
      </c>
      <c r="F4119" s="7" t="s">
        <v>30</v>
      </c>
      <c r="G4119" s="7" t="s">
        <v>2222</v>
      </c>
      <c r="H4119" s="9" t="s">
        <v>2979</v>
      </c>
      <c r="I4119" t="s">
        <v>4191</v>
      </c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  <c r="AA4119" s="7"/>
      <c r="AB4119" s="7"/>
      <c r="AC4119" s="7"/>
      <c r="AD4119" s="7" t="str">
        <f t="shared" si="1"/>
        <v>Built-up :</v>
      </c>
      <c r="AE4119" s="7" t="str">
        <f t="shared" si="2"/>
        <v> sq. ft.</v>
      </c>
      <c r="AF4119">
        <f>IFERROR(__xludf.DUMMYFUNCTION("VALUE(REGEXREPLACE(G4119,""[^[:digit:]]"", """"))"),1514.0)</f>
        <v>1514</v>
      </c>
      <c r="AG4119" s="7"/>
      <c r="AH4119" s="7"/>
      <c r="AI4119" s="7"/>
      <c r="AJ4119" s="7"/>
      <c r="AK4119" s="7"/>
      <c r="AL4119" s="7"/>
      <c r="AM4119" s="7"/>
      <c r="AN4119" s="7"/>
      <c r="AO4119" s="7"/>
      <c r="AP4119" s="7"/>
      <c r="AQ4119" s="7"/>
      <c r="AR4119" s="7"/>
      <c r="AS4119" s="7" t="s">
        <v>27</v>
      </c>
    </row>
    <row r="4120">
      <c r="A4120" s="7" t="s">
        <v>17</v>
      </c>
      <c r="B4120" s="7" t="s">
        <v>632</v>
      </c>
      <c r="C4120" s="7">
        <f>2</f>
        <v>2</v>
      </c>
      <c r="D4120" s="7">
        <v>2.0</v>
      </c>
      <c r="E4120" s="9">
        <v>2.0</v>
      </c>
      <c r="F4120" s="7" t="s">
        <v>83</v>
      </c>
      <c r="G4120" s="7" t="s">
        <v>2609</v>
      </c>
      <c r="H4120" s="9" t="s">
        <v>2979</v>
      </c>
      <c r="I4120" t="s">
        <v>4428</v>
      </c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  <c r="AA4120" s="7"/>
      <c r="AB4120" s="7"/>
      <c r="AC4120" s="7"/>
      <c r="AD4120" s="7" t="str">
        <f t="shared" si="1"/>
        <v>Built-up :</v>
      </c>
      <c r="AE4120" s="7" t="str">
        <f t="shared" si="2"/>
        <v> sq. ft.</v>
      </c>
      <c r="AF4120">
        <f>IFERROR(__xludf.DUMMYFUNCTION("VALUE(REGEXREPLACE(G4120,""[^[:digit:]]"", """"))"),1047.0)</f>
        <v>1047</v>
      </c>
      <c r="AG4120" s="7"/>
      <c r="AH4120" s="7"/>
      <c r="AI4120" s="7"/>
      <c r="AJ4120" s="7"/>
      <c r="AK4120" s="7"/>
      <c r="AL4120" s="7"/>
      <c r="AM4120" s="7"/>
      <c r="AN4120" s="7"/>
      <c r="AO4120" s="7"/>
      <c r="AP4120" s="7"/>
      <c r="AQ4120" s="7"/>
      <c r="AR4120" s="7"/>
      <c r="AS4120" s="7" t="s">
        <v>22</v>
      </c>
    </row>
    <row r="4121">
      <c r="A4121" s="7" t="s">
        <v>23</v>
      </c>
      <c r="B4121" s="7" t="s">
        <v>349</v>
      </c>
      <c r="C4121" s="7">
        <f>1</f>
        <v>1</v>
      </c>
      <c r="D4121" s="7">
        <v>1.0</v>
      </c>
      <c r="E4121" s="7">
        <v>1.0</v>
      </c>
      <c r="F4121" s="7" t="s">
        <v>20</v>
      </c>
      <c r="G4121" s="7" t="s">
        <v>51</v>
      </c>
      <c r="H4121" s="9" t="s">
        <v>2979</v>
      </c>
      <c r="I4121" t="s">
        <v>2991</v>
      </c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  <c r="AA4121" s="7"/>
      <c r="AB4121" s="7"/>
      <c r="AC4121" s="7"/>
      <c r="AD4121" s="7" t="str">
        <f t="shared" si="1"/>
        <v>Built-up :</v>
      </c>
      <c r="AE4121" s="7" t="str">
        <f t="shared" si="2"/>
        <v> sq. ft.</v>
      </c>
      <c r="AF4121">
        <f>IFERROR(__xludf.DUMMYFUNCTION("VALUE(REGEXREPLACE(G4121,""[^[:digit:]]"", """"))"),904.0)</f>
        <v>904</v>
      </c>
      <c r="AG4121" s="7"/>
      <c r="AH4121" s="7"/>
      <c r="AI4121" s="7"/>
      <c r="AJ4121" s="7"/>
      <c r="AK4121" s="7"/>
      <c r="AL4121" s="7"/>
      <c r="AM4121" s="7"/>
      <c r="AN4121" s="7"/>
      <c r="AO4121" s="7"/>
      <c r="AP4121" s="7"/>
      <c r="AQ4121" s="7"/>
      <c r="AR4121" s="7"/>
      <c r="AS4121" s="7" t="s">
        <v>27</v>
      </c>
    </row>
    <row r="4122">
      <c r="A4122" s="7" t="s">
        <v>104</v>
      </c>
      <c r="B4122" s="7" t="s">
        <v>279</v>
      </c>
      <c r="C4122" s="7">
        <f>5+1</f>
        <v>6</v>
      </c>
      <c r="D4122" s="7">
        <v>5.0</v>
      </c>
      <c r="E4122" s="7">
        <v>4.0</v>
      </c>
      <c r="F4122" s="7" t="s">
        <v>90</v>
      </c>
      <c r="G4122" s="7" t="s">
        <v>283</v>
      </c>
      <c r="H4122" s="9" t="s">
        <v>2981</v>
      </c>
      <c r="I4122" t="s">
        <v>3091</v>
      </c>
      <c r="J4122" s="7"/>
      <c r="K4122" s="7"/>
      <c r="L4122" s="7"/>
      <c r="M4122" s="7"/>
      <c r="N4122" s="7"/>
      <c r="O4122" s="7"/>
      <c r="P4122" s="7"/>
      <c r="Q4122" s="7"/>
      <c r="R4122" s="7"/>
      <c r="S4122" s="7" t="s">
        <v>2990</v>
      </c>
      <c r="T4122" s="7"/>
      <c r="U4122" s="7"/>
      <c r="V4122" s="7"/>
      <c r="W4122" s="7"/>
      <c r="X4122" s="7"/>
      <c r="Y4122" s="7"/>
      <c r="Z4122" s="7"/>
      <c r="AA4122" s="7"/>
      <c r="AB4122" s="7"/>
      <c r="AC4122" s="7"/>
      <c r="AD4122" s="7" t="str">
        <f t="shared" si="1"/>
        <v>Land area </v>
      </c>
      <c r="AE4122" s="7" t="str">
        <f t="shared" si="2"/>
        <v> sq. ft.</v>
      </c>
      <c r="AF4122">
        <f>IFERROR(__xludf.DUMMYFUNCTION("VALUE(REGEXREPLACE(G4122,""[^[:digit:]]"", """"))"),2275.0)</f>
        <v>2275</v>
      </c>
      <c r="AG4122" s="7"/>
      <c r="AH4122" s="7"/>
      <c r="AI4122" s="7"/>
      <c r="AJ4122" s="7"/>
      <c r="AK4122" s="7"/>
      <c r="AL4122" s="7"/>
      <c r="AM4122" s="7"/>
      <c r="AN4122" s="7"/>
      <c r="AO4122" s="7"/>
      <c r="AP4122" s="7"/>
      <c r="AQ4122" s="7"/>
      <c r="AR4122" s="7"/>
      <c r="AS4122" s="7" t="s">
        <v>103</v>
      </c>
    </row>
    <row r="4123">
      <c r="A4123" s="7" t="s">
        <v>23</v>
      </c>
      <c r="B4123" s="7" t="s">
        <v>309</v>
      </c>
      <c r="C4123" s="7">
        <f>2+1</f>
        <v>3</v>
      </c>
      <c r="D4123" s="7">
        <v>4.0</v>
      </c>
      <c r="E4123" s="7">
        <v>2.0</v>
      </c>
      <c r="F4123" s="7" t="s">
        <v>20</v>
      </c>
      <c r="G4123" s="7" t="s">
        <v>99</v>
      </c>
      <c r="H4123" s="9" t="s">
        <v>2979</v>
      </c>
      <c r="I4123" t="s">
        <v>3006</v>
      </c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  <c r="AA4123" s="7"/>
      <c r="AB4123" s="7"/>
      <c r="AC4123" s="7"/>
      <c r="AD4123" s="7" t="str">
        <f t="shared" si="1"/>
        <v>Built-up :</v>
      </c>
      <c r="AE4123" s="7" t="str">
        <f t="shared" si="2"/>
        <v> sq. ft.</v>
      </c>
      <c r="AF4123">
        <f>IFERROR(__xludf.DUMMYFUNCTION("VALUE(REGEXREPLACE(G4123,""[^[:digit:]]"", """"))"),1668.0)</f>
        <v>1668</v>
      </c>
      <c r="AG4123" s="7"/>
      <c r="AH4123" s="7"/>
      <c r="AI4123" s="7"/>
      <c r="AJ4123" s="7"/>
      <c r="AK4123" s="7"/>
      <c r="AL4123" s="7"/>
      <c r="AM4123" s="7"/>
      <c r="AN4123" s="7"/>
      <c r="AO4123" s="7"/>
      <c r="AP4123" s="7"/>
      <c r="AQ4123" s="7"/>
      <c r="AR4123" s="7"/>
      <c r="AS4123" s="7" t="s">
        <v>27</v>
      </c>
    </row>
    <row r="4124">
      <c r="A4124" s="7" t="s">
        <v>432</v>
      </c>
      <c r="B4124" s="7" t="s">
        <v>120</v>
      </c>
      <c r="C4124" s="7">
        <f>4</f>
        <v>4</v>
      </c>
      <c r="D4124" s="7">
        <v>4.0</v>
      </c>
      <c r="E4124" s="9">
        <v>2.0</v>
      </c>
      <c r="F4124" s="7" t="s">
        <v>1036</v>
      </c>
      <c r="G4124" s="7" t="s">
        <v>1024</v>
      </c>
      <c r="H4124" s="9" t="s">
        <v>2981</v>
      </c>
      <c r="I4124" t="s">
        <v>3460</v>
      </c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  <c r="AA4124" s="7"/>
      <c r="AB4124" s="7"/>
      <c r="AC4124" s="7"/>
      <c r="AD4124" s="7" t="str">
        <f t="shared" si="1"/>
        <v>Land area </v>
      </c>
      <c r="AE4124" s="7" t="str">
        <f t="shared" si="2"/>
        <v> sq. ft.</v>
      </c>
      <c r="AF4124">
        <f>IFERROR(__xludf.DUMMYFUNCTION("VALUE(REGEXREPLACE(G4124,""[^[:digit:]]"", """"))"),2000.0)</f>
        <v>2000</v>
      </c>
      <c r="AG4124" s="7"/>
      <c r="AH4124" s="7"/>
      <c r="AI4124" s="7"/>
      <c r="AJ4124" s="7"/>
      <c r="AK4124" s="7"/>
      <c r="AL4124" s="7"/>
      <c r="AM4124" s="7"/>
      <c r="AN4124" s="7"/>
      <c r="AO4124" s="7"/>
      <c r="AP4124" s="7"/>
      <c r="AQ4124" s="7"/>
      <c r="AR4124" s="7"/>
      <c r="AS4124" s="7" t="s">
        <v>27</v>
      </c>
    </row>
    <row r="4125">
      <c r="A4125" s="7" t="s">
        <v>37</v>
      </c>
      <c r="B4125" s="7" t="s">
        <v>616</v>
      </c>
      <c r="C4125" s="7">
        <f>7+1</f>
        <v>8</v>
      </c>
      <c r="D4125" s="7">
        <v>7.0</v>
      </c>
      <c r="E4125" s="7">
        <v>5.0</v>
      </c>
      <c r="F4125" s="7" t="s">
        <v>25</v>
      </c>
      <c r="G4125" s="7" t="s">
        <v>2610</v>
      </c>
      <c r="H4125" s="9" t="s">
        <v>2981</v>
      </c>
      <c r="I4125" t="s">
        <v>4429</v>
      </c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  <c r="AA4125" s="7"/>
      <c r="AB4125" s="7"/>
      <c r="AC4125" s="7"/>
      <c r="AD4125" s="7" t="str">
        <f t="shared" si="1"/>
        <v>Land area </v>
      </c>
      <c r="AE4125" s="7" t="str">
        <f t="shared" si="2"/>
        <v> sq. ft.</v>
      </c>
      <c r="AF4125">
        <f>IFERROR(__xludf.DUMMYFUNCTION("VALUE(REGEXREPLACE(G4125,""[^[:digit:]]"", """"))"),8966.0)</f>
        <v>8966</v>
      </c>
      <c r="AG4125" s="7"/>
      <c r="AH4125" s="7"/>
      <c r="AI4125" s="7"/>
      <c r="AJ4125" s="7"/>
      <c r="AK4125" s="7"/>
      <c r="AL4125" s="7"/>
      <c r="AM4125" s="7"/>
      <c r="AN4125" s="7"/>
      <c r="AO4125" s="7"/>
      <c r="AP4125" s="7"/>
      <c r="AQ4125" s="7"/>
      <c r="AR4125" s="7"/>
      <c r="AS4125" s="7" t="s">
        <v>27</v>
      </c>
    </row>
    <row r="4126">
      <c r="A4126" s="7" t="s">
        <v>432</v>
      </c>
      <c r="B4126" s="7" t="s">
        <v>101</v>
      </c>
      <c r="C4126" s="7">
        <f>4+1</f>
        <v>5</v>
      </c>
      <c r="D4126" s="7">
        <v>4.0</v>
      </c>
      <c r="E4126" s="7">
        <v>3.0</v>
      </c>
      <c r="F4126" s="7" t="s">
        <v>83</v>
      </c>
      <c r="G4126" s="7" t="s">
        <v>1084</v>
      </c>
      <c r="H4126" s="9" t="s">
        <v>2979</v>
      </c>
      <c r="I4126" t="s">
        <v>3494</v>
      </c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  <c r="AA4126" s="7"/>
      <c r="AB4126" s="7"/>
      <c r="AC4126" s="7"/>
      <c r="AD4126" s="7" t="str">
        <f t="shared" si="1"/>
        <v>Built-up :</v>
      </c>
      <c r="AE4126" s="7" t="str">
        <f t="shared" si="2"/>
        <v> sq. ft.</v>
      </c>
      <c r="AF4126">
        <f>IFERROR(__xludf.DUMMYFUNCTION("VALUE(REGEXREPLACE(G4126,""[^[:digit:]]"", """"))"),3600.0)</f>
        <v>3600</v>
      </c>
      <c r="AG4126" s="7"/>
      <c r="AH4126" s="7"/>
      <c r="AI4126" s="7"/>
      <c r="AJ4126" s="7"/>
      <c r="AK4126" s="7"/>
      <c r="AL4126" s="7"/>
      <c r="AM4126" s="7"/>
      <c r="AN4126" s="7"/>
      <c r="AO4126" s="7"/>
      <c r="AP4126" s="7"/>
      <c r="AQ4126" s="7"/>
      <c r="AR4126" s="7"/>
      <c r="AS4126" s="7" t="s">
        <v>22</v>
      </c>
    </row>
    <row r="4127">
      <c r="A4127" s="7" t="s">
        <v>17</v>
      </c>
      <c r="B4127" s="7" t="s">
        <v>501</v>
      </c>
      <c r="C4127" s="7">
        <f>1+1</f>
        <v>2</v>
      </c>
      <c r="D4127" s="7">
        <v>2.0</v>
      </c>
      <c r="E4127" s="9">
        <v>2.0</v>
      </c>
      <c r="F4127" s="7" t="s">
        <v>20</v>
      </c>
      <c r="G4127" s="7" t="s">
        <v>392</v>
      </c>
      <c r="H4127" s="9" t="s">
        <v>2979</v>
      </c>
      <c r="I4127" t="s">
        <v>3141</v>
      </c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  <c r="AA4127" s="7"/>
      <c r="AB4127" s="7"/>
      <c r="AC4127" s="7"/>
      <c r="AD4127" s="7" t="str">
        <f t="shared" si="1"/>
        <v>Built-up :</v>
      </c>
      <c r="AE4127" s="7" t="str">
        <f t="shared" si="2"/>
        <v> sq. ft.</v>
      </c>
      <c r="AF4127">
        <f>IFERROR(__xludf.DUMMYFUNCTION("VALUE(REGEXREPLACE(G4127,""[^[:digit:]]"", """"))"),850.0)</f>
        <v>850</v>
      </c>
      <c r="AG4127" s="7"/>
      <c r="AH4127" s="7"/>
      <c r="AI4127" s="7"/>
      <c r="AJ4127" s="7"/>
      <c r="AK4127" s="7"/>
      <c r="AL4127" s="7"/>
      <c r="AM4127" s="7"/>
      <c r="AN4127" s="7"/>
      <c r="AO4127" s="7"/>
      <c r="AP4127" s="7"/>
      <c r="AQ4127" s="7"/>
      <c r="AR4127" s="7"/>
      <c r="AS4127" s="7" t="s">
        <v>27</v>
      </c>
    </row>
    <row r="4128">
      <c r="A4128" s="7" t="s">
        <v>17</v>
      </c>
      <c r="B4128" s="7" t="s">
        <v>424</v>
      </c>
      <c r="C4128" s="7">
        <f>2</f>
        <v>2</v>
      </c>
      <c r="D4128" s="7">
        <v>1.0</v>
      </c>
      <c r="E4128" s="7">
        <v>1.0</v>
      </c>
      <c r="F4128" s="7" t="s">
        <v>20</v>
      </c>
      <c r="G4128" s="7" t="s">
        <v>425</v>
      </c>
      <c r="H4128" s="9" t="s">
        <v>2979</v>
      </c>
      <c r="I4128" t="s">
        <v>3156</v>
      </c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  <c r="AA4128" s="7"/>
      <c r="AB4128" s="7"/>
      <c r="AC4128" s="7"/>
      <c r="AD4128" s="7" t="str">
        <f t="shared" si="1"/>
        <v>Built-up :</v>
      </c>
      <c r="AE4128" s="7" t="str">
        <f t="shared" si="2"/>
        <v> sq. ft.</v>
      </c>
      <c r="AF4128">
        <f>IFERROR(__xludf.DUMMYFUNCTION("VALUE(REGEXREPLACE(G4128,""[^[:digit:]]"", """"))"),1020.0)</f>
        <v>1020</v>
      </c>
      <c r="AG4128" s="7"/>
      <c r="AH4128" s="7"/>
      <c r="AI4128" s="7"/>
      <c r="AJ4128" s="7"/>
      <c r="AK4128" s="7"/>
      <c r="AL4128" s="7"/>
      <c r="AM4128" s="7"/>
      <c r="AN4128" s="7"/>
      <c r="AO4128" s="7"/>
      <c r="AP4128" s="7"/>
      <c r="AQ4128" s="7"/>
      <c r="AR4128" s="7"/>
      <c r="AS4128" s="7" t="s">
        <v>22</v>
      </c>
    </row>
    <row r="4129">
      <c r="A4129" s="7" t="s">
        <v>32</v>
      </c>
      <c r="B4129" s="7" t="s">
        <v>639</v>
      </c>
      <c r="C4129" s="7">
        <f t="shared" ref="C4129:C4131" si="567">3</f>
        <v>3</v>
      </c>
      <c r="D4129" s="7">
        <v>2.0</v>
      </c>
      <c r="E4129" s="7">
        <v>1.0</v>
      </c>
      <c r="F4129" s="7" t="s">
        <v>30</v>
      </c>
      <c r="G4129" s="7" t="s">
        <v>2611</v>
      </c>
      <c r="H4129" s="9" t="s">
        <v>2981</v>
      </c>
      <c r="I4129" t="s">
        <v>4178</v>
      </c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  <c r="AA4129" s="7"/>
      <c r="AB4129" s="7"/>
      <c r="AC4129" s="7"/>
      <c r="AD4129" s="7" t="str">
        <f t="shared" si="1"/>
        <v>Land area </v>
      </c>
      <c r="AE4129" s="7" t="str">
        <f t="shared" si="2"/>
        <v> sq. ft.</v>
      </c>
      <c r="AF4129">
        <f>IFERROR(__xludf.DUMMYFUNCTION("VALUE(REGEXREPLACE(G4129,""[^[:digit:]]"", """"))"),962.0)</f>
        <v>962</v>
      </c>
      <c r="AG4129" s="7"/>
      <c r="AH4129" s="7"/>
      <c r="AI4129" s="7"/>
      <c r="AJ4129" s="7"/>
      <c r="AK4129" s="7"/>
      <c r="AL4129" s="7"/>
      <c r="AM4129" s="7"/>
      <c r="AN4129" s="7"/>
      <c r="AO4129" s="7"/>
      <c r="AP4129" s="7"/>
      <c r="AQ4129" s="7"/>
      <c r="AR4129" s="7"/>
      <c r="AS4129" s="7" t="s">
        <v>103</v>
      </c>
    </row>
    <row r="4130">
      <c r="A4130" s="7" t="s">
        <v>33</v>
      </c>
      <c r="B4130" s="7" t="s">
        <v>581</v>
      </c>
      <c r="C4130" s="7">
        <f t="shared" si="567"/>
        <v>3</v>
      </c>
      <c r="D4130" s="7">
        <v>2.0</v>
      </c>
      <c r="E4130" s="7">
        <v>2.0</v>
      </c>
      <c r="F4130" s="7" t="s">
        <v>83</v>
      </c>
      <c r="G4130" s="7" t="s">
        <v>2533</v>
      </c>
      <c r="H4130" s="9" t="s">
        <v>2979</v>
      </c>
      <c r="I4130" t="s">
        <v>4381</v>
      </c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  <c r="AA4130" s="7"/>
      <c r="AB4130" s="7"/>
      <c r="AC4130" s="7"/>
      <c r="AD4130" s="7" t="str">
        <f t="shared" si="1"/>
        <v>Built-up :</v>
      </c>
      <c r="AE4130" s="7" t="str">
        <f t="shared" si="2"/>
        <v> sq. ft.</v>
      </c>
      <c r="AF4130">
        <f>IFERROR(__xludf.DUMMYFUNCTION("VALUE(REGEXREPLACE(G4130,""[^[:digit:]]"", """"))"),1407.0)</f>
        <v>1407</v>
      </c>
      <c r="AG4130" s="7"/>
      <c r="AH4130" s="7"/>
      <c r="AI4130" s="7"/>
      <c r="AJ4130" s="7"/>
      <c r="AK4130" s="7"/>
      <c r="AL4130" s="7"/>
      <c r="AM4130" s="7"/>
      <c r="AN4130" s="7"/>
      <c r="AO4130" s="7"/>
      <c r="AP4130" s="7"/>
      <c r="AQ4130" s="7"/>
      <c r="AR4130" s="7"/>
      <c r="AS4130" s="7" t="s">
        <v>27</v>
      </c>
    </row>
    <row r="4131">
      <c r="A4131" s="7" t="s">
        <v>33</v>
      </c>
      <c r="B4131" s="7" t="s">
        <v>221</v>
      </c>
      <c r="C4131" s="7">
        <f t="shared" si="567"/>
        <v>3</v>
      </c>
      <c r="D4131" s="7">
        <v>2.0</v>
      </c>
      <c r="E4131" s="7">
        <v>2.0</v>
      </c>
      <c r="F4131" s="7" t="s">
        <v>83</v>
      </c>
      <c r="G4131" s="7" t="s">
        <v>202</v>
      </c>
      <c r="H4131" s="9" t="s">
        <v>2979</v>
      </c>
      <c r="I4131" t="s">
        <v>3050</v>
      </c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  <c r="AA4131" s="7"/>
      <c r="AB4131" s="7"/>
      <c r="AC4131" s="7"/>
      <c r="AD4131" s="7" t="str">
        <f t="shared" si="1"/>
        <v>Built-up :</v>
      </c>
      <c r="AE4131" s="7" t="str">
        <f t="shared" si="2"/>
        <v> sq. ft.</v>
      </c>
      <c r="AF4131">
        <f>IFERROR(__xludf.DUMMYFUNCTION("VALUE(REGEXREPLACE(G4131,""[^[:digit:]]"", """"))"),1232.0)</f>
        <v>1232</v>
      </c>
      <c r="AG4131" s="7"/>
      <c r="AH4131" s="7"/>
      <c r="AI4131" s="7"/>
      <c r="AJ4131" s="7"/>
      <c r="AK4131" s="7"/>
      <c r="AL4131" s="7"/>
      <c r="AM4131" s="7"/>
      <c r="AN4131" s="7"/>
      <c r="AO4131" s="7"/>
      <c r="AP4131" s="7"/>
      <c r="AQ4131" s="7"/>
      <c r="AR4131" s="7"/>
      <c r="AS4131" s="7" t="s">
        <v>27</v>
      </c>
    </row>
    <row r="4132">
      <c r="A4132" s="7" t="s">
        <v>2612</v>
      </c>
      <c r="B4132" s="7" t="s">
        <v>407</v>
      </c>
      <c r="C4132" s="7">
        <f t="shared" ref="C4132:C4133" si="568">4</f>
        <v>4</v>
      </c>
      <c r="D4132" s="7">
        <v>4.0</v>
      </c>
      <c r="E4132" s="9">
        <v>2.0</v>
      </c>
      <c r="F4132" s="7" t="s">
        <v>54</v>
      </c>
      <c r="G4132" s="7" t="s">
        <v>333</v>
      </c>
      <c r="H4132" s="9" t="s">
        <v>2981</v>
      </c>
      <c r="I4132" t="s">
        <v>3091</v>
      </c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  <c r="AA4132" s="7"/>
      <c r="AB4132" s="7"/>
      <c r="AC4132" s="7"/>
      <c r="AD4132" s="7" t="str">
        <f t="shared" si="1"/>
        <v>Land area </v>
      </c>
      <c r="AE4132" s="7" t="str">
        <f t="shared" si="2"/>
        <v> sq. ft.</v>
      </c>
      <c r="AF4132">
        <f>IFERROR(__xludf.DUMMYFUNCTION("VALUE(REGEXREPLACE(G4132,""[^[:digit:]]"", """"))"),1650.0)</f>
        <v>1650</v>
      </c>
      <c r="AG4132" s="7"/>
      <c r="AH4132" s="7"/>
      <c r="AI4132" s="7"/>
      <c r="AJ4132" s="7"/>
      <c r="AK4132" s="7"/>
      <c r="AL4132" s="7"/>
      <c r="AM4132" s="7"/>
      <c r="AN4132" s="7"/>
      <c r="AO4132" s="7"/>
      <c r="AP4132" s="7"/>
      <c r="AQ4132" s="7"/>
      <c r="AR4132" s="7"/>
      <c r="AS4132" s="7" t="s">
        <v>27</v>
      </c>
    </row>
    <row r="4133">
      <c r="A4133" s="7" t="s">
        <v>104</v>
      </c>
      <c r="B4133" s="7" t="s">
        <v>229</v>
      </c>
      <c r="C4133" s="7">
        <f t="shared" si="568"/>
        <v>4</v>
      </c>
      <c r="D4133" s="7">
        <v>3.0</v>
      </c>
      <c r="E4133" s="7">
        <v>2.0</v>
      </c>
      <c r="F4133" s="7" t="s">
        <v>169</v>
      </c>
      <c r="G4133" s="7" t="s">
        <v>283</v>
      </c>
      <c r="H4133" s="9" t="s">
        <v>2981</v>
      </c>
      <c r="I4133" t="s">
        <v>3091</v>
      </c>
      <c r="J4133" s="7"/>
      <c r="K4133" s="7"/>
      <c r="L4133" s="7"/>
      <c r="M4133" s="7"/>
      <c r="N4133" s="7"/>
      <c r="O4133" s="7"/>
      <c r="P4133" s="7"/>
      <c r="Q4133" s="7"/>
      <c r="R4133" s="7"/>
      <c r="S4133" s="7" t="s">
        <v>2990</v>
      </c>
      <c r="T4133" s="7"/>
      <c r="U4133" s="7"/>
      <c r="V4133" s="7"/>
      <c r="W4133" s="7"/>
      <c r="X4133" s="7"/>
      <c r="Y4133" s="7"/>
      <c r="Z4133" s="7"/>
      <c r="AA4133" s="7"/>
      <c r="AB4133" s="7"/>
      <c r="AC4133" s="7"/>
      <c r="AD4133" s="7" t="str">
        <f t="shared" si="1"/>
        <v>Land area </v>
      </c>
      <c r="AE4133" s="7" t="str">
        <f t="shared" si="2"/>
        <v> sq. ft.</v>
      </c>
      <c r="AF4133">
        <f>IFERROR(__xludf.DUMMYFUNCTION("VALUE(REGEXREPLACE(G4133,""[^[:digit:]]"", """"))"),2275.0)</f>
        <v>2275</v>
      </c>
      <c r="AG4133" s="7"/>
      <c r="AH4133" s="7"/>
      <c r="AI4133" s="7"/>
      <c r="AJ4133" s="7"/>
      <c r="AK4133" s="7"/>
      <c r="AL4133" s="7"/>
      <c r="AM4133" s="7"/>
      <c r="AN4133" s="7"/>
      <c r="AO4133" s="7"/>
      <c r="AP4133" s="7"/>
      <c r="AQ4133" s="7"/>
      <c r="AR4133" s="7"/>
    </row>
    <row r="4134">
      <c r="A4134" s="7" t="s">
        <v>358</v>
      </c>
      <c r="B4134" s="7" t="s">
        <v>2358</v>
      </c>
      <c r="C4134" s="7">
        <f>3+1</f>
        <v>4</v>
      </c>
      <c r="E4134" s="7">
        <v>2.0</v>
      </c>
      <c r="F4134" s="7" t="s">
        <v>83</v>
      </c>
      <c r="G4134" s="7" t="s">
        <v>1607</v>
      </c>
      <c r="H4134" s="9" t="s">
        <v>2979</v>
      </c>
      <c r="I4134" t="s">
        <v>3807</v>
      </c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  <c r="AA4134" s="7"/>
      <c r="AB4134" s="7"/>
      <c r="AC4134" s="7"/>
      <c r="AD4134" s="7" t="str">
        <f t="shared" si="1"/>
        <v>Built-up :</v>
      </c>
      <c r="AE4134" s="7" t="str">
        <f t="shared" si="2"/>
        <v> sq. ft.</v>
      </c>
      <c r="AF4134">
        <f>IFERROR(__xludf.DUMMYFUNCTION("VALUE(REGEXREPLACE(G4134,""[^[:digit:]]"", """"))"),1295.0)</f>
        <v>1295</v>
      </c>
      <c r="AG4134" s="7"/>
      <c r="AH4134" s="7"/>
      <c r="AI4134" s="7"/>
      <c r="AJ4134" s="7"/>
      <c r="AK4134" s="7"/>
      <c r="AL4134" s="7"/>
      <c r="AM4134" s="7"/>
      <c r="AN4134" s="7"/>
      <c r="AO4134" s="7"/>
      <c r="AP4134" s="7"/>
      <c r="AQ4134" s="7"/>
      <c r="AR4134" s="7"/>
    </row>
    <row r="4135">
      <c r="A4135" s="7" t="s">
        <v>358</v>
      </c>
      <c r="B4135" s="7" t="s">
        <v>874</v>
      </c>
      <c r="C4135" s="7">
        <f t="shared" ref="C4135:C4136" si="569">4+1</f>
        <v>5</v>
      </c>
      <c r="D4135" s="7">
        <v>4.0</v>
      </c>
      <c r="E4135" s="7">
        <v>3.0</v>
      </c>
      <c r="F4135" s="7" t="s">
        <v>83</v>
      </c>
      <c r="G4135" s="7" t="s">
        <v>2613</v>
      </c>
      <c r="H4135" s="9" t="s">
        <v>2979</v>
      </c>
      <c r="I4135" t="s">
        <v>4430</v>
      </c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  <c r="AA4135" s="7"/>
      <c r="AB4135" s="7"/>
      <c r="AC4135" s="7"/>
      <c r="AD4135" s="7" t="str">
        <f t="shared" si="1"/>
        <v>Built-up :</v>
      </c>
      <c r="AE4135" s="7" t="str">
        <f t="shared" si="2"/>
        <v> sq. ft.</v>
      </c>
      <c r="AF4135">
        <f>IFERROR(__xludf.DUMMYFUNCTION("VALUE(REGEXREPLACE(G4135,""[^[:digit:]]"", """"))"),1611.0)</f>
        <v>1611</v>
      </c>
      <c r="AG4135" s="7"/>
      <c r="AH4135" s="7"/>
      <c r="AI4135" s="7"/>
      <c r="AJ4135" s="7"/>
      <c r="AK4135" s="7"/>
      <c r="AL4135" s="7"/>
      <c r="AM4135" s="7"/>
      <c r="AN4135" s="7"/>
      <c r="AO4135" s="7"/>
      <c r="AP4135" s="7"/>
      <c r="AQ4135" s="7"/>
      <c r="AR4135" s="7"/>
    </row>
    <row r="4136">
      <c r="A4136" s="7" t="s">
        <v>28</v>
      </c>
      <c r="B4136" s="7" t="s">
        <v>327</v>
      </c>
      <c r="C4136" s="7">
        <f t="shared" si="569"/>
        <v>5</v>
      </c>
      <c r="D4136" s="7">
        <v>4.0</v>
      </c>
      <c r="E4136" s="7">
        <v>3.0</v>
      </c>
      <c r="F4136" s="7" t="s">
        <v>96</v>
      </c>
      <c r="H4136" s="9" t="s">
        <v>2984</v>
      </c>
      <c r="I4136" t="s">
        <v>2985</v>
      </c>
      <c r="AD4136" s="7" t="str">
        <f t="shared" si="1"/>
        <v/>
      </c>
      <c r="AE4136" s="7" t="str">
        <f t="shared" si="2"/>
        <v/>
      </c>
      <c r="AF4136">
        <f>IFERROR(__xludf.DUMMYFUNCTION("VALUE(REGEXREPLACE(G4136,""[^[:digit:]]"", """"))"),0.0)</f>
        <v>0</v>
      </c>
      <c r="AS4136" s="7" t="s">
        <v>27</v>
      </c>
    </row>
    <row r="4137">
      <c r="A4137" s="7" t="s">
        <v>28</v>
      </c>
      <c r="B4137" s="7" t="s">
        <v>1349</v>
      </c>
      <c r="C4137" s="7">
        <f t="shared" ref="C4137:C4138" si="570">3+1</f>
        <v>4</v>
      </c>
      <c r="D4137" s="7">
        <v>5.0</v>
      </c>
      <c r="E4137" s="7">
        <v>2.0</v>
      </c>
      <c r="F4137" s="7" t="s">
        <v>83</v>
      </c>
      <c r="G4137" s="7" t="s">
        <v>31</v>
      </c>
      <c r="H4137" s="9" t="s">
        <v>2979</v>
      </c>
      <c r="I4137" t="s">
        <v>2983</v>
      </c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  <c r="AA4137" s="7"/>
      <c r="AB4137" s="7"/>
      <c r="AC4137" s="7"/>
      <c r="AD4137" s="7" t="str">
        <f t="shared" si="1"/>
        <v>Built-up :</v>
      </c>
      <c r="AE4137" s="7" t="str">
        <f t="shared" si="2"/>
        <v> sq. ft.</v>
      </c>
      <c r="AF4137">
        <f>IFERROR(__xludf.DUMMYFUNCTION("VALUE(REGEXREPLACE(G4137,""[^[:digit:]]"", """"))"),1875.0)</f>
        <v>1875</v>
      </c>
      <c r="AG4137" s="7"/>
      <c r="AH4137" s="7"/>
      <c r="AI4137" s="7"/>
      <c r="AJ4137" s="7"/>
      <c r="AK4137" s="7"/>
      <c r="AL4137" s="7"/>
      <c r="AM4137" s="7"/>
      <c r="AN4137" s="7"/>
      <c r="AO4137" s="7"/>
      <c r="AP4137" s="7"/>
      <c r="AQ4137" s="7"/>
      <c r="AR4137" s="7"/>
      <c r="AS4137" s="7" t="s">
        <v>27</v>
      </c>
    </row>
    <row r="4138">
      <c r="A4138" s="7" t="s">
        <v>28</v>
      </c>
      <c r="B4138" s="7" t="s">
        <v>984</v>
      </c>
      <c r="C4138" s="7">
        <f t="shared" si="570"/>
        <v>4</v>
      </c>
      <c r="D4138" s="7">
        <v>5.0</v>
      </c>
      <c r="E4138" s="7">
        <v>2.0</v>
      </c>
      <c r="F4138" s="7" t="s">
        <v>83</v>
      </c>
      <c r="G4138" s="7" t="s">
        <v>31</v>
      </c>
      <c r="H4138" s="9" t="s">
        <v>2979</v>
      </c>
      <c r="I4138" t="s">
        <v>2983</v>
      </c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  <c r="AA4138" s="7"/>
      <c r="AB4138" s="7"/>
      <c r="AC4138" s="7"/>
      <c r="AD4138" s="7" t="str">
        <f t="shared" si="1"/>
        <v>Built-up :</v>
      </c>
      <c r="AE4138" s="7" t="str">
        <f t="shared" si="2"/>
        <v> sq. ft.</v>
      </c>
      <c r="AF4138">
        <f>IFERROR(__xludf.DUMMYFUNCTION("VALUE(REGEXREPLACE(G4138,""[^[:digit:]]"", """"))"),1875.0)</f>
        <v>1875</v>
      </c>
      <c r="AG4138" s="7"/>
      <c r="AH4138" s="7"/>
      <c r="AI4138" s="7"/>
      <c r="AJ4138" s="7"/>
      <c r="AK4138" s="7"/>
      <c r="AL4138" s="7"/>
      <c r="AM4138" s="7"/>
      <c r="AN4138" s="7"/>
      <c r="AO4138" s="7"/>
      <c r="AP4138" s="7"/>
      <c r="AQ4138" s="7"/>
      <c r="AR4138" s="7"/>
      <c r="AS4138" s="7" t="s">
        <v>27</v>
      </c>
    </row>
    <row r="4139">
      <c r="A4139" s="7" t="s">
        <v>368</v>
      </c>
      <c r="B4139" s="7" t="s">
        <v>2614</v>
      </c>
      <c r="C4139" s="7">
        <f t="shared" ref="C4139:C4140" si="571">3</f>
        <v>3</v>
      </c>
      <c r="D4139" s="7">
        <v>2.0</v>
      </c>
      <c r="E4139" s="7">
        <v>2.0</v>
      </c>
      <c r="F4139" s="7" t="s">
        <v>20</v>
      </c>
      <c r="G4139" s="7" t="s">
        <v>425</v>
      </c>
      <c r="H4139" s="9" t="s">
        <v>2979</v>
      </c>
      <c r="I4139" t="s">
        <v>3156</v>
      </c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  <c r="AA4139" s="7"/>
      <c r="AB4139" s="7"/>
      <c r="AC4139" s="7"/>
      <c r="AD4139" s="7" t="str">
        <f t="shared" si="1"/>
        <v>Built-up :</v>
      </c>
      <c r="AE4139" s="7" t="str">
        <f t="shared" si="2"/>
        <v> sq. ft.</v>
      </c>
      <c r="AF4139">
        <f>IFERROR(__xludf.DUMMYFUNCTION("VALUE(REGEXREPLACE(G4139,""[^[:digit:]]"", """"))"),1020.0)</f>
        <v>1020</v>
      </c>
      <c r="AG4139" s="7"/>
      <c r="AH4139" s="7"/>
      <c r="AI4139" s="7"/>
      <c r="AJ4139" s="7"/>
      <c r="AK4139" s="7"/>
      <c r="AL4139" s="7"/>
      <c r="AM4139" s="7"/>
      <c r="AN4139" s="7"/>
      <c r="AO4139" s="7"/>
      <c r="AP4139" s="7"/>
      <c r="AQ4139" s="7"/>
      <c r="AR4139" s="7"/>
      <c r="AS4139" s="7" t="s">
        <v>27</v>
      </c>
    </row>
    <row r="4140">
      <c r="A4140" s="7" t="s">
        <v>368</v>
      </c>
      <c r="B4140" s="7" t="s">
        <v>629</v>
      </c>
      <c r="C4140" s="7">
        <f t="shared" si="571"/>
        <v>3</v>
      </c>
      <c r="D4140" s="7">
        <v>2.0</v>
      </c>
      <c r="E4140" s="7">
        <v>2.0</v>
      </c>
      <c r="F4140" s="7" t="s">
        <v>82</v>
      </c>
      <c r="G4140" s="7" t="s">
        <v>892</v>
      </c>
      <c r="H4140" s="9" t="s">
        <v>2979</v>
      </c>
      <c r="I4140" t="s">
        <v>3391</v>
      </c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  <c r="AA4140" s="7"/>
      <c r="AB4140" s="7"/>
      <c r="AC4140" s="7"/>
      <c r="AD4140" s="7" t="str">
        <f t="shared" si="1"/>
        <v>Built-up :</v>
      </c>
      <c r="AE4140" s="7" t="str">
        <f t="shared" si="2"/>
        <v> sq. ft.</v>
      </c>
      <c r="AF4140">
        <f>IFERROR(__xludf.DUMMYFUNCTION("VALUE(REGEXREPLACE(G4140,""[^[:digit:]]"", """"))"),1098.0)</f>
        <v>1098</v>
      </c>
      <c r="AG4140" s="7"/>
      <c r="AH4140" s="7"/>
      <c r="AI4140" s="7"/>
      <c r="AJ4140" s="7"/>
      <c r="AK4140" s="7"/>
      <c r="AL4140" s="7"/>
      <c r="AM4140" s="7"/>
      <c r="AN4140" s="7"/>
      <c r="AO4140" s="7"/>
      <c r="AP4140" s="7"/>
      <c r="AQ4140" s="7"/>
      <c r="AR4140" s="7"/>
      <c r="AS4140" s="7" t="s">
        <v>27</v>
      </c>
    </row>
    <row r="4141">
      <c r="A4141" s="7" t="s">
        <v>1158</v>
      </c>
      <c r="B4141" s="7" t="s">
        <v>563</v>
      </c>
      <c r="C4141" s="7" t="s">
        <v>325</v>
      </c>
      <c r="D4141" s="7">
        <v>1.0</v>
      </c>
      <c r="E4141" s="9">
        <v>2.0</v>
      </c>
      <c r="F4141" s="7" t="s">
        <v>145</v>
      </c>
      <c r="G4141" s="7" t="s">
        <v>1279</v>
      </c>
      <c r="H4141" s="9" t="s">
        <v>2979</v>
      </c>
      <c r="I4141" t="s">
        <v>3618</v>
      </c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  <c r="AA4141" s="7"/>
      <c r="AB4141" s="7"/>
      <c r="AC4141" s="7"/>
      <c r="AD4141" s="7" t="str">
        <f t="shared" si="1"/>
        <v>Built-up :</v>
      </c>
      <c r="AE4141" s="7" t="str">
        <f t="shared" si="2"/>
        <v> sq. ft.</v>
      </c>
      <c r="AF4141">
        <f>IFERROR(__xludf.DUMMYFUNCTION("VALUE(REGEXREPLACE(G4141,""[^[:digit:]]"", """"))"),468.0)</f>
        <v>468</v>
      </c>
      <c r="AG4141" s="7"/>
      <c r="AH4141" s="7"/>
      <c r="AI4141" s="7"/>
      <c r="AJ4141" s="7"/>
      <c r="AK4141" s="7"/>
      <c r="AL4141" s="7"/>
      <c r="AM4141" s="7"/>
      <c r="AN4141" s="7"/>
      <c r="AO4141" s="7"/>
      <c r="AP4141" s="7"/>
      <c r="AQ4141" s="7"/>
      <c r="AR4141" s="7"/>
      <c r="AS4141" s="7" t="s">
        <v>22</v>
      </c>
    </row>
    <row r="4142">
      <c r="A4142" s="7" t="s">
        <v>1158</v>
      </c>
      <c r="B4142" s="7" t="s">
        <v>92</v>
      </c>
      <c r="C4142" s="7" t="s">
        <v>325</v>
      </c>
      <c r="D4142" s="7">
        <v>1.0</v>
      </c>
      <c r="E4142" s="9">
        <v>2.0</v>
      </c>
      <c r="F4142" s="7" t="s">
        <v>1821</v>
      </c>
      <c r="G4142" s="7" t="s">
        <v>1575</v>
      </c>
      <c r="H4142" s="9" t="s">
        <v>2979</v>
      </c>
      <c r="I4142" t="s">
        <v>3789</v>
      </c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  <c r="AA4142" s="7"/>
      <c r="AB4142" s="7"/>
      <c r="AC4142" s="7"/>
      <c r="AD4142" s="7" t="str">
        <f t="shared" si="1"/>
        <v>Built-up :</v>
      </c>
      <c r="AE4142" s="7" t="str">
        <f t="shared" si="2"/>
        <v> sq. ft.</v>
      </c>
      <c r="AF4142">
        <f>IFERROR(__xludf.DUMMYFUNCTION("VALUE(REGEXREPLACE(G4142,""[^[:digit:]]"", """"))"),527.0)</f>
        <v>527</v>
      </c>
      <c r="AG4142" s="7"/>
      <c r="AH4142" s="7"/>
      <c r="AI4142" s="7"/>
      <c r="AJ4142" s="7"/>
      <c r="AK4142" s="7"/>
      <c r="AL4142" s="7"/>
      <c r="AM4142" s="7"/>
      <c r="AN4142" s="7"/>
      <c r="AO4142" s="7"/>
      <c r="AP4142" s="7"/>
      <c r="AQ4142" s="7"/>
      <c r="AR4142" s="7"/>
      <c r="AS4142" s="7" t="s">
        <v>22</v>
      </c>
    </row>
    <row r="4143">
      <c r="A4143" s="7" t="s">
        <v>171</v>
      </c>
      <c r="B4143" s="7" t="s">
        <v>2615</v>
      </c>
      <c r="C4143" s="7">
        <f>3</f>
        <v>3</v>
      </c>
      <c r="D4143" s="7">
        <v>2.0</v>
      </c>
      <c r="E4143" s="7">
        <v>1.0</v>
      </c>
      <c r="F4143" s="7" t="s">
        <v>83</v>
      </c>
      <c r="G4143" s="7" t="s">
        <v>1681</v>
      </c>
      <c r="H4143" s="9" t="s">
        <v>2979</v>
      </c>
      <c r="I4143" t="s">
        <v>3852</v>
      </c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  <c r="AA4143" s="7"/>
      <c r="AB4143" s="7"/>
      <c r="AC4143" s="7"/>
      <c r="AD4143" s="7" t="str">
        <f t="shared" si="1"/>
        <v>Built-up :</v>
      </c>
      <c r="AE4143" s="7" t="str">
        <f t="shared" si="2"/>
        <v> sq. ft.</v>
      </c>
      <c r="AF4143">
        <f>IFERROR(__xludf.DUMMYFUNCTION("VALUE(REGEXREPLACE(G4143,""[^[:digit:]]"", """"))"),1272.0)</f>
        <v>1272</v>
      </c>
      <c r="AG4143" s="7"/>
      <c r="AH4143" s="7"/>
      <c r="AI4143" s="7"/>
      <c r="AJ4143" s="7"/>
      <c r="AK4143" s="7"/>
      <c r="AL4143" s="7"/>
      <c r="AM4143" s="7"/>
      <c r="AN4143" s="7"/>
      <c r="AO4143" s="7"/>
      <c r="AP4143" s="7"/>
      <c r="AQ4143" s="7"/>
      <c r="AR4143" s="7"/>
      <c r="AS4143" s="7" t="s">
        <v>22</v>
      </c>
    </row>
    <row r="4144">
      <c r="A4144" s="7" t="s">
        <v>171</v>
      </c>
      <c r="B4144" s="7" t="s">
        <v>702</v>
      </c>
      <c r="C4144" s="7">
        <f>4</f>
        <v>4</v>
      </c>
      <c r="D4144" s="7">
        <v>2.0</v>
      </c>
      <c r="E4144" s="7">
        <v>1.0</v>
      </c>
      <c r="F4144" s="7" t="s">
        <v>83</v>
      </c>
      <c r="G4144" s="7" t="s">
        <v>1681</v>
      </c>
      <c r="H4144" s="9" t="s">
        <v>2979</v>
      </c>
      <c r="I4144" t="s">
        <v>3852</v>
      </c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  <c r="AA4144" s="7"/>
      <c r="AB4144" s="7"/>
      <c r="AC4144" s="7"/>
      <c r="AD4144" s="7" t="str">
        <f t="shared" si="1"/>
        <v>Built-up :</v>
      </c>
      <c r="AE4144" s="7" t="str">
        <f t="shared" si="2"/>
        <v> sq. ft.</v>
      </c>
      <c r="AF4144">
        <f>IFERROR(__xludf.DUMMYFUNCTION("VALUE(REGEXREPLACE(G4144,""[^[:digit:]]"", """"))"),1272.0)</f>
        <v>1272</v>
      </c>
      <c r="AG4144" s="7"/>
      <c r="AH4144" s="7"/>
      <c r="AI4144" s="7"/>
      <c r="AJ4144" s="7"/>
      <c r="AK4144" s="7"/>
      <c r="AL4144" s="7"/>
      <c r="AM4144" s="7"/>
      <c r="AN4144" s="7"/>
      <c r="AO4144" s="7"/>
      <c r="AP4144" s="7"/>
      <c r="AQ4144" s="7"/>
      <c r="AR4144" s="7"/>
      <c r="AS4144" s="7" t="s">
        <v>27</v>
      </c>
    </row>
    <row r="4145">
      <c r="A4145" s="7" t="s">
        <v>368</v>
      </c>
      <c r="B4145" s="7" t="s">
        <v>2616</v>
      </c>
      <c r="C4145" s="7">
        <f t="shared" ref="C4145:C4146" si="572">3</f>
        <v>3</v>
      </c>
      <c r="D4145" s="7">
        <v>2.0</v>
      </c>
      <c r="E4145" s="7">
        <v>1.0</v>
      </c>
      <c r="F4145" s="7" t="s">
        <v>20</v>
      </c>
      <c r="G4145" s="7" t="s">
        <v>2034</v>
      </c>
      <c r="H4145" s="9" t="s">
        <v>2979</v>
      </c>
      <c r="I4145" t="s">
        <v>4069</v>
      </c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  <c r="AA4145" s="7"/>
      <c r="AB4145" s="7"/>
      <c r="AC4145" s="7"/>
      <c r="AD4145" s="7" t="str">
        <f t="shared" si="1"/>
        <v>Built-up :</v>
      </c>
      <c r="AE4145" s="7" t="str">
        <f t="shared" si="2"/>
        <v> sq. ft.</v>
      </c>
      <c r="AF4145">
        <f>IFERROR(__xludf.DUMMYFUNCTION("VALUE(REGEXREPLACE(G4145,""[^[:digit:]]"", """"))"),1109.0)</f>
        <v>1109</v>
      </c>
      <c r="AG4145" s="7"/>
      <c r="AH4145" s="7"/>
      <c r="AI4145" s="7"/>
      <c r="AJ4145" s="7"/>
      <c r="AK4145" s="7"/>
      <c r="AL4145" s="7"/>
      <c r="AM4145" s="7"/>
      <c r="AN4145" s="7"/>
      <c r="AO4145" s="7"/>
      <c r="AP4145" s="7"/>
      <c r="AQ4145" s="7"/>
      <c r="AR4145" s="7"/>
      <c r="AS4145" s="7" t="s">
        <v>27</v>
      </c>
    </row>
    <row r="4146">
      <c r="A4146" s="7" t="s">
        <v>72</v>
      </c>
      <c r="B4146" s="7" t="s">
        <v>2617</v>
      </c>
      <c r="C4146" s="7">
        <f t="shared" si="572"/>
        <v>3</v>
      </c>
      <c r="D4146" s="7">
        <v>2.0</v>
      </c>
      <c r="E4146" s="7">
        <v>1.0</v>
      </c>
      <c r="F4146" s="7" t="s">
        <v>83</v>
      </c>
      <c r="G4146" s="7" t="s">
        <v>930</v>
      </c>
      <c r="H4146" s="9" t="s">
        <v>2979</v>
      </c>
      <c r="I4146" t="s">
        <v>3412</v>
      </c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  <c r="AA4146" s="7"/>
      <c r="AB4146" s="7"/>
      <c r="AC4146" s="7"/>
      <c r="AD4146" s="7" t="str">
        <f t="shared" si="1"/>
        <v>Built-up :</v>
      </c>
      <c r="AE4146" s="7" t="str">
        <f t="shared" si="2"/>
        <v> sq. ft.</v>
      </c>
      <c r="AF4146">
        <f>IFERROR(__xludf.DUMMYFUNCTION("VALUE(REGEXREPLACE(G4146,""[^[:digit:]]"", """"))"),1270.0)</f>
        <v>1270</v>
      </c>
      <c r="AG4146" s="7"/>
      <c r="AH4146" s="7"/>
      <c r="AI4146" s="7"/>
      <c r="AJ4146" s="7"/>
      <c r="AK4146" s="7"/>
      <c r="AL4146" s="7"/>
      <c r="AM4146" s="7"/>
      <c r="AN4146" s="7"/>
      <c r="AO4146" s="7"/>
      <c r="AP4146" s="7"/>
      <c r="AQ4146" s="7"/>
      <c r="AR4146" s="7"/>
      <c r="AS4146" s="7" t="s">
        <v>22</v>
      </c>
    </row>
    <row r="4147">
      <c r="A4147" s="7" t="s">
        <v>86</v>
      </c>
      <c r="B4147" s="7" t="s">
        <v>1528</v>
      </c>
      <c r="C4147" s="7">
        <f t="shared" ref="C4147:C4148" si="573">2</f>
        <v>2</v>
      </c>
      <c r="D4147" s="7">
        <v>2.0</v>
      </c>
      <c r="E4147" s="7">
        <v>1.0</v>
      </c>
      <c r="F4147" s="7" t="s">
        <v>20</v>
      </c>
      <c r="G4147" s="7" t="s">
        <v>2618</v>
      </c>
      <c r="H4147" s="9" t="s">
        <v>2979</v>
      </c>
      <c r="I4147" t="s">
        <v>4431</v>
      </c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  <c r="AA4147" s="7"/>
      <c r="AB4147" s="7"/>
      <c r="AC4147" s="7"/>
      <c r="AD4147" s="7" t="str">
        <f t="shared" si="1"/>
        <v>Built-up :</v>
      </c>
      <c r="AE4147" s="7" t="str">
        <f t="shared" si="2"/>
        <v> sq. ft.</v>
      </c>
      <c r="AF4147">
        <f>IFERROR(__xludf.DUMMYFUNCTION("VALUE(REGEXREPLACE(G4147,""[^[:digit:]]"", """"))"),869.0)</f>
        <v>869</v>
      </c>
      <c r="AG4147" s="7"/>
      <c r="AH4147" s="7"/>
      <c r="AI4147" s="7"/>
      <c r="AJ4147" s="7"/>
      <c r="AK4147" s="7"/>
      <c r="AL4147" s="7"/>
      <c r="AM4147" s="7"/>
      <c r="AN4147" s="7"/>
      <c r="AO4147" s="7"/>
      <c r="AP4147" s="7"/>
      <c r="AQ4147" s="7"/>
      <c r="AR4147" s="7"/>
      <c r="AS4147" s="7" t="s">
        <v>22</v>
      </c>
    </row>
    <row r="4148">
      <c r="A4148" s="7" t="s">
        <v>48</v>
      </c>
      <c r="B4148" s="7" t="s">
        <v>2184</v>
      </c>
      <c r="C4148" s="7">
        <f t="shared" si="573"/>
        <v>2</v>
      </c>
      <c r="D4148" s="7">
        <v>2.0</v>
      </c>
      <c r="E4148" s="7">
        <v>1.0</v>
      </c>
      <c r="F4148" s="7" t="s">
        <v>83</v>
      </c>
      <c r="G4148" s="7" t="s">
        <v>392</v>
      </c>
      <c r="H4148" s="9" t="s">
        <v>2979</v>
      </c>
      <c r="I4148" t="s">
        <v>3141</v>
      </c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  <c r="AA4148" s="7"/>
      <c r="AB4148" s="7"/>
      <c r="AC4148" s="7"/>
      <c r="AD4148" s="7" t="str">
        <f t="shared" si="1"/>
        <v>Built-up :</v>
      </c>
      <c r="AE4148" s="7" t="str">
        <f t="shared" si="2"/>
        <v> sq. ft.</v>
      </c>
      <c r="AF4148">
        <f>IFERROR(__xludf.DUMMYFUNCTION("VALUE(REGEXREPLACE(G4148,""[^[:digit:]]"", """"))"),850.0)</f>
        <v>850</v>
      </c>
      <c r="AG4148" s="7"/>
      <c r="AH4148" s="7"/>
      <c r="AI4148" s="7"/>
      <c r="AJ4148" s="7"/>
      <c r="AK4148" s="7"/>
      <c r="AL4148" s="7"/>
      <c r="AM4148" s="7"/>
      <c r="AN4148" s="7"/>
      <c r="AO4148" s="7"/>
      <c r="AP4148" s="7"/>
      <c r="AQ4148" s="7"/>
      <c r="AR4148" s="7"/>
      <c r="AS4148" s="7" t="s">
        <v>22</v>
      </c>
    </row>
    <row r="4149">
      <c r="A4149" s="7" t="s">
        <v>48</v>
      </c>
      <c r="B4149" s="7" t="s">
        <v>1910</v>
      </c>
      <c r="C4149" s="7">
        <f>3</f>
        <v>3</v>
      </c>
      <c r="D4149" s="7">
        <v>2.0</v>
      </c>
      <c r="E4149" s="7">
        <v>1.0</v>
      </c>
      <c r="F4149" s="7" t="s">
        <v>83</v>
      </c>
      <c r="G4149" s="7" t="s">
        <v>254</v>
      </c>
      <c r="H4149" s="9" t="s">
        <v>2979</v>
      </c>
      <c r="I4149" t="s">
        <v>3078</v>
      </c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  <c r="AA4149" s="7"/>
      <c r="AB4149" s="7"/>
      <c r="AC4149" s="7"/>
      <c r="AD4149" s="7" t="str">
        <f t="shared" si="1"/>
        <v>Built-up :</v>
      </c>
      <c r="AE4149" s="7" t="str">
        <f t="shared" si="2"/>
        <v> sq. ft.</v>
      </c>
      <c r="AF4149">
        <f>IFERROR(__xludf.DUMMYFUNCTION("VALUE(REGEXREPLACE(G4149,""[^[:digit:]]"", """"))"),1045.0)</f>
        <v>1045</v>
      </c>
      <c r="AG4149" s="7"/>
      <c r="AH4149" s="7"/>
      <c r="AI4149" s="7"/>
      <c r="AJ4149" s="7"/>
      <c r="AK4149" s="7"/>
      <c r="AL4149" s="7"/>
      <c r="AM4149" s="7"/>
      <c r="AN4149" s="7"/>
      <c r="AO4149" s="7"/>
      <c r="AP4149" s="7"/>
      <c r="AQ4149" s="7"/>
      <c r="AR4149" s="7"/>
      <c r="AS4149" s="7" t="s">
        <v>27</v>
      </c>
    </row>
    <row r="4150">
      <c r="A4150" s="7" t="s">
        <v>86</v>
      </c>
      <c r="B4150" s="7" t="s">
        <v>2619</v>
      </c>
      <c r="C4150" s="7">
        <f>2</f>
        <v>2</v>
      </c>
      <c r="D4150" s="7">
        <v>1.0</v>
      </c>
      <c r="E4150" s="7">
        <v>1.0</v>
      </c>
      <c r="F4150" s="7" t="s">
        <v>20</v>
      </c>
      <c r="G4150" s="7" t="s">
        <v>2620</v>
      </c>
      <c r="H4150" s="9" t="s">
        <v>2979</v>
      </c>
      <c r="I4150" t="s">
        <v>4432</v>
      </c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  <c r="AA4150" s="7"/>
      <c r="AB4150" s="7"/>
      <c r="AC4150" s="7"/>
      <c r="AD4150" s="7" t="str">
        <f t="shared" si="1"/>
        <v>Built-up :</v>
      </c>
      <c r="AE4150" s="7" t="str">
        <f t="shared" si="2"/>
        <v> sq. ft.</v>
      </c>
      <c r="AF4150">
        <f>IFERROR(__xludf.DUMMYFUNCTION("VALUE(REGEXREPLACE(G4150,""[^[:digit:]]"", """"))"),725.0)</f>
        <v>725</v>
      </c>
      <c r="AG4150" s="7"/>
      <c r="AH4150" s="7"/>
      <c r="AI4150" s="7"/>
      <c r="AJ4150" s="7"/>
      <c r="AK4150" s="7"/>
      <c r="AL4150" s="7"/>
      <c r="AM4150" s="7"/>
      <c r="AN4150" s="7"/>
      <c r="AO4150" s="7"/>
      <c r="AP4150" s="7"/>
      <c r="AQ4150" s="7"/>
      <c r="AR4150" s="7"/>
      <c r="AS4150" s="7" t="s">
        <v>27</v>
      </c>
    </row>
    <row r="4151">
      <c r="A4151" s="7" t="s">
        <v>86</v>
      </c>
      <c r="B4151" s="7" t="s">
        <v>715</v>
      </c>
      <c r="C4151" s="7">
        <f>1+1</f>
        <v>2</v>
      </c>
      <c r="D4151" s="7">
        <v>1.0</v>
      </c>
      <c r="E4151" s="7">
        <v>1.0</v>
      </c>
      <c r="F4151" s="7" t="s">
        <v>82</v>
      </c>
      <c r="G4151" s="7" t="s">
        <v>2621</v>
      </c>
      <c r="H4151" s="9" t="s">
        <v>2979</v>
      </c>
      <c r="I4151" t="s">
        <v>4433</v>
      </c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  <c r="AA4151" s="7"/>
      <c r="AB4151" s="7"/>
      <c r="AC4151" s="7"/>
      <c r="AD4151" s="7" t="str">
        <f t="shared" si="1"/>
        <v>Built-up :</v>
      </c>
      <c r="AE4151" s="7" t="str">
        <f t="shared" si="2"/>
        <v> sq. ft.</v>
      </c>
      <c r="AF4151">
        <f>IFERROR(__xludf.DUMMYFUNCTION("VALUE(REGEXREPLACE(G4151,""[^[:digit:]]"", """"))"),648.0)</f>
        <v>648</v>
      </c>
      <c r="AG4151" s="7"/>
      <c r="AH4151" s="7"/>
      <c r="AI4151" s="7"/>
      <c r="AJ4151" s="7"/>
      <c r="AK4151" s="7"/>
      <c r="AL4151" s="7"/>
      <c r="AM4151" s="7"/>
      <c r="AN4151" s="7"/>
      <c r="AO4151" s="7"/>
      <c r="AP4151" s="7"/>
      <c r="AQ4151" s="7"/>
      <c r="AR4151" s="7"/>
      <c r="AS4151" s="7" t="s">
        <v>27</v>
      </c>
    </row>
    <row r="4152">
      <c r="A4152" s="7" t="s">
        <v>432</v>
      </c>
      <c r="B4152" s="7" t="s">
        <v>534</v>
      </c>
      <c r="E4152" s="9">
        <v>2.0</v>
      </c>
      <c r="F4152" s="7" t="s">
        <v>562</v>
      </c>
      <c r="G4152" s="7" t="s">
        <v>2622</v>
      </c>
      <c r="H4152" s="9" t="s">
        <v>2981</v>
      </c>
      <c r="I4152" t="s">
        <v>4434</v>
      </c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  <c r="AA4152" s="7"/>
      <c r="AB4152" s="7"/>
      <c r="AC4152" s="7"/>
      <c r="AD4152" s="7" t="str">
        <f t="shared" si="1"/>
        <v>Land area </v>
      </c>
      <c r="AE4152" s="7" t="str">
        <f t="shared" si="2"/>
        <v> sq. ft.</v>
      </c>
      <c r="AF4152">
        <f>IFERROR(__xludf.DUMMYFUNCTION("VALUE(REGEXREPLACE(G4152,""[^[:digit:]]"", """"))"),1507.0)</f>
        <v>1507</v>
      </c>
      <c r="AG4152" s="7"/>
      <c r="AH4152" s="7"/>
      <c r="AI4152" s="7"/>
      <c r="AJ4152" s="7"/>
      <c r="AK4152" s="7"/>
      <c r="AL4152" s="7"/>
      <c r="AM4152" s="7"/>
      <c r="AN4152" s="7"/>
      <c r="AO4152" s="7"/>
      <c r="AP4152" s="7"/>
      <c r="AQ4152" s="7"/>
      <c r="AR4152" s="7"/>
      <c r="AS4152" s="7" t="s">
        <v>27</v>
      </c>
    </row>
    <row r="4153">
      <c r="A4153" s="7" t="s">
        <v>2623</v>
      </c>
      <c r="B4153" s="7" t="s">
        <v>2624</v>
      </c>
      <c r="E4153" s="9">
        <v>2.0</v>
      </c>
      <c r="F4153" s="7" t="s">
        <v>25</v>
      </c>
      <c r="G4153" s="7" t="s">
        <v>2625</v>
      </c>
      <c r="H4153" s="9" t="s">
        <v>2981</v>
      </c>
      <c r="I4153" t="s">
        <v>4435</v>
      </c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  <c r="AA4153" s="7"/>
      <c r="AB4153" s="7"/>
      <c r="AC4153" s="7"/>
      <c r="AD4153" s="7" t="str">
        <f t="shared" si="1"/>
        <v>Land area </v>
      </c>
      <c r="AE4153" s="7" t="str">
        <f t="shared" si="2"/>
        <v> sq. ft.</v>
      </c>
      <c r="AF4153">
        <f>IFERROR(__xludf.DUMMYFUNCTION("VALUE(REGEXREPLACE(G4153,""[^[:digit:]]"", """"))"),4884.0)</f>
        <v>4884</v>
      </c>
      <c r="AG4153" s="7"/>
      <c r="AH4153" s="7"/>
      <c r="AI4153" s="7"/>
      <c r="AJ4153" s="7"/>
      <c r="AK4153" s="7"/>
      <c r="AL4153" s="7"/>
      <c r="AM4153" s="7"/>
      <c r="AN4153" s="7"/>
      <c r="AO4153" s="7"/>
      <c r="AP4153" s="7"/>
      <c r="AQ4153" s="7"/>
      <c r="AR4153" s="7"/>
      <c r="AS4153" s="7" t="s">
        <v>27</v>
      </c>
    </row>
    <row r="4154">
      <c r="A4154" s="7" t="s">
        <v>86</v>
      </c>
      <c r="B4154" s="7" t="s">
        <v>372</v>
      </c>
      <c r="C4154" s="7">
        <f>2</f>
        <v>2</v>
      </c>
      <c r="D4154" s="7">
        <v>2.0</v>
      </c>
      <c r="E4154" s="7">
        <v>1.0</v>
      </c>
      <c r="F4154" s="7" t="s">
        <v>20</v>
      </c>
      <c r="G4154" s="7" t="s">
        <v>821</v>
      </c>
      <c r="H4154" s="9" t="s">
        <v>2979</v>
      </c>
      <c r="I4154" t="s">
        <v>3356</v>
      </c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  <c r="AA4154" s="7"/>
      <c r="AB4154" s="7"/>
      <c r="AC4154" s="7"/>
      <c r="AD4154" s="7" t="str">
        <f t="shared" si="1"/>
        <v>Built-up :</v>
      </c>
      <c r="AE4154" s="7" t="str">
        <f t="shared" si="2"/>
        <v> sq. ft.</v>
      </c>
      <c r="AF4154">
        <f>IFERROR(__xludf.DUMMYFUNCTION("VALUE(REGEXREPLACE(G4154,""[^[:digit:]]"", """"))"),815.0)</f>
        <v>815</v>
      </c>
      <c r="AG4154" s="7"/>
      <c r="AH4154" s="7"/>
      <c r="AI4154" s="7"/>
      <c r="AJ4154" s="7"/>
      <c r="AK4154" s="7"/>
      <c r="AL4154" s="7"/>
      <c r="AM4154" s="7"/>
      <c r="AN4154" s="7"/>
      <c r="AO4154" s="7"/>
      <c r="AP4154" s="7"/>
      <c r="AQ4154" s="7"/>
      <c r="AR4154" s="7"/>
      <c r="AS4154" s="7" t="s">
        <v>22</v>
      </c>
    </row>
    <row r="4155">
      <c r="A4155" s="7" t="s">
        <v>432</v>
      </c>
      <c r="B4155" s="7" t="s">
        <v>534</v>
      </c>
      <c r="E4155" s="9">
        <v>2.0</v>
      </c>
      <c r="F4155" s="7" t="s">
        <v>67</v>
      </c>
      <c r="G4155" s="7" t="s">
        <v>2622</v>
      </c>
      <c r="H4155" s="9" t="s">
        <v>2981</v>
      </c>
      <c r="I4155" t="s">
        <v>4434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  <c r="AA4155" s="7"/>
      <c r="AB4155" s="7"/>
      <c r="AC4155" s="7"/>
      <c r="AD4155" s="7" t="str">
        <f t="shared" si="1"/>
        <v>Land area </v>
      </c>
      <c r="AE4155" s="7" t="str">
        <f t="shared" si="2"/>
        <v> sq. ft.</v>
      </c>
      <c r="AF4155">
        <f>IFERROR(__xludf.DUMMYFUNCTION("VALUE(REGEXREPLACE(G4155,""[^[:digit:]]"", """"))"),1507.0)</f>
        <v>1507</v>
      </c>
      <c r="AG4155" s="7"/>
      <c r="AH4155" s="7"/>
      <c r="AI4155" s="7"/>
      <c r="AJ4155" s="7"/>
      <c r="AK4155" s="7"/>
      <c r="AL4155" s="7"/>
      <c r="AM4155" s="7"/>
      <c r="AN4155" s="7"/>
      <c r="AO4155" s="7"/>
      <c r="AP4155" s="7"/>
      <c r="AQ4155" s="7"/>
      <c r="AR4155" s="7"/>
      <c r="AS4155" s="7" t="s">
        <v>27</v>
      </c>
    </row>
    <row r="4156">
      <c r="A4156" s="7" t="s">
        <v>86</v>
      </c>
      <c r="B4156" s="7" t="s">
        <v>245</v>
      </c>
      <c r="C4156" s="7">
        <f>3</f>
        <v>3</v>
      </c>
      <c r="D4156" s="7">
        <v>2.0</v>
      </c>
      <c r="E4156" s="7">
        <v>1.0</v>
      </c>
      <c r="F4156" s="7" t="s">
        <v>82</v>
      </c>
      <c r="G4156" s="7" t="s">
        <v>1509</v>
      </c>
      <c r="H4156" s="9" t="s">
        <v>2979</v>
      </c>
      <c r="I4156" t="s">
        <v>3751</v>
      </c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  <c r="AA4156" s="7"/>
      <c r="AB4156" s="7"/>
      <c r="AC4156" s="7"/>
      <c r="AD4156" s="7" t="str">
        <f t="shared" si="1"/>
        <v>Built-up :</v>
      </c>
      <c r="AE4156" s="7" t="str">
        <f t="shared" si="2"/>
        <v> sq. ft.</v>
      </c>
      <c r="AF4156">
        <f>IFERROR(__xludf.DUMMYFUNCTION("VALUE(REGEXREPLACE(G4156,""[^[:digit:]]"", """"))"),990.0)</f>
        <v>990</v>
      </c>
      <c r="AG4156" s="7"/>
      <c r="AH4156" s="7"/>
      <c r="AI4156" s="7"/>
      <c r="AJ4156" s="7"/>
      <c r="AK4156" s="7"/>
      <c r="AL4156" s="7"/>
      <c r="AM4156" s="7"/>
      <c r="AN4156" s="7"/>
      <c r="AO4156" s="7"/>
      <c r="AP4156" s="7"/>
      <c r="AQ4156" s="7"/>
      <c r="AR4156" s="7"/>
      <c r="AS4156" s="7" t="s">
        <v>27</v>
      </c>
    </row>
    <row r="4157">
      <c r="A4157" s="7" t="s">
        <v>89</v>
      </c>
      <c r="B4157" s="7" t="s">
        <v>18</v>
      </c>
      <c r="C4157" s="7">
        <f>4</f>
        <v>4</v>
      </c>
      <c r="D4157" s="7">
        <v>3.0</v>
      </c>
      <c r="E4157" s="7">
        <v>4.0</v>
      </c>
      <c r="F4157" s="7" t="s">
        <v>54</v>
      </c>
      <c r="G4157" s="7" t="s">
        <v>719</v>
      </c>
      <c r="H4157" s="9" t="s">
        <v>2981</v>
      </c>
      <c r="I4157" t="s">
        <v>3299</v>
      </c>
      <c r="J4157" s="7"/>
      <c r="K4157" s="7"/>
      <c r="L4157" s="7"/>
      <c r="M4157" s="7"/>
      <c r="N4157" s="7"/>
      <c r="O4157" s="7"/>
      <c r="P4157" s="7"/>
      <c r="Q4157" s="7"/>
      <c r="R4157" s="7"/>
      <c r="S4157" s="7" t="s">
        <v>3101</v>
      </c>
      <c r="T4157" s="7"/>
      <c r="U4157" s="7"/>
      <c r="V4157" s="7"/>
      <c r="W4157" s="7"/>
      <c r="X4157" s="7"/>
      <c r="Y4157" s="7"/>
      <c r="Z4157" s="7"/>
      <c r="AA4157" s="7"/>
      <c r="AB4157" s="7"/>
      <c r="AC4157" s="7"/>
      <c r="AD4157" s="7" t="str">
        <f t="shared" si="1"/>
        <v>Land area </v>
      </c>
      <c r="AE4157" s="7" t="str">
        <f t="shared" si="2"/>
        <v> sq. ft.</v>
      </c>
      <c r="AF4157">
        <f>IFERROR(__xludf.DUMMYFUNCTION("VALUE(REGEXREPLACE(G4157,""[^[:digit:]]"", """"))"),2285.0)</f>
        <v>2285</v>
      </c>
      <c r="AG4157" s="7"/>
      <c r="AH4157" s="7"/>
      <c r="AI4157" s="7"/>
      <c r="AJ4157" s="7"/>
      <c r="AK4157" s="7"/>
      <c r="AL4157" s="7"/>
      <c r="AM4157" s="7"/>
      <c r="AN4157" s="7"/>
      <c r="AO4157" s="7"/>
      <c r="AP4157" s="7"/>
      <c r="AQ4157" s="7"/>
      <c r="AR4157" s="7"/>
      <c r="AS4157" s="7" t="s">
        <v>103</v>
      </c>
    </row>
    <row r="4158">
      <c r="A4158" s="7" t="s">
        <v>100</v>
      </c>
      <c r="B4158" s="7" t="s">
        <v>2626</v>
      </c>
      <c r="C4158" s="7">
        <f>3+1</f>
        <v>4</v>
      </c>
      <c r="D4158" s="7">
        <v>2.0</v>
      </c>
      <c r="E4158" s="7">
        <v>2.0</v>
      </c>
      <c r="F4158" s="7" t="s">
        <v>20</v>
      </c>
      <c r="G4158" s="7" t="s">
        <v>410</v>
      </c>
      <c r="H4158" s="9" t="s">
        <v>2979</v>
      </c>
      <c r="I4158" t="s">
        <v>3150</v>
      </c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  <c r="AA4158" s="7"/>
      <c r="AB4158" s="7"/>
      <c r="AC4158" s="7"/>
      <c r="AD4158" s="7" t="str">
        <f t="shared" si="1"/>
        <v>Built-up :</v>
      </c>
      <c r="AE4158" s="7" t="str">
        <f t="shared" si="2"/>
        <v> sq. ft.</v>
      </c>
      <c r="AF4158">
        <f>IFERROR(__xludf.DUMMYFUNCTION("VALUE(REGEXREPLACE(G4158,""[^[:digit:]]"", """"))"),1094.0)</f>
        <v>1094</v>
      </c>
      <c r="AG4158" s="7"/>
      <c r="AH4158" s="7"/>
      <c r="AI4158" s="7"/>
      <c r="AJ4158" s="7"/>
      <c r="AK4158" s="7"/>
      <c r="AL4158" s="7"/>
      <c r="AM4158" s="7"/>
      <c r="AN4158" s="7"/>
      <c r="AO4158" s="7"/>
      <c r="AP4158" s="7"/>
      <c r="AQ4158" s="7"/>
      <c r="AR4158" s="7"/>
      <c r="AS4158" s="7" t="s">
        <v>27</v>
      </c>
    </row>
    <row r="4159">
      <c r="A4159" s="7" t="s">
        <v>32</v>
      </c>
      <c r="B4159" s="7" t="s">
        <v>975</v>
      </c>
      <c r="C4159" s="7">
        <f>3</f>
        <v>3</v>
      </c>
      <c r="D4159" s="7">
        <v>2.0</v>
      </c>
      <c r="E4159" s="7">
        <v>1.0</v>
      </c>
      <c r="F4159" s="7" t="s">
        <v>83</v>
      </c>
      <c r="G4159" s="7" t="s">
        <v>1824</v>
      </c>
      <c r="H4159" s="9" t="s">
        <v>2979</v>
      </c>
      <c r="I4159" t="s">
        <v>3941</v>
      </c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  <c r="AA4159" s="7"/>
      <c r="AB4159" s="7"/>
      <c r="AC4159" s="7"/>
      <c r="AD4159" s="7" t="str">
        <f t="shared" si="1"/>
        <v>Built-up :</v>
      </c>
      <c r="AE4159" s="7" t="str">
        <f t="shared" si="2"/>
        <v> sq. ft.</v>
      </c>
      <c r="AF4159">
        <f>IFERROR(__xludf.DUMMYFUNCTION("VALUE(REGEXREPLACE(G4159,""[^[:digit:]]"", """"))"),798.0)</f>
        <v>798</v>
      </c>
      <c r="AG4159" s="7"/>
      <c r="AH4159" s="7"/>
      <c r="AI4159" s="7"/>
      <c r="AJ4159" s="7"/>
      <c r="AK4159" s="7"/>
      <c r="AL4159" s="7"/>
      <c r="AM4159" s="7"/>
      <c r="AN4159" s="7"/>
      <c r="AO4159" s="7"/>
      <c r="AP4159" s="7"/>
      <c r="AQ4159" s="7"/>
      <c r="AR4159" s="7"/>
      <c r="AS4159" s="7" t="s">
        <v>27</v>
      </c>
    </row>
    <row r="4160">
      <c r="A4160" s="7" t="s">
        <v>267</v>
      </c>
      <c r="B4160" s="7" t="s">
        <v>18</v>
      </c>
      <c r="C4160" s="7">
        <f>4</f>
        <v>4</v>
      </c>
      <c r="D4160" s="7">
        <v>3.0</v>
      </c>
      <c r="E4160" s="7">
        <v>4.0</v>
      </c>
      <c r="F4160" s="7" t="s">
        <v>54</v>
      </c>
      <c r="G4160" s="7" t="s">
        <v>719</v>
      </c>
      <c r="H4160" s="9" t="s">
        <v>2981</v>
      </c>
      <c r="I4160" t="s">
        <v>3299</v>
      </c>
      <c r="J4160" s="7"/>
      <c r="K4160" s="7"/>
      <c r="L4160" s="7"/>
      <c r="M4160" s="7"/>
      <c r="N4160" s="7"/>
      <c r="O4160" s="7"/>
      <c r="P4160" s="7"/>
      <c r="Q4160" s="7"/>
      <c r="R4160" s="7"/>
      <c r="S4160" s="7" t="s">
        <v>3101</v>
      </c>
      <c r="T4160" s="7"/>
      <c r="U4160" s="7"/>
      <c r="V4160" s="7"/>
      <c r="W4160" s="7"/>
      <c r="X4160" s="7"/>
      <c r="Y4160" s="7"/>
      <c r="Z4160" s="7"/>
      <c r="AA4160" s="7"/>
      <c r="AB4160" s="7"/>
      <c r="AC4160" s="7"/>
      <c r="AD4160" s="7" t="str">
        <f t="shared" si="1"/>
        <v>Land area </v>
      </c>
      <c r="AE4160" s="7" t="str">
        <f t="shared" si="2"/>
        <v> sq. ft.</v>
      </c>
      <c r="AF4160">
        <f>IFERROR(__xludf.DUMMYFUNCTION("VALUE(REGEXREPLACE(G4160,""[^[:digit:]]"", """"))"),2285.0)</f>
        <v>2285</v>
      </c>
      <c r="AG4160" s="7"/>
      <c r="AH4160" s="7"/>
      <c r="AI4160" s="7"/>
      <c r="AJ4160" s="7"/>
      <c r="AK4160" s="7"/>
      <c r="AL4160" s="7"/>
      <c r="AM4160" s="7"/>
      <c r="AN4160" s="7"/>
      <c r="AO4160" s="7"/>
      <c r="AP4160" s="7"/>
      <c r="AQ4160" s="7"/>
      <c r="AR4160" s="7"/>
      <c r="AS4160" s="7" t="s">
        <v>103</v>
      </c>
    </row>
    <row r="4161">
      <c r="A4161" s="7" t="s">
        <v>104</v>
      </c>
      <c r="B4161" s="7" t="s">
        <v>854</v>
      </c>
      <c r="C4161" s="7">
        <f>3</f>
        <v>3</v>
      </c>
      <c r="D4161" s="7">
        <v>2.0</v>
      </c>
      <c r="E4161" s="7">
        <v>3.0</v>
      </c>
      <c r="F4161" s="7" t="s">
        <v>343</v>
      </c>
      <c r="G4161" s="7" t="s">
        <v>211</v>
      </c>
      <c r="H4161" s="9" t="s">
        <v>2981</v>
      </c>
      <c r="I4161" t="s">
        <v>2992</v>
      </c>
      <c r="J4161" s="7"/>
      <c r="K4161" s="7"/>
      <c r="L4161" s="7"/>
      <c r="M4161" s="7"/>
      <c r="N4161" s="7"/>
      <c r="O4161" s="7"/>
      <c r="P4161" s="7"/>
      <c r="Q4161" s="7"/>
      <c r="R4161" s="7"/>
      <c r="S4161" s="7" t="s">
        <v>2993</v>
      </c>
      <c r="T4161" s="7"/>
      <c r="U4161" s="7"/>
      <c r="V4161" s="7"/>
      <c r="W4161" s="7"/>
      <c r="X4161" s="7"/>
      <c r="Y4161" s="7"/>
      <c r="Z4161" s="7"/>
      <c r="AA4161" s="7"/>
      <c r="AB4161" s="7"/>
      <c r="AC4161" s="7"/>
      <c r="AD4161" s="7" t="str">
        <f t="shared" si="1"/>
        <v>Land area </v>
      </c>
      <c r="AE4161" s="7" t="str">
        <f t="shared" si="2"/>
        <v> sq. ft.</v>
      </c>
      <c r="AF4161">
        <f>IFERROR(__xludf.DUMMYFUNCTION("VALUE(REGEXREPLACE(G4161,""[^[:digit:]]"", """"))"),2280.0)</f>
        <v>2280</v>
      </c>
      <c r="AG4161" s="7"/>
      <c r="AH4161" s="7"/>
      <c r="AI4161" s="7"/>
      <c r="AJ4161" s="7"/>
      <c r="AK4161" s="7"/>
      <c r="AL4161" s="7"/>
      <c r="AM4161" s="7"/>
      <c r="AN4161" s="7"/>
      <c r="AO4161" s="7"/>
      <c r="AP4161" s="7"/>
      <c r="AQ4161" s="7"/>
      <c r="AR4161" s="7"/>
      <c r="AS4161" s="7" t="s">
        <v>251</v>
      </c>
    </row>
    <row r="4162">
      <c r="A4162" s="7" t="s">
        <v>72</v>
      </c>
      <c r="B4162" s="7" t="s">
        <v>314</v>
      </c>
      <c r="C4162" s="7">
        <f>1</f>
        <v>1</v>
      </c>
      <c r="D4162" s="7">
        <v>1.0</v>
      </c>
      <c r="E4162" s="7">
        <v>1.0</v>
      </c>
      <c r="F4162" s="7" t="s">
        <v>20</v>
      </c>
      <c r="G4162" s="7" t="s">
        <v>850</v>
      </c>
      <c r="H4162" s="9" t="s">
        <v>2979</v>
      </c>
      <c r="I4162" t="s">
        <v>3370</v>
      </c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  <c r="AA4162" s="7"/>
      <c r="AB4162" s="7"/>
      <c r="AC4162" s="7"/>
      <c r="AD4162" s="7" t="str">
        <f t="shared" si="1"/>
        <v>Built-up :</v>
      </c>
      <c r="AE4162" s="7" t="str">
        <f t="shared" si="2"/>
        <v> sq. ft.</v>
      </c>
      <c r="AF4162">
        <f>IFERROR(__xludf.DUMMYFUNCTION("VALUE(REGEXREPLACE(G4162,""[^[:digit:]]"", """"))"),633.0)</f>
        <v>633</v>
      </c>
      <c r="AG4162" s="7"/>
      <c r="AH4162" s="7"/>
      <c r="AI4162" s="7"/>
      <c r="AJ4162" s="7"/>
      <c r="AK4162" s="7"/>
      <c r="AL4162" s="7"/>
      <c r="AM4162" s="7"/>
      <c r="AN4162" s="7"/>
      <c r="AO4162" s="7"/>
      <c r="AP4162" s="7"/>
      <c r="AQ4162" s="7"/>
      <c r="AR4162" s="7"/>
      <c r="AS4162" s="7" t="s">
        <v>22</v>
      </c>
    </row>
    <row r="4163">
      <c r="A4163" s="7" t="s">
        <v>104</v>
      </c>
      <c r="B4163" s="7" t="s">
        <v>210</v>
      </c>
      <c r="C4163" s="7">
        <f>5</f>
        <v>5</v>
      </c>
      <c r="D4163" s="7">
        <v>6.0</v>
      </c>
      <c r="E4163" s="7">
        <v>5.0</v>
      </c>
      <c r="F4163" s="7" t="s">
        <v>90</v>
      </c>
      <c r="G4163" s="7" t="s">
        <v>1523</v>
      </c>
      <c r="H4163" s="9" t="s">
        <v>2981</v>
      </c>
      <c r="I4163" t="s">
        <v>4436</v>
      </c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  <c r="AA4163" s="7"/>
      <c r="AB4163" s="7"/>
      <c r="AC4163" s="7"/>
      <c r="AD4163" s="7" t="str">
        <f t="shared" si="1"/>
        <v>Land area </v>
      </c>
      <c r="AE4163" s="7" t="str">
        <f t="shared" si="2"/>
        <v> sq. ft.</v>
      </c>
      <c r="AF4163">
        <f>IFERROR(__xludf.DUMMYFUNCTION("VALUE(REGEXREPLACE(G4163,""[^[:digit:]]"", """"))"),2280.0)</f>
        <v>2280</v>
      </c>
      <c r="AG4163" s="7"/>
      <c r="AH4163" s="7"/>
      <c r="AI4163" s="7"/>
      <c r="AJ4163" s="7"/>
      <c r="AK4163" s="7"/>
      <c r="AL4163" s="7"/>
      <c r="AM4163" s="7"/>
      <c r="AN4163" s="7"/>
      <c r="AO4163" s="7"/>
      <c r="AP4163" s="7"/>
      <c r="AQ4163" s="7"/>
      <c r="AR4163" s="7"/>
      <c r="AS4163" s="7" t="s">
        <v>27</v>
      </c>
    </row>
    <row r="4164">
      <c r="A4164" s="7" t="s">
        <v>72</v>
      </c>
      <c r="B4164" s="7" t="s">
        <v>206</v>
      </c>
      <c r="C4164" s="7">
        <f t="shared" ref="C4164:C4166" si="574">3</f>
        <v>3</v>
      </c>
      <c r="D4164" s="7">
        <v>2.0</v>
      </c>
      <c r="E4164" s="7">
        <v>1.0</v>
      </c>
      <c r="F4164" s="7" t="s">
        <v>83</v>
      </c>
      <c r="G4164" s="7" t="s">
        <v>1025</v>
      </c>
      <c r="H4164" s="9" t="s">
        <v>2979</v>
      </c>
      <c r="I4164" t="s">
        <v>3461</v>
      </c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  <c r="AA4164" s="7"/>
      <c r="AB4164" s="7"/>
      <c r="AC4164" s="7"/>
      <c r="AD4164" s="7" t="str">
        <f t="shared" si="1"/>
        <v>Built-up :</v>
      </c>
      <c r="AE4164" s="7" t="str">
        <f t="shared" si="2"/>
        <v> sq. ft.</v>
      </c>
      <c r="AF4164">
        <f>IFERROR(__xludf.DUMMYFUNCTION("VALUE(REGEXREPLACE(G4164,""[^[:digit:]]"", """"))"),1432.0)</f>
        <v>1432</v>
      </c>
      <c r="AG4164" s="7"/>
      <c r="AH4164" s="7"/>
      <c r="AI4164" s="7"/>
      <c r="AJ4164" s="7"/>
      <c r="AK4164" s="7"/>
      <c r="AL4164" s="7"/>
      <c r="AM4164" s="7"/>
      <c r="AN4164" s="7"/>
      <c r="AO4164" s="7"/>
      <c r="AP4164" s="7"/>
      <c r="AQ4164" s="7"/>
      <c r="AR4164" s="7"/>
      <c r="AS4164" s="7" t="s">
        <v>22</v>
      </c>
    </row>
    <row r="4165">
      <c r="A4165" s="7" t="s">
        <v>72</v>
      </c>
      <c r="B4165" s="7" t="s">
        <v>316</v>
      </c>
      <c r="C4165" s="7">
        <f t="shared" si="574"/>
        <v>3</v>
      </c>
      <c r="D4165" s="7">
        <v>2.0</v>
      </c>
      <c r="E4165" s="7">
        <v>1.0</v>
      </c>
      <c r="F4165" s="7" t="s">
        <v>83</v>
      </c>
      <c r="G4165" s="7" t="s">
        <v>2065</v>
      </c>
      <c r="H4165" s="9" t="s">
        <v>2979</v>
      </c>
      <c r="I4165" t="s">
        <v>4089</v>
      </c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  <c r="AA4165" s="7"/>
      <c r="AB4165" s="7"/>
      <c r="AC4165" s="7"/>
      <c r="AD4165" s="7" t="str">
        <f t="shared" si="1"/>
        <v>Built-up :</v>
      </c>
      <c r="AE4165" s="7" t="str">
        <f t="shared" si="2"/>
        <v> sq. ft.</v>
      </c>
      <c r="AF4165">
        <f>IFERROR(__xludf.DUMMYFUNCTION("VALUE(REGEXREPLACE(G4165,""[^[:digit:]]"", """"))"),1268.0)</f>
        <v>1268</v>
      </c>
      <c r="AG4165" s="7"/>
      <c r="AH4165" s="7"/>
      <c r="AI4165" s="7"/>
      <c r="AJ4165" s="7"/>
      <c r="AK4165" s="7"/>
      <c r="AL4165" s="7"/>
      <c r="AM4165" s="7"/>
      <c r="AN4165" s="7"/>
      <c r="AO4165" s="7"/>
      <c r="AP4165" s="7"/>
      <c r="AQ4165" s="7"/>
      <c r="AR4165" s="7"/>
      <c r="AS4165" s="7" t="s">
        <v>22</v>
      </c>
    </row>
    <row r="4166">
      <c r="A4166" s="7" t="s">
        <v>72</v>
      </c>
      <c r="B4166" s="7" t="s">
        <v>316</v>
      </c>
      <c r="C4166" s="7">
        <f t="shared" si="574"/>
        <v>3</v>
      </c>
      <c r="D4166" s="7">
        <v>2.0</v>
      </c>
      <c r="E4166" s="7">
        <v>1.0</v>
      </c>
      <c r="F4166" s="7" t="s">
        <v>83</v>
      </c>
      <c r="G4166" s="7" t="s">
        <v>2065</v>
      </c>
      <c r="H4166" s="9" t="s">
        <v>2979</v>
      </c>
      <c r="I4166" t="s">
        <v>4089</v>
      </c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  <c r="AA4166" s="7"/>
      <c r="AB4166" s="7"/>
      <c r="AC4166" s="7"/>
      <c r="AD4166" s="7" t="str">
        <f t="shared" si="1"/>
        <v>Built-up :</v>
      </c>
      <c r="AE4166" s="7" t="str">
        <f t="shared" si="2"/>
        <v> sq. ft.</v>
      </c>
      <c r="AF4166">
        <f>IFERROR(__xludf.DUMMYFUNCTION("VALUE(REGEXREPLACE(G4166,""[^[:digit:]]"", """"))"),1268.0)</f>
        <v>1268</v>
      </c>
      <c r="AG4166" s="7"/>
      <c r="AH4166" s="7"/>
      <c r="AI4166" s="7"/>
      <c r="AJ4166" s="7"/>
      <c r="AK4166" s="7"/>
      <c r="AL4166" s="7"/>
      <c r="AM4166" s="7"/>
      <c r="AN4166" s="7"/>
      <c r="AO4166" s="7"/>
      <c r="AP4166" s="7"/>
      <c r="AQ4166" s="7"/>
      <c r="AR4166" s="7"/>
      <c r="AS4166" s="7" t="s">
        <v>22</v>
      </c>
    </row>
    <row r="4167">
      <c r="A4167" s="7" t="s">
        <v>432</v>
      </c>
      <c r="B4167" s="7" t="s">
        <v>499</v>
      </c>
      <c r="C4167" s="7">
        <f>4</f>
        <v>4</v>
      </c>
      <c r="D4167" s="7">
        <v>4.0</v>
      </c>
      <c r="E4167" s="7">
        <v>3.0</v>
      </c>
      <c r="F4167" s="7" t="s">
        <v>343</v>
      </c>
      <c r="G4167" s="7" t="s">
        <v>2338</v>
      </c>
      <c r="H4167" s="9" t="s">
        <v>2979</v>
      </c>
      <c r="I4167" t="s">
        <v>4262</v>
      </c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  <c r="AA4167" s="7"/>
      <c r="AB4167" s="7"/>
      <c r="AC4167" s="7"/>
      <c r="AD4167" s="7" t="str">
        <f t="shared" si="1"/>
        <v>Built-up :</v>
      </c>
      <c r="AE4167" s="7" t="str">
        <f t="shared" si="2"/>
        <v> sq. ft.</v>
      </c>
      <c r="AF4167">
        <f>IFERROR(__xludf.DUMMYFUNCTION("VALUE(REGEXREPLACE(G4167,""[^[:digit:]]"", """"))"),5230.0)</f>
        <v>5230</v>
      </c>
      <c r="AG4167" s="7"/>
      <c r="AH4167" s="7"/>
      <c r="AI4167" s="7"/>
      <c r="AJ4167" s="7"/>
      <c r="AK4167" s="7"/>
      <c r="AL4167" s="7"/>
      <c r="AM4167" s="7"/>
      <c r="AN4167" s="7"/>
      <c r="AO4167" s="7"/>
      <c r="AP4167" s="7"/>
      <c r="AQ4167" s="7"/>
      <c r="AR4167" s="7"/>
      <c r="AS4167" s="7" t="s">
        <v>22</v>
      </c>
    </row>
    <row r="4168">
      <c r="A4168" s="7" t="s">
        <v>368</v>
      </c>
      <c r="B4168" s="7" t="s">
        <v>1073</v>
      </c>
      <c r="C4168" s="7">
        <f>2</f>
        <v>2</v>
      </c>
      <c r="D4168" s="7">
        <v>2.0</v>
      </c>
      <c r="E4168" s="7">
        <v>1.0</v>
      </c>
      <c r="F4168" s="7" t="s">
        <v>82</v>
      </c>
      <c r="G4168" s="7" t="s">
        <v>2627</v>
      </c>
      <c r="H4168" s="9" t="s">
        <v>2981</v>
      </c>
      <c r="I4168" t="s">
        <v>2991</v>
      </c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  <c r="AA4168" s="7"/>
      <c r="AB4168" s="7"/>
      <c r="AC4168" s="7"/>
      <c r="AD4168" s="7" t="str">
        <f t="shared" si="1"/>
        <v>Land area </v>
      </c>
      <c r="AE4168" s="7" t="str">
        <f t="shared" si="2"/>
        <v> sq. ft.</v>
      </c>
      <c r="AF4168">
        <f>IFERROR(__xludf.DUMMYFUNCTION("VALUE(REGEXREPLACE(G4168,""[^[:digit:]]"", """"))"),904.0)</f>
        <v>904</v>
      </c>
      <c r="AG4168" s="7"/>
      <c r="AH4168" s="7"/>
      <c r="AI4168" s="7"/>
      <c r="AJ4168" s="7"/>
      <c r="AK4168" s="7"/>
      <c r="AL4168" s="7"/>
      <c r="AM4168" s="7"/>
      <c r="AN4168" s="7"/>
      <c r="AO4168" s="7"/>
      <c r="AP4168" s="7"/>
      <c r="AQ4168" s="7"/>
      <c r="AR4168" s="7"/>
      <c r="AS4168" s="7" t="s">
        <v>103</v>
      </c>
    </row>
    <row r="4169">
      <c r="A4169" s="7" t="s">
        <v>368</v>
      </c>
      <c r="B4169" s="7" t="s">
        <v>918</v>
      </c>
      <c r="C4169" s="7">
        <f>3</f>
        <v>3</v>
      </c>
      <c r="D4169" s="7">
        <v>2.0</v>
      </c>
      <c r="E4169" s="7">
        <v>2.0</v>
      </c>
      <c r="F4169" s="7" t="s">
        <v>82</v>
      </c>
      <c r="G4169" s="7" t="s">
        <v>2628</v>
      </c>
      <c r="H4169" s="9" t="s">
        <v>2981</v>
      </c>
      <c r="I4169" t="s">
        <v>4437</v>
      </c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  <c r="AA4169" s="7"/>
      <c r="AB4169" s="7"/>
      <c r="AC4169" s="7"/>
      <c r="AD4169" s="7" t="str">
        <f t="shared" si="1"/>
        <v>Land area </v>
      </c>
      <c r="AE4169" s="7" t="str">
        <f t="shared" si="2"/>
        <v> sq. ft.</v>
      </c>
      <c r="AF4169">
        <f>IFERROR(__xludf.DUMMYFUNCTION("VALUE(REGEXREPLACE(G4169,""[^[:digit:]]"", """"))"),1109.0)</f>
        <v>1109</v>
      </c>
      <c r="AG4169" s="7"/>
      <c r="AH4169" s="7"/>
      <c r="AI4169" s="7"/>
      <c r="AJ4169" s="7"/>
      <c r="AK4169" s="7"/>
      <c r="AL4169" s="7"/>
      <c r="AM4169" s="7"/>
      <c r="AN4169" s="7"/>
      <c r="AO4169" s="7"/>
      <c r="AP4169" s="7"/>
      <c r="AQ4169" s="7"/>
      <c r="AR4169" s="7"/>
      <c r="AS4169" s="7" t="s">
        <v>27</v>
      </c>
    </row>
    <row r="4170">
      <c r="A4170" s="7" t="s">
        <v>72</v>
      </c>
      <c r="B4170" s="7" t="s">
        <v>130</v>
      </c>
      <c r="C4170" s="7">
        <f t="shared" ref="C4170:C4171" si="575">3+1</f>
        <v>4</v>
      </c>
      <c r="D4170" s="7">
        <v>4.0</v>
      </c>
      <c r="E4170" s="7">
        <v>3.0</v>
      </c>
      <c r="F4170" s="7" t="s">
        <v>83</v>
      </c>
      <c r="G4170" s="7" t="s">
        <v>2443</v>
      </c>
      <c r="H4170" s="9" t="s">
        <v>2979</v>
      </c>
      <c r="I4170" t="s">
        <v>4320</v>
      </c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  <c r="AA4170" s="7"/>
      <c r="AB4170" s="7"/>
      <c r="AC4170" s="7"/>
      <c r="AD4170" s="7" t="str">
        <f t="shared" si="1"/>
        <v>Built-up :</v>
      </c>
      <c r="AE4170" s="7" t="str">
        <f t="shared" si="2"/>
        <v> sq. ft.</v>
      </c>
      <c r="AF4170">
        <f>IFERROR(__xludf.DUMMYFUNCTION("VALUE(REGEXREPLACE(G4170,""[^[:digit:]]"", """"))"),3003.0)</f>
        <v>3003</v>
      </c>
      <c r="AG4170" s="7"/>
      <c r="AH4170" s="7"/>
      <c r="AI4170" s="7"/>
      <c r="AJ4170" s="7"/>
      <c r="AK4170" s="7"/>
      <c r="AL4170" s="7"/>
      <c r="AM4170" s="7"/>
      <c r="AN4170" s="7"/>
      <c r="AO4170" s="7"/>
      <c r="AP4170" s="7"/>
      <c r="AQ4170" s="7"/>
      <c r="AR4170" s="7"/>
      <c r="AS4170" s="7" t="s">
        <v>22</v>
      </c>
    </row>
    <row r="4171">
      <c r="A4171" s="7" t="s">
        <v>1088</v>
      </c>
      <c r="B4171" s="7" t="s">
        <v>281</v>
      </c>
      <c r="C4171" s="7">
        <f t="shared" si="575"/>
        <v>4</v>
      </c>
      <c r="D4171" s="7">
        <v>3.0</v>
      </c>
      <c r="E4171" s="7">
        <v>1.0</v>
      </c>
      <c r="F4171" s="7" t="s">
        <v>83</v>
      </c>
      <c r="G4171" s="7" t="s">
        <v>2629</v>
      </c>
      <c r="H4171" s="9" t="s">
        <v>2979</v>
      </c>
      <c r="I4171" t="s">
        <v>4438</v>
      </c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  <c r="AA4171" s="7"/>
      <c r="AB4171" s="7"/>
      <c r="AC4171" s="7"/>
      <c r="AD4171" s="7" t="str">
        <f t="shared" si="1"/>
        <v>Built-up :</v>
      </c>
      <c r="AE4171" s="7" t="str">
        <f t="shared" si="2"/>
        <v> sq. ft.</v>
      </c>
      <c r="AF4171">
        <f>IFERROR(__xludf.DUMMYFUNCTION("VALUE(REGEXREPLACE(G4171,""[^[:digit:]]"", """"))"),2680.0)</f>
        <v>2680</v>
      </c>
      <c r="AG4171" s="7"/>
      <c r="AH4171" s="7"/>
      <c r="AI4171" s="7"/>
      <c r="AJ4171" s="7"/>
      <c r="AK4171" s="7"/>
      <c r="AL4171" s="7"/>
      <c r="AM4171" s="7"/>
      <c r="AN4171" s="7"/>
      <c r="AO4171" s="7"/>
      <c r="AP4171" s="7"/>
      <c r="AQ4171" s="7"/>
      <c r="AR4171" s="7"/>
      <c r="AS4171" s="7" t="s">
        <v>27</v>
      </c>
    </row>
    <row r="4172">
      <c r="A4172" s="7" t="s">
        <v>180</v>
      </c>
      <c r="B4172" s="7" t="s">
        <v>1328</v>
      </c>
      <c r="C4172" s="7">
        <f>4</f>
        <v>4</v>
      </c>
      <c r="D4172" s="7">
        <v>3.0</v>
      </c>
      <c r="E4172" s="9">
        <v>2.0</v>
      </c>
      <c r="F4172" s="7" t="s">
        <v>30</v>
      </c>
      <c r="G4172" s="7" t="s">
        <v>845</v>
      </c>
      <c r="H4172" s="9" t="s">
        <v>2979</v>
      </c>
      <c r="I4172" t="s">
        <v>3367</v>
      </c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  <c r="AA4172" s="7"/>
      <c r="AB4172" s="7"/>
      <c r="AC4172" s="7"/>
      <c r="AD4172" s="7" t="str">
        <f t="shared" si="1"/>
        <v>Built-up :</v>
      </c>
      <c r="AE4172" s="7" t="str">
        <f t="shared" si="2"/>
        <v> sq. ft.</v>
      </c>
      <c r="AF4172">
        <f>IFERROR(__xludf.DUMMYFUNCTION("VALUE(REGEXREPLACE(G4172,""[^[:digit:]]"", """"))"),1500.0)</f>
        <v>1500</v>
      </c>
      <c r="AG4172" s="7"/>
      <c r="AH4172" s="7"/>
      <c r="AI4172" s="7"/>
      <c r="AJ4172" s="7"/>
      <c r="AK4172" s="7"/>
      <c r="AL4172" s="7"/>
      <c r="AM4172" s="7"/>
      <c r="AN4172" s="7"/>
      <c r="AO4172" s="7"/>
      <c r="AP4172" s="7"/>
      <c r="AQ4172" s="7"/>
      <c r="AR4172" s="7"/>
      <c r="AS4172" s="7" t="s">
        <v>27</v>
      </c>
    </row>
    <row r="4173">
      <c r="A4173" s="7" t="s">
        <v>171</v>
      </c>
      <c r="B4173" s="7" t="s">
        <v>92</v>
      </c>
      <c r="C4173" s="7">
        <f>3</f>
        <v>3</v>
      </c>
      <c r="D4173" s="7">
        <v>2.0</v>
      </c>
      <c r="E4173" s="7">
        <v>2.0</v>
      </c>
      <c r="F4173" s="7" t="s">
        <v>30</v>
      </c>
      <c r="G4173" s="7" t="s">
        <v>747</v>
      </c>
      <c r="H4173" s="9" t="s">
        <v>2979</v>
      </c>
      <c r="I4173" t="s">
        <v>3318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  <c r="AA4173" s="7"/>
      <c r="AB4173" s="7"/>
      <c r="AC4173" s="7"/>
      <c r="AD4173" s="7" t="str">
        <f t="shared" si="1"/>
        <v>Built-up :</v>
      </c>
      <c r="AE4173" s="7" t="str">
        <f t="shared" si="2"/>
        <v> sq. ft.</v>
      </c>
      <c r="AF4173">
        <f>IFERROR(__xludf.DUMMYFUNCTION("VALUE(REGEXREPLACE(G4173,""[^[:digit:]]"", """"))"),1000.0)</f>
        <v>1000</v>
      </c>
      <c r="AG4173" s="7"/>
      <c r="AH4173" s="7"/>
      <c r="AI4173" s="7"/>
      <c r="AJ4173" s="7"/>
      <c r="AK4173" s="7"/>
      <c r="AL4173" s="7"/>
      <c r="AM4173" s="7"/>
      <c r="AN4173" s="7"/>
      <c r="AO4173" s="7"/>
      <c r="AP4173" s="7"/>
      <c r="AQ4173" s="7"/>
      <c r="AR4173" s="7"/>
      <c r="AS4173" s="7" t="s">
        <v>27</v>
      </c>
    </row>
    <row r="4174">
      <c r="A4174" s="7" t="s">
        <v>33</v>
      </c>
      <c r="B4174" s="7" t="s">
        <v>955</v>
      </c>
      <c r="C4174" s="7">
        <f t="shared" ref="C4174:C4175" si="576">1+1</f>
        <v>2</v>
      </c>
      <c r="D4174" s="7">
        <v>1.0</v>
      </c>
      <c r="E4174" s="7">
        <v>1.0</v>
      </c>
      <c r="F4174" s="7" t="s">
        <v>20</v>
      </c>
      <c r="G4174" s="7" t="s">
        <v>978</v>
      </c>
      <c r="H4174" s="9" t="s">
        <v>2979</v>
      </c>
      <c r="I4174" t="s">
        <v>3433</v>
      </c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  <c r="AA4174" s="7"/>
      <c r="AB4174" s="7"/>
      <c r="AC4174" s="7"/>
      <c r="AD4174" s="7" t="str">
        <f t="shared" si="1"/>
        <v>Built-up :</v>
      </c>
      <c r="AE4174" s="7" t="str">
        <f t="shared" si="2"/>
        <v> sq. ft.</v>
      </c>
      <c r="AF4174">
        <f>IFERROR(__xludf.DUMMYFUNCTION("VALUE(REGEXREPLACE(G4174,""[^[:digit:]]"", """"))"),667.0)</f>
        <v>667</v>
      </c>
      <c r="AG4174" s="7"/>
      <c r="AH4174" s="7"/>
      <c r="AI4174" s="7"/>
      <c r="AJ4174" s="7"/>
      <c r="AK4174" s="7"/>
      <c r="AL4174" s="7"/>
      <c r="AM4174" s="7"/>
      <c r="AN4174" s="7"/>
      <c r="AO4174" s="7"/>
      <c r="AP4174" s="7"/>
      <c r="AQ4174" s="7"/>
      <c r="AR4174" s="7"/>
      <c r="AS4174" s="7" t="s">
        <v>103</v>
      </c>
    </row>
    <row r="4175">
      <c r="A4175" s="7" t="s">
        <v>32</v>
      </c>
      <c r="B4175" s="7" t="s">
        <v>1968</v>
      </c>
      <c r="C4175" s="7">
        <f t="shared" si="576"/>
        <v>2</v>
      </c>
      <c r="D4175" s="7">
        <v>2.0</v>
      </c>
      <c r="E4175" s="7">
        <v>1.0</v>
      </c>
      <c r="F4175" s="7" t="s">
        <v>20</v>
      </c>
      <c r="G4175" s="7" t="s">
        <v>187</v>
      </c>
      <c r="H4175" s="9" t="s">
        <v>2979</v>
      </c>
      <c r="I4175" t="s">
        <v>3043</v>
      </c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  <c r="AA4175" s="7"/>
      <c r="AB4175" s="7"/>
      <c r="AC4175" s="7"/>
      <c r="AD4175" s="7" t="str">
        <f t="shared" si="1"/>
        <v>Built-up :</v>
      </c>
      <c r="AE4175" s="7" t="str">
        <f t="shared" si="2"/>
        <v> sq. ft.</v>
      </c>
      <c r="AF4175">
        <f>IFERROR(__xludf.DUMMYFUNCTION("VALUE(REGEXREPLACE(G4175,""[^[:digit:]]"", """"))"),720.0)</f>
        <v>720</v>
      </c>
      <c r="AG4175" s="7"/>
      <c r="AH4175" s="7"/>
      <c r="AI4175" s="7"/>
      <c r="AJ4175" s="7"/>
      <c r="AK4175" s="7"/>
      <c r="AL4175" s="7"/>
      <c r="AM4175" s="7"/>
      <c r="AN4175" s="7"/>
      <c r="AO4175" s="7"/>
      <c r="AP4175" s="7"/>
      <c r="AQ4175" s="7"/>
      <c r="AR4175" s="7"/>
      <c r="AS4175" s="7" t="s">
        <v>22</v>
      </c>
    </row>
    <row r="4176">
      <c r="A4176" s="7" t="s">
        <v>267</v>
      </c>
      <c r="B4176" s="7" t="s">
        <v>983</v>
      </c>
      <c r="C4176" s="7">
        <f>1</f>
        <v>1</v>
      </c>
      <c r="D4176" s="7">
        <v>1.0</v>
      </c>
      <c r="E4176" s="7">
        <v>1.0</v>
      </c>
      <c r="F4176" s="7" t="s">
        <v>83</v>
      </c>
      <c r="G4176" s="7" t="s">
        <v>1210</v>
      </c>
      <c r="H4176" s="9" t="s">
        <v>2979</v>
      </c>
      <c r="I4176" t="s">
        <v>3579</v>
      </c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  <c r="AA4176" s="7"/>
      <c r="AB4176" s="7"/>
      <c r="AC4176" s="7"/>
      <c r="AD4176" s="7" t="str">
        <f t="shared" si="1"/>
        <v>Built-up :</v>
      </c>
      <c r="AE4176" s="7" t="str">
        <f t="shared" si="2"/>
        <v> sq. ft.</v>
      </c>
      <c r="AF4176">
        <f>IFERROR(__xludf.DUMMYFUNCTION("VALUE(REGEXREPLACE(G4176,""[^[:digit:]]"", """"))"),680.0)</f>
        <v>680</v>
      </c>
      <c r="AG4176" s="7"/>
      <c r="AH4176" s="7"/>
      <c r="AI4176" s="7"/>
      <c r="AJ4176" s="7"/>
      <c r="AK4176" s="7"/>
      <c r="AL4176" s="7"/>
      <c r="AM4176" s="7"/>
      <c r="AN4176" s="7"/>
      <c r="AO4176" s="7"/>
      <c r="AP4176" s="7"/>
      <c r="AQ4176" s="7"/>
      <c r="AR4176" s="7"/>
      <c r="AS4176" s="7" t="s">
        <v>27</v>
      </c>
    </row>
    <row r="4177">
      <c r="A4177" s="7" t="s">
        <v>267</v>
      </c>
      <c r="B4177" s="7" t="s">
        <v>268</v>
      </c>
      <c r="C4177" s="7">
        <f>2</f>
        <v>2</v>
      </c>
      <c r="D4177" s="7">
        <v>2.0</v>
      </c>
      <c r="E4177" s="7">
        <v>1.0</v>
      </c>
      <c r="F4177" s="7" t="s">
        <v>93</v>
      </c>
      <c r="G4177" s="7" t="s">
        <v>1532</v>
      </c>
      <c r="H4177" s="9" t="s">
        <v>2979</v>
      </c>
      <c r="I4177" t="s">
        <v>3764</v>
      </c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  <c r="AA4177" s="7"/>
      <c r="AB4177" s="7"/>
      <c r="AC4177" s="7"/>
      <c r="AD4177" s="7" t="str">
        <f t="shared" si="1"/>
        <v>Built-up :</v>
      </c>
      <c r="AE4177" s="7" t="str">
        <f t="shared" si="2"/>
        <v> sq. ft.</v>
      </c>
      <c r="AF4177">
        <f>IFERROR(__xludf.DUMMYFUNCTION("VALUE(REGEXREPLACE(G4177,""[^[:digit:]]"", """"))"),1044.0)</f>
        <v>1044</v>
      </c>
      <c r="AG4177" s="7"/>
      <c r="AH4177" s="7"/>
      <c r="AI4177" s="7"/>
      <c r="AJ4177" s="7"/>
      <c r="AK4177" s="7"/>
      <c r="AL4177" s="7"/>
      <c r="AM4177" s="7"/>
      <c r="AN4177" s="7"/>
      <c r="AO4177" s="7"/>
      <c r="AP4177" s="7"/>
      <c r="AQ4177" s="7"/>
      <c r="AR4177" s="7"/>
      <c r="AS4177" s="7" t="s">
        <v>22</v>
      </c>
    </row>
    <row r="4178">
      <c r="A4178" s="7" t="s">
        <v>267</v>
      </c>
      <c r="B4178" s="7" t="s">
        <v>953</v>
      </c>
      <c r="C4178" s="7">
        <f>3</f>
        <v>3</v>
      </c>
      <c r="D4178" s="7">
        <v>2.0</v>
      </c>
      <c r="E4178" s="9">
        <v>2.0</v>
      </c>
      <c r="F4178" s="7" t="s">
        <v>83</v>
      </c>
      <c r="G4178" s="7" t="s">
        <v>1688</v>
      </c>
      <c r="H4178" s="9" t="s">
        <v>2979</v>
      </c>
      <c r="I4178" t="s">
        <v>3858</v>
      </c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  <c r="AA4178" s="7"/>
      <c r="AB4178" s="7"/>
      <c r="AC4178" s="7"/>
      <c r="AD4178" s="7" t="str">
        <f t="shared" si="1"/>
        <v>Built-up :</v>
      </c>
      <c r="AE4178" s="7" t="str">
        <f t="shared" si="2"/>
        <v> sq. ft.</v>
      </c>
      <c r="AF4178">
        <f>IFERROR(__xludf.DUMMYFUNCTION("VALUE(REGEXREPLACE(G4178,""[^[:digit:]]"", """"))"),1250.0)</f>
        <v>1250</v>
      </c>
      <c r="AG4178" s="7"/>
      <c r="AH4178" s="7"/>
      <c r="AI4178" s="7"/>
      <c r="AJ4178" s="7"/>
      <c r="AK4178" s="7"/>
      <c r="AL4178" s="7"/>
      <c r="AM4178" s="7"/>
      <c r="AN4178" s="7"/>
      <c r="AO4178" s="7"/>
      <c r="AP4178" s="7"/>
      <c r="AQ4178" s="7"/>
      <c r="AR4178" s="7"/>
    </row>
    <row r="4179">
      <c r="A4179" s="7" t="s">
        <v>188</v>
      </c>
      <c r="B4179" s="7" t="s">
        <v>419</v>
      </c>
      <c r="C4179" s="7">
        <f>2+1</f>
        <v>3</v>
      </c>
      <c r="D4179" s="7">
        <v>2.0</v>
      </c>
      <c r="E4179" s="9">
        <v>2.0</v>
      </c>
      <c r="F4179" s="7" t="s">
        <v>20</v>
      </c>
      <c r="G4179" s="7" t="s">
        <v>2630</v>
      </c>
      <c r="H4179" s="9" t="s">
        <v>2979</v>
      </c>
      <c r="I4179" t="s">
        <v>4439</v>
      </c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  <c r="AA4179" s="7"/>
      <c r="AB4179" s="7"/>
      <c r="AC4179" s="7"/>
      <c r="AD4179" s="7" t="str">
        <f t="shared" si="1"/>
        <v>Built-up :</v>
      </c>
      <c r="AE4179" s="7" t="str">
        <f t="shared" si="2"/>
        <v> sq. ft.</v>
      </c>
      <c r="AF4179">
        <f>IFERROR(__xludf.DUMMYFUNCTION("VALUE(REGEXREPLACE(G4179,""[^[:digit:]]"", """"))"),1116.0)</f>
        <v>1116</v>
      </c>
      <c r="AG4179" s="7"/>
      <c r="AH4179" s="7"/>
      <c r="AI4179" s="7"/>
      <c r="AJ4179" s="7"/>
      <c r="AK4179" s="7"/>
      <c r="AL4179" s="7"/>
      <c r="AM4179" s="7"/>
      <c r="AN4179" s="7"/>
      <c r="AO4179" s="7"/>
      <c r="AP4179" s="7"/>
      <c r="AQ4179" s="7"/>
      <c r="AR4179" s="7"/>
      <c r="AS4179" s="7" t="s">
        <v>27</v>
      </c>
    </row>
    <row r="4180">
      <c r="A4180" s="7" t="s">
        <v>188</v>
      </c>
      <c r="B4180" s="7" t="s">
        <v>1625</v>
      </c>
      <c r="C4180" s="7">
        <f>1</f>
        <v>1</v>
      </c>
      <c r="D4180" s="7">
        <v>1.0</v>
      </c>
      <c r="E4180" s="9">
        <v>2.0</v>
      </c>
      <c r="F4180" s="7" t="s">
        <v>20</v>
      </c>
      <c r="G4180" s="7" t="s">
        <v>924</v>
      </c>
      <c r="H4180" s="9" t="s">
        <v>2979</v>
      </c>
      <c r="I4180" t="s">
        <v>3406</v>
      </c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  <c r="AA4180" s="7"/>
      <c r="AB4180" s="7"/>
      <c r="AC4180" s="7"/>
      <c r="AD4180" s="7" t="str">
        <f t="shared" si="1"/>
        <v>Built-up :</v>
      </c>
      <c r="AE4180" s="7" t="str">
        <f t="shared" si="2"/>
        <v> sq. ft.</v>
      </c>
      <c r="AF4180">
        <f>IFERROR(__xludf.DUMMYFUNCTION("VALUE(REGEXREPLACE(G4180,""[^[:digit:]]"", """"))"),750.0)</f>
        <v>750</v>
      </c>
      <c r="AG4180" s="7"/>
      <c r="AH4180" s="7"/>
      <c r="AI4180" s="7"/>
      <c r="AJ4180" s="7"/>
      <c r="AK4180" s="7"/>
      <c r="AL4180" s="7"/>
      <c r="AM4180" s="7"/>
      <c r="AN4180" s="7"/>
      <c r="AO4180" s="7"/>
      <c r="AP4180" s="7"/>
      <c r="AQ4180" s="7"/>
      <c r="AR4180" s="7"/>
      <c r="AS4180" s="7" t="s">
        <v>27</v>
      </c>
    </row>
    <row r="4181">
      <c r="A4181" s="7" t="s">
        <v>188</v>
      </c>
      <c r="B4181" s="7" t="s">
        <v>134</v>
      </c>
      <c r="C4181" s="7">
        <f>3+1</f>
        <v>4</v>
      </c>
      <c r="D4181" s="7">
        <v>3.0</v>
      </c>
      <c r="E4181" s="9">
        <v>2.0</v>
      </c>
      <c r="F4181" s="7" t="s">
        <v>121</v>
      </c>
      <c r="G4181" s="7" t="s">
        <v>1003</v>
      </c>
      <c r="H4181" s="9" t="s">
        <v>2979</v>
      </c>
      <c r="I4181" t="s">
        <v>3448</v>
      </c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  <c r="AA4181" s="7"/>
      <c r="AB4181" s="7"/>
      <c r="AC4181" s="7"/>
      <c r="AD4181" s="7" t="str">
        <f t="shared" si="1"/>
        <v>Built-up :</v>
      </c>
      <c r="AE4181" s="7" t="str">
        <f t="shared" si="2"/>
        <v> sq. ft.</v>
      </c>
      <c r="AF4181">
        <f>IFERROR(__xludf.DUMMYFUNCTION("VALUE(REGEXREPLACE(G4181,""[^[:digit:]]"", """"))"),1323.0)</f>
        <v>1323</v>
      </c>
      <c r="AG4181" s="7"/>
      <c r="AH4181" s="7"/>
      <c r="AI4181" s="7"/>
      <c r="AJ4181" s="7"/>
      <c r="AK4181" s="7"/>
      <c r="AL4181" s="7"/>
      <c r="AM4181" s="7"/>
      <c r="AN4181" s="7"/>
      <c r="AO4181" s="7"/>
      <c r="AP4181" s="7"/>
      <c r="AQ4181" s="7"/>
      <c r="AR4181" s="7"/>
      <c r="AS4181" s="7" t="s">
        <v>27</v>
      </c>
    </row>
    <row r="4182">
      <c r="A4182" s="7" t="s">
        <v>1315</v>
      </c>
      <c r="B4182" s="7" t="s">
        <v>158</v>
      </c>
      <c r="C4182" s="7">
        <f>4+1</f>
        <v>5</v>
      </c>
      <c r="D4182" s="7">
        <v>7.0</v>
      </c>
      <c r="E4182" s="9">
        <v>2.0</v>
      </c>
      <c r="F4182" s="7" t="s">
        <v>83</v>
      </c>
      <c r="G4182" s="7" t="s">
        <v>1174</v>
      </c>
      <c r="H4182" s="9" t="s">
        <v>2979</v>
      </c>
      <c r="I4182" t="s">
        <v>3559</v>
      </c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  <c r="AA4182" s="7"/>
      <c r="AB4182" s="7"/>
      <c r="AC4182" s="7"/>
      <c r="AD4182" s="7" t="str">
        <f t="shared" si="1"/>
        <v>Built-up :</v>
      </c>
      <c r="AE4182" s="7" t="str">
        <f t="shared" si="2"/>
        <v> sq. ft.</v>
      </c>
      <c r="AF4182">
        <f>IFERROR(__xludf.DUMMYFUNCTION("VALUE(REGEXREPLACE(G4182,""[^[:digit:]]"", """"))"),3800.0)</f>
        <v>3800</v>
      </c>
      <c r="AG4182" s="7"/>
      <c r="AH4182" s="7"/>
      <c r="AI4182" s="7"/>
      <c r="AJ4182" s="7"/>
      <c r="AK4182" s="7"/>
      <c r="AL4182" s="7"/>
      <c r="AM4182" s="7"/>
      <c r="AN4182" s="7"/>
      <c r="AO4182" s="7"/>
      <c r="AP4182" s="7"/>
      <c r="AQ4182" s="7"/>
      <c r="AR4182" s="7"/>
      <c r="AS4182" s="7" t="s">
        <v>27</v>
      </c>
    </row>
    <row r="4183">
      <c r="A4183" s="7" t="s">
        <v>1315</v>
      </c>
      <c r="B4183" s="7" t="s">
        <v>34</v>
      </c>
      <c r="C4183" s="7">
        <f>3+1</f>
        <v>4</v>
      </c>
      <c r="D4183" s="7">
        <v>3.0</v>
      </c>
      <c r="E4183" s="9">
        <v>2.0</v>
      </c>
      <c r="F4183" s="7" t="s">
        <v>83</v>
      </c>
      <c r="G4183" s="7" t="s">
        <v>1029</v>
      </c>
      <c r="H4183" s="9" t="s">
        <v>2979</v>
      </c>
      <c r="I4183" t="s">
        <v>3465</v>
      </c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  <c r="AA4183" s="7"/>
      <c r="AB4183" s="7"/>
      <c r="AC4183" s="7"/>
      <c r="AD4183" s="7" t="str">
        <f t="shared" si="1"/>
        <v>Built-up :</v>
      </c>
      <c r="AE4183" s="7" t="str">
        <f t="shared" si="2"/>
        <v> sq. ft.</v>
      </c>
      <c r="AF4183">
        <f>IFERROR(__xludf.DUMMYFUNCTION("VALUE(REGEXREPLACE(G4183,""[^[:digit:]]"", """"))"),1800.0)</f>
        <v>1800</v>
      </c>
      <c r="AG4183" s="7"/>
      <c r="AH4183" s="7"/>
      <c r="AI4183" s="7"/>
      <c r="AJ4183" s="7"/>
      <c r="AK4183" s="7"/>
      <c r="AL4183" s="7"/>
      <c r="AM4183" s="7"/>
      <c r="AN4183" s="7"/>
      <c r="AO4183" s="7"/>
      <c r="AP4183" s="7"/>
      <c r="AQ4183" s="7"/>
      <c r="AR4183" s="7"/>
      <c r="AS4183" s="7" t="s">
        <v>27</v>
      </c>
    </row>
    <row r="4184">
      <c r="A4184" s="7" t="s">
        <v>89</v>
      </c>
      <c r="B4184" s="7" t="s">
        <v>229</v>
      </c>
      <c r="C4184" s="7">
        <f>5</f>
        <v>5</v>
      </c>
      <c r="D4184" s="7">
        <v>4.0</v>
      </c>
      <c r="E4184" s="9">
        <v>2.0</v>
      </c>
      <c r="F4184" s="7" t="s">
        <v>90</v>
      </c>
      <c r="G4184" s="7" t="s">
        <v>674</v>
      </c>
      <c r="H4184" s="9" t="s">
        <v>2981</v>
      </c>
      <c r="I4184" t="s">
        <v>3020</v>
      </c>
      <c r="J4184" s="7"/>
      <c r="K4184" s="7"/>
      <c r="L4184" s="7"/>
      <c r="M4184" s="7"/>
      <c r="N4184" s="7"/>
      <c r="O4184" s="7"/>
      <c r="P4184" s="7"/>
      <c r="Q4184" s="7"/>
      <c r="R4184" s="7"/>
      <c r="S4184" s="7" t="s">
        <v>2993</v>
      </c>
      <c r="T4184" s="7"/>
      <c r="U4184" s="7"/>
      <c r="V4184" s="7"/>
      <c r="W4184" s="7"/>
      <c r="X4184" s="7"/>
      <c r="Y4184" s="7"/>
      <c r="Z4184" s="7"/>
      <c r="AA4184" s="7"/>
      <c r="AB4184" s="7"/>
      <c r="AC4184" s="7"/>
      <c r="AD4184" s="7" t="str">
        <f t="shared" si="1"/>
        <v>Land area </v>
      </c>
      <c r="AE4184" s="7" t="str">
        <f t="shared" si="2"/>
        <v> sq. ft.</v>
      </c>
      <c r="AF4184">
        <f>IFERROR(__xludf.DUMMYFUNCTION("VALUE(REGEXREPLACE(G4184,""[^[:digit:]]"", """"))"),2080.0)</f>
        <v>2080</v>
      </c>
      <c r="AG4184" s="7"/>
      <c r="AH4184" s="7"/>
      <c r="AI4184" s="7"/>
      <c r="AJ4184" s="7"/>
      <c r="AK4184" s="7"/>
      <c r="AL4184" s="7"/>
      <c r="AM4184" s="7"/>
      <c r="AN4184" s="7"/>
      <c r="AO4184" s="7"/>
      <c r="AP4184" s="7"/>
      <c r="AQ4184" s="7"/>
      <c r="AR4184" s="7"/>
      <c r="AS4184" s="7" t="s">
        <v>103</v>
      </c>
    </row>
    <row r="4185">
      <c r="A4185" s="7" t="s">
        <v>100</v>
      </c>
      <c r="B4185" s="7" t="s">
        <v>575</v>
      </c>
      <c r="C4185" s="7">
        <f>3</f>
        <v>3</v>
      </c>
      <c r="D4185" s="7">
        <v>2.0</v>
      </c>
      <c r="E4185" s="7">
        <v>1.0</v>
      </c>
      <c r="F4185" s="7" t="s">
        <v>20</v>
      </c>
      <c r="G4185" s="7" t="s">
        <v>2013</v>
      </c>
      <c r="H4185" s="9" t="s">
        <v>2979</v>
      </c>
      <c r="I4185" t="s">
        <v>4056</v>
      </c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  <c r="AA4185" s="7"/>
      <c r="AB4185" s="7"/>
      <c r="AC4185" s="7"/>
      <c r="AD4185" s="7" t="str">
        <f t="shared" si="1"/>
        <v>Built-up :</v>
      </c>
      <c r="AE4185" s="7" t="str">
        <f t="shared" si="2"/>
        <v> sq. ft.</v>
      </c>
      <c r="AF4185">
        <f>IFERROR(__xludf.DUMMYFUNCTION("VALUE(REGEXREPLACE(G4185,""[^[:digit:]]"", """"))"),953.0)</f>
        <v>953</v>
      </c>
      <c r="AG4185" s="7"/>
      <c r="AH4185" s="7"/>
      <c r="AI4185" s="7"/>
      <c r="AJ4185" s="7"/>
      <c r="AK4185" s="7"/>
      <c r="AL4185" s="7"/>
      <c r="AM4185" s="7"/>
      <c r="AN4185" s="7"/>
      <c r="AO4185" s="7"/>
      <c r="AP4185" s="7"/>
      <c r="AQ4185" s="7"/>
      <c r="AR4185" s="7"/>
      <c r="AS4185" s="7" t="s">
        <v>103</v>
      </c>
    </row>
    <row r="4186">
      <c r="A4186" s="7" t="s">
        <v>1315</v>
      </c>
      <c r="B4186" s="7" t="s">
        <v>329</v>
      </c>
      <c r="C4186" s="7">
        <f t="shared" ref="C4186:C4187" si="577">3+1</f>
        <v>4</v>
      </c>
      <c r="D4186" s="7">
        <v>3.0</v>
      </c>
      <c r="E4186" s="9">
        <v>2.0</v>
      </c>
      <c r="F4186" s="7" t="s">
        <v>83</v>
      </c>
      <c r="G4186" s="7" t="s">
        <v>1029</v>
      </c>
      <c r="H4186" s="9" t="s">
        <v>2979</v>
      </c>
      <c r="I4186" t="s">
        <v>3465</v>
      </c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  <c r="AA4186" s="7"/>
      <c r="AB4186" s="7"/>
      <c r="AC4186" s="7"/>
      <c r="AD4186" s="7" t="str">
        <f t="shared" si="1"/>
        <v>Built-up :</v>
      </c>
      <c r="AE4186" s="7" t="str">
        <f t="shared" si="2"/>
        <v> sq. ft.</v>
      </c>
      <c r="AF4186">
        <f>IFERROR(__xludf.DUMMYFUNCTION("VALUE(REGEXREPLACE(G4186,""[^[:digit:]]"", """"))"),1800.0)</f>
        <v>1800</v>
      </c>
      <c r="AG4186" s="7"/>
      <c r="AH4186" s="7"/>
      <c r="AI4186" s="7"/>
      <c r="AJ4186" s="7"/>
      <c r="AK4186" s="7"/>
      <c r="AL4186" s="7"/>
      <c r="AM4186" s="7"/>
      <c r="AN4186" s="7"/>
      <c r="AO4186" s="7"/>
      <c r="AP4186" s="7"/>
      <c r="AQ4186" s="7"/>
      <c r="AR4186" s="7"/>
      <c r="AS4186" s="7" t="s">
        <v>27</v>
      </c>
    </row>
    <row r="4187">
      <c r="A4187" s="7" t="s">
        <v>17</v>
      </c>
      <c r="B4187" s="7" t="s">
        <v>101</v>
      </c>
      <c r="C4187" s="7">
        <f t="shared" si="577"/>
        <v>4</v>
      </c>
      <c r="D4187" s="7">
        <v>4.0</v>
      </c>
      <c r="E4187" s="9">
        <v>2.0</v>
      </c>
      <c r="F4187" s="7" t="s">
        <v>121</v>
      </c>
      <c r="G4187" s="7" t="s">
        <v>2631</v>
      </c>
      <c r="H4187" s="9" t="s">
        <v>2979</v>
      </c>
      <c r="I4187" t="s">
        <v>4440</v>
      </c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  <c r="AA4187" s="7"/>
      <c r="AB4187" s="7"/>
      <c r="AC4187" s="7"/>
      <c r="AD4187" s="7" t="str">
        <f t="shared" si="1"/>
        <v>Built-up :</v>
      </c>
      <c r="AE4187" s="7" t="str">
        <f t="shared" si="2"/>
        <v> sq. ft.</v>
      </c>
      <c r="AF4187">
        <f>IFERROR(__xludf.DUMMYFUNCTION("VALUE(REGEXREPLACE(G4187,""[^[:digit:]]"", """"))"),2739.0)</f>
        <v>2739</v>
      </c>
      <c r="AG4187" s="7"/>
      <c r="AH4187" s="7"/>
      <c r="AI4187" s="7"/>
      <c r="AJ4187" s="7"/>
      <c r="AK4187" s="7"/>
      <c r="AL4187" s="7"/>
      <c r="AM4187" s="7"/>
      <c r="AN4187" s="7"/>
      <c r="AO4187" s="7"/>
      <c r="AP4187" s="7"/>
      <c r="AQ4187" s="7"/>
      <c r="AR4187" s="7"/>
      <c r="AS4187" s="7" t="s">
        <v>22</v>
      </c>
    </row>
    <row r="4188">
      <c r="A4188" s="7" t="s">
        <v>17</v>
      </c>
      <c r="B4188" s="7" t="s">
        <v>313</v>
      </c>
      <c r="C4188" s="7">
        <f>3</f>
        <v>3</v>
      </c>
      <c r="D4188" s="7">
        <v>3.0</v>
      </c>
      <c r="E4188" s="9">
        <v>2.0</v>
      </c>
      <c r="F4188" s="7" t="s">
        <v>20</v>
      </c>
      <c r="G4188" s="7" t="s">
        <v>2632</v>
      </c>
      <c r="H4188" s="9" t="s">
        <v>2979</v>
      </c>
      <c r="I4188" t="s">
        <v>4441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  <c r="AA4188" s="7"/>
      <c r="AB4188" s="7"/>
      <c r="AC4188" s="7"/>
      <c r="AD4188" s="7" t="str">
        <f t="shared" si="1"/>
        <v>Built-up :</v>
      </c>
      <c r="AE4188" s="7" t="str">
        <f t="shared" si="2"/>
        <v> sq. ft.</v>
      </c>
      <c r="AF4188">
        <f>IFERROR(__xludf.DUMMYFUNCTION("VALUE(REGEXREPLACE(G4188,""[^[:digit:]]"", """"))"),2416.0)</f>
        <v>2416</v>
      </c>
      <c r="AG4188" s="7"/>
      <c r="AH4188" s="7"/>
      <c r="AI4188" s="7"/>
      <c r="AJ4188" s="7"/>
      <c r="AK4188" s="7"/>
      <c r="AL4188" s="7"/>
      <c r="AM4188" s="7"/>
      <c r="AN4188" s="7"/>
      <c r="AO4188" s="7"/>
      <c r="AP4188" s="7"/>
      <c r="AQ4188" s="7"/>
      <c r="AR4188" s="7"/>
      <c r="AS4188" s="7" t="s">
        <v>22</v>
      </c>
    </row>
    <row r="4189">
      <c r="A4189" s="7" t="s">
        <v>17</v>
      </c>
      <c r="B4189" s="7" t="s">
        <v>127</v>
      </c>
      <c r="C4189" s="7">
        <f>3+2</f>
        <v>5</v>
      </c>
      <c r="D4189" s="7">
        <v>4.0</v>
      </c>
      <c r="E4189" s="9">
        <v>2.0</v>
      </c>
      <c r="F4189" s="7" t="s">
        <v>121</v>
      </c>
      <c r="G4189" s="7" t="s">
        <v>2633</v>
      </c>
      <c r="H4189" s="9" t="s">
        <v>2979</v>
      </c>
      <c r="I4189" t="s">
        <v>4442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  <c r="AA4189" s="7"/>
      <c r="AB4189" s="7"/>
      <c r="AC4189" s="7"/>
      <c r="AD4189" s="7" t="str">
        <f t="shared" si="1"/>
        <v>Built-up :</v>
      </c>
      <c r="AE4189" s="7" t="str">
        <f t="shared" si="2"/>
        <v> sq. ft.</v>
      </c>
      <c r="AF4189">
        <f>IFERROR(__xludf.DUMMYFUNCTION("VALUE(REGEXREPLACE(G4189,""[^[:digit:]]"", """"))"),3467.0)</f>
        <v>3467</v>
      </c>
      <c r="AG4189" s="7"/>
      <c r="AH4189" s="7"/>
      <c r="AI4189" s="7"/>
      <c r="AJ4189" s="7"/>
      <c r="AK4189" s="7"/>
      <c r="AL4189" s="7"/>
      <c r="AM4189" s="7"/>
      <c r="AN4189" s="7"/>
      <c r="AO4189" s="7"/>
      <c r="AP4189" s="7"/>
      <c r="AQ4189" s="7"/>
      <c r="AR4189" s="7"/>
      <c r="AS4189" s="7" t="s">
        <v>22</v>
      </c>
    </row>
    <row r="4190">
      <c r="A4190" s="7" t="s">
        <v>17</v>
      </c>
      <c r="B4190" s="7" t="s">
        <v>484</v>
      </c>
      <c r="C4190" s="7">
        <f>5+2</f>
        <v>7</v>
      </c>
      <c r="D4190" s="7">
        <v>5.0</v>
      </c>
      <c r="E4190" s="9">
        <v>2.0</v>
      </c>
      <c r="F4190" s="7" t="s">
        <v>30</v>
      </c>
      <c r="G4190" s="7" t="s">
        <v>2634</v>
      </c>
      <c r="H4190" s="9" t="s">
        <v>2979</v>
      </c>
      <c r="I4190" t="s">
        <v>4443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  <c r="AA4190" s="7"/>
      <c r="AB4190" s="7"/>
      <c r="AC4190" s="7"/>
      <c r="AD4190" s="7" t="str">
        <f t="shared" si="1"/>
        <v>Built-up :</v>
      </c>
      <c r="AE4190" s="7" t="str">
        <f t="shared" si="2"/>
        <v> sq. ft.</v>
      </c>
      <c r="AF4190">
        <f>IFERROR(__xludf.DUMMYFUNCTION("VALUE(REGEXREPLACE(G4190,""[^[:digit:]]"", """"))"),3502.0)</f>
        <v>3502</v>
      </c>
      <c r="AG4190" s="7"/>
      <c r="AH4190" s="7"/>
      <c r="AI4190" s="7"/>
      <c r="AJ4190" s="7"/>
      <c r="AK4190" s="7"/>
      <c r="AL4190" s="7"/>
      <c r="AM4190" s="7"/>
      <c r="AN4190" s="7"/>
      <c r="AO4190" s="7"/>
      <c r="AP4190" s="7"/>
      <c r="AQ4190" s="7"/>
      <c r="AR4190" s="7"/>
      <c r="AS4190" s="7" t="s">
        <v>27</v>
      </c>
    </row>
    <row r="4191">
      <c r="A4191" s="7" t="s">
        <v>17</v>
      </c>
      <c r="B4191" s="7" t="s">
        <v>73</v>
      </c>
      <c r="C4191" s="7">
        <f>4+1</f>
        <v>5</v>
      </c>
      <c r="D4191" s="7">
        <v>4.0</v>
      </c>
      <c r="E4191" s="9">
        <v>2.0</v>
      </c>
      <c r="F4191" s="7" t="s">
        <v>83</v>
      </c>
      <c r="G4191" s="7" t="s">
        <v>387</v>
      </c>
      <c r="H4191" s="9" t="s">
        <v>2979</v>
      </c>
      <c r="I4191" t="s">
        <v>3139</v>
      </c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  <c r="AA4191" s="7"/>
      <c r="AB4191" s="7"/>
      <c r="AC4191" s="7"/>
      <c r="AD4191" s="7" t="str">
        <f t="shared" si="1"/>
        <v>Built-up :</v>
      </c>
      <c r="AE4191" s="7" t="str">
        <f t="shared" si="2"/>
        <v> sq. ft.</v>
      </c>
      <c r="AF4191">
        <f>IFERROR(__xludf.DUMMYFUNCTION("VALUE(REGEXREPLACE(G4191,""[^[:digit:]]"", """"))"),2315.0)</f>
        <v>2315</v>
      </c>
      <c r="AG4191" s="7"/>
      <c r="AH4191" s="7"/>
      <c r="AI4191" s="7"/>
      <c r="AJ4191" s="7"/>
      <c r="AK4191" s="7"/>
      <c r="AL4191" s="7"/>
      <c r="AM4191" s="7"/>
      <c r="AN4191" s="7"/>
      <c r="AO4191" s="7"/>
      <c r="AP4191" s="7"/>
      <c r="AQ4191" s="7"/>
      <c r="AR4191" s="7"/>
      <c r="AS4191" s="7" t="s">
        <v>22</v>
      </c>
    </row>
    <row r="4192">
      <c r="A4192" s="7" t="s">
        <v>17</v>
      </c>
      <c r="B4192" s="7" t="s">
        <v>69</v>
      </c>
      <c r="C4192" s="7">
        <f>5</f>
        <v>5</v>
      </c>
      <c r="D4192" s="7">
        <v>6.0</v>
      </c>
      <c r="E4192" s="9">
        <v>2.0</v>
      </c>
      <c r="F4192" s="7" t="s">
        <v>83</v>
      </c>
      <c r="G4192" s="7" t="s">
        <v>2635</v>
      </c>
      <c r="H4192" s="9" t="s">
        <v>2979</v>
      </c>
      <c r="I4192" t="s">
        <v>4444</v>
      </c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  <c r="AA4192" s="7"/>
      <c r="AB4192" s="7"/>
      <c r="AC4192" s="7"/>
      <c r="AD4192" s="7" t="str">
        <f t="shared" si="1"/>
        <v>Built-up :</v>
      </c>
      <c r="AE4192" s="7" t="str">
        <f t="shared" si="2"/>
        <v> sq. ft.</v>
      </c>
      <c r="AF4192">
        <f>IFERROR(__xludf.DUMMYFUNCTION("VALUE(REGEXREPLACE(G4192,""[^[:digit:]]"", """"))"),5472.0)</f>
        <v>5472</v>
      </c>
      <c r="AG4192" s="7"/>
      <c r="AH4192" s="7"/>
      <c r="AI4192" s="7"/>
      <c r="AJ4192" s="7"/>
      <c r="AK4192" s="7"/>
      <c r="AL4192" s="7"/>
      <c r="AM4192" s="7"/>
      <c r="AN4192" s="7"/>
      <c r="AO4192" s="7"/>
      <c r="AP4192" s="7"/>
      <c r="AQ4192" s="7"/>
      <c r="AR4192" s="7"/>
    </row>
    <row r="4193">
      <c r="A4193" s="7" t="s">
        <v>580</v>
      </c>
      <c r="B4193" s="7" t="s">
        <v>1786</v>
      </c>
      <c r="C4193" s="7">
        <f>4</f>
        <v>4</v>
      </c>
      <c r="D4193" s="7">
        <v>3.0</v>
      </c>
      <c r="E4193" s="7">
        <v>3.0</v>
      </c>
      <c r="F4193" s="7" t="s">
        <v>54</v>
      </c>
      <c r="G4193" s="7" t="s">
        <v>1100</v>
      </c>
      <c r="H4193" s="9" t="s">
        <v>2981</v>
      </c>
      <c r="I4193" t="s">
        <v>4445</v>
      </c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  <c r="AA4193" s="7"/>
      <c r="AB4193" s="7"/>
      <c r="AC4193" s="7"/>
      <c r="AD4193" s="7" t="str">
        <f t="shared" si="1"/>
        <v>Land area </v>
      </c>
      <c r="AE4193" s="7" t="str">
        <f t="shared" si="2"/>
        <v> sq. ft.</v>
      </c>
      <c r="AF4193">
        <f>IFERROR(__xludf.DUMMYFUNCTION("VALUE(REGEXREPLACE(G4193,""[^[:digit:]]"", """"))"),2275.0)</f>
        <v>2275</v>
      </c>
      <c r="AG4193" s="7"/>
      <c r="AH4193" s="7"/>
      <c r="AI4193" s="7"/>
      <c r="AJ4193" s="7"/>
      <c r="AK4193" s="7"/>
      <c r="AL4193" s="7"/>
      <c r="AM4193" s="7"/>
      <c r="AN4193" s="7"/>
      <c r="AO4193" s="7"/>
      <c r="AP4193" s="7"/>
      <c r="AQ4193" s="7"/>
      <c r="AR4193" s="7"/>
      <c r="AS4193" s="7" t="s">
        <v>27</v>
      </c>
    </row>
    <row r="4194">
      <c r="A4194" s="7" t="s">
        <v>155</v>
      </c>
      <c r="B4194" s="7" t="s">
        <v>1075</v>
      </c>
      <c r="C4194" s="7">
        <f t="shared" ref="C4194:C4195" si="578">3</f>
        <v>3</v>
      </c>
      <c r="D4194" s="7">
        <v>3.0</v>
      </c>
      <c r="E4194" s="7">
        <v>1.0</v>
      </c>
      <c r="F4194" s="7" t="s">
        <v>93</v>
      </c>
      <c r="G4194" s="7" t="s">
        <v>1099</v>
      </c>
      <c r="H4194" s="9" t="s">
        <v>2979</v>
      </c>
      <c r="I4194" t="s">
        <v>3504</v>
      </c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  <c r="AA4194" s="7"/>
      <c r="AB4194" s="7"/>
      <c r="AC4194" s="7"/>
      <c r="AD4194" s="7" t="str">
        <f t="shared" si="1"/>
        <v>Built-up :</v>
      </c>
      <c r="AE4194" s="7" t="str">
        <f t="shared" si="2"/>
        <v> sq. ft.</v>
      </c>
      <c r="AF4194">
        <f>IFERROR(__xludf.DUMMYFUNCTION("VALUE(REGEXREPLACE(G4194,""[^[:digit:]]"", """"))"),1237.0)</f>
        <v>1237</v>
      </c>
      <c r="AG4194" s="7"/>
      <c r="AH4194" s="7"/>
      <c r="AI4194" s="7"/>
      <c r="AJ4194" s="7"/>
      <c r="AK4194" s="7"/>
      <c r="AL4194" s="7"/>
      <c r="AM4194" s="7"/>
      <c r="AN4194" s="7"/>
      <c r="AO4194" s="7"/>
      <c r="AP4194" s="7"/>
      <c r="AQ4194" s="7"/>
      <c r="AR4194" s="7"/>
      <c r="AS4194" s="7" t="s">
        <v>103</v>
      </c>
    </row>
    <row r="4195">
      <c r="A4195" s="7" t="s">
        <v>104</v>
      </c>
      <c r="B4195" s="7" t="s">
        <v>361</v>
      </c>
      <c r="C4195" s="7">
        <f t="shared" si="578"/>
        <v>3</v>
      </c>
      <c r="D4195" s="7">
        <v>2.0</v>
      </c>
      <c r="E4195" s="7">
        <v>1.0</v>
      </c>
      <c r="F4195" s="7" t="s">
        <v>30</v>
      </c>
      <c r="G4195" s="7" t="s">
        <v>1359</v>
      </c>
      <c r="H4195" s="9" t="s">
        <v>2981</v>
      </c>
      <c r="I4195" t="s">
        <v>3669</v>
      </c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  <c r="AA4195" s="7"/>
      <c r="AB4195" s="7"/>
      <c r="AC4195" s="7"/>
      <c r="AD4195" s="7" t="str">
        <f t="shared" si="1"/>
        <v>Land area </v>
      </c>
      <c r="AE4195" s="7" t="str">
        <f t="shared" si="2"/>
        <v> sq. ft.</v>
      </c>
      <c r="AF4195">
        <f>IFERROR(__xludf.DUMMYFUNCTION("VALUE(REGEXREPLACE(G4195,""[^[:digit:]]"", """"))"),1030.0)</f>
        <v>1030</v>
      </c>
      <c r="AG4195" s="7"/>
      <c r="AH4195" s="7"/>
      <c r="AI4195" s="7"/>
      <c r="AJ4195" s="7"/>
      <c r="AK4195" s="7"/>
      <c r="AL4195" s="7"/>
      <c r="AM4195" s="7"/>
      <c r="AN4195" s="7"/>
      <c r="AO4195" s="7"/>
      <c r="AP4195" s="7"/>
      <c r="AQ4195" s="7"/>
      <c r="AR4195" s="7"/>
      <c r="AS4195" s="7" t="s">
        <v>103</v>
      </c>
    </row>
    <row r="4196">
      <c r="A4196" s="7" t="s">
        <v>155</v>
      </c>
      <c r="B4196" s="7" t="s">
        <v>615</v>
      </c>
      <c r="C4196" s="7">
        <f>2+1</f>
        <v>3</v>
      </c>
      <c r="D4196" s="7">
        <v>2.0</v>
      </c>
      <c r="E4196" s="7">
        <v>2.0</v>
      </c>
      <c r="F4196" s="7" t="s">
        <v>93</v>
      </c>
      <c r="G4196" s="7" t="s">
        <v>1391</v>
      </c>
      <c r="H4196" s="9" t="s">
        <v>2979</v>
      </c>
      <c r="I4196" t="s">
        <v>3685</v>
      </c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  <c r="AA4196" s="7"/>
      <c r="AB4196" s="7"/>
      <c r="AC4196" s="7"/>
      <c r="AD4196" s="7" t="str">
        <f t="shared" si="1"/>
        <v>Built-up :</v>
      </c>
      <c r="AE4196" s="7" t="str">
        <f t="shared" si="2"/>
        <v> sq. ft.</v>
      </c>
      <c r="AF4196">
        <f>IFERROR(__xludf.DUMMYFUNCTION("VALUE(REGEXREPLACE(G4196,""[^[:digit:]]"", """"))"),1080.0)</f>
        <v>1080</v>
      </c>
      <c r="AG4196" s="7"/>
      <c r="AH4196" s="7"/>
      <c r="AI4196" s="7"/>
      <c r="AJ4196" s="7"/>
      <c r="AK4196" s="7"/>
      <c r="AL4196" s="7"/>
      <c r="AM4196" s="7"/>
      <c r="AN4196" s="7"/>
      <c r="AO4196" s="7"/>
      <c r="AP4196" s="7"/>
      <c r="AQ4196" s="7"/>
      <c r="AR4196" s="7"/>
      <c r="AS4196" s="7" t="s">
        <v>27</v>
      </c>
    </row>
    <row r="4197">
      <c r="A4197" s="7" t="s">
        <v>104</v>
      </c>
      <c r="B4197" s="7" t="s">
        <v>134</v>
      </c>
      <c r="C4197" s="7">
        <f>4</f>
        <v>4</v>
      </c>
      <c r="D4197" s="7">
        <v>3.0</v>
      </c>
      <c r="E4197" s="7">
        <v>4.0</v>
      </c>
      <c r="F4197" s="7" t="s">
        <v>54</v>
      </c>
      <c r="G4197" s="7" t="s">
        <v>283</v>
      </c>
      <c r="H4197" s="9" t="s">
        <v>2981</v>
      </c>
      <c r="I4197" t="s">
        <v>3091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 t="s">
        <v>2990</v>
      </c>
      <c r="T4197" s="7"/>
      <c r="U4197" s="7"/>
      <c r="V4197" s="7"/>
      <c r="W4197" s="7"/>
      <c r="X4197" s="7"/>
      <c r="Y4197" s="7"/>
      <c r="Z4197" s="7"/>
      <c r="AA4197" s="7"/>
      <c r="AB4197" s="7"/>
      <c r="AC4197" s="7"/>
      <c r="AD4197" s="7" t="str">
        <f t="shared" si="1"/>
        <v>Land area </v>
      </c>
      <c r="AE4197" s="7" t="str">
        <f t="shared" si="2"/>
        <v> sq. ft.</v>
      </c>
      <c r="AF4197">
        <f>IFERROR(__xludf.DUMMYFUNCTION("VALUE(REGEXREPLACE(G4197,""[^[:digit:]]"", """"))"),2275.0)</f>
        <v>2275</v>
      </c>
      <c r="AG4197" s="7"/>
      <c r="AH4197" s="7"/>
      <c r="AI4197" s="7"/>
      <c r="AJ4197" s="7"/>
      <c r="AK4197" s="7"/>
      <c r="AL4197" s="7"/>
      <c r="AM4197" s="7"/>
      <c r="AN4197" s="7"/>
      <c r="AO4197" s="7"/>
      <c r="AP4197" s="7"/>
      <c r="AQ4197" s="7"/>
      <c r="AR4197" s="7"/>
      <c r="AS4197" s="7" t="s">
        <v>103</v>
      </c>
    </row>
    <row r="4198">
      <c r="A4198" s="7" t="s">
        <v>2237</v>
      </c>
      <c r="B4198" s="7" t="s">
        <v>2636</v>
      </c>
      <c r="C4198" s="7">
        <f>2</f>
        <v>2</v>
      </c>
      <c r="D4198" s="7">
        <v>2.0</v>
      </c>
      <c r="E4198" s="7">
        <v>1.0</v>
      </c>
      <c r="F4198" s="7" t="s">
        <v>20</v>
      </c>
      <c r="H4198" s="9" t="s">
        <v>2984</v>
      </c>
      <c r="I4198" t="s">
        <v>2985</v>
      </c>
      <c r="AD4198" s="7" t="str">
        <f t="shared" si="1"/>
        <v/>
      </c>
      <c r="AE4198" s="7" t="str">
        <f t="shared" si="2"/>
        <v/>
      </c>
      <c r="AF4198">
        <f>IFERROR(__xludf.DUMMYFUNCTION("VALUE(REGEXREPLACE(G4198,""[^[:digit:]]"", """"))"),0.0)</f>
        <v>0</v>
      </c>
    </row>
    <row r="4199">
      <c r="A4199" s="7" t="s">
        <v>104</v>
      </c>
      <c r="B4199" s="7" t="s">
        <v>18</v>
      </c>
      <c r="C4199" s="7">
        <f>5</f>
        <v>5</v>
      </c>
      <c r="D4199" s="7">
        <v>4.0</v>
      </c>
      <c r="E4199" s="7">
        <v>2.0</v>
      </c>
      <c r="F4199" s="7" t="s">
        <v>562</v>
      </c>
      <c r="G4199" s="7" t="s">
        <v>2637</v>
      </c>
      <c r="H4199" s="9" t="s">
        <v>2981</v>
      </c>
      <c r="I4199" t="s">
        <v>3299</v>
      </c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  <c r="AA4199" s="7"/>
      <c r="AB4199" s="7"/>
      <c r="AC4199" s="7"/>
      <c r="AD4199" s="7" t="str">
        <f t="shared" si="1"/>
        <v>Land area </v>
      </c>
      <c r="AE4199" s="7" t="str">
        <f t="shared" si="2"/>
        <v> sq. ft.</v>
      </c>
      <c r="AF4199">
        <f>IFERROR(__xludf.DUMMYFUNCTION("VALUE(REGEXREPLACE(G4199,""[^[:digit:]]"", """"))"),1870.0)</f>
        <v>1870</v>
      </c>
      <c r="AG4199" s="7"/>
      <c r="AH4199" s="7"/>
      <c r="AI4199" s="7"/>
      <c r="AJ4199" s="7"/>
      <c r="AK4199" s="7"/>
      <c r="AL4199" s="7"/>
      <c r="AM4199" s="7"/>
      <c r="AN4199" s="7"/>
      <c r="AO4199" s="7"/>
      <c r="AP4199" s="7"/>
      <c r="AQ4199" s="7"/>
      <c r="AR4199" s="7"/>
    </row>
    <row r="4200">
      <c r="A4200" s="7" t="s">
        <v>358</v>
      </c>
      <c r="B4200" s="7" t="s">
        <v>168</v>
      </c>
      <c r="C4200" s="7">
        <f>3+1</f>
        <v>4</v>
      </c>
      <c r="D4200" s="7">
        <v>3.0</v>
      </c>
      <c r="E4200" s="7">
        <v>2.0</v>
      </c>
      <c r="F4200" s="7" t="s">
        <v>83</v>
      </c>
      <c r="H4200" s="9" t="s">
        <v>2984</v>
      </c>
      <c r="I4200" t="s">
        <v>2985</v>
      </c>
      <c r="AD4200" s="7" t="str">
        <f t="shared" si="1"/>
        <v/>
      </c>
      <c r="AE4200" s="7" t="str">
        <f t="shared" si="2"/>
        <v/>
      </c>
      <c r="AF4200">
        <f>IFERROR(__xludf.DUMMYFUNCTION("VALUE(REGEXREPLACE(G4200,""[^[:digit:]]"", """"))"),0.0)</f>
        <v>0</v>
      </c>
    </row>
    <row r="4201">
      <c r="A4201" s="7" t="s">
        <v>104</v>
      </c>
      <c r="B4201" s="7" t="s">
        <v>361</v>
      </c>
      <c r="C4201" s="7">
        <f>3</f>
        <v>3</v>
      </c>
      <c r="D4201" s="7">
        <v>2.0</v>
      </c>
      <c r="E4201" s="7">
        <v>1.0</v>
      </c>
      <c r="F4201" s="7" t="s">
        <v>343</v>
      </c>
      <c r="G4201" s="7" t="s">
        <v>718</v>
      </c>
      <c r="H4201" s="9" t="s">
        <v>2981</v>
      </c>
      <c r="I4201" t="s">
        <v>3297</v>
      </c>
      <c r="J4201" s="7"/>
      <c r="K4201" s="7"/>
      <c r="L4201" s="7"/>
      <c r="M4201" s="7"/>
      <c r="N4201" s="7"/>
      <c r="O4201" s="7"/>
      <c r="P4201" s="7"/>
      <c r="Q4201" s="7"/>
      <c r="R4201" s="7"/>
      <c r="S4201" s="7" t="s">
        <v>3298</v>
      </c>
      <c r="T4201" s="7"/>
      <c r="U4201" s="7"/>
      <c r="V4201" s="7"/>
      <c r="W4201" s="7"/>
      <c r="X4201" s="7"/>
      <c r="Y4201" s="7"/>
      <c r="Z4201" s="7"/>
      <c r="AA4201" s="7"/>
      <c r="AB4201" s="7"/>
      <c r="AC4201" s="7"/>
      <c r="AD4201" s="7" t="str">
        <f t="shared" si="1"/>
        <v>Land area </v>
      </c>
      <c r="AE4201" s="7" t="str">
        <f t="shared" si="2"/>
        <v> sq. ft.</v>
      </c>
      <c r="AF4201">
        <f>IFERROR(__xludf.DUMMYFUNCTION("VALUE(REGEXREPLACE(G4201,""[^[:digit:]]"", """"))"),2065.0)</f>
        <v>2065</v>
      </c>
      <c r="AG4201" s="7"/>
      <c r="AH4201" s="7"/>
      <c r="AI4201" s="7"/>
      <c r="AJ4201" s="7"/>
      <c r="AK4201" s="7"/>
      <c r="AL4201" s="7"/>
      <c r="AM4201" s="7"/>
      <c r="AN4201" s="7"/>
      <c r="AO4201" s="7"/>
      <c r="AP4201" s="7"/>
      <c r="AQ4201" s="7"/>
      <c r="AR4201" s="7"/>
      <c r="AS4201" s="7" t="s">
        <v>103</v>
      </c>
    </row>
    <row r="4202">
      <c r="A4202" s="7" t="s">
        <v>709</v>
      </c>
      <c r="B4202" s="7" t="s">
        <v>479</v>
      </c>
      <c r="C4202" s="7">
        <f>4+1</f>
        <v>5</v>
      </c>
      <c r="D4202" s="7">
        <v>4.0</v>
      </c>
      <c r="E4202" s="7">
        <v>3.0</v>
      </c>
      <c r="F4202" s="7" t="s">
        <v>61</v>
      </c>
      <c r="G4202" s="7" t="s">
        <v>1496</v>
      </c>
      <c r="H4202" s="9" t="s">
        <v>2981</v>
      </c>
      <c r="I4202" t="s">
        <v>3744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  <c r="AA4202" s="7"/>
      <c r="AB4202" s="7"/>
      <c r="AC4202" s="7"/>
      <c r="AD4202" s="7" t="str">
        <f t="shared" si="1"/>
        <v>Land area </v>
      </c>
      <c r="AE4202" s="7" t="str">
        <f t="shared" si="2"/>
        <v> sq. ft.</v>
      </c>
      <c r="AF4202">
        <f>IFERROR(__xludf.DUMMYFUNCTION("VALUE(REGEXREPLACE(G4202,""[^[:digit:]]"", """"))"),9300.0)</f>
        <v>9300</v>
      </c>
      <c r="AG4202" s="7"/>
      <c r="AH4202" s="7"/>
      <c r="AI4202" s="7"/>
      <c r="AJ4202" s="7"/>
      <c r="AK4202" s="7"/>
      <c r="AL4202" s="7"/>
      <c r="AM4202" s="7"/>
      <c r="AN4202" s="7"/>
      <c r="AO4202" s="7"/>
      <c r="AP4202" s="7"/>
      <c r="AQ4202" s="7"/>
      <c r="AR4202" s="7"/>
      <c r="AS4202" s="7" t="s">
        <v>27</v>
      </c>
    </row>
    <row r="4203">
      <c r="A4203" s="7" t="s">
        <v>1014</v>
      </c>
      <c r="B4203" s="7" t="s">
        <v>2638</v>
      </c>
      <c r="C4203" s="7">
        <f>4</f>
        <v>4</v>
      </c>
      <c r="D4203" s="7">
        <v>2.0</v>
      </c>
      <c r="E4203" s="9">
        <v>2.0</v>
      </c>
      <c r="F4203" s="7" t="s">
        <v>54</v>
      </c>
      <c r="G4203" s="7" t="s">
        <v>2639</v>
      </c>
      <c r="H4203" s="9" t="s">
        <v>2981</v>
      </c>
      <c r="I4203" t="s">
        <v>4446</v>
      </c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  <c r="AA4203" s="7"/>
      <c r="AB4203" s="7"/>
      <c r="AC4203" s="7"/>
      <c r="AD4203" s="7" t="str">
        <f t="shared" si="1"/>
        <v>Land area </v>
      </c>
      <c r="AE4203" s="7" t="str">
        <f t="shared" si="2"/>
        <v> sq. ft.</v>
      </c>
      <c r="AF4203">
        <f>IFERROR(__xludf.DUMMYFUNCTION("VALUE(REGEXREPLACE(G4203,""[^[:digit:]]"", """"))"),2065.0)</f>
        <v>2065</v>
      </c>
      <c r="AG4203" s="7"/>
      <c r="AH4203" s="7"/>
      <c r="AI4203" s="7"/>
      <c r="AJ4203" s="7"/>
      <c r="AK4203" s="7"/>
      <c r="AL4203" s="7"/>
      <c r="AM4203" s="7"/>
      <c r="AN4203" s="7"/>
      <c r="AO4203" s="7"/>
      <c r="AP4203" s="7"/>
      <c r="AQ4203" s="7"/>
      <c r="AR4203" s="7"/>
    </row>
    <row r="4204">
      <c r="A4204" s="7" t="s">
        <v>709</v>
      </c>
      <c r="B4204" s="7" t="s">
        <v>298</v>
      </c>
      <c r="C4204" s="7">
        <f>5</f>
        <v>5</v>
      </c>
      <c r="D4204" s="7">
        <v>4.0</v>
      </c>
      <c r="E4204" s="7">
        <v>3.0</v>
      </c>
      <c r="F4204" s="7" t="s">
        <v>61</v>
      </c>
      <c r="G4204" s="7" t="s">
        <v>2640</v>
      </c>
      <c r="H4204" s="9" t="s">
        <v>2981</v>
      </c>
      <c r="I4204" t="s">
        <v>4447</v>
      </c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  <c r="AA4204" s="7"/>
      <c r="AB4204" s="7"/>
      <c r="AC4204" s="7"/>
      <c r="AD4204" s="7" t="str">
        <f t="shared" si="1"/>
        <v>Land area </v>
      </c>
      <c r="AE4204" s="7" t="str">
        <f t="shared" si="2"/>
        <v> sq. ft.</v>
      </c>
      <c r="AF4204">
        <f>IFERROR(__xludf.DUMMYFUNCTION("VALUE(REGEXREPLACE(G4204,""[^[:digit:]]"", """"))"),8400.0)</f>
        <v>8400</v>
      </c>
      <c r="AG4204" s="7"/>
      <c r="AH4204" s="7"/>
      <c r="AI4204" s="7"/>
      <c r="AJ4204" s="7"/>
      <c r="AK4204" s="7"/>
      <c r="AL4204" s="7"/>
      <c r="AM4204" s="7"/>
      <c r="AN4204" s="7"/>
      <c r="AO4204" s="7"/>
      <c r="AP4204" s="7"/>
      <c r="AQ4204" s="7"/>
      <c r="AR4204" s="7"/>
    </row>
    <row r="4205">
      <c r="A4205" s="7" t="s">
        <v>23</v>
      </c>
      <c r="B4205" s="7" t="s">
        <v>447</v>
      </c>
      <c r="C4205" s="7">
        <f>5+1</f>
        <v>6</v>
      </c>
      <c r="D4205" s="7">
        <v>4.0</v>
      </c>
      <c r="E4205" s="9">
        <v>2.0</v>
      </c>
      <c r="F4205" s="7" t="s">
        <v>25</v>
      </c>
      <c r="G4205" s="7" t="s">
        <v>2641</v>
      </c>
      <c r="H4205" s="9" t="s">
        <v>2981</v>
      </c>
      <c r="I4205" t="s">
        <v>4448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  <c r="AA4205" s="7"/>
      <c r="AB4205" s="7"/>
      <c r="AC4205" s="7"/>
      <c r="AD4205" s="7" t="str">
        <f t="shared" si="1"/>
        <v>Land area </v>
      </c>
      <c r="AE4205" s="7" t="str">
        <f t="shared" si="2"/>
        <v> sq. ft.</v>
      </c>
      <c r="AF4205">
        <f>IFERROR(__xludf.DUMMYFUNCTION("VALUE(REGEXREPLACE(G4205,""[^[:digit:]]"", """"))"),6931.0)</f>
        <v>6931</v>
      </c>
      <c r="AG4205" s="7"/>
      <c r="AH4205" s="7"/>
      <c r="AI4205" s="7"/>
      <c r="AJ4205" s="7"/>
      <c r="AK4205" s="7"/>
      <c r="AL4205" s="7"/>
      <c r="AM4205" s="7"/>
      <c r="AN4205" s="7"/>
      <c r="AO4205" s="7"/>
      <c r="AP4205" s="7"/>
      <c r="AQ4205" s="7"/>
      <c r="AR4205" s="7"/>
      <c r="AS4205" s="7" t="s">
        <v>103</v>
      </c>
    </row>
    <row r="4206">
      <c r="A4206" s="7" t="s">
        <v>86</v>
      </c>
      <c r="B4206" s="7" t="s">
        <v>210</v>
      </c>
      <c r="C4206" s="7">
        <f t="shared" ref="C4206:C4207" si="579">3+1</f>
        <v>4</v>
      </c>
      <c r="D4206" s="7">
        <v>4.0</v>
      </c>
      <c r="E4206" s="7">
        <v>2.0</v>
      </c>
      <c r="F4206" s="7" t="s">
        <v>83</v>
      </c>
      <c r="G4206" s="7" t="s">
        <v>2053</v>
      </c>
      <c r="H4206" s="9" t="s">
        <v>2979</v>
      </c>
      <c r="I4206" t="s">
        <v>4079</v>
      </c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  <c r="AA4206" s="7"/>
      <c r="AB4206" s="7"/>
      <c r="AC4206" s="7"/>
      <c r="AD4206" s="7" t="str">
        <f t="shared" si="1"/>
        <v>Built-up :</v>
      </c>
      <c r="AE4206" s="7" t="str">
        <f t="shared" si="2"/>
        <v> sq. ft.</v>
      </c>
      <c r="AF4206">
        <f>IFERROR(__xludf.DUMMYFUNCTION("VALUE(REGEXREPLACE(G4206,""[^[:digit:]]"", """"))"),2068.0)</f>
        <v>2068</v>
      </c>
      <c r="AG4206" s="7"/>
      <c r="AH4206" s="7"/>
      <c r="AI4206" s="7"/>
      <c r="AJ4206" s="7"/>
      <c r="AK4206" s="7"/>
      <c r="AL4206" s="7"/>
      <c r="AM4206" s="7"/>
      <c r="AN4206" s="7"/>
      <c r="AO4206" s="7"/>
      <c r="AP4206" s="7"/>
      <c r="AQ4206" s="7"/>
      <c r="AR4206" s="7"/>
      <c r="AS4206" s="7" t="s">
        <v>22</v>
      </c>
    </row>
    <row r="4207">
      <c r="A4207" s="7" t="s">
        <v>1088</v>
      </c>
      <c r="B4207" s="7" t="s">
        <v>56</v>
      </c>
      <c r="C4207" s="7">
        <f t="shared" si="579"/>
        <v>4</v>
      </c>
      <c r="D4207" s="7">
        <v>4.0</v>
      </c>
      <c r="E4207" s="9">
        <v>2.0</v>
      </c>
      <c r="F4207" s="7" t="s">
        <v>30</v>
      </c>
      <c r="G4207" s="7" t="s">
        <v>1718</v>
      </c>
      <c r="H4207" s="9" t="s">
        <v>2979</v>
      </c>
      <c r="I4207" t="s">
        <v>3877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  <c r="AA4207" s="7"/>
      <c r="AB4207" s="7"/>
      <c r="AC4207" s="7"/>
      <c r="AD4207" s="7" t="str">
        <f t="shared" si="1"/>
        <v>Built-up :</v>
      </c>
      <c r="AE4207" s="7" t="str">
        <f t="shared" si="2"/>
        <v> sq. ft.</v>
      </c>
      <c r="AF4207">
        <f>IFERROR(__xludf.DUMMYFUNCTION("VALUE(REGEXREPLACE(G4207,""[^[:digit:]]"", """"))"),1819.0)</f>
        <v>1819</v>
      </c>
      <c r="AG4207" s="7"/>
      <c r="AH4207" s="7"/>
      <c r="AI4207" s="7"/>
      <c r="AJ4207" s="7"/>
      <c r="AK4207" s="7"/>
      <c r="AL4207" s="7"/>
      <c r="AM4207" s="7"/>
      <c r="AN4207" s="7"/>
      <c r="AO4207" s="7"/>
      <c r="AP4207" s="7"/>
      <c r="AQ4207" s="7"/>
      <c r="AR4207" s="7"/>
      <c r="AS4207" s="7" t="s">
        <v>22</v>
      </c>
    </row>
    <row r="4208">
      <c r="A4208" s="7" t="s">
        <v>1088</v>
      </c>
      <c r="B4208" s="7" t="s">
        <v>349</v>
      </c>
      <c r="C4208" s="7">
        <f>3</f>
        <v>3</v>
      </c>
      <c r="D4208" s="7">
        <v>2.0</v>
      </c>
      <c r="E4208" s="9">
        <v>2.0</v>
      </c>
      <c r="F4208" s="7" t="s">
        <v>30</v>
      </c>
      <c r="G4208" s="7" t="s">
        <v>464</v>
      </c>
      <c r="H4208" s="9" t="s">
        <v>2979</v>
      </c>
      <c r="I4208" t="s">
        <v>3174</v>
      </c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  <c r="AA4208" s="7"/>
      <c r="AB4208" s="7"/>
      <c r="AC4208" s="7"/>
      <c r="AD4208" s="7" t="str">
        <f t="shared" si="1"/>
        <v>Built-up :</v>
      </c>
      <c r="AE4208" s="7" t="str">
        <f t="shared" si="2"/>
        <v> sq. ft.</v>
      </c>
      <c r="AF4208">
        <f>IFERROR(__xludf.DUMMYFUNCTION("VALUE(REGEXREPLACE(G4208,""[^[:digit:]]"", """"))"),1367.0)</f>
        <v>1367</v>
      </c>
      <c r="AG4208" s="7"/>
      <c r="AH4208" s="7"/>
      <c r="AI4208" s="7"/>
      <c r="AJ4208" s="7"/>
      <c r="AK4208" s="7"/>
      <c r="AL4208" s="7"/>
      <c r="AM4208" s="7"/>
      <c r="AN4208" s="7"/>
      <c r="AO4208" s="7"/>
      <c r="AP4208" s="7"/>
      <c r="AQ4208" s="7"/>
      <c r="AR4208" s="7"/>
      <c r="AS4208" s="7" t="s">
        <v>22</v>
      </c>
    </row>
    <row r="4209">
      <c r="A4209" s="7" t="s">
        <v>143</v>
      </c>
      <c r="B4209" s="7" t="s">
        <v>87</v>
      </c>
      <c r="C4209" s="7">
        <f>4</f>
        <v>4</v>
      </c>
      <c r="D4209" s="7">
        <v>2.0</v>
      </c>
      <c r="E4209" s="7">
        <v>2.0</v>
      </c>
      <c r="F4209" s="7" t="s">
        <v>83</v>
      </c>
      <c r="G4209" s="7" t="s">
        <v>383</v>
      </c>
      <c r="H4209" s="9" t="s">
        <v>2979</v>
      </c>
      <c r="I4209" t="s">
        <v>3137</v>
      </c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  <c r="AA4209" s="7"/>
      <c r="AB4209" s="7"/>
      <c r="AC4209" s="7"/>
      <c r="AD4209" s="7" t="str">
        <f t="shared" si="1"/>
        <v>Built-up :</v>
      </c>
      <c r="AE4209" s="7" t="str">
        <f t="shared" si="2"/>
        <v> sq. ft.</v>
      </c>
      <c r="AF4209">
        <f>IFERROR(__xludf.DUMMYFUNCTION("VALUE(REGEXREPLACE(G4209,""[^[:digit:]]"", """"))"),1065.0)</f>
        <v>1065</v>
      </c>
      <c r="AG4209" s="7"/>
      <c r="AH4209" s="7"/>
      <c r="AI4209" s="7"/>
      <c r="AJ4209" s="7"/>
      <c r="AK4209" s="7"/>
      <c r="AL4209" s="7"/>
      <c r="AM4209" s="7"/>
      <c r="AN4209" s="7"/>
      <c r="AO4209" s="7"/>
      <c r="AP4209" s="7"/>
      <c r="AQ4209" s="7"/>
      <c r="AR4209" s="7"/>
      <c r="AS4209" s="7" t="s">
        <v>103</v>
      </c>
    </row>
    <row r="4210">
      <c r="A4210" s="7" t="s">
        <v>171</v>
      </c>
      <c r="B4210" s="7" t="s">
        <v>759</v>
      </c>
      <c r="C4210" s="7">
        <f t="shared" ref="C4210:C4211" si="580">3</f>
        <v>3</v>
      </c>
      <c r="D4210" s="7">
        <v>2.0</v>
      </c>
      <c r="E4210" s="7">
        <v>2.0</v>
      </c>
      <c r="F4210" s="7" t="s">
        <v>121</v>
      </c>
      <c r="G4210" s="7" t="s">
        <v>607</v>
      </c>
      <c r="H4210" s="9" t="s">
        <v>2979</v>
      </c>
      <c r="I4210" t="s">
        <v>3245</v>
      </c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  <c r="AA4210" s="7"/>
      <c r="AB4210" s="7"/>
      <c r="AC4210" s="7"/>
      <c r="AD4210" s="7" t="str">
        <f t="shared" si="1"/>
        <v>Built-up :</v>
      </c>
      <c r="AE4210" s="7" t="str">
        <f t="shared" si="2"/>
        <v> sq. ft.</v>
      </c>
      <c r="AF4210">
        <f>IFERROR(__xludf.DUMMYFUNCTION("VALUE(REGEXREPLACE(G4210,""[^[:digit:]]"", """"))"),918.0)</f>
        <v>918</v>
      </c>
      <c r="AG4210" s="7"/>
      <c r="AH4210" s="7"/>
      <c r="AI4210" s="7"/>
      <c r="AJ4210" s="7"/>
      <c r="AK4210" s="7"/>
      <c r="AL4210" s="7"/>
      <c r="AM4210" s="7"/>
      <c r="AN4210" s="7"/>
      <c r="AO4210" s="7"/>
      <c r="AP4210" s="7"/>
      <c r="AQ4210" s="7"/>
      <c r="AR4210" s="7"/>
      <c r="AS4210" s="7" t="s">
        <v>27</v>
      </c>
    </row>
    <row r="4211">
      <c r="A4211" s="7" t="s">
        <v>32</v>
      </c>
      <c r="B4211" s="7" t="s">
        <v>2642</v>
      </c>
      <c r="C4211" s="7">
        <f t="shared" si="580"/>
        <v>3</v>
      </c>
      <c r="D4211" s="7">
        <v>2.0</v>
      </c>
      <c r="E4211" s="7">
        <v>2.0</v>
      </c>
      <c r="F4211" s="7" t="s">
        <v>83</v>
      </c>
      <c r="G4211" s="7" t="s">
        <v>392</v>
      </c>
      <c r="H4211" s="9" t="s">
        <v>2979</v>
      </c>
      <c r="I4211" t="s">
        <v>3141</v>
      </c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  <c r="AA4211" s="7"/>
      <c r="AB4211" s="7"/>
      <c r="AC4211" s="7"/>
      <c r="AD4211" s="7" t="str">
        <f t="shared" si="1"/>
        <v>Built-up :</v>
      </c>
      <c r="AE4211" s="7" t="str">
        <f t="shared" si="2"/>
        <v> sq. ft.</v>
      </c>
      <c r="AF4211">
        <f>IFERROR(__xludf.DUMMYFUNCTION("VALUE(REGEXREPLACE(G4211,""[^[:digit:]]"", """"))"),850.0)</f>
        <v>850</v>
      </c>
      <c r="AG4211" s="7"/>
      <c r="AH4211" s="7"/>
      <c r="AI4211" s="7"/>
      <c r="AJ4211" s="7"/>
      <c r="AK4211" s="7"/>
      <c r="AL4211" s="7"/>
      <c r="AM4211" s="7"/>
      <c r="AN4211" s="7"/>
      <c r="AO4211" s="7"/>
      <c r="AP4211" s="7"/>
      <c r="AQ4211" s="7"/>
      <c r="AR4211" s="7"/>
    </row>
    <row r="4212">
      <c r="A4212" s="7" t="s">
        <v>177</v>
      </c>
      <c r="B4212" s="7" t="s">
        <v>2643</v>
      </c>
      <c r="C4212" s="7">
        <f t="shared" ref="C4212:C4213" si="581">2</f>
        <v>2</v>
      </c>
      <c r="D4212" s="7">
        <v>2.0</v>
      </c>
      <c r="E4212" s="7">
        <v>1.0</v>
      </c>
      <c r="F4212" s="7" t="s">
        <v>20</v>
      </c>
      <c r="G4212" s="7" t="s">
        <v>342</v>
      </c>
      <c r="H4212" s="9" t="s">
        <v>2979</v>
      </c>
      <c r="I4212" t="s">
        <v>3117</v>
      </c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  <c r="AA4212" s="7"/>
      <c r="AB4212" s="7"/>
      <c r="AC4212" s="7"/>
      <c r="AD4212" s="7" t="str">
        <f t="shared" si="1"/>
        <v>Built-up :</v>
      </c>
      <c r="AE4212" s="7" t="str">
        <f t="shared" si="2"/>
        <v> sq. ft.</v>
      </c>
      <c r="AF4212">
        <f>IFERROR(__xludf.DUMMYFUNCTION("VALUE(REGEXREPLACE(G4212,""[^[:digit:]]"", """"))"),1076.0)</f>
        <v>1076</v>
      </c>
      <c r="AG4212" s="7"/>
      <c r="AH4212" s="7"/>
      <c r="AI4212" s="7"/>
      <c r="AJ4212" s="7"/>
      <c r="AK4212" s="7"/>
      <c r="AL4212" s="7"/>
      <c r="AM4212" s="7"/>
      <c r="AN4212" s="7"/>
      <c r="AO4212" s="7"/>
      <c r="AP4212" s="7"/>
      <c r="AQ4212" s="7"/>
      <c r="AR4212" s="7"/>
      <c r="AS4212" s="7" t="s">
        <v>103</v>
      </c>
    </row>
    <row r="4213">
      <c r="A4213" s="7" t="s">
        <v>1241</v>
      </c>
      <c r="B4213" s="7" t="s">
        <v>132</v>
      </c>
      <c r="C4213" s="7">
        <f t="shared" si="581"/>
        <v>2</v>
      </c>
      <c r="D4213" s="7">
        <v>2.0</v>
      </c>
      <c r="E4213" s="9">
        <v>2.0</v>
      </c>
      <c r="F4213" s="7" t="s">
        <v>82</v>
      </c>
      <c r="G4213" s="7" t="s">
        <v>1243</v>
      </c>
      <c r="H4213" s="9" t="s">
        <v>2979</v>
      </c>
      <c r="I4213" t="s">
        <v>3601</v>
      </c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  <c r="AA4213" s="7"/>
      <c r="AB4213" s="7"/>
      <c r="AC4213" s="7"/>
      <c r="AD4213" s="7" t="str">
        <f t="shared" si="1"/>
        <v>Built-up :</v>
      </c>
      <c r="AE4213" s="7" t="str">
        <f t="shared" si="2"/>
        <v> sq. ft.</v>
      </c>
      <c r="AF4213">
        <f>IFERROR(__xludf.DUMMYFUNCTION("VALUE(REGEXREPLACE(G4213,""[^[:digit:]]"", """"))"),1410.0)</f>
        <v>1410</v>
      </c>
      <c r="AG4213" s="7"/>
      <c r="AH4213" s="7"/>
      <c r="AI4213" s="7"/>
      <c r="AJ4213" s="7"/>
      <c r="AK4213" s="7"/>
      <c r="AL4213" s="7"/>
      <c r="AM4213" s="7"/>
      <c r="AN4213" s="7"/>
      <c r="AO4213" s="7"/>
      <c r="AP4213" s="7"/>
      <c r="AQ4213" s="7"/>
      <c r="AR4213" s="7"/>
      <c r="AS4213" s="7" t="s">
        <v>27</v>
      </c>
    </row>
    <row r="4214">
      <c r="A4214" s="7" t="s">
        <v>104</v>
      </c>
      <c r="B4214" s="7" t="s">
        <v>712</v>
      </c>
      <c r="C4214" s="7">
        <f>4</f>
        <v>4</v>
      </c>
      <c r="D4214" s="7">
        <v>4.0</v>
      </c>
      <c r="E4214" s="9">
        <v>2.0</v>
      </c>
      <c r="F4214" s="7" t="s">
        <v>169</v>
      </c>
      <c r="G4214" s="7" t="s">
        <v>91</v>
      </c>
      <c r="H4214" s="9" t="s">
        <v>2981</v>
      </c>
      <c r="I4214" t="s">
        <v>3003</v>
      </c>
      <c r="J4214" s="7"/>
      <c r="K4214" s="7"/>
      <c r="L4214" s="7"/>
      <c r="M4214" s="7"/>
      <c r="N4214" s="7"/>
      <c r="O4214" s="7"/>
      <c r="P4214" s="7"/>
      <c r="Q4214" s="7"/>
      <c r="R4214" s="7"/>
      <c r="S4214" s="7" t="s">
        <v>2990</v>
      </c>
      <c r="T4214" s="7"/>
      <c r="U4214" s="7"/>
      <c r="V4214" s="7"/>
      <c r="W4214" s="7"/>
      <c r="X4214" s="7"/>
      <c r="Y4214" s="7"/>
      <c r="Z4214" s="7"/>
      <c r="AA4214" s="7"/>
      <c r="AB4214" s="7"/>
      <c r="AC4214" s="7"/>
      <c r="AD4214" s="7" t="str">
        <f t="shared" si="1"/>
        <v>Land area </v>
      </c>
      <c r="AE4214" s="7" t="str">
        <f t="shared" si="2"/>
        <v> sq. ft.</v>
      </c>
      <c r="AF4214">
        <f>IFERROR(__xludf.DUMMYFUNCTION("VALUE(REGEXREPLACE(G4214,""[^[:digit:]]"", """"))"),2075.0)</f>
        <v>2075</v>
      </c>
      <c r="AG4214" s="7"/>
      <c r="AH4214" s="7"/>
      <c r="AI4214" s="7"/>
      <c r="AJ4214" s="7"/>
      <c r="AK4214" s="7"/>
      <c r="AL4214" s="7"/>
      <c r="AM4214" s="7"/>
      <c r="AN4214" s="7"/>
      <c r="AO4214" s="7"/>
      <c r="AP4214" s="7"/>
      <c r="AQ4214" s="7"/>
      <c r="AR4214" s="7"/>
      <c r="AS4214" s="7" t="s">
        <v>27</v>
      </c>
    </row>
    <row r="4215">
      <c r="A4215" s="7" t="s">
        <v>72</v>
      </c>
      <c r="B4215" s="7" t="s">
        <v>2644</v>
      </c>
      <c r="C4215" s="7">
        <f t="shared" ref="C4215:C4216" si="582">2</f>
        <v>2</v>
      </c>
      <c r="D4215" s="7">
        <v>2.0</v>
      </c>
      <c r="E4215" s="7">
        <v>2.0</v>
      </c>
      <c r="F4215" s="7" t="s">
        <v>20</v>
      </c>
      <c r="G4215" s="7" t="s">
        <v>2645</v>
      </c>
      <c r="H4215" s="9" t="s">
        <v>2979</v>
      </c>
      <c r="I4215" t="s">
        <v>4449</v>
      </c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  <c r="AA4215" s="7"/>
      <c r="AB4215" s="7"/>
      <c r="AC4215" s="7"/>
      <c r="AD4215" s="7" t="str">
        <f t="shared" si="1"/>
        <v>Built-up :</v>
      </c>
      <c r="AE4215" s="7" t="str">
        <f t="shared" si="2"/>
        <v> sq. ft.</v>
      </c>
      <c r="AF4215">
        <f>IFERROR(__xludf.DUMMYFUNCTION("VALUE(REGEXREPLACE(G4215,""[^[:digit:]]"", """"))"),782.0)</f>
        <v>782</v>
      </c>
      <c r="AG4215" s="7"/>
      <c r="AH4215" s="7"/>
      <c r="AI4215" s="7"/>
      <c r="AJ4215" s="7"/>
      <c r="AK4215" s="7"/>
      <c r="AL4215" s="7"/>
      <c r="AM4215" s="7"/>
      <c r="AN4215" s="7"/>
      <c r="AO4215" s="7"/>
      <c r="AP4215" s="7"/>
      <c r="AQ4215" s="7"/>
      <c r="AR4215" s="7"/>
      <c r="AS4215" s="7" t="s">
        <v>251</v>
      </c>
    </row>
    <row r="4216">
      <c r="A4216" s="7" t="s">
        <v>72</v>
      </c>
      <c r="B4216" s="7" t="s">
        <v>172</v>
      </c>
      <c r="C4216" s="7">
        <f t="shared" si="582"/>
        <v>2</v>
      </c>
      <c r="D4216" s="7">
        <v>1.0</v>
      </c>
      <c r="E4216" s="7">
        <v>1.0</v>
      </c>
      <c r="F4216" s="7" t="s">
        <v>20</v>
      </c>
      <c r="G4216" s="7" t="s">
        <v>2526</v>
      </c>
      <c r="H4216" s="9" t="s">
        <v>2979</v>
      </c>
      <c r="I4216" t="s">
        <v>4376</v>
      </c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  <c r="AA4216" s="7"/>
      <c r="AB4216" s="7"/>
      <c r="AC4216" s="7"/>
      <c r="AD4216" s="7" t="str">
        <f t="shared" si="1"/>
        <v>Built-up :</v>
      </c>
      <c r="AE4216" s="7" t="str">
        <f t="shared" si="2"/>
        <v> sq. ft.</v>
      </c>
      <c r="AF4216">
        <f>IFERROR(__xludf.DUMMYFUNCTION("VALUE(REGEXREPLACE(G4216,""[^[:digit:]]"", """"))"),595.0)</f>
        <v>595</v>
      </c>
      <c r="AG4216" s="7"/>
      <c r="AH4216" s="7"/>
      <c r="AI4216" s="7"/>
      <c r="AJ4216" s="7"/>
      <c r="AK4216" s="7"/>
      <c r="AL4216" s="7"/>
      <c r="AM4216" s="7"/>
      <c r="AN4216" s="7"/>
      <c r="AO4216" s="7"/>
      <c r="AP4216" s="7"/>
      <c r="AQ4216" s="7"/>
      <c r="AR4216" s="7"/>
      <c r="AS4216" s="7" t="s">
        <v>27</v>
      </c>
    </row>
    <row r="4217">
      <c r="A4217" s="7" t="s">
        <v>709</v>
      </c>
      <c r="B4217" s="7" t="s">
        <v>2646</v>
      </c>
      <c r="C4217" s="7">
        <f>2+1</f>
        <v>3</v>
      </c>
      <c r="D4217" s="7">
        <v>2.0</v>
      </c>
      <c r="E4217" s="7">
        <v>1.0</v>
      </c>
      <c r="F4217" s="7" t="s">
        <v>20</v>
      </c>
      <c r="G4217" s="7" t="s">
        <v>1945</v>
      </c>
      <c r="H4217" s="9" t="s">
        <v>2979</v>
      </c>
      <c r="I4217" t="s">
        <v>4013</v>
      </c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  <c r="AA4217" s="7"/>
      <c r="AB4217" s="7"/>
      <c r="AC4217" s="7"/>
      <c r="AD4217" s="7" t="str">
        <f t="shared" si="1"/>
        <v>Built-up :</v>
      </c>
      <c r="AE4217" s="7" t="str">
        <f t="shared" si="2"/>
        <v> sq. ft.</v>
      </c>
      <c r="AF4217">
        <f>IFERROR(__xludf.DUMMYFUNCTION("VALUE(REGEXREPLACE(G4217,""[^[:digit:]]"", """"))"),805.0)</f>
        <v>805</v>
      </c>
      <c r="AG4217" s="7"/>
      <c r="AH4217" s="7"/>
      <c r="AI4217" s="7"/>
      <c r="AJ4217" s="7"/>
      <c r="AK4217" s="7"/>
      <c r="AL4217" s="7"/>
      <c r="AM4217" s="7"/>
      <c r="AN4217" s="7"/>
      <c r="AO4217" s="7"/>
      <c r="AP4217" s="7"/>
      <c r="AQ4217" s="7"/>
      <c r="AR4217" s="7"/>
      <c r="AS4217" s="7" t="s">
        <v>27</v>
      </c>
    </row>
    <row r="4218">
      <c r="A4218" s="7" t="s">
        <v>709</v>
      </c>
      <c r="B4218" s="7" t="s">
        <v>983</v>
      </c>
      <c r="C4218" s="7">
        <f t="shared" ref="C4218:C4219" si="583">1+1</f>
        <v>2</v>
      </c>
      <c r="D4218" s="7">
        <v>1.0</v>
      </c>
      <c r="E4218" s="7">
        <v>1.0</v>
      </c>
      <c r="F4218" s="7" t="s">
        <v>20</v>
      </c>
      <c r="G4218" s="7" t="s">
        <v>242</v>
      </c>
      <c r="H4218" s="9" t="s">
        <v>2979</v>
      </c>
      <c r="I4218" t="s">
        <v>3072</v>
      </c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  <c r="AA4218" s="7"/>
      <c r="AB4218" s="7"/>
      <c r="AC4218" s="7"/>
      <c r="AD4218" s="7" t="str">
        <f t="shared" si="1"/>
        <v>Built-up :</v>
      </c>
      <c r="AE4218" s="7" t="str">
        <f t="shared" si="2"/>
        <v> sq. ft.</v>
      </c>
      <c r="AF4218">
        <f>IFERROR(__xludf.DUMMYFUNCTION("VALUE(REGEXREPLACE(G4218,""[^[:digit:]]"", """"))"),650.0)</f>
        <v>650</v>
      </c>
      <c r="AG4218" s="7"/>
      <c r="AH4218" s="7"/>
      <c r="AI4218" s="7"/>
      <c r="AJ4218" s="7"/>
      <c r="AK4218" s="7"/>
      <c r="AL4218" s="7"/>
      <c r="AM4218" s="7"/>
      <c r="AN4218" s="7"/>
      <c r="AO4218" s="7"/>
      <c r="AP4218" s="7"/>
      <c r="AQ4218" s="7"/>
      <c r="AR4218" s="7"/>
      <c r="AS4218" s="7" t="s">
        <v>27</v>
      </c>
    </row>
    <row r="4219">
      <c r="A4219" s="7" t="s">
        <v>709</v>
      </c>
      <c r="B4219" s="7" t="s">
        <v>639</v>
      </c>
      <c r="C4219" s="7">
        <f t="shared" si="583"/>
        <v>2</v>
      </c>
      <c r="D4219" s="7">
        <v>1.0</v>
      </c>
      <c r="E4219" s="7">
        <v>1.0</v>
      </c>
      <c r="F4219" s="7" t="s">
        <v>20</v>
      </c>
      <c r="G4219" s="7" t="s">
        <v>2647</v>
      </c>
      <c r="H4219" s="9" t="s">
        <v>2979</v>
      </c>
      <c r="I4219" t="s">
        <v>4450</v>
      </c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  <c r="AA4219" s="7"/>
      <c r="AB4219" s="7"/>
      <c r="AC4219" s="7"/>
      <c r="AD4219" s="7" t="str">
        <f t="shared" si="1"/>
        <v>Built-up :</v>
      </c>
      <c r="AE4219" s="7" t="str">
        <f t="shared" si="2"/>
        <v> sq. ft.</v>
      </c>
      <c r="AF4219">
        <f>IFERROR(__xludf.DUMMYFUNCTION("VALUE(REGEXREPLACE(G4219,""[^[:digit:]]"", """"))"),518.0)</f>
        <v>518</v>
      </c>
      <c r="AG4219" s="7"/>
      <c r="AH4219" s="7"/>
      <c r="AI4219" s="7"/>
      <c r="AJ4219" s="7"/>
      <c r="AK4219" s="7"/>
      <c r="AL4219" s="7"/>
      <c r="AM4219" s="7"/>
      <c r="AN4219" s="7"/>
      <c r="AO4219" s="7"/>
      <c r="AP4219" s="7"/>
      <c r="AQ4219" s="7"/>
      <c r="AR4219" s="7"/>
      <c r="AS4219" s="7" t="s">
        <v>27</v>
      </c>
    </row>
    <row r="4220">
      <c r="A4220" s="7" t="s">
        <v>37</v>
      </c>
      <c r="B4220" s="7" t="s">
        <v>322</v>
      </c>
      <c r="C4220" s="7">
        <f>3+1</f>
        <v>4</v>
      </c>
      <c r="D4220" s="7">
        <v>3.0</v>
      </c>
      <c r="E4220" s="7">
        <v>2.0</v>
      </c>
      <c r="F4220" s="7" t="s">
        <v>46</v>
      </c>
      <c r="G4220" s="7" t="s">
        <v>280</v>
      </c>
      <c r="H4220" s="9" t="s">
        <v>2981</v>
      </c>
      <c r="I4220" t="s">
        <v>3037</v>
      </c>
      <c r="J4220" s="7"/>
      <c r="K4220" s="7"/>
      <c r="L4220" s="7"/>
      <c r="M4220" s="7"/>
      <c r="N4220" s="7"/>
      <c r="O4220" s="7"/>
      <c r="P4220" s="7"/>
      <c r="Q4220" s="7"/>
      <c r="R4220" s="7"/>
      <c r="S4220" s="7" t="s">
        <v>2990</v>
      </c>
      <c r="T4220" s="7"/>
      <c r="U4220" s="7"/>
      <c r="V4220" s="7"/>
      <c r="W4220" s="7"/>
      <c r="X4220" s="7"/>
      <c r="Y4220" s="7"/>
      <c r="Z4220" s="7"/>
      <c r="AA4220" s="7"/>
      <c r="AB4220" s="7"/>
      <c r="AC4220" s="7"/>
      <c r="AD4220" s="7" t="str">
        <f t="shared" si="1"/>
        <v>Land area </v>
      </c>
      <c r="AE4220" s="7" t="str">
        <f t="shared" si="2"/>
        <v> sq. ft.</v>
      </c>
      <c r="AF4220">
        <f>IFERROR(__xludf.DUMMYFUNCTION("VALUE(REGEXREPLACE(G4220,""[^[:digit:]]"", """"))"),2475.0)</f>
        <v>2475</v>
      </c>
      <c r="AG4220" s="7"/>
      <c r="AH4220" s="7"/>
      <c r="AI4220" s="7"/>
      <c r="AJ4220" s="7"/>
      <c r="AK4220" s="7"/>
      <c r="AL4220" s="7"/>
      <c r="AM4220" s="7"/>
      <c r="AN4220" s="7"/>
      <c r="AO4220" s="7"/>
      <c r="AP4220" s="7"/>
      <c r="AQ4220" s="7"/>
      <c r="AR4220" s="7"/>
      <c r="AS4220" s="7" t="s">
        <v>27</v>
      </c>
    </row>
    <row r="4221">
      <c r="A4221" s="7" t="s">
        <v>358</v>
      </c>
      <c r="B4221" s="7" t="s">
        <v>2648</v>
      </c>
      <c r="C4221" s="7">
        <f>2</f>
        <v>2</v>
      </c>
      <c r="D4221" s="7">
        <v>2.0</v>
      </c>
      <c r="E4221" s="7">
        <v>1.0</v>
      </c>
      <c r="F4221" s="7" t="s">
        <v>82</v>
      </c>
      <c r="G4221" s="7" t="s">
        <v>2649</v>
      </c>
      <c r="H4221" s="9" t="s">
        <v>2979</v>
      </c>
      <c r="I4221" t="s">
        <v>4451</v>
      </c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  <c r="AA4221" s="7"/>
      <c r="AB4221" s="7"/>
      <c r="AC4221" s="7"/>
      <c r="AD4221" s="7" t="str">
        <f t="shared" si="1"/>
        <v>Built-up :</v>
      </c>
      <c r="AE4221" s="7" t="str">
        <f t="shared" si="2"/>
        <v> sq. ft.</v>
      </c>
      <c r="AF4221">
        <f>IFERROR(__xludf.DUMMYFUNCTION("VALUE(REGEXREPLACE(G4221,""[^[:digit:]]"", """"))"),713.0)</f>
        <v>713</v>
      </c>
      <c r="AG4221" s="7"/>
      <c r="AH4221" s="7"/>
      <c r="AI4221" s="7"/>
      <c r="AJ4221" s="7"/>
      <c r="AK4221" s="7"/>
      <c r="AL4221" s="7"/>
      <c r="AM4221" s="7"/>
      <c r="AN4221" s="7"/>
      <c r="AO4221" s="7"/>
      <c r="AP4221" s="7"/>
      <c r="AQ4221" s="7"/>
      <c r="AR4221" s="7"/>
      <c r="AS4221" s="7" t="s">
        <v>103</v>
      </c>
    </row>
    <row r="4222">
      <c r="A4222" s="7" t="s">
        <v>358</v>
      </c>
      <c r="B4222" s="7" t="s">
        <v>2650</v>
      </c>
      <c r="C4222" s="7">
        <f>4</f>
        <v>4</v>
      </c>
      <c r="D4222" s="7">
        <v>3.0</v>
      </c>
      <c r="E4222" s="7">
        <v>1.0</v>
      </c>
      <c r="F4222" s="7" t="s">
        <v>145</v>
      </c>
      <c r="G4222" s="7" t="s">
        <v>2651</v>
      </c>
      <c r="H4222" s="9" t="s">
        <v>2979</v>
      </c>
      <c r="I4222" t="s">
        <v>4452</v>
      </c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  <c r="AA4222" s="7"/>
      <c r="AB4222" s="7"/>
      <c r="AC4222" s="7"/>
      <c r="AD4222" s="7" t="str">
        <f t="shared" si="1"/>
        <v>Built-up :</v>
      </c>
      <c r="AE4222" s="7" t="str">
        <f t="shared" si="2"/>
        <v> sq. ft.</v>
      </c>
      <c r="AF4222">
        <f>IFERROR(__xludf.DUMMYFUNCTION("VALUE(REGEXREPLACE(G4222,""[^[:digit:]]"", """"))"),1126.0)</f>
        <v>1126</v>
      </c>
      <c r="AG4222" s="7"/>
      <c r="AH4222" s="7"/>
      <c r="AI4222" s="7"/>
      <c r="AJ4222" s="7"/>
      <c r="AK4222" s="7"/>
      <c r="AL4222" s="7"/>
      <c r="AM4222" s="7"/>
      <c r="AN4222" s="7"/>
      <c r="AO4222" s="7"/>
      <c r="AP4222" s="7"/>
      <c r="AQ4222" s="7"/>
      <c r="AR4222" s="7"/>
      <c r="AS4222" s="7" t="s">
        <v>103</v>
      </c>
    </row>
    <row r="4223">
      <c r="A4223" s="7" t="s">
        <v>155</v>
      </c>
      <c r="B4223" s="7" t="s">
        <v>2652</v>
      </c>
      <c r="C4223" s="7">
        <f t="shared" ref="C4223:C4224" si="584">3</f>
        <v>3</v>
      </c>
      <c r="D4223" s="7">
        <v>2.0</v>
      </c>
      <c r="E4223" s="7">
        <v>2.0</v>
      </c>
      <c r="F4223" s="7" t="s">
        <v>82</v>
      </c>
      <c r="G4223" s="7" t="s">
        <v>2353</v>
      </c>
      <c r="H4223" s="9" t="s">
        <v>2979</v>
      </c>
      <c r="I4223" t="s">
        <v>4270</v>
      </c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  <c r="AA4223" s="7"/>
      <c r="AB4223" s="7"/>
      <c r="AC4223" s="7"/>
      <c r="AD4223" s="7" t="str">
        <f t="shared" si="1"/>
        <v>Built-up :</v>
      </c>
      <c r="AE4223" s="7" t="str">
        <f t="shared" si="2"/>
        <v> sq. ft.</v>
      </c>
      <c r="AF4223">
        <f>IFERROR(__xludf.DUMMYFUNCTION("VALUE(REGEXREPLACE(G4223,""[^[:digit:]]"", """"))"),1001.0)</f>
        <v>1001</v>
      </c>
      <c r="AG4223" s="7"/>
      <c r="AH4223" s="7"/>
      <c r="AI4223" s="7"/>
      <c r="AJ4223" s="7"/>
      <c r="AK4223" s="7"/>
      <c r="AL4223" s="7"/>
      <c r="AM4223" s="7"/>
      <c r="AN4223" s="7"/>
      <c r="AO4223" s="7"/>
      <c r="AP4223" s="7"/>
      <c r="AQ4223" s="7"/>
      <c r="AR4223" s="7"/>
      <c r="AS4223" s="7" t="s">
        <v>103</v>
      </c>
    </row>
    <row r="4224">
      <c r="A4224" s="7" t="s">
        <v>155</v>
      </c>
      <c r="B4224" s="7" t="s">
        <v>1978</v>
      </c>
      <c r="C4224" s="7">
        <f t="shared" si="584"/>
        <v>3</v>
      </c>
      <c r="D4224" s="7">
        <v>2.0</v>
      </c>
      <c r="E4224" s="7">
        <v>2.0</v>
      </c>
      <c r="F4224" s="7" t="s">
        <v>121</v>
      </c>
      <c r="G4224" s="7" t="s">
        <v>392</v>
      </c>
      <c r="H4224" s="9" t="s">
        <v>2979</v>
      </c>
      <c r="I4224" t="s">
        <v>3141</v>
      </c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  <c r="AA4224" s="7"/>
      <c r="AB4224" s="7"/>
      <c r="AC4224" s="7"/>
      <c r="AD4224" s="7" t="str">
        <f t="shared" si="1"/>
        <v>Built-up :</v>
      </c>
      <c r="AE4224" s="7" t="str">
        <f t="shared" si="2"/>
        <v> sq. ft.</v>
      </c>
      <c r="AF4224">
        <f>IFERROR(__xludf.DUMMYFUNCTION("VALUE(REGEXREPLACE(G4224,""[^[:digit:]]"", """"))"),850.0)</f>
        <v>850</v>
      </c>
      <c r="AG4224" s="7"/>
      <c r="AH4224" s="7"/>
      <c r="AI4224" s="7"/>
      <c r="AJ4224" s="7"/>
      <c r="AK4224" s="7"/>
      <c r="AL4224" s="7"/>
      <c r="AM4224" s="7"/>
      <c r="AN4224" s="7"/>
      <c r="AO4224" s="7"/>
      <c r="AP4224" s="7"/>
      <c r="AQ4224" s="7"/>
      <c r="AR4224" s="7"/>
      <c r="AS4224" s="7" t="s">
        <v>103</v>
      </c>
    </row>
    <row r="4225">
      <c r="A4225" s="7" t="s">
        <v>155</v>
      </c>
      <c r="B4225" s="7" t="s">
        <v>2653</v>
      </c>
      <c r="C4225" s="7">
        <f t="shared" ref="C4225:C4226" si="585">2</f>
        <v>2</v>
      </c>
      <c r="D4225" s="7">
        <v>2.0</v>
      </c>
      <c r="E4225" s="7">
        <v>1.0</v>
      </c>
      <c r="F4225" s="7" t="s">
        <v>82</v>
      </c>
      <c r="G4225" s="7" t="s">
        <v>753</v>
      </c>
      <c r="H4225" s="9" t="s">
        <v>2979</v>
      </c>
      <c r="I4225" t="s">
        <v>3319</v>
      </c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  <c r="AA4225" s="7"/>
      <c r="AB4225" s="7"/>
      <c r="AC4225" s="7"/>
      <c r="AD4225" s="7" t="str">
        <f t="shared" si="1"/>
        <v>Built-up :</v>
      </c>
      <c r="AE4225" s="7" t="str">
        <f t="shared" si="2"/>
        <v> sq. ft.</v>
      </c>
      <c r="AF4225">
        <f>IFERROR(__xludf.DUMMYFUNCTION("VALUE(REGEXREPLACE(G4225,""[^[:digit:]]"", """"))"),743.0)</f>
        <v>743</v>
      </c>
      <c r="AG4225" s="7"/>
      <c r="AH4225" s="7"/>
      <c r="AI4225" s="7"/>
      <c r="AJ4225" s="7"/>
      <c r="AK4225" s="7"/>
      <c r="AL4225" s="7"/>
      <c r="AM4225" s="7"/>
      <c r="AN4225" s="7"/>
      <c r="AO4225" s="7"/>
      <c r="AP4225" s="7"/>
      <c r="AQ4225" s="7"/>
      <c r="AR4225" s="7"/>
      <c r="AS4225" s="7" t="s">
        <v>103</v>
      </c>
    </row>
    <row r="4226">
      <c r="A4226" s="7" t="s">
        <v>155</v>
      </c>
      <c r="B4226" s="7" t="s">
        <v>2654</v>
      </c>
      <c r="C4226" s="7">
        <f t="shared" si="585"/>
        <v>2</v>
      </c>
      <c r="D4226" s="7">
        <v>1.0</v>
      </c>
      <c r="E4226" s="7">
        <v>1.0</v>
      </c>
      <c r="F4226" s="7" t="s">
        <v>82</v>
      </c>
      <c r="G4226" s="7" t="s">
        <v>583</v>
      </c>
      <c r="H4226" s="9" t="s">
        <v>2979</v>
      </c>
      <c r="I4226" t="s">
        <v>3235</v>
      </c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  <c r="AA4226" s="7"/>
      <c r="AB4226" s="7"/>
      <c r="AC4226" s="7"/>
      <c r="AD4226" s="7" t="str">
        <f t="shared" si="1"/>
        <v>Built-up :</v>
      </c>
      <c r="AE4226" s="7" t="str">
        <f t="shared" si="2"/>
        <v> sq. ft.</v>
      </c>
      <c r="AF4226">
        <f>IFERROR(__xludf.DUMMYFUNCTION("VALUE(REGEXREPLACE(G4226,""[^[:digit:]]"", """"))"),721.0)</f>
        <v>721</v>
      </c>
      <c r="AG4226" s="7"/>
      <c r="AH4226" s="7"/>
      <c r="AI4226" s="7"/>
      <c r="AJ4226" s="7"/>
      <c r="AK4226" s="7"/>
      <c r="AL4226" s="7"/>
      <c r="AM4226" s="7"/>
      <c r="AN4226" s="7"/>
      <c r="AO4226" s="7"/>
      <c r="AP4226" s="7"/>
      <c r="AQ4226" s="7"/>
      <c r="AR4226" s="7"/>
      <c r="AS4226" s="7" t="s">
        <v>103</v>
      </c>
    </row>
    <row r="4227">
      <c r="A4227" s="7" t="s">
        <v>86</v>
      </c>
      <c r="B4227" s="7" t="s">
        <v>2655</v>
      </c>
      <c r="C4227" s="7">
        <f t="shared" ref="C4227:C4228" si="586">2+1</f>
        <v>3</v>
      </c>
      <c r="D4227" s="7">
        <v>2.0</v>
      </c>
      <c r="E4227" s="7">
        <v>1.0</v>
      </c>
      <c r="F4227" s="7" t="s">
        <v>2364</v>
      </c>
      <c r="G4227" s="7" t="s">
        <v>2656</v>
      </c>
      <c r="H4227" s="9" t="s">
        <v>2979</v>
      </c>
      <c r="I4227" t="s">
        <v>3647</v>
      </c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  <c r="AA4227" s="7"/>
      <c r="AB4227" s="7"/>
      <c r="AC4227" s="7"/>
      <c r="AD4227" s="7" t="str">
        <f t="shared" si="1"/>
        <v>Built-up :</v>
      </c>
      <c r="AE4227" s="7" t="str">
        <f t="shared" si="2"/>
        <v> sq. ft.</v>
      </c>
      <c r="AF4227">
        <f>IFERROR(__xludf.DUMMYFUNCTION("VALUE(REGEXREPLACE(G4227,""[^[:digit:]]"", """"))"),592.0)</f>
        <v>592</v>
      </c>
      <c r="AG4227" s="7"/>
      <c r="AH4227" s="7"/>
      <c r="AI4227" s="7"/>
      <c r="AJ4227" s="7"/>
      <c r="AK4227" s="7"/>
      <c r="AL4227" s="7"/>
      <c r="AM4227" s="7"/>
      <c r="AN4227" s="7"/>
      <c r="AO4227" s="7"/>
      <c r="AP4227" s="7"/>
      <c r="AQ4227" s="7"/>
      <c r="AR4227" s="7"/>
      <c r="AS4227" s="7" t="s">
        <v>27</v>
      </c>
    </row>
    <row r="4228">
      <c r="A4228" s="7" t="s">
        <v>86</v>
      </c>
      <c r="B4228" s="7" t="s">
        <v>2657</v>
      </c>
      <c r="C4228" s="7">
        <f t="shared" si="586"/>
        <v>3</v>
      </c>
      <c r="D4228" s="7">
        <v>2.0</v>
      </c>
      <c r="E4228" s="7">
        <v>1.0</v>
      </c>
      <c r="F4228" s="7" t="s">
        <v>2364</v>
      </c>
      <c r="G4228" s="7" t="s">
        <v>583</v>
      </c>
      <c r="H4228" s="9" t="s">
        <v>2979</v>
      </c>
      <c r="I4228" t="s">
        <v>3235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  <c r="AA4228" s="7"/>
      <c r="AB4228" s="7"/>
      <c r="AC4228" s="7"/>
      <c r="AD4228" s="7" t="str">
        <f t="shared" si="1"/>
        <v>Built-up :</v>
      </c>
      <c r="AE4228" s="7" t="str">
        <f t="shared" si="2"/>
        <v> sq. ft.</v>
      </c>
      <c r="AF4228">
        <f>IFERROR(__xludf.DUMMYFUNCTION("VALUE(REGEXREPLACE(G4228,""[^[:digit:]]"", """"))"),721.0)</f>
        <v>721</v>
      </c>
      <c r="AG4228" s="7"/>
      <c r="AH4228" s="7"/>
      <c r="AI4228" s="7"/>
      <c r="AJ4228" s="7"/>
      <c r="AK4228" s="7"/>
      <c r="AL4228" s="7"/>
      <c r="AM4228" s="7"/>
      <c r="AN4228" s="7"/>
      <c r="AO4228" s="7"/>
      <c r="AP4228" s="7"/>
      <c r="AQ4228" s="7"/>
      <c r="AR4228" s="7"/>
      <c r="AS4228" s="7" t="s">
        <v>27</v>
      </c>
    </row>
    <row r="4229">
      <c r="A4229" s="7" t="s">
        <v>86</v>
      </c>
      <c r="B4229" s="7" t="s">
        <v>2658</v>
      </c>
      <c r="C4229" s="7" t="s">
        <v>325</v>
      </c>
      <c r="D4229" s="7">
        <v>1.0</v>
      </c>
      <c r="E4229" s="7">
        <v>1.0</v>
      </c>
      <c r="F4229" s="7" t="s">
        <v>50</v>
      </c>
      <c r="G4229" s="7" t="s">
        <v>754</v>
      </c>
      <c r="H4229" s="9" t="s">
        <v>2979</v>
      </c>
      <c r="I4229" t="s">
        <v>3320</v>
      </c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  <c r="AA4229" s="7"/>
      <c r="AB4229" s="7"/>
      <c r="AC4229" s="7"/>
      <c r="AD4229" s="7" t="str">
        <f t="shared" si="1"/>
        <v>Built-up :</v>
      </c>
      <c r="AE4229" s="7" t="str">
        <f t="shared" si="2"/>
        <v> sq. ft.</v>
      </c>
      <c r="AF4229">
        <f>IFERROR(__xludf.DUMMYFUNCTION("VALUE(REGEXREPLACE(G4229,""[^[:digit:]]"", """"))"),452.0)</f>
        <v>452</v>
      </c>
      <c r="AG4229" s="7"/>
      <c r="AH4229" s="7"/>
      <c r="AI4229" s="7"/>
      <c r="AJ4229" s="7"/>
      <c r="AK4229" s="7"/>
      <c r="AL4229" s="7"/>
      <c r="AM4229" s="7"/>
      <c r="AN4229" s="7"/>
      <c r="AO4229" s="7"/>
      <c r="AP4229" s="7"/>
      <c r="AQ4229" s="7"/>
      <c r="AR4229" s="7"/>
      <c r="AS4229" s="7" t="s">
        <v>27</v>
      </c>
    </row>
    <row r="4230">
      <c r="A4230" s="7" t="s">
        <v>86</v>
      </c>
      <c r="B4230" s="7" t="s">
        <v>1423</v>
      </c>
      <c r="C4230" s="7">
        <f>1+1</f>
        <v>2</v>
      </c>
      <c r="D4230" s="7">
        <v>1.0</v>
      </c>
      <c r="E4230" s="7">
        <v>1.0</v>
      </c>
      <c r="F4230" s="7" t="s">
        <v>2364</v>
      </c>
      <c r="G4230" s="7" t="s">
        <v>355</v>
      </c>
      <c r="H4230" s="9" t="s">
        <v>2979</v>
      </c>
      <c r="I4230" t="s">
        <v>3123</v>
      </c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  <c r="AA4230" s="7"/>
      <c r="AB4230" s="7"/>
      <c r="AC4230" s="7"/>
      <c r="AD4230" s="7" t="str">
        <f t="shared" si="1"/>
        <v>Built-up :</v>
      </c>
      <c r="AE4230" s="7" t="str">
        <f t="shared" si="2"/>
        <v> sq. ft.</v>
      </c>
      <c r="AF4230">
        <f>IFERROR(__xludf.DUMMYFUNCTION("VALUE(REGEXREPLACE(G4230,""[^[:digit:]]"", """"))"),495.0)</f>
        <v>495</v>
      </c>
      <c r="AG4230" s="7"/>
      <c r="AH4230" s="7"/>
      <c r="AI4230" s="7"/>
      <c r="AJ4230" s="7"/>
      <c r="AK4230" s="7"/>
      <c r="AL4230" s="7"/>
      <c r="AM4230" s="7"/>
      <c r="AN4230" s="7"/>
      <c r="AO4230" s="7"/>
      <c r="AP4230" s="7"/>
      <c r="AQ4230" s="7"/>
      <c r="AR4230" s="7"/>
      <c r="AS4230" s="7" t="s">
        <v>27</v>
      </c>
    </row>
    <row r="4231">
      <c r="A4231" s="7" t="s">
        <v>100</v>
      </c>
      <c r="B4231" s="7" t="s">
        <v>2659</v>
      </c>
      <c r="C4231" s="7">
        <f t="shared" ref="C4231:C4233" si="587">2</f>
        <v>2</v>
      </c>
      <c r="D4231" s="7">
        <v>2.0</v>
      </c>
      <c r="E4231" s="7">
        <v>1.0</v>
      </c>
      <c r="F4231" s="7" t="s">
        <v>121</v>
      </c>
      <c r="G4231" s="7" t="s">
        <v>910</v>
      </c>
      <c r="H4231" s="9" t="s">
        <v>2979</v>
      </c>
      <c r="I4231" t="s">
        <v>3401</v>
      </c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  <c r="AA4231" s="7"/>
      <c r="AB4231" s="7"/>
      <c r="AC4231" s="7"/>
      <c r="AD4231" s="7" t="str">
        <f t="shared" si="1"/>
        <v>Built-up :</v>
      </c>
      <c r="AE4231" s="7" t="str">
        <f t="shared" si="2"/>
        <v> sq. ft.</v>
      </c>
      <c r="AF4231">
        <f>IFERROR(__xludf.DUMMYFUNCTION("VALUE(REGEXREPLACE(G4231,""[^[:digit:]]"", """"))"),858.0)</f>
        <v>858</v>
      </c>
      <c r="AG4231" s="7"/>
      <c r="AH4231" s="7"/>
      <c r="AI4231" s="7"/>
      <c r="AJ4231" s="7"/>
      <c r="AK4231" s="7"/>
      <c r="AL4231" s="7"/>
      <c r="AM4231" s="7"/>
      <c r="AN4231" s="7"/>
      <c r="AO4231" s="7"/>
      <c r="AP4231" s="7"/>
      <c r="AQ4231" s="7"/>
      <c r="AR4231" s="7"/>
      <c r="AS4231" s="7" t="s">
        <v>103</v>
      </c>
    </row>
    <row r="4232">
      <c r="A4232" s="7" t="s">
        <v>100</v>
      </c>
      <c r="B4232" s="7" t="s">
        <v>361</v>
      </c>
      <c r="C4232" s="7">
        <f t="shared" si="587"/>
        <v>2</v>
      </c>
      <c r="D4232" s="7">
        <v>2.0</v>
      </c>
      <c r="E4232" s="7">
        <v>1.0</v>
      </c>
      <c r="F4232" s="7" t="s">
        <v>82</v>
      </c>
      <c r="G4232" s="7" t="s">
        <v>1824</v>
      </c>
      <c r="H4232" s="9" t="s">
        <v>2979</v>
      </c>
      <c r="I4232" t="s">
        <v>3941</v>
      </c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  <c r="AA4232" s="7"/>
      <c r="AB4232" s="7"/>
      <c r="AC4232" s="7"/>
      <c r="AD4232" s="7" t="str">
        <f t="shared" si="1"/>
        <v>Built-up :</v>
      </c>
      <c r="AE4232" s="7" t="str">
        <f t="shared" si="2"/>
        <v> sq. ft.</v>
      </c>
      <c r="AF4232">
        <f>IFERROR(__xludf.DUMMYFUNCTION("VALUE(REGEXREPLACE(G4232,""[^[:digit:]]"", """"))"),798.0)</f>
        <v>798</v>
      </c>
      <c r="AG4232" s="7"/>
      <c r="AH4232" s="7"/>
      <c r="AI4232" s="7"/>
      <c r="AJ4232" s="7"/>
      <c r="AK4232" s="7"/>
      <c r="AL4232" s="7"/>
      <c r="AM4232" s="7"/>
      <c r="AN4232" s="7"/>
      <c r="AO4232" s="7"/>
      <c r="AP4232" s="7"/>
      <c r="AQ4232" s="7"/>
      <c r="AR4232" s="7"/>
      <c r="AS4232" s="7" t="s">
        <v>103</v>
      </c>
    </row>
    <row r="4233">
      <c r="A4233" s="7" t="s">
        <v>100</v>
      </c>
      <c r="B4233" s="7" t="s">
        <v>2660</v>
      </c>
      <c r="C4233" s="7">
        <f t="shared" si="587"/>
        <v>2</v>
      </c>
      <c r="D4233" s="7">
        <v>2.0</v>
      </c>
      <c r="E4233" s="7">
        <v>1.0</v>
      </c>
      <c r="F4233" s="7" t="s">
        <v>82</v>
      </c>
      <c r="G4233" s="7" t="s">
        <v>198</v>
      </c>
      <c r="H4233" s="9" t="s">
        <v>2979</v>
      </c>
      <c r="I4233" t="s">
        <v>3048</v>
      </c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  <c r="AA4233" s="7"/>
      <c r="AB4233" s="7"/>
      <c r="AC4233" s="7"/>
      <c r="AD4233" s="7" t="str">
        <f t="shared" si="1"/>
        <v>Built-up :</v>
      </c>
      <c r="AE4233" s="7" t="str">
        <f t="shared" si="2"/>
        <v> sq. ft.</v>
      </c>
      <c r="AF4233">
        <f>IFERROR(__xludf.DUMMYFUNCTION("VALUE(REGEXREPLACE(G4233,""[^[:digit:]]"", """"))"),797.0)</f>
        <v>797</v>
      </c>
      <c r="AG4233" s="7"/>
      <c r="AH4233" s="7"/>
      <c r="AI4233" s="7"/>
      <c r="AJ4233" s="7"/>
      <c r="AK4233" s="7"/>
      <c r="AL4233" s="7"/>
      <c r="AM4233" s="7"/>
      <c r="AN4233" s="7"/>
      <c r="AO4233" s="7"/>
      <c r="AP4233" s="7"/>
      <c r="AQ4233" s="7"/>
      <c r="AR4233" s="7"/>
      <c r="AS4233" s="7" t="s">
        <v>103</v>
      </c>
    </row>
    <row r="4234">
      <c r="A4234" s="7" t="s">
        <v>72</v>
      </c>
      <c r="B4234" s="7" t="s">
        <v>2661</v>
      </c>
      <c r="D4234" s="7">
        <v>2.0</v>
      </c>
      <c r="E4234" s="7">
        <v>2.0</v>
      </c>
      <c r="F4234" s="7" t="s">
        <v>20</v>
      </c>
      <c r="G4234" s="7" t="s">
        <v>2662</v>
      </c>
      <c r="H4234" s="9" t="s">
        <v>2979</v>
      </c>
      <c r="I4234" t="s">
        <v>4453</v>
      </c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  <c r="AA4234" s="7"/>
      <c r="AB4234" s="7"/>
      <c r="AC4234" s="7"/>
      <c r="AD4234" s="7" t="str">
        <f t="shared" si="1"/>
        <v>Built-up :</v>
      </c>
      <c r="AE4234" s="7" t="str">
        <f t="shared" si="2"/>
        <v> sq. ft.</v>
      </c>
      <c r="AF4234">
        <f>IFERROR(__xludf.DUMMYFUNCTION("VALUE(REGEXREPLACE(G4234,""[^[:digit:]]"", """"))"),886.0)</f>
        <v>886</v>
      </c>
      <c r="AG4234" s="7"/>
      <c r="AH4234" s="7"/>
      <c r="AI4234" s="7"/>
      <c r="AJ4234" s="7"/>
      <c r="AK4234" s="7"/>
      <c r="AL4234" s="7"/>
      <c r="AM4234" s="7"/>
      <c r="AN4234" s="7"/>
      <c r="AO4234" s="7"/>
      <c r="AP4234" s="7"/>
      <c r="AQ4234" s="7"/>
      <c r="AR4234" s="7"/>
      <c r="AS4234" s="7" t="s">
        <v>27</v>
      </c>
    </row>
    <row r="4235">
      <c r="A4235" s="7" t="s">
        <v>32</v>
      </c>
      <c r="C4235" s="7">
        <f>3</f>
        <v>3</v>
      </c>
      <c r="D4235" s="7">
        <v>2.0</v>
      </c>
      <c r="E4235" s="7">
        <v>2.0</v>
      </c>
      <c r="F4235" s="7" t="s">
        <v>83</v>
      </c>
      <c r="G4235" s="7" t="s">
        <v>1907</v>
      </c>
      <c r="H4235" s="9" t="s">
        <v>2979</v>
      </c>
      <c r="I4235" t="s">
        <v>3993</v>
      </c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  <c r="AA4235" s="7"/>
      <c r="AB4235" s="7"/>
      <c r="AC4235" s="7"/>
      <c r="AD4235" s="7" t="str">
        <f t="shared" si="1"/>
        <v>Built-up :</v>
      </c>
      <c r="AE4235" s="7" t="str">
        <f t="shared" si="2"/>
        <v> sq. ft.</v>
      </c>
      <c r="AF4235">
        <f>IFERROR(__xludf.DUMMYFUNCTION("VALUE(REGEXREPLACE(G4235,""[^[:digit:]]"", """"))"),860.0)</f>
        <v>860</v>
      </c>
      <c r="AG4235" s="7"/>
      <c r="AH4235" s="7"/>
      <c r="AI4235" s="7"/>
      <c r="AJ4235" s="7"/>
      <c r="AK4235" s="7"/>
      <c r="AL4235" s="7"/>
      <c r="AM4235" s="7"/>
      <c r="AN4235" s="7"/>
      <c r="AO4235" s="7"/>
      <c r="AP4235" s="7"/>
      <c r="AQ4235" s="7"/>
      <c r="AR4235" s="7"/>
      <c r="AS4235" s="7" t="s">
        <v>22</v>
      </c>
    </row>
    <row r="4236">
      <c r="A4236" s="7" t="s">
        <v>89</v>
      </c>
      <c r="B4236" s="7" t="s">
        <v>691</v>
      </c>
      <c r="C4236" s="7">
        <f>2</f>
        <v>2</v>
      </c>
      <c r="D4236" s="7">
        <v>2.0</v>
      </c>
      <c r="E4236" s="9">
        <v>2.0</v>
      </c>
      <c r="F4236" s="7" t="s">
        <v>20</v>
      </c>
      <c r="G4236" s="7" t="s">
        <v>242</v>
      </c>
      <c r="H4236" s="9" t="s">
        <v>2979</v>
      </c>
      <c r="I4236" t="s">
        <v>3072</v>
      </c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  <c r="AA4236" s="7"/>
      <c r="AB4236" s="7"/>
      <c r="AC4236" s="7"/>
      <c r="AD4236" s="7" t="str">
        <f t="shared" si="1"/>
        <v>Built-up :</v>
      </c>
      <c r="AE4236" s="7" t="str">
        <f t="shared" si="2"/>
        <v> sq. ft.</v>
      </c>
      <c r="AF4236">
        <f>IFERROR(__xludf.DUMMYFUNCTION("VALUE(REGEXREPLACE(G4236,""[^[:digit:]]"", """"))"),650.0)</f>
        <v>650</v>
      </c>
      <c r="AG4236" s="7"/>
      <c r="AH4236" s="7"/>
      <c r="AI4236" s="7"/>
      <c r="AJ4236" s="7"/>
      <c r="AK4236" s="7"/>
      <c r="AL4236" s="7"/>
      <c r="AM4236" s="7"/>
      <c r="AN4236" s="7"/>
      <c r="AO4236" s="7"/>
      <c r="AP4236" s="7"/>
      <c r="AQ4236" s="7"/>
      <c r="AR4236" s="7"/>
      <c r="AS4236" s="7" t="s">
        <v>22</v>
      </c>
    </row>
    <row r="4237">
      <c r="A4237" s="7" t="s">
        <v>89</v>
      </c>
      <c r="B4237" s="7" t="s">
        <v>353</v>
      </c>
      <c r="C4237" s="7">
        <f>3</f>
        <v>3</v>
      </c>
      <c r="D4237" s="7">
        <v>3.0</v>
      </c>
      <c r="E4237" s="7">
        <v>2.0</v>
      </c>
      <c r="F4237" s="7" t="s">
        <v>20</v>
      </c>
      <c r="G4237" s="7" t="s">
        <v>254</v>
      </c>
      <c r="H4237" s="9" t="s">
        <v>2979</v>
      </c>
      <c r="I4237" t="s">
        <v>3078</v>
      </c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  <c r="AA4237" s="7"/>
      <c r="AB4237" s="7"/>
      <c r="AC4237" s="7"/>
      <c r="AD4237" s="7" t="str">
        <f t="shared" si="1"/>
        <v>Built-up :</v>
      </c>
      <c r="AE4237" s="7" t="str">
        <f t="shared" si="2"/>
        <v> sq. ft.</v>
      </c>
      <c r="AF4237">
        <f>IFERROR(__xludf.DUMMYFUNCTION("VALUE(REGEXREPLACE(G4237,""[^[:digit:]]"", """"))"),1045.0)</f>
        <v>1045</v>
      </c>
      <c r="AG4237" s="7"/>
      <c r="AH4237" s="7"/>
      <c r="AI4237" s="7"/>
      <c r="AJ4237" s="7"/>
      <c r="AK4237" s="7"/>
      <c r="AL4237" s="7"/>
      <c r="AM4237" s="7"/>
      <c r="AN4237" s="7"/>
      <c r="AO4237" s="7"/>
      <c r="AP4237" s="7"/>
      <c r="AQ4237" s="7"/>
      <c r="AR4237" s="7"/>
    </row>
    <row r="4238">
      <c r="A4238" s="7" t="s">
        <v>109</v>
      </c>
      <c r="B4238" s="7" t="s">
        <v>890</v>
      </c>
      <c r="C4238" s="7">
        <f>2+1</f>
        <v>3</v>
      </c>
      <c r="D4238" s="7">
        <v>2.0</v>
      </c>
      <c r="E4238" s="7">
        <v>2.0</v>
      </c>
      <c r="F4238" s="7" t="s">
        <v>20</v>
      </c>
      <c r="G4238" s="7" t="s">
        <v>2663</v>
      </c>
      <c r="H4238" s="9" t="s">
        <v>2979</v>
      </c>
      <c r="I4238" t="s">
        <v>4454</v>
      </c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  <c r="AA4238" s="7"/>
      <c r="AB4238" s="7"/>
      <c r="AC4238" s="7"/>
      <c r="AD4238" s="7" t="str">
        <f t="shared" si="1"/>
        <v>Built-up :</v>
      </c>
      <c r="AE4238" s="7" t="str">
        <f t="shared" si="2"/>
        <v> sq. ft.</v>
      </c>
      <c r="AF4238">
        <f>IFERROR(__xludf.DUMMYFUNCTION("VALUE(REGEXREPLACE(G4238,""[^[:digit:]]"", """"))"),957.0)</f>
        <v>957</v>
      </c>
      <c r="AG4238" s="7"/>
      <c r="AH4238" s="7"/>
      <c r="AI4238" s="7"/>
      <c r="AJ4238" s="7"/>
      <c r="AK4238" s="7"/>
      <c r="AL4238" s="7"/>
      <c r="AM4238" s="7"/>
      <c r="AN4238" s="7"/>
      <c r="AO4238" s="7"/>
      <c r="AP4238" s="7"/>
      <c r="AQ4238" s="7"/>
      <c r="AR4238" s="7"/>
    </row>
    <row r="4239">
      <c r="A4239" s="7" t="s">
        <v>23</v>
      </c>
      <c r="B4239" s="7" t="s">
        <v>120</v>
      </c>
      <c r="C4239" s="7">
        <f>5+1</f>
        <v>6</v>
      </c>
      <c r="D4239" s="7">
        <v>4.0</v>
      </c>
      <c r="E4239" s="7">
        <v>6.0</v>
      </c>
      <c r="F4239" s="7" t="s">
        <v>25</v>
      </c>
      <c r="G4239" s="7" t="s">
        <v>219</v>
      </c>
      <c r="H4239" s="9" t="s">
        <v>2981</v>
      </c>
      <c r="I4239" t="s">
        <v>3059</v>
      </c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  <c r="AA4239" s="7"/>
      <c r="AB4239" s="7"/>
      <c r="AC4239" s="7"/>
      <c r="AD4239" s="7" t="str">
        <f t="shared" si="1"/>
        <v>Land area </v>
      </c>
      <c r="AE4239" s="7" t="str">
        <f t="shared" si="2"/>
        <v> sq. ft.</v>
      </c>
      <c r="AF4239">
        <f>IFERROR(__xludf.DUMMYFUNCTION("VALUE(REGEXREPLACE(G4239,""[^[:digit:]]"", """"))"),7000.0)</f>
        <v>7000</v>
      </c>
      <c r="AG4239" s="7"/>
      <c r="AH4239" s="7"/>
      <c r="AI4239" s="7"/>
      <c r="AJ4239" s="7"/>
      <c r="AK4239" s="7"/>
      <c r="AL4239" s="7"/>
      <c r="AM4239" s="7"/>
      <c r="AN4239" s="7"/>
      <c r="AO4239" s="7"/>
      <c r="AP4239" s="7"/>
      <c r="AQ4239" s="7"/>
      <c r="AR4239" s="7"/>
    </row>
    <row r="4240">
      <c r="A4240" s="7" t="s">
        <v>241</v>
      </c>
      <c r="B4240" s="7" t="s">
        <v>49</v>
      </c>
      <c r="C4240" s="7">
        <f t="shared" ref="C4240:C4241" si="588">3</f>
        <v>3</v>
      </c>
      <c r="D4240" s="7">
        <v>2.0</v>
      </c>
      <c r="E4240" s="7">
        <v>1.0</v>
      </c>
      <c r="F4240" s="7" t="s">
        <v>20</v>
      </c>
      <c r="G4240" s="7" t="s">
        <v>976</v>
      </c>
      <c r="H4240" s="9" t="s">
        <v>2979</v>
      </c>
      <c r="I4240" t="s">
        <v>3432</v>
      </c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  <c r="AA4240" s="7"/>
      <c r="AB4240" s="7"/>
      <c r="AC4240" s="7"/>
      <c r="AD4240" s="7" t="str">
        <f t="shared" si="1"/>
        <v>Built-up :</v>
      </c>
      <c r="AE4240" s="7" t="str">
        <f t="shared" si="2"/>
        <v> sq. ft.</v>
      </c>
      <c r="AF4240">
        <f>IFERROR(__xludf.DUMMYFUNCTION("VALUE(REGEXREPLACE(G4240,""[^[:digit:]]"", """"))"),920.0)</f>
        <v>920</v>
      </c>
      <c r="AG4240" s="7"/>
      <c r="AH4240" s="7"/>
      <c r="AI4240" s="7"/>
      <c r="AJ4240" s="7"/>
      <c r="AK4240" s="7"/>
      <c r="AL4240" s="7"/>
      <c r="AM4240" s="7"/>
      <c r="AN4240" s="7"/>
      <c r="AO4240" s="7"/>
      <c r="AP4240" s="7"/>
      <c r="AQ4240" s="7"/>
      <c r="AR4240" s="7"/>
      <c r="AS4240" s="7" t="s">
        <v>22</v>
      </c>
    </row>
    <row r="4241">
      <c r="A4241" s="7" t="s">
        <v>241</v>
      </c>
      <c r="B4241" s="7" t="s">
        <v>1258</v>
      </c>
      <c r="C4241" s="7">
        <f t="shared" si="588"/>
        <v>3</v>
      </c>
      <c r="D4241" s="7">
        <v>2.0</v>
      </c>
      <c r="E4241" s="7">
        <v>1.0</v>
      </c>
      <c r="F4241" s="7" t="s">
        <v>83</v>
      </c>
      <c r="G4241" s="7" t="s">
        <v>2664</v>
      </c>
      <c r="H4241" s="9" t="s">
        <v>2979</v>
      </c>
      <c r="I4241" t="s">
        <v>4455</v>
      </c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  <c r="AA4241" s="7"/>
      <c r="AB4241" s="7"/>
      <c r="AC4241" s="7"/>
      <c r="AD4241" s="7" t="str">
        <f t="shared" si="1"/>
        <v>Built-up :</v>
      </c>
      <c r="AE4241" s="7" t="str">
        <f t="shared" si="2"/>
        <v> sq. ft.</v>
      </c>
      <c r="AF4241">
        <f>IFERROR(__xludf.DUMMYFUNCTION("VALUE(REGEXREPLACE(G4241,""[^[:digit:]]"", """"))"),1132.0)</f>
        <v>1132</v>
      </c>
      <c r="AG4241" s="7"/>
      <c r="AH4241" s="7"/>
      <c r="AI4241" s="7"/>
      <c r="AJ4241" s="7"/>
      <c r="AK4241" s="7"/>
      <c r="AL4241" s="7"/>
      <c r="AM4241" s="7"/>
      <c r="AN4241" s="7"/>
      <c r="AO4241" s="7"/>
      <c r="AP4241" s="7"/>
      <c r="AQ4241" s="7"/>
      <c r="AR4241" s="7"/>
    </row>
    <row r="4242">
      <c r="A4242" s="7" t="s">
        <v>1960</v>
      </c>
      <c r="B4242" s="7" t="s">
        <v>1544</v>
      </c>
      <c r="C4242" s="7">
        <f>1</f>
        <v>1</v>
      </c>
      <c r="D4242" s="7">
        <v>1.0</v>
      </c>
      <c r="E4242" s="7">
        <v>1.0</v>
      </c>
      <c r="F4242" s="7" t="s">
        <v>83</v>
      </c>
      <c r="G4242" s="7" t="s">
        <v>1524</v>
      </c>
      <c r="H4242" s="9" t="s">
        <v>2979</v>
      </c>
      <c r="I4242" t="s">
        <v>3760</v>
      </c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  <c r="AA4242" s="7"/>
      <c r="AB4242" s="7"/>
      <c r="AC4242" s="7"/>
      <c r="AD4242" s="7" t="str">
        <f t="shared" si="1"/>
        <v>Built-up :</v>
      </c>
      <c r="AE4242" s="7" t="str">
        <f t="shared" si="2"/>
        <v> sq. ft.</v>
      </c>
      <c r="AF4242">
        <f>IFERROR(__xludf.DUMMYFUNCTION("VALUE(REGEXREPLACE(G4242,""[^[:digit:]]"", """"))"),450.0)</f>
        <v>450</v>
      </c>
      <c r="AG4242" s="7"/>
      <c r="AH4242" s="7"/>
      <c r="AI4242" s="7"/>
      <c r="AJ4242" s="7"/>
      <c r="AK4242" s="7"/>
      <c r="AL4242" s="7"/>
      <c r="AM4242" s="7"/>
      <c r="AN4242" s="7"/>
      <c r="AO4242" s="7"/>
      <c r="AP4242" s="7"/>
      <c r="AQ4242" s="7"/>
      <c r="AR4242" s="7"/>
      <c r="AS4242" s="7" t="s">
        <v>27</v>
      </c>
    </row>
    <row r="4243">
      <c r="A4243" s="7" t="s">
        <v>32</v>
      </c>
      <c r="B4243" s="7" t="s">
        <v>890</v>
      </c>
      <c r="C4243" s="7">
        <f t="shared" ref="C4243:C4244" si="589">3</f>
        <v>3</v>
      </c>
      <c r="D4243" s="7">
        <v>2.0</v>
      </c>
      <c r="E4243" s="7">
        <v>2.0</v>
      </c>
      <c r="F4243" s="7" t="s">
        <v>83</v>
      </c>
      <c r="G4243" s="7" t="s">
        <v>747</v>
      </c>
      <c r="H4243" s="9" t="s">
        <v>2979</v>
      </c>
      <c r="I4243" t="s">
        <v>3318</v>
      </c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  <c r="AA4243" s="7"/>
      <c r="AB4243" s="7"/>
      <c r="AC4243" s="7"/>
      <c r="AD4243" s="7" t="str">
        <f t="shared" si="1"/>
        <v>Built-up :</v>
      </c>
      <c r="AE4243" s="7" t="str">
        <f t="shared" si="2"/>
        <v> sq. ft.</v>
      </c>
      <c r="AF4243">
        <f>IFERROR(__xludf.DUMMYFUNCTION("VALUE(REGEXREPLACE(G4243,""[^[:digit:]]"", """"))"),1000.0)</f>
        <v>1000</v>
      </c>
      <c r="AG4243" s="7"/>
      <c r="AH4243" s="7"/>
      <c r="AI4243" s="7"/>
      <c r="AJ4243" s="7"/>
      <c r="AK4243" s="7"/>
      <c r="AL4243" s="7"/>
      <c r="AM4243" s="7"/>
      <c r="AN4243" s="7"/>
      <c r="AO4243" s="7"/>
      <c r="AP4243" s="7"/>
      <c r="AQ4243" s="7"/>
      <c r="AR4243" s="7"/>
    </row>
    <row r="4244">
      <c r="A4244" s="7" t="s">
        <v>32</v>
      </c>
      <c r="C4244" s="7">
        <f t="shared" si="589"/>
        <v>3</v>
      </c>
      <c r="D4244" s="7">
        <v>2.0</v>
      </c>
      <c r="E4244" s="7">
        <v>2.0</v>
      </c>
      <c r="F4244" s="7" t="s">
        <v>83</v>
      </c>
      <c r="G4244" s="7" t="s">
        <v>1907</v>
      </c>
      <c r="H4244" s="9" t="s">
        <v>2979</v>
      </c>
      <c r="I4244" t="s">
        <v>3993</v>
      </c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  <c r="AA4244" s="7"/>
      <c r="AB4244" s="7"/>
      <c r="AC4244" s="7"/>
      <c r="AD4244" s="7" t="str">
        <f t="shared" si="1"/>
        <v>Built-up :</v>
      </c>
      <c r="AE4244" s="7" t="str">
        <f t="shared" si="2"/>
        <v> sq. ft.</v>
      </c>
      <c r="AF4244">
        <f>IFERROR(__xludf.DUMMYFUNCTION("VALUE(REGEXREPLACE(G4244,""[^[:digit:]]"", """"))"),860.0)</f>
        <v>860</v>
      </c>
      <c r="AG4244" s="7"/>
      <c r="AH4244" s="7"/>
      <c r="AI4244" s="7"/>
      <c r="AJ4244" s="7"/>
      <c r="AK4244" s="7"/>
      <c r="AL4244" s="7"/>
      <c r="AM4244" s="7"/>
      <c r="AN4244" s="7"/>
      <c r="AO4244" s="7"/>
      <c r="AP4244" s="7"/>
      <c r="AQ4244" s="7"/>
      <c r="AR4244" s="7"/>
      <c r="AS4244" s="7" t="s">
        <v>22</v>
      </c>
    </row>
    <row r="4245">
      <c r="A4245" s="7" t="s">
        <v>109</v>
      </c>
      <c r="B4245" s="7" t="s">
        <v>890</v>
      </c>
      <c r="C4245" s="7">
        <f>2+1</f>
        <v>3</v>
      </c>
      <c r="D4245" s="7">
        <v>2.0</v>
      </c>
      <c r="E4245" s="7">
        <v>2.0</v>
      </c>
      <c r="F4245" s="7" t="s">
        <v>20</v>
      </c>
      <c r="G4245" s="7" t="s">
        <v>2663</v>
      </c>
      <c r="H4245" s="9" t="s">
        <v>2979</v>
      </c>
      <c r="I4245" t="s">
        <v>4454</v>
      </c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  <c r="AA4245" s="7"/>
      <c r="AB4245" s="7"/>
      <c r="AC4245" s="7"/>
      <c r="AD4245" s="7" t="str">
        <f t="shared" si="1"/>
        <v>Built-up :</v>
      </c>
      <c r="AE4245" s="7" t="str">
        <f t="shared" si="2"/>
        <v> sq. ft.</v>
      </c>
      <c r="AF4245">
        <f>IFERROR(__xludf.DUMMYFUNCTION("VALUE(REGEXREPLACE(G4245,""[^[:digit:]]"", """"))"),957.0)</f>
        <v>957</v>
      </c>
      <c r="AG4245" s="7"/>
      <c r="AH4245" s="7"/>
      <c r="AI4245" s="7"/>
      <c r="AJ4245" s="7"/>
      <c r="AK4245" s="7"/>
      <c r="AL4245" s="7"/>
      <c r="AM4245" s="7"/>
      <c r="AN4245" s="7"/>
      <c r="AO4245" s="7"/>
      <c r="AP4245" s="7"/>
      <c r="AQ4245" s="7"/>
      <c r="AR4245" s="7"/>
    </row>
    <row r="4246">
      <c r="A4246" s="7" t="s">
        <v>1456</v>
      </c>
      <c r="B4246" s="7" t="s">
        <v>1981</v>
      </c>
      <c r="C4246" s="7">
        <f t="shared" ref="C4246:C4248" si="590">2</f>
        <v>2</v>
      </c>
      <c r="D4246" s="7">
        <v>2.0</v>
      </c>
      <c r="E4246" s="7">
        <v>1.0</v>
      </c>
      <c r="F4246" s="7" t="s">
        <v>470</v>
      </c>
      <c r="G4246" s="7" t="s">
        <v>924</v>
      </c>
      <c r="H4246" s="9" t="s">
        <v>2979</v>
      </c>
      <c r="I4246" t="s">
        <v>3406</v>
      </c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  <c r="AA4246" s="7"/>
      <c r="AB4246" s="7"/>
      <c r="AC4246" s="7"/>
      <c r="AD4246" s="7" t="str">
        <f t="shared" si="1"/>
        <v>Built-up :</v>
      </c>
      <c r="AE4246" s="7" t="str">
        <f t="shared" si="2"/>
        <v> sq. ft.</v>
      </c>
      <c r="AF4246">
        <f>IFERROR(__xludf.DUMMYFUNCTION("VALUE(REGEXREPLACE(G4246,""[^[:digit:]]"", """"))"),750.0)</f>
        <v>750</v>
      </c>
      <c r="AG4246" s="7"/>
      <c r="AH4246" s="7"/>
      <c r="AI4246" s="7"/>
      <c r="AJ4246" s="7"/>
      <c r="AK4246" s="7"/>
      <c r="AL4246" s="7"/>
      <c r="AM4246" s="7"/>
      <c r="AN4246" s="7"/>
      <c r="AO4246" s="7"/>
      <c r="AP4246" s="7"/>
      <c r="AQ4246" s="7"/>
      <c r="AR4246" s="7"/>
    </row>
    <row r="4247">
      <c r="A4247" s="7" t="s">
        <v>33</v>
      </c>
      <c r="B4247" s="7" t="s">
        <v>1603</v>
      </c>
      <c r="C4247" s="7">
        <f t="shared" si="590"/>
        <v>2</v>
      </c>
      <c r="D4247" s="7">
        <v>2.0</v>
      </c>
      <c r="E4247" s="7">
        <v>1.0</v>
      </c>
      <c r="F4247" s="7" t="s">
        <v>50</v>
      </c>
      <c r="G4247" s="7" t="s">
        <v>2308</v>
      </c>
      <c r="H4247" s="9" t="s">
        <v>2979</v>
      </c>
      <c r="I4247" t="s">
        <v>4240</v>
      </c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  <c r="AA4247" s="7"/>
      <c r="AB4247" s="7"/>
      <c r="AC4247" s="7"/>
      <c r="AD4247" s="7" t="str">
        <f t="shared" si="1"/>
        <v>Built-up :</v>
      </c>
      <c r="AE4247" s="7" t="str">
        <f t="shared" si="2"/>
        <v> sq. ft.</v>
      </c>
      <c r="AF4247">
        <f>IFERROR(__xludf.DUMMYFUNCTION("VALUE(REGEXREPLACE(G4247,""[^[:digit:]]"", """"))"),726.0)</f>
        <v>726</v>
      </c>
      <c r="AG4247" s="7"/>
      <c r="AH4247" s="7"/>
      <c r="AI4247" s="7"/>
      <c r="AJ4247" s="7"/>
      <c r="AK4247" s="7"/>
      <c r="AL4247" s="7"/>
      <c r="AM4247" s="7"/>
      <c r="AN4247" s="7"/>
      <c r="AO4247" s="7"/>
      <c r="AP4247" s="7"/>
      <c r="AQ4247" s="7"/>
      <c r="AR4247" s="7"/>
      <c r="AS4247" s="7" t="s">
        <v>103</v>
      </c>
    </row>
    <row r="4248">
      <c r="A4248" s="7" t="s">
        <v>32</v>
      </c>
      <c r="B4248" s="7" t="s">
        <v>2665</v>
      </c>
      <c r="C4248" s="7">
        <f t="shared" si="590"/>
        <v>2</v>
      </c>
      <c r="D4248" s="7">
        <v>1.0</v>
      </c>
      <c r="E4248" s="9">
        <v>2.0</v>
      </c>
      <c r="F4248" s="7" t="s">
        <v>2473</v>
      </c>
      <c r="G4248" s="7" t="s">
        <v>537</v>
      </c>
      <c r="H4248" s="9" t="s">
        <v>2979</v>
      </c>
      <c r="I4248" t="s">
        <v>3212</v>
      </c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  <c r="AA4248" s="7"/>
      <c r="AB4248" s="7"/>
      <c r="AC4248" s="7"/>
      <c r="AD4248" s="7" t="str">
        <f t="shared" si="1"/>
        <v>Built-up :</v>
      </c>
      <c r="AE4248" s="7" t="str">
        <f t="shared" si="2"/>
        <v> sq. ft.</v>
      </c>
      <c r="AF4248">
        <f>IFERROR(__xludf.DUMMYFUNCTION("VALUE(REGEXREPLACE(G4248,""[^[:digit:]]"", """"))"),560.0)</f>
        <v>560</v>
      </c>
      <c r="AG4248" s="7"/>
      <c r="AH4248" s="7"/>
      <c r="AI4248" s="7"/>
      <c r="AJ4248" s="7"/>
      <c r="AK4248" s="7"/>
      <c r="AL4248" s="7"/>
      <c r="AM4248" s="7"/>
      <c r="AN4248" s="7"/>
      <c r="AO4248" s="7"/>
      <c r="AP4248" s="7"/>
      <c r="AQ4248" s="7"/>
      <c r="AR4248" s="7"/>
    </row>
    <row r="4249">
      <c r="A4249" s="7" t="s">
        <v>32</v>
      </c>
      <c r="B4249" s="7" t="s">
        <v>2666</v>
      </c>
      <c r="C4249" s="7">
        <f t="shared" ref="C4249:C4252" si="591">3</f>
        <v>3</v>
      </c>
      <c r="D4249" s="7">
        <v>2.0</v>
      </c>
      <c r="E4249" s="9">
        <v>2.0</v>
      </c>
      <c r="F4249" s="7" t="s">
        <v>354</v>
      </c>
      <c r="G4249" s="7" t="s">
        <v>392</v>
      </c>
      <c r="H4249" s="9" t="s">
        <v>2979</v>
      </c>
      <c r="I4249" t="s">
        <v>3141</v>
      </c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  <c r="AA4249" s="7"/>
      <c r="AB4249" s="7"/>
      <c r="AC4249" s="7"/>
      <c r="AD4249" s="7" t="str">
        <f t="shared" si="1"/>
        <v>Built-up :</v>
      </c>
      <c r="AE4249" s="7" t="str">
        <f t="shared" si="2"/>
        <v> sq. ft.</v>
      </c>
      <c r="AF4249">
        <f>IFERROR(__xludf.DUMMYFUNCTION("VALUE(REGEXREPLACE(G4249,""[^[:digit:]]"", """"))"),850.0)</f>
        <v>850</v>
      </c>
      <c r="AG4249" s="7"/>
      <c r="AH4249" s="7"/>
      <c r="AI4249" s="7"/>
      <c r="AJ4249" s="7"/>
      <c r="AK4249" s="7"/>
      <c r="AL4249" s="7"/>
      <c r="AM4249" s="7"/>
      <c r="AN4249" s="7"/>
      <c r="AO4249" s="7"/>
      <c r="AP4249" s="7"/>
      <c r="AQ4249" s="7"/>
      <c r="AR4249" s="7"/>
      <c r="AS4249" s="7" t="s">
        <v>103</v>
      </c>
    </row>
    <row r="4250">
      <c r="A4250" s="7" t="s">
        <v>1476</v>
      </c>
      <c r="B4250" s="7" t="s">
        <v>353</v>
      </c>
      <c r="C4250" s="7">
        <f t="shared" si="591"/>
        <v>3</v>
      </c>
      <c r="D4250" s="7">
        <v>2.0</v>
      </c>
      <c r="E4250" s="7">
        <v>2.0</v>
      </c>
      <c r="F4250" s="7" t="s">
        <v>83</v>
      </c>
      <c r="G4250" s="7" t="s">
        <v>2667</v>
      </c>
      <c r="H4250" s="9" t="s">
        <v>2979</v>
      </c>
      <c r="I4250" t="s">
        <v>4456</v>
      </c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  <c r="AA4250" s="7"/>
      <c r="AB4250" s="7"/>
      <c r="AC4250" s="7"/>
      <c r="AD4250" s="7" t="str">
        <f t="shared" si="1"/>
        <v>Built-up :</v>
      </c>
      <c r="AE4250" s="7" t="str">
        <f t="shared" si="2"/>
        <v> sq. ft.</v>
      </c>
      <c r="AF4250">
        <f>IFERROR(__xludf.DUMMYFUNCTION("VALUE(REGEXREPLACE(G4250,""[^[:digit:]]"", """"))"),956.0)</f>
        <v>956</v>
      </c>
      <c r="AG4250" s="7"/>
      <c r="AH4250" s="7"/>
      <c r="AI4250" s="7"/>
      <c r="AJ4250" s="7"/>
      <c r="AK4250" s="7"/>
      <c r="AL4250" s="7"/>
      <c r="AM4250" s="7"/>
      <c r="AN4250" s="7"/>
      <c r="AO4250" s="7"/>
      <c r="AP4250" s="7"/>
      <c r="AQ4250" s="7"/>
      <c r="AR4250" s="7"/>
    </row>
    <row r="4251">
      <c r="A4251" s="7" t="s">
        <v>48</v>
      </c>
      <c r="B4251" s="7" t="s">
        <v>1547</v>
      </c>
      <c r="C4251" s="7">
        <f t="shared" si="591"/>
        <v>3</v>
      </c>
      <c r="D4251" s="7">
        <v>2.0</v>
      </c>
      <c r="E4251" s="7">
        <v>1.0</v>
      </c>
      <c r="F4251" s="7" t="s">
        <v>83</v>
      </c>
      <c r="G4251" s="7" t="s">
        <v>2668</v>
      </c>
      <c r="H4251" s="9" t="s">
        <v>2979</v>
      </c>
      <c r="I4251" t="s">
        <v>4457</v>
      </c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  <c r="AA4251" s="7"/>
      <c r="AB4251" s="7"/>
      <c r="AC4251" s="7"/>
      <c r="AD4251" s="7" t="str">
        <f t="shared" si="1"/>
        <v>Built-up :</v>
      </c>
      <c r="AE4251" s="7" t="str">
        <f t="shared" si="2"/>
        <v> sq. ft.</v>
      </c>
      <c r="AF4251">
        <f>IFERROR(__xludf.DUMMYFUNCTION("VALUE(REGEXREPLACE(G4251,""[^[:digit:]]"", """"))"),946.0)</f>
        <v>946</v>
      </c>
      <c r="AG4251" s="7"/>
      <c r="AH4251" s="7"/>
      <c r="AI4251" s="7"/>
      <c r="AJ4251" s="7"/>
      <c r="AK4251" s="7"/>
      <c r="AL4251" s="7"/>
      <c r="AM4251" s="7"/>
      <c r="AN4251" s="7"/>
      <c r="AO4251" s="7"/>
      <c r="AP4251" s="7"/>
      <c r="AQ4251" s="7"/>
      <c r="AR4251" s="7"/>
    </row>
    <row r="4252">
      <c r="A4252" s="7" t="s">
        <v>371</v>
      </c>
      <c r="B4252" s="7" t="s">
        <v>221</v>
      </c>
      <c r="C4252" s="7">
        <f t="shared" si="591"/>
        <v>3</v>
      </c>
      <c r="D4252" s="7">
        <v>2.0</v>
      </c>
      <c r="E4252" s="7">
        <v>2.0</v>
      </c>
      <c r="F4252" s="7" t="s">
        <v>83</v>
      </c>
      <c r="G4252" s="7" t="s">
        <v>2284</v>
      </c>
      <c r="H4252" s="9" t="s">
        <v>2979</v>
      </c>
      <c r="I4252" t="s">
        <v>4228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  <c r="AA4252" s="7"/>
      <c r="AB4252" s="7"/>
      <c r="AC4252" s="7"/>
      <c r="AD4252" s="7" t="str">
        <f t="shared" si="1"/>
        <v>Built-up :</v>
      </c>
      <c r="AE4252" s="7" t="str">
        <f t="shared" si="2"/>
        <v> sq. ft.</v>
      </c>
      <c r="AF4252">
        <f>IFERROR(__xludf.DUMMYFUNCTION("VALUE(REGEXREPLACE(G4252,""[^[:digit:]]"", """"))"),991.0)</f>
        <v>991</v>
      </c>
      <c r="AG4252" s="7"/>
      <c r="AH4252" s="7"/>
      <c r="AI4252" s="7"/>
      <c r="AJ4252" s="7"/>
      <c r="AK4252" s="7"/>
      <c r="AL4252" s="7"/>
      <c r="AM4252" s="7"/>
      <c r="AN4252" s="7"/>
      <c r="AO4252" s="7"/>
      <c r="AP4252" s="7"/>
      <c r="AQ4252" s="7"/>
      <c r="AR4252" s="7"/>
      <c r="AS4252" s="7" t="s">
        <v>27</v>
      </c>
    </row>
    <row r="4253">
      <c r="A4253" s="7" t="s">
        <v>37</v>
      </c>
      <c r="B4253" s="7" t="s">
        <v>144</v>
      </c>
      <c r="C4253" s="7">
        <f>4</f>
        <v>4</v>
      </c>
      <c r="D4253" s="7">
        <v>3.0</v>
      </c>
      <c r="E4253" s="7">
        <v>2.0</v>
      </c>
      <c r="F4253" s="7" t="s">
        <v>54</v>
      </c>
      <c r="G4253" s="7" t="s">
        <v>280</v>
      </c>
      <c r="H4253" s="9" t="s">
        <v>2981</v>
      </c>
      <c r="I4253" t="s">
        <v>3037</v>
      </c>
      <c r="J4253" s="7"/>
      <c r="K4253" s="7"/>
      <c r="L4253" s="7"/>
      <c r="M4253" s="7"/>
      <c r="N4253" s="7"/>
      <c r="O4253" s="7"/>
      <c r="P4253" s="7"/>
      <c r="Q4253" s="7"/>
      <c r="R4253" s="7"/>
      <c r="S4253" s="7" t="s">
        <v>2990</v>
      </c>
      <c r="T4253" s="7"/>
      <c r="U4253" s="7"/>
      <c r="V4253" s="7"/>
      <c r="W4253" s="7"/>
      <c r="X4253" s="7"/>
      <c r="Y4253" s="7"/>
      <c r="Z4253" s="7"/>
      <c r="AA4253" s="7"/>
      <c r="AB4253" s="7"/>
      <c r="AC4253" s="7"/>
      <c r="AD4253" s="7" t="str">
        <f t="shared" si="1"/>
        <v>Land area </v>
      </c>
      <c r="AE4253" s="7" t="str">
        <f t="shared" si="2"/>
        <v> sq. ft.</v>
      </c>
      <c r="AF4253">
        <f>IFERROR(__xludf.DUMMYFUNCTION("VALUE(REGEXREPLACE(G4253,""[^[:digit:]]"", """"))"),2475.0)</f>
        <v>2475</v>
      </c>
      <c r="AG4253" s="7"/>
      <c r="AH4253" s="7"/>
      <c r="AI4253" s="7"/>
      <c r="AJ4253" s="7"/>
      <c r="AK4253" s="7"/>
      <c r="AL4253" s="7"/>
      <c r="AM4253" s="7"/>
      <c r="AN4253" s="7"/>
      <c r="AO4253" s="7"/>
      <c r="AP4253" s="7"/>
      <c r="AQ4253" s="7"/>
      <c r="AR4253" s="7"/>
      <c r="AS4253" s="7" t="s">
        <v>103</v>
      </c>
    </row>
    <row r="4254">
      <c r="A4254" s="7" t="s">
        <v>28</v>
      </c>
      <c r="B4254" s="7" t="s">
        <v>1258</v>
      </c>
      <c r="C4254" s="7">
        <f t="shared" ref="C4254:C4255" si="592">3</f>
        <v>3</v>
      </c>
      <c r="D4254" s="7">
        <v>2.0</v>
      </c>
      <c r="E4254" s="7">
        <v>2.0</v>
      </c>
      <c r="F4254" s="7" t="s">
        <v>30</v>
      </c>
      <c r="G4254" s="7" t="s">
        <v>161</v>
      </c>
      <c r="H4254" s="9" t="s">
        <v>2979</v>
      </c>
      <c r="I4254" t="s">
        <v>3033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  <c r="AA4254" s="7"/>
      <c r="AB4254" s="7"/>
      <c r="AC4254" s="7"/>
      <c r="AD4254" s="7" t="str">
        <f t="shared" si="1"/>
        <v>Built-up :</v>
      </c>
      <c r="AE4254" s="7" t="str">
        <f t="shared" si="2"/>
        <v> sq. ft.</v>
      </c>
      <c r="AF4254">
        <f>IFERROR(__xludf.DUMMYFUNCTION("VALUE(REGEXREPLACE(G4254,""[^[:digit:]]"", """"))"),1227.0)</f>
        <v>1227</v>
      </c>
      <c r="AG4254" s="7"/>
      <c r="AH4254" s="7"/>
      <c r="AI4254" s="7"/>
      <c r="AJ4254" s="7"/>
      <c r="AK4254" s="7"/>
      <c r="AL4254" s="7"/>
      <c r="AM4254" s="7"/>
      <c r="AN4254" s="7"/>
      <c r="AO4254" s="7"/>
      <c r="AP4254" s="7"/>
      <c r="AQ4254" s="7"/>
      <c r="AR4254" s="7"/>
      <c r="AS4254" s="7" t="s">
        <v>27</v>
      </c>
    </row>
    <row r="4255">
      <c r="A4255" s="7" t="s">
        <v>37</v>
      </c>
      <c r="B4255" s="7" t="s">
        <v>2669</v>
      </c>
      <c r="C4255" s="7">
        <f t="shared" si="592"/>
        <v>3</v>
      </c>
      <c r="D4255" s="7">
        <v>2.0</v>
      </c>
      <c r="E4255" s="7">
        <v>1.0</v>
      </c>
      <c r="F4255" s="7" t="s">
        <v>20</v>
      </c>
      <c r="G4255" s="7" t="s">
        <v>1212</v>
      </c>
      <c r="H4255" s="9" t="s">
        <v>2979</v>
      </c>
      <c r="I4255" t="s">
        <v>3581</v>
      </c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  <c r="AA4255" s="7"/>
      <c r="AB4255" s="7"/>
      <c r="AC4255" s="7"/>
      <c r="AD4255" s="7" t="str">
        <f t="shared" si="1"/>
        <v>Built-up :</v>
      </c>
      <c r="AE4255" s="7" t="str">
        <f t="shared" si="2"/>
        <v> sq. ft.</v>
      </c>
      <c r="AF4255">
        <f>IFERROR(__xludf.DUMMYFUNCTION("VALUE(REGEXREPLACE(G4255,""[^[:digit:]]"", """"))"),1102.0)</f>
        <v>1102</v>
      </c>
      <c r="AG4255" s="7"/>
      <c r="AH4255" s="7"/>
      <c r="AI4255" s="7"/>
      <c r="AJ4255" s="7"/>
      <c r="AK4255" s="7"/>
      <c r="AL4255" s="7"/>
      <c r="AM4255" s="7"/>
      <c r="AN4255" s="7"/>
      <c r="AO4255" s="7"/>
      <c r="AP4255" s="7"/>
      <c r="AQ4255" s="7"/>
      <c r="AR4255" s="7"/>
      <c r="AS4255" s="7" t="s">
        <v>22</v>
      </c>
    </row>
    <row r="4256">
      <c r="A4256" s="7" t="s">
        <v>432</v>
      </c>
      <c r="B4256" s="7" t="s">
        <v>120</v>
      </c>
      <c r="C4256" s="7">
        <f>5</f>
        <v>5</v>
      </c>
      <c r="D4256" s="7">
        <v>5.0</v>
      </c>
      <c r="E4256" s="7">
        <v>2.0</v>
      </c>
      <c r="F4256" s="7" t="s">
        <v>1755</v>
      </c>
      <c r="G4256" s="7" t="s">
        <v>2670</v>
      </c>
      <c r="H4256" s="9" t="s">
        <v>2979</v>
      </c>
      <c r="I4256" t="s">
        <v>4458</v>
      </c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  <c r="AA4256" s="7"/>
      <c r="AB4256" s="7"/>
      <c r="AC4256" s="7"/>
      <c r="AD4256" s="7" t="str">
        <f t="shared" si="1"/>
        <v>Built-up :</v>
      </c>
      <c r="AE4256" s="7" t="str">
        <f t="shared" si="2"/>
        <v> sq. ft.</v>
      </c>
      <c r="AF4256">
        <f>IFERROR(__xludf.DUMMYFUNCTION("VALUE(REGEXREPLACE(G4256,""[^[:digit:]]"", """"))"),5738.0)</f>
        <v>5738</v>
      </c>
      <c r="AG4256" s="7"/>
      <c r="AH4256" s="7"/>
      <c r="AI4256" s="7"/>
      <c r="AJ4256" s="7"/>
      <c r="AK4256" s="7"/>
      <c r="AL4256" s="7"/>
      <c r="AM4256" s="7"/>
      <c r="AN4256" s="7"/>
      <c r="AO4256" s="7"/>
      <c r="AP4256" s="7"/>
      <c r="AQ4256" s="7"/>
      <c r="AR4256" s="7"/>
      <c r="AS4256" s="7" t="s">
        <v>22</v>
      </c>
    </row>
    <row r="4257">
      <c r="A4257" s="7" t="s">
        <v>72</v>
      </c>
      <c r="B4257" s="7" t="s">
        <v>151</v>
      </c>
      <c r="C4257" s="7">
        <f>6+1</f>
        <v>7</v>
      </c>
      <c r="D4257" s="7">
        <v>5.0</v>
      </c>
      <c r="E4257" s="7">
        <v>2.0</v>
      </c>
      <c r="F4257" s="7" t="s">
        <v>43</v>
      </c>
      <c r="G4257" s="7" t="s">
        <v>860</v>
      </c>
      <c r="H4257" s="9" t="s">
        <v>2981</v>
      </c>
      <c r="I4257" t="s">
        <v>3376</v>
      </c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  <c r="AA4257" s="7"/>
      <c r="AB4257" s="7"/>
      <c r="AC4257" s="7"/>
      <c r="AD4257" s="7" t="str">
        <f t="shared" si="1"/>
        <v>Land area </v>
      </c>
      <c r="AE4257" s="7" t="str">
        <f t="shared" si="2"/>
        <v> sq. ft.</v>
      </c>
      <c r="AF4257">
        <f>IFERROR(__xludf.DUMMYFUNCTION("VALUE(REGEXREPLACE(G4257,""[^[:digit:]]"", """"))"),4000.0)</f>
        <v>4000</v>
      </c>
      <c r="AG4257" s="7"/>
      <c r="AH4257" s="7"/>
      <c r="AI4257" s="7"/>
      <c r="AJ4257" s="7"/>
      <c r="AK4257" s="7"/>
      <c r="AL4257" s="7"/>
      <c r="AM4257" s="7"/>
      <c r="AN4257" s="7"/>
      <c r="AO4257" s="7"/>
      <c r="AP4257" s="7"/>
      <c r="AQ4257" s="7"/>
      <c r="AR4257" s="7"/>
      <c r="AS4257" s="7" t="s">
        <v>22</v>
      </c>
    </row>
    <row r="4258">
      <c r="A4258" s="7" t="s">
        <v>72</v>
      </c>
      <c r="B4258" s="7" t="s">
        <v>85</v>
      </c>
      <c r="C4258" s="7">
        <f>3+1</f>
        <v>4</v>
      </c>
      <c r="D4258" s="7">
        <v>4.0</v>
      </c>
      <c r="E4258" s="9">
        <v>2.0</v>
      </c>
      <c r="F4258" s="7" t="s">
        <v>30</v>
      </c>
      <c r="G4258" s="7" t="s">
        <v>1027</v>
      </c>
      <c r="H4258" s="9" t="s">
        <v>2979</v>
      </c>
      <c r="I4258" t="s">
        <v>3463</v>
      </c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  <c r="AA4258" s="7"/>
      <c r="AB4258" s="7"/>
      <c r="AC4258" s="7"/>
      <c r="AD4258" s="7" t="str">
        <f t="shared" si="1"/>
        <v>Built-up :</v>
      </c>
      <c r="AE4258" s="7" t="str">
        <f t="shared" si="2"/>
        <v> sq. ft.</v>
      </c>
      <c r="AF4258">
        <f>IFERROR(__xludf.DUMMYFUNCTION("VALUE(REGEXREPLACE(G4258,""[^[:digit:]]"", """"))"),3200.0)</f>
        <v>3200</v>
      </c>
      <c r="AG4258" s="7"/>
      <c r="AH4258" s="7"/>
      <c r="AI4258" s="7"/>
      <c r="AJ4258" s="7"/>
      <c r="AK4258" s="7"/>
      <c r="AL4258" s="7"/>
      <c r="AM4258" s="7"/>
      <c r="AN4258" s="7"/>
      <c r="AO4258" s="7"/>
      <c r="AP4258" s="7"/>
      <c r="AQ4258" s="7"/>
      <c r="AR4258" s="7"/>
      <c r="AS4258" s="7" t="s">
        <v>27</v>
      </c>
    </row>
    <row r="4259">
      <c r="A4259" s="7" t="s">
        <v>86</v>
      </c>
      <c r="B4259" s="7" t="s">
        <v>956</v>
      </c>
      <c r="C4259" s="7">
        <f>3</f>
        <v>3</v>
      </c>
      <c r="D4259" s="7">
        <v>2.0</v>
      </c>
      <c r="E4259" s="7">
        <v>1.0</v>
      </c>
      <c r="F4259" s="7" t="s">
        <v>82</v>
      </c>
      <c r="G4259" s="7" t="s">
        <v>324</v>
      </c>
      <c r="H4259" s="9" t="s">
        <v>2979</v>
      </c>
      <c r="I4259" t="s">
        <v>3109</v>
      </c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  <c r="AA4259" s="7"/>
      <c r="AB4259" s="7"/>
      <c r="AC4259" s="7"/>
      <c r="AD4259" s="7" t="str">
        <f t="shared" si="1"/>
        <v>Built-up :</v>
      </c>
      <c r="AE4259" s="7" t="str">
        <f t="shared" si="2"/>
        <v> sq. ft.</v>
      </c>
      <c r="AF4259">
        <f>IFERROR(__xludf.DUMMYFUNCTION("VALUE(REGEXREPLACE(G4259,""[^[:digit:]]"", """"))"),1090.0)</f>
        <v>1090</v>
      </c>
      <c r="AG4259" s="7"/>
      <c r="AH4259" s="7"/>
      <c r="AI4259" s="7"/>
      <c r="AJ4259" s="7"/>
      <c r="AK4259" s="7"/>
      <c r="AL4259" s="7"/>
      <c r="AM4259" s="7"/>
      <c r="AN4259" s="7"/>
      <c r="AO4259" s="7"/>
      <c r="AP4259" s="7"/>
      <c r="AQ4259" s="7"/>
      <c r="AR4259" s="7"/>
      <c r="AS4259" s="7" t="s">
        <v>27</v>
      </c>
    </row>
    <row r="4260">
      <c r="A4260" s="7" t="s">
        <v>72</v>
      </c>
      <c r="B4260" s="7" t="s">
        <v>281</v>
      </c>
      <c r="C4260" s="7">
        <f>5+1</f>
        <v>6</v>
      </c>
      <c r="D4260" s="7">
        <v>5.0</v>
      </c>
      <c r="E4260" s="7">
        <v>3.0</v>
      </c>
      <c r="F4260" s="7" t="s">
        <v>793</v>
      </c>
      <c r="G4260" s="7" t="s">
        <v>498</v>
      </c>
      <c r="H4260" s="9" t="s">
        <v>2979</v>
      </c>
      <c r="I4260" t="s">
        <v>3196</v>
      </c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  <c r="AA4260" s="7"/>
      <c r="AB4260" s="7"/>
      <c r="AC4260" s="7"/>
      <c r="AD4260" s="7" t="str">
        <f t="shared" si="1"/>
        <v>Built-up :</v>
      </c>
      <c r="AE4260" s="7" t="str">
        <f t="shared" si="2"/>
        <v> sq. ft.</v>
      </c>
      <c r="AF4260">
        <f>IFERROR(__xludf.DUMMYFUNCTION("VALUE(REGEXREPLACE(G4260,""[^[:digit:]]"", """"))"),4000.0)</f>
        <v>4000</v>
      </c>
      <c r="AG4260" s="7"/>
      <c r="AH4260" s="7"/>
      <c r="AI4260" s="7"/>
      <c r="AJ4260" s="7"/>
      <c r="AK4260" s="7"/>
      <c r="AL4260" s="7"/>
      <c r="AM4260" s="7"/>
      <c r="AN4260" s="7"/>
      <c r="AO4260" s="7"/>
      <c r="AP4260" s="7"/>
      <c r="AQ4260" s="7"/>
      <c r="AR4260" s="7"/>
      <c r="AS4260" s="7" t="s">
        <v>27</v>
      </c>
    </row>
    <row r="4261">
      <c r="A4261" s="7" t="s">
        <v>177</v>
      </c>
      <c r="B4261" s="7" t="s">
        <v>712</v>
      </c>
      <c r="C4261" s="7">
        <f>4</f>
        <v>4</v>
      </c>
      <c r="D4261" s="7">
        <v>3.0</v>
      </c>
      <c r="E4261" s="7">
        <v>2.0</v>
      </c>
      <c r="F4261" s="7" t="s">
        <v>54</v>
      </c>
      <c r="G4261" s="7" t="s">
        <v>719</v>
      </c>
      <c r="H4261" s="9" t="s">
        <v>2981</v>
      </c>
      <c r="I4261" t="s">
        <v>3299</v>
      </c>
      <c r="J4261" s="7"/>
      <c r="K4261" s="7"/>
      <c r="L4261" s="7"/>
      <c r="M4261" s="7"/>
      <c r="N4261" s="7"/>
      <c r="O4261" s="7"/>
      <c r="P4261" s="7"/>
      <c r="Q4261" s="7"/>
      <c r="R4261" s="7"/>
      <c r="S4261" s="7" t="s">
        <v>3101</v>
      </c>
      <c r="T4261" s="7"/>
      <c r="U4261" s="7"/>
      <c r="V4261" s="7"/>
      <c r="W4261" s="7"/>
      <c r="X4261" s="7"/>
      <c r="Y4261" s="7"/>
      <c r="Z4261" s="7"/>
      <c r="AA4261" s="7"/>
      <c r="AB4261" s="7"/>
      <c r="AC4261" s="7"/>
      <c r="AD4261" s="7" t="str">
        <f t="shared" si="1"/>
        <v>Land area </v>
      </c>
      <c r="AE4261" s="7" t="str">
        <f t="shared" si="2"/>
        <v> sq. ft.</v>
      </c>
      <c r="AF4261">
        <f>IFERROR(__xludf.DUMMYFUNCTION("VALUE(REGEXREPLACE(G4261,""[^[:digit:]]"", """"))"),2285.0)</f>
        <v>2285</v>
      </c>
      <c r="AG4261" s="7"/>
      <c r="AH4261" s="7"/>
      <c r="AI4261" s="7"/>
      <c r="AJ4261" s="7"/>
      <c r="AK4261" s="7"/>
      <c r="AL4261" s="7"/>
      <c r="AM4261" s="7"/>
      <c r="AN4261" s="7"/>
      <c r="AO4261" s="7"/>
      <c r="AP4261" s="7"/>
      <c r="AQ4261" s="7"/>
      <c r="AR4261" s="7"/>
      <c r="AS4261" s="7" t="s">
        <v>103</v>
      </c>
    </row>
    <row r="4262">
      <c r="A4262" s="7" t="s">
        <v>262</v>
      </c>
      <c r="B4262" s="7" t="s">
        <v>545</v>
      </c>
      <c r="C4262" s="7">
        <v>7.0</v>
      </c>
      <c r="D4262" s="7">
        <v>10.0</v>
      </c>
      <c r="E4262" s="7">
        <v>6.0</v>
      </c>
      <c r="F4262" s="7" t="s">
        <v>61</v>
      </c>
      <c r="G4262" s="7" t="s">
        <v>2274</v>
      </c>
      <c r="H4262" s="9" t="s">
        <v>2981</v>
      </c>
      <c r="I4262" t="s">
        <v>4221</v>
      </c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  <c r="AA4262" s="7"/>
      <c r="AB4262" s="7"/>
      <c r="AC4262" s="7"/>
      <c r="AD4262" s="7" t="str">
        <f t="shared" si="1"/>
        <v>Land area </v>
      </c>
      <c r="AE4262" s="7" t="str">
        <f t="shared" si="2"/>
        <v> sq. ft.</v>
      </c>
      <c r="AF4262">
        <f>IFERROR(__xludf.DUMMYFUNCTION("VALUE(REGEXREPLACE(G4262,""[^[:digit:]]"", """"))"),11700.0)</f>
        <v>11700</v>
      </c>
      <c r="AG4262" s="7"/>
      <c r="AH4262" s="7"/>
      <c r="AI4262" s="7"/>
      <c r="AJ4262" s="7"/>
      <c r="AK4262" s="7"/>
      <c r="AL4262" s="7"/>
      <c r="AM4262" s="7"/>
      <c r="AN4262" s="7"/>
      <c r="AO4262" s="7"/>
      <c r="AP4262" s="7"/>
      <c r="AQ4262" s="7"/>
      <c r="AR4262" s="7"/>
      <c r="AS4262" s="7" t="s">
        <v>27</v>
      </c>
    </row>
    <row r="4263">
      <c r="A4263" s="7" t="s">
        <v>32</v>
      </c>
      <c r="B4263" s="7" t="s">
        <v>372</v>
      </c>
      <c r="C4263" s="7">
        <f>4</f>
        <v>4</v>
      </c>
      <c r="D4263" s="7">
        <v>3.0</v>
      </c>
      <c r="E4263" s="9">
        <v>2.0</v>
      </c>
      <c r="F4263" s="7" t="s">
        <v>169</v>
      </c>
      <c r="G4263" s="7" t="s">
        <v>1024</v>
      </c>
      <c r="H4263" s="9" t="s">
        <v>2981</v>
      </c>
      <c r="I4263" t="s">
        <v>3460</v>
      </c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  <c r="AA4263" s="7"/>
      <c r="AB4263" s="7"/>
      <c r="AC4263" s="7"/>
      <c r="AD4263" s="7" t="str">
        <f t="shared" si="1"/>
        <v>Land area </v>
      </c>
      <c r="AE4263" s="7" t="str">
        <f t="shared" si="2"/>
        <v> sq. ft.</v>
      </c>
      <c r="AF4263">
        <f>IFERROR(__xludf.DUMMYFUNCTION("VALUE(REGEXREPLACE(G4263,""[^[:digit:]]"", """"))"),2000.0)</f>
        <v>2000</v>
      </c>
      <c r="AG4263" s="7"/>
      <c r="AH4263" s="7"/>
      <c r="AI4263" s="7"/>
      <c r="AJ4263" s="7"/>
      <c r="AK4263" s="7"/>
      <c r="AL4263" s="7"/>
      <c r="AM4263" s="7"/>
      <c r="AN4263" s="7"/>
      <c r="AO4263" s="7"/>
      <c r="AP4263" s="7"/>
      <c r="AQ4263" s="7"/>
      <c r="AR4263" s="7"/>
    </row>
    <row r="4264">
      <c r="A4264" s="7" t="s">
        <v>32</v>
      </c>
      <c r="B4264" s="7" t="s">
        <v>372</v>
      </c>
      <c r="C4264" s="7">
        <f>5</f>
        <v>5</v>
      </c>
      <c r="D4264" s="7">
        <v>3.0</v>
      </c>
      <c r="E4264" s="7">
        <v>2.0</v>
      </c>
      <c r="F4264" s="7" t="s">
        <v>46</v>
      </c>
      <c r="G4264" s="7" t="s">
        <v>2671</v>
      </c>
      <c r="H4264" s="9" t="s">
        <v>2981</v>
      </c>
      <c r="I4264" t="s">
        <v>3062</v>
      </c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  <c r="AA4264" s="7"/>
      <c r="AB4264" s="7"/>
      <c r="AC4264" s="7"/>
      <c r="AD4264" s="7" t="str">
        <f t="shared" si="1"/>
        <v>Land area </v>
      </c>
      <c r="AE4264" s="7" t="str">
        <f t="shared" si="2"/>
        <v> sq. ft.</v>
      </c>
      <c r="AF4264" s="7">
        <v>2400.0</v>
      </c>
      <c r="AG4264" s="7"/>
      <c r="AH4264" s="7"/>
      <c r="AI4264" s="7"/>
      <c r="AJ4264" s="7"/>
      <c r="AK4264" s="7"/>
      <c r="AL4264" s="7"/>
      <c r="AM4264" s="7"/>
      <c r="AN4264" s="7"/>
      <c r="AO4264" s="7"/>
      <c r="AP4264" s="7"/>
      <c r="AQ4264" s="7"/>
      <c r="AR4264" s="7"/>
      <c r="AS4264" s="7" t="s">
        <v>103</v>
      </c>
    </row>
    <row r="4265">
      <c r="A4265" s="7" t="s">
        <v>241</v>
      </c>
      <c r="B4265" s="7" t="s">
        <v>2666</v>
      </c>
      <c r="C4265" s="7">
        <f>3</f>
        <v>3</v>
      </c>
      <c r="D4265" s="7">
        <v>2.0</v>
      </c>
      <c r="E4265" s="9">
        <v>2.0</v>
      </c>
      <c r="F4265" s="7" t="s">
        <v>1566</v>
      </c>
      <c r="G4265" s="7" t="s">
        <v>380</v>
      </c>
      <c r="H4265" s="9" t="s">
        <v>2979</v>
      </c>
      <c r="I4265" t="s">
        <v>3135</v>
      </c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  <c r="AA4265" s="7"/>
      <c r="AB4265" s="7"/>
      <c r="AC4265" s="7"/>
      <c r="AD4265" s="7" t="str">
        <f t="shared" si="1"/>
        <v>Built-up :</v>
      </c>
      <c r="AE4265" s="7" t="str">
        <f t="shared" si="2"/>
        <v> sq. ft.</v>
      </c>
      <c r="AF4265">
        <f>IFERROR(__xludf.DUMMYFUNCTION("VALUE(REGEXREPLACE(G4265,""[^[:digit:]]"", """"))"),871.0)</f>
        <v>871</v>
      </c>
      <c r="AG4265" s="7"/>
      <c r="AH4265" s="7"/>
      <c r="AI4265" s="7"/>
      <c r="AJ4265" s="7"/>
      <c r="AK4265" s="7"/>
      <c r="AL4265" s="7"/>
      <c r="AM4265" s="7"/>
      <c r="AN4265" s="7"/>
      <c r="AO4265" s="7"/>
      <c r="AP4265" s="7"/>
      <c r="AQ4265" s="7"/>
      <c r="AR4265" s="7"/>
      <c r="AS4265" s="7" t="s">
        <v>27</v>
      </c>
    </row>
    <row r="4266">
      <c r="A4266" s="7" t="s">
        <v>104</v>
      </c>
      <c r="B4266" s="7" t="s">
        <v>45</v>
      </c>
      <c r="E4266" s="9">
        <v>2.0</v>
      </c>
      <c r="F4266" s="7" t="s">
        <v>64</v>
      </c>
      <c r="G4266" s="7" t="s">
        <v>1967</v>
      </c>
      <c r="H4266" s="9" t="s">
        <v>2981</v>
      </c>
      <c r="I4266" t="s">
        <v>3610</v>
      </c>
      <c r="J4266" s="7"/>
      <c r="K4266" s="7"/>
      <c r="L4266" s="7"/>
      <c r="M4266" s="7"/>
      <c r="N4266" s="7"/>
      <c r="O4266" s="7"/>
      <c r="P4266" s="7"/>
      <c r="Q4266" s="7"/>
      <c r="R4266" s="7"/>
      <c r="S4266" s="7" t="s">
        <v>2990</v>
      </c>
      <c r="T4266" s="7"/>
      <c r="U4266" s="7"/>
      <c r="V4266" s="7"/>
      <c r="W4266" s="7"/>
      <c r="X4266" s="7"/>
      <c r="Y4266" s="7"/>
      <c r="Z4266" s="7"/>
      <c r="AA4266" s="7"/>
      <c r="AB4266" s="7"/>
      <c r="AC4266" s="7"/>
      <c r="AD4266" s="7" t="str">
        <f t="shared" si="1"/>
        <v>Land area </v>
      </c>
      <c r="AE4266" s="7" t="str">
        <f t="shared" si="2"/>
        <v> sq. ft.</v>
      </c>
      <c r="AF4266">
        <f>IFERROR(__xludf.DUMMYFUNCTION("VALUE(REGEXREPLACE(G4266,""[^[:digit:]]"", """"))"),3575.0)</f>
        <v>3575</v>
      </c>
      <c r="AG4266" s="7"/>
      <c r="AH4266" s="7"/>
      <c r="AI4266" s="7"/>
      <c r="AJ4266" s="7"/>
      <c r="AK4266" s="7"/>
      <c r="AL4266" s="7"/>
      <c r="AM4266" s="7"/>
      <c r="AN4266" s="7"/>
      <c r="AO4266" s="7"/>
      <c r="AP4266" s="7"/>
      <c r="AQ4266" s="7"/>
      <c r="AR4266" s="7"/>
      <c r="AS4266" s="7" t="s">
        <v>27</v>
      </c>
    </row>
    <row r="4267">
      <c r="A4267" s="7" t="s">
        <v>77</v>
      </c>
      <c r="B4267" s="7" t="s">
        <v>1721</v>
      </c>
      <c r="C4267" s="7">
        <f>5</f>
        <v>5</v>
      </c>
      <c r="D4267" s="7">
        <v>5.0</v>
      </c>
      <c r="E4267" s="7">
        <v>4.0</v>
      </c>
      <c r="F4267" s="7" t="s">
        <v>61</v>
      </c>
      <c r="G4267" s="7" t="s">
        <v>912</v>
      </c>
      <c r="H4267" s="9" t="s">
        <v>2981</v>
      </c>
      <c r="I4267" t="s">
        <v>3183</v>
      </c>
      <c r="J4267" s="7"/>
      <c r="K4267" s="7"/>
      <c r="L4267" s="7"/>
      <c r="M4267" s="7"/>
      <c r="N4267" s="7"/>
      <c r="O4267" s="7"/>
      <c r="P4267" s="7"/>
      <c r="Q4267" s="7"/>
      <c r="R4267" s="7"/>
      <c r="S4267" s="7" t="s">
        <v>2993</v>
      </c>
      <c r="T4267" s="7"/>
      <c r="U4267" s="7"/>
      <c r="V4267" s="7"/>
      <c r="W4267" s="7"/>
      <c r="X4267" s="7"/>
      <c r="Y4267" s="7"/>
      <c r="Z4267" s="7"/>
      <c r="AA4267" s="7"/>
      <c r="AB4267" s="7"/>
      <c r="AC4267" s="7"/>
      <c r="AD4267" s="7" t="str">
        <f t="shared" si="1"/>
        <v>Land area </v>
      </c>
      <c r="AE4267" s="7" t="str">
        <f t="shared" si="2"/>
        <v> sq. ft.</v>
      </c>
      <c r="AF4267">
        <f>IFERROR(__xludf.DUMMYFUNCTION("VALUE(REGEXREPLACE(G4267,""[^[:digit:]]"", """"))"),4080.0)</f>
        <v>4080</v>
      </c>
      <c r="AG4267" s="7"/>
      <c r="AH4267" s="7"/>
      <c r="AI4267" s="7"/>
      <c r="AJ4267" s="7"/>
      <c r="AK4267" s="7"/>
      <c r="AL4267" s="7"/>
      <c r="AM4267" s="7"/>
      <c r="AN4267" s="7"/>
      <c r="AO4267" s="7"/>
      <c r="AP4267" s="7"/>
      <c r="AQ4267" s="7"/>
      <c r="AR4267" s="7"/>
      <c r="AS4267" s="7" t="s">
        <v>27</v>
      </c>
    </row>
    <row r="4268">
      <c r="A4268" s="7" t="s">
        <v>262</v>
      </c>
      <c r="B4268" s="7" t="s">
        <v>2672</v>
      </c>
      <c r="C4268" s="7">
        <f>6</f>
        <v>6</v>
      </c>
      <c r="D4268" s="7">
        <v>11.0</v>
      </c>
      <c r="E4268" s="9">
        <v>2.0</v>
      </c>
      <c r="F4268" s="7" t="s">
        <v>61</v>
      </c>
      <c r="G4268" s="7" t="s">
        <v>2274</v>
      </c>
      <c r="H4268" s="9" t="s">
        <v>2981</v>
      </c>
      <c r="I4268" t="s">
        <v>4221</v>
      </c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  <c r="AA4268" s="7"/>
      <c r="AB4268" s="7"/>
      <c r="AC4268" s="7"/>
      <c r="AD4268" s="7" t="str">
        <f t="shared" si="1"/>
        <v>Land area </v>
      </c>
      <c r="AE4268" s="7" t="str">
        <f t="shared" si="2"/>
        <v> sq. ft.</v>
      </c>
      <c r="AF4268">
        <f>IFERROR(__xludf.DUMMYFUNCTION("VALUE(REGEXREPLACE(G4268,""[^[:digit:]]"", """"))"),11700.0)</f>
        <v>11700</v>
      </c>
      <c r="AG4268" s="7"/>
      <c r="AH4268" s="7"/>
      <c r="AI4268" s="7"/>
      <c r="AJ4268" s="7"/>
      <c r="AK4268" s="7"/>
      <c r="AL4268" s="7"/>
      <c r="AM4268" s="7"/>
      <c r="AN4268" s="7"/>
      <c r="AO4268" s="7"/>
      <c r="AP4268" s="7"/>
      <c r="AQ4268" s="7"/>
      <c r="AR4268" s="7"/>
      <c r="AS4268" s="7" t="s">
        <v>27</v>
      </c>
    </row>
    <row r="4269">
      <c r="A4269" s="7" t="s">
        <v>33</v>
      </c>
      <c r="B4269" s="7" t="s">
        <v>268</v>
      </c>
      <c r="C4269" s="7">
        <f t="shared" ref="C4269:C4271" si="593">3</f>
        <v>3</v>
      </c>
      <c r="D4269" s="7">
        <v>3.0</v>
      </c>
      <c r="E4269" s="7">
        <v>2.0</v>
      </c>
      <c r="F4269" s="7" t="s">
        <v>83</v>
      </c>
      <c r="G4269" s="7" t="s">
        <v>126</v>
      </c>
      <c r="H4269" s="9" t="s">
        <v>2979</v>
      </c>
      <c r="I4269" t="s">
        <v>3018</v>
      </c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  <c r="AA4269" s="7"/>
      <c r="AB4269" s="7"/>
      <c r="AC4269" s="7"/>
      <c r="AD4269" s="7" t="str">
        <f t="shared" si="1"/>
        <v>Built-up :</v>
      </c>
      <c r="AE4269" s="7" t="str">
        <f t="shared" si="2"/>
        <v> sq. ft.</v>
      </c>
      <c r="AF4269">
        <f>IFERROR(__xludf.DUMMYFUNCTION("VALUE(REGEXREPLACE(G4269,""[^[:digit:]]"", """"))"),1023.0)</f>
        <v>1023</v>
      </c>
      <c r="AG4269" s="7"/>
      <c r="AH4269" s="7"/>
      <c r="AI4269" s="7"/>
      <c r="AJ4269" s="7"/>
      <c r="AK4269" s="7"/>
      <c r="AL4269" s="7"/>
      <c r="AM4269" s="7"/>
      <c r="AN4269" s="7"/>
      <c r="AO4269" s="7"/>
      <c r="AP4269" s="7"/>
      <c r="AQ4269" s="7"/>
      <c r="AR4269" s="7"/>
      <c r="AS4269" s="7" t="s">
        <v>27</v>
      </c>
    </row>
    <row r="4270">
      <c r="A4270" s="7" t="s">
        <v>28</v>
      </c>
      <c r="B4270" s="7" t="s">
        <v>563</v>
      </c>
      <c r="C4270" s="7">
        <f t="shared" si="593"/>
        <v>3</v>
      </c>
      <c r="D4270" s="7">
        <v>2.0</v>
      </c>
      <c r="E4270" s="7">
        <v>2.0</v>
      </c>
      <c r="F4270" s="7" t="s">
        <v>30</v>
      </c>
      <c r="G4270" s="7" t="s">
        <v>734</v>
      </c>
      <c r="H4270" s="9" t="s">
        <v>2979</v>
      </c>
      <c r="I4270" t="s">
        <v>3308</v>
      </c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  <c r="AA4270" s="7"/>
      <c r="AB4270" s="7"/>
      <c r="AC4270" s="7"/>
      <c r="AD4270" s="7" t="str">
        <f t="shared" si="1"/>
        <v>Built-up :</v>
      </c>
      <c r="AE4270" s="7" t="str">
        <f t="shared" si="2"/>
        <v> sq. ft.</v>
      </c>
      <c r="AF4270">
        <f>IFERROR(__xludf.DUMMYFUNCTION("VALUE(REGEXREPLACE(G4270,""[^[:digit:]]"", """"))"),1100.0)</f>
        <v>1100</v>
      </c>
      <c r="AG4270" s="7"/>
      <c r="AH4270" s="7"/>
      <c r="AI4270" s="7"/>
      <c r="AJ4270" s="7"/>
      <c r="AK4270" s="7"/>
      <c r="AL4270" s="7"/>
      <c r="AM4270" s="7"/>
      <c r="AN4270" s="7"/>
      <c r="AO4270" s="7"/>
      <c r="AP4270" s="7"/>
      <c r="AQ4270" s="7"/>
      <c r="AR4270" s="7"/>
      <c r="AS4270" s="7" t="s">
        <v>27</v>
      </c>
    </row>
    <row r="4271">
      <c r="A4271" s="7" t="s">
        <v>104</v>
      </c>
      <c r="B4271" s="7" t="s">
        <v>361</v>
      </c>
      <c r="C4271" s="7">
        <f t="shared" si="593"/>
        <v>3</v>
      </c>
      <c r="D4271" s="7">
        <v>2.0</v>
      </c>
      <c r="E4271" s="7">
        <v>1.0</v>
      </c>
      <c r="F4271" s="7" t="s">
        <v>93</v>
      </c>
      <c r="G4271" s="7" t="s">
        <v>1178</v>
      </c>
      <c r="H4271" s="9" t="s">
        <v>2979</v>
      </c>
      <c r="I4271" t="s">
        <v>3561</v>
      </c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  <c r="AA4271" s="7"/>
      <c r="AB4271" s="7"/>
      <c r="AC4271" s="7"/>
      <c r="AD4271" s="7" t="str">
        <f t="shared" si="1"/>
        <v>Built-up :</v>
      </c>
      <c r="AE4271" s="7" t="str">
        <f t="shared" si="2"/>
        <v> sq. ft.</v>
      </c>
      <c r="AF4271">
        <f>IFERROR(__xludf.DUMMYFUNCTION("VALUE(REGEXREPLACE(G4271,""[^[:digit:]]"", """"))"),930.0)</f>
        <v>930</v>
      </c>
      <c r="AG4271" s="7"/>
      <c r="AH4271" s="7"/>
      <c r="AI4271" s="7"/>
      <c r="AJ4271" s="7"/>
      <c r="AK4271" s="7"/>
      <c r="AL4271" s="7"/>
      <c r="AM4271" s="7"/>
      <c r="AN4271" s="7"/>
      <c r="AO4271" s="7"/>
      <c r="AP4271" s="7"/>
      <c r="AQ4271" s="7"/>
      <c r="AR4271" s="7"/>
      <c r="AS4271" s="7" t="s">
        <v>27</v>
      </c>
    </row>
    <row r="4272">
      <c r="A4272" s="7" t="s">
        <v>104</v>
      </c>
      <c r="B4272" s="7" t="s">
        <v>489</v>
      </c>
      <c r="C4272" s="7">
        <f t="shared" ref="C4272:C4273" si="594">5</f>
        <v>5</v>
      </c>
      <c r="D4272" s="7">
        <v>4.0</v>
      </c>
      <c r="E4272" s="9">
        <v>2.0</v>
      </c>
      <c r="F4272" s="7" t="s">
        <v>90</v>
      </c>
      <c r="G4272" s="7" t="s">
        <v>1458</v>
      </c>
      <c r="H4272" s="9" t="s">
        <v>2981</v>
      </c>
      <c r="I4272" t="s">
        <v>3516</v>
      </c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  <c r="AA4272" s="7"/>
      <c r="AB4272" s="7"/>
      <c r="AC4272" s="7"/>
      <c r="AD4272" s="7" t="str">
        <f t="shared" si="1"/>
        <v>Land area </v>
      </c>
      <c r="AE4272" s="7" t="str">
        <f t="shared" si="2"/>
        <v> sq. ft.</v>
      </c>
      <c r="AF4272">
        <f>IFERROR(__xludf.DUMMYFUNCTION("VALUE(REGEXREPLACE(G4272,""[^[:digit:]]"", """"))"),1400.0)</f>
        <v>1400</v>
      </c>
      <c r="AG4272" s="7"/>
      <c r="AH4272" s="7"/>
      <c r="AI4272" s="7"/>
      <c r="AJ4272" s="7"/>
      <c r="AK4272" s="7"/>
      <c r="AL4272" s="7"/>
      <c r="AM4272" s="7"/>
      <c r="AN4272" s="7"/>
      <c r="AO4272" s="7"/>
      <c r="AP4272" s="7"/>
      <c r="AQ4272" s="7"/>
      <c r="AR4272" s="7"/>
      <c r="AS4272" s="7" t="s">
        <v>27</v>
      </c>
    </row>
    <row r="4273">
      <c r="A4273" s="7" t="s">
        <v>104</v>
      </c>
      <c r="B4273" s="7" t="s">
        <v>1374</v>
      </c>
      <c r="C4273" s="7">
        <f t="shared" si="594"/>
        <v>5</v>
      </c>
      <c r="D4273" s="7">
        <v>4.0</v>
      </c>
      <c r="E4273" s="9">
        <v>2.0</v>
      </c>
      <c r="F4273" s="7" t="s">
        <v>90</v>
      </c>
      <c r="G4273" s="7" t="s">
        <v>1458</v>
      </c>
      <c r="H4273" s="9" t="s">
        <v>2981</v>
      </c>
      <c r="I4273" t="s">
        <v>3516</v>
      </c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  <c r="AA4273" s="7"/>
      <c r="AB4273" s="7"/>
      <c r="AC4273" s="7"/>
      <c r="AD4273" s="7" t="str">
        <f t="shared" si="1"/>
        <v>Land area </v>
      </c>
      <c r="AE4273" s="7" t="str">
        <f t="shared" si="2"/>
        <v> sq. ft.</v>
      </c>
      <c r="AF4273">
        <f>IFERROR(__xludf.DUMMYFUNCTION("VALUE(REGEXREPLACE(G4273,""[^[:digit:]]"", """"))"),1400.0)</f>
        <v>1400</v>
      </c>
      <c r="AG4273" s="7"/>
      <c r="AH4273" s="7"/>
      <c r="AI4273" s="7"/>
      <c r="AJ4273" s="7"/>
      <c r="AK4273" s="7"/>
      <c r="AL4273" s="7"/>
      <c r="AM4273" s="7"/>
      <c r="AN4273" s="7"/>
      <c r="AO4273" s="7"/>
      <c r="AP4273" s="7"/>
      <c r="AQ4273" s="7"/>
      <c r="AR4273" s="7"/>
      <c r="AS4273" s="7" t="s">
        <v>27</v>
      </c>
    </row>
    <row r="4274">
      <c r="A4274" s="7" t="s">
        <v>72</v>
      </c>
      <c r="B4274" s="7" t="s">
        <v>69</v>
      </c>
      <c r="C4274" s="7">
        <f>6</f>
        <v>6</v>
      </c>
      <c r="D4274" s="7">
        <v>5.0</v>
      </c>
      <c r="E4274" s="9">
        <v>2.0</v>
      </c>
      <c r="F4274" s="7" t="s">
        <v>64</v>
      </c>
      <c r="G4274" s="7" t="s">
        <v>2673</v>
      </c>
      <c r="H4274" s="9" t="s">
        <v>2981</v>
      </c>
      <c r="I4274" t="s">
        <v>4459</v>
      </c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  <c r="AA4274" s="7"/>
      <c r="AB4274" s="7"/>
      <c r="AC4274" s="7"/>
      <c r="AD4274" s="7" t="str">
        <f t="shared" si="1"/>
        <v>Land area </v>
      </c>
      <c r="AE4274" s="7" t="str">
        <f t="shared" si="2"/>
        <v> sq. ft.</v>
      </c>
      <c r="AF4274">
        <f>IFERROR(__xludf.DUMMYFUNCTION("VALUE(REGEXREPLACE(G4274,""[^[:digit:]]"", """"))"),4700.0)</f>
        <v>4700</v>
      </c>
      <c r="AG4274" s="7"/>
      <c r="AH4274" s="7"/>
      <c r="AI4274" s="7"/>
      <c r="AJ4274" s="7"/>
      <c r="AK4274" s="7"/>
      <c r="AL4274" s="7"/>
      <c r="AM4274" s="7"/>
      <c r="AN4274" s="7"/>
      <c r="AO4274" s="7"/>
      <c r="AP4274" s="7"/>
      <c r="AQ4274" s="7"/>
      <c r="AR4274" s="7"/>
      <c r="AS4274" s="7" t="s">
        <v>27</v>
      </c>
    </row>
    <row r="4275">
      <c r="A4275" s="7" t="s">
        <v>104</v>
      </c>
      <c r="B4275" s="7" t="s">
        <v>2674</v>
      </c>
      <c r="C4275" s="7">
        <f>3</f>
        <v>3</v>
      </c>
      <c r="D4275" s="7">
        <v>2.0</v>
      </c>
      <c r="E4275" s="7">
        <v>1.0</v>
      </c>
      <c r="F4275" s="7" t="s">
        <v>50</v>
      </c>
      <c r="G4275" s="7" t="s">
        <v>1635</v>
      </c>
      <c r="H4275" s="9" t="s">
        <v>2979</v>
      </c>
      <c r="I4275" t="s">
        <v>3827</v>
      </c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  <c r="AA4275" s="7"/>
      <c r="AB4275" s="7"/>
      <c r="AC4275" s="7"/>
      <c r="AD4275" s="7" t="str">
        <f t="shared" si="1"/>
        <v>Built-up :</v>
      </c>
      <c r="AE4275" s="7" t="str">
        <f t="shared" si="2"/>
        <v> sq. ft.</v>
      </c>
      <c r="AF4275">
        <f>IFERROR(__xludf.DUMMYFUNCTION("VALUE(REGEXREPLACE(G4275,""[^[:digit:]]"", """"))"),1010.0)</f>
        <v>1010</v>
      </c>
      <c r="AG4275" s="7"/>
      <c r="AH4275" s="7"/>
      <c r="AI4275" s="7"/>
      <c r="AJ4275" s="7"/>
      <c r="AK4275" s="7"/>
      <c r="AL4275" s="7"/>
      <c r="AM4275" s="7"/>
      <c r="AN4275" s="7"/>
      <c r="AO4275" s="7"/>
      <c r="AP4275" s="7"/>
      <c r="AQ4275" s="7"/>
      <c r="AR4275" s="7"/>
      <c r="AS4275" s="7" t="s">
        <v>27</v>
      </c>
    </row>
    <row r="4276">
      <c r="A4276" s="7" t="s">
        <v>104</v>
      </c>
      <c r="B4276" s="7" t="s">
        <v>790</v>
      </c>
      <c r="C4276" s="7">
        <f>6+1</f>
        <v>7</v>
      </c>
      <c r="D4276" s="7">
        <v>6.0</v>
      </c>
      <c r="E4276" s="9">
        <v>2.0</v>
      </c>
      <c r="F4276" s="7" t="s">
        <v>61</v>
      </c>
      <c r="G4276" s="7" t="s">
        <v>631</v>
      </c>
      <c r="H4276" s="9" t="s">
        <v>2981</v>
      </c>
      <c r="I4276" t="s">
        <v>3258</v>
      </c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  <c r="AA4276" s="7"/>
      <c r="AB4276" s="7"/>
      <c r="AC4276" s="7"/>
      <c r="AD4276" s="7" t="str">
        <f t="shared" si="1"/>
        <v>Land area </v>
      </c>
      <c r="AE4276" s="7" t="str">
        <f t="shared" si="2"/>
        <v> sq. ft.</v>
      </c>
      <c r="AF4276">
        <f>IFERROR(__xludf.DUMMYFUNCTION("VALUE(REGEXREPLACE(G4276,""[^[:digit:]]"", """"))"),5000.0)</f>
        <v>5000</v>
      </c>
      <c r="AG4276" s="7"/>
      <c r="AH4276" s="7"/>
      <c r="AI4276" s="7"/>
      <c r="AJ4276" s="7"/>
      <c r="AK4276" s="7"/>
      <c r="AL4276" s="7"/>
      <c r="AM4276" s="7"/>
      <c r="AN4276" s="7"/>
      <c r="AO4276" s="7"/>
      <c r="AP4276" s="7"/>
      <c r="AQ4276" s="7"/>
      <c r="AR4276" s="7"/>
      <c r="AS4276" s="7" t="s">
        <v>27</v>
      </c>
    </row>
    <row r="4277">
      <c r="A4277" s="7" t="s">
        <v>77</v>
      </c>
      <c r="B4277" s="7" t="s">
        <v>174</v>
      </c>
      <c r="C4277" s="7">
        <f>4+1</f>
        <v>5</v>
      </c>
      <c r="D4277" s="7">
        <v>5.0</v>
      </c>
      <c r="E4277" s="9">
        <v>2.0</v>
      </c>
      <c r="F4277" s="7" t="s">
        <v>90</v>
      </c>
      <c r="G4277" s="7" t="s">
        <v>2675</v>
      </c>
      <c r="H4277" s="9" t="s">
        <v>2981</v>
      </c>
      <c r="I4277" t="s">
        <v>4460</v>
      </c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  <c r="AA4277" s="7"/>
      <c r="AB4277" s="7"/>
      <c r="AC4277" s="7"/>
      <c r="AD4277" s="7" t="str">
        <f t="shared" si="1"/>
        <v>Land area </v>
      </c>
      <c r="AE4277" s="7" t="str">
        <f t="shared" si="2"/>
        <v> sq. ft.</v>
      </c>
      <c r="AF4277">
        <f>IFERROR(__xludf.DUMMYFUNCTION("VALUE(REGEXREPLACE(G4277,""[^[:digit:]]"", """"))"),1850.0)</f>
        <v>1850</v>
      </c>
      <c r="AG4277" s="7"/>
      <c r="AH4277" s="7"/>
      <c r="AI4277" s="7"/>
      <c r="AJ4277" s="7"/>
      <c r="AK4277" s="7"/>
      <c r="AL4277" s="7"/>
      <c r="AM4277" s="7"/>
      <c r="AN4277" s="7"/>
      <c r="AO4277" s="7"/>
      <c r="AP4277" s="7"/>
      <c r="AQ4277" s="7"/>
      <c r="AR4277" s="7"/>
      <c r="AS4277" s="7" t="s">
        <v>27</v>
      </c>
    </row>
    <row r="4278">
      <c r="A4278" s="7" t="s">
        <v>262</v>
      </c>
      <c r="B4278" s="7" t="s">
        <v>1541</v>
      </c>
      <c r="E4278" s="9">
        <v>2.0</v>
      </c>
      <c r="F4278" s="7" t="s">
        <v>1642</v>
      </c>
      <c r="G4278" s="7" t="s">
        <v>1542</v>
      </c>
      <c r="H4278" s="9" t="s">
        <v>2981</v>
      </c>
      <c r="I4278" t="s">
        <v>3769</v>
      </c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  <c r="AA4278" s="7"/>
      <c r="AB4278" s="7"/>
      <c r="AC4278" s="7"/>
      <c r="AD4278" s="7" t="str">
        <f t="shared" si="1"/>
        <v>Land area </v>
      </c>
      <c r="AE4278" s="7" t="str">
        <f t="shared" si="2"/>
        <v> sq. ft.</v>
      </c>
      <c r="AF4278">
        <f>IFERROR(__xludf.DUMMYFUNCTION("VALUE(REGEXREPLACE(G4278,""[^[:digit:]]"", """"))"),10689.0)</f>
        <v>10689</v>
      </c>
      <c r="AG4278" s="7"/>
      <c r="AH4278" s="7"/>
      <c r="AI4278" s="7"/>
      <c r="AJ4278" s="7"/>
      <c r="AK4278" s="7"/>
      <c r="AL4278" s="7"/>
      <c r="AM4278" s="7"/>
      <c r="AN4278" s="7"/>
      <c r="AO4278" s="7"/>
      <c r="AP4278" s="7"/>
      <c r="AQ4278" s="7"/>
      <c r="AR4278" s="7"/>
      <c r="AS4278" s="7" t="s">
        <v>103</v>
      </c>
    </row>
    <row r="4279">
      <c r="A4279" s="7" t="s">
        <v>77</v>
      </c>
      <c r="B4279" s="7" t="s">
        <v>484</v>
      </c>
      <c r="C4279" s="7">
        <f>4+1</f>
        <v>5</v>
      </c>
      <c r="D4279" s="7">
        <v>5.0</v>
      </c>
      <c r="E4279" s="7">
        <v>4.0</v>
      </c>
      <c r="F4279" s="7" t="s">
        <v>90</v>
      </c>
      <c r="G4279" s="7" t="s">
        <v>2676</v>
      </c>
      <c r="H4279" s="9" t="s">
        <v>2981</v>
      </c>
      <c r="I4279" t="s">
        <v>4461</v>
      </c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  <c r="AA4279" s="7"/>
      <c r="AB4279" s="7"/>
      <c r="AC4279" s="7"/>
      <c r="AD4279" s="7" t="str">
        <f t="shared" si="1"/>
        <v>Land area </v>
      </c>
      <c r="AE4279" s="7" t="str">
        <f t="shared" si="2"/>
        <v> sq. ft.</v>
      </c>
      <c r="AF4279">
        <f>IFERROR(__xludf.DUMMYFUNCTION("VALUE(REGEXREPLACE(G4279,""[^[:digit:]]"", """"))"),2045.0)</f>
        <v>2045</v>
      </c>
      <c r="AG4279" s="7"/>
      <c r="AH4279" s="7"/>
      <c r="AI4279" s="7"/>
      <c r="AJ4279" s="7"/>
      <c r="AK4279" s="7"/>
      <c r="AL4279" s="7"/>
      <c r="AM4279" s="7"/>
      <c r="AN4279" s="7"/>
      <c r="AO4279" s="7"/>
      <c r="AP4279" s="7"/>
      <c r="AQ4279" s="7"/>
      <c r="AR4279" s="7"/>
      <c r="AS4279" s="7" t="s">
        <v>27</v>
      </c>
    </row>
    <row r="4280">
      <c r="A4280" s="7" t="s">
        <v>104</v>
      </c>
      <c r="B4280" s="7" t="s">
        <v>2446</v>
      </c>
      <c r="C4280" s="7">
        <f>4</f>
        <v>4</v>
      </c>
      <c r="D4280" s="7">
        <v>3.0</v>
      </c>
      <c r="E4280" s="9">
        <v>2.0</v>
      </c>
      <c r="F4280" s="7" t="s">
        <v>54</v>
      </c>
      <c r="G4280" s="7" t="s">
        <v>211</v>
      </c>
      <c r="H4280" s="9" t="s">
        <v>2981</v>
      </c>
      <c r="I4280" t="s">
        <v>2992</v>
      </c>
      <c r="J4280" s="7"/>
      <c r="K4280" s="7"/>
      <c r="L4280" s="7"/>
      <c r="M4280" s="7"/>
      <c r="N4280" s="7"/>
      <c r="O4280" s="7"/>
      <c r="P4280" s="7"/>
      <c r="Q4280" s="7"/>
      <c r="R4280" s="7"/>
      <c r="S4280" s="7" t="s">
        <v>2993</v>
      </c>
      <c r="T4280" s="7"/>
      <c r="U4280" s="7"/>
      <c r="V4280" s="7"/>
      <c r="W4280" s="7"/>
      <c r="X4280" s="7"/>
      <c r="Y4280" s="7"/>
      <c r="Z4280" s="7"/>
      <c r="AA4280" s="7"/>
      <c r="AB4280" s="7"/>
      <c r="AC4280" s="7"/>
      <c r="AD4280" s="7" t="str">
        <f t="shared" si="1"/>
        <v>Land area </v>
      </c>
      <c r="AE4280" s="7" t="str">
        <f t="shared" si="2"/>
        <v> sq. ft.</v>
      </c>
      <c r="AF4280">
        <f>IFERROR(__xludf.DUMMYFUNCTION("VALUE(REGEXREPLACE(G4280,""[^[:digit:]]"", """"))"),2280.0)</f>
        <v>2280</v>
      </c>
      <c r="AG4280" s="7"/>
      <c r="AH4280" s="7"/>
      <c r="AI4280" s="7"/>
      <c r="AJ4280" s="7"/>
      <c r="AK4280" s="7"/>
      <c r="AL4280" s="7"/>
      <c r="AM4280" s="7"/>
      <c r="AN4280" s="7"/>
      <c r="AO4280" s="7"/>
      <c r="AP4280" s="7"/>
      <c r="AQ4280" s="7"/>
      <c r="AR4280" s="7"/>
      <c r="AS4280" s="7" t="s">
        <v>27</v>
      </c>
    </row>
    <row r="4281">
      <c r="A4281" s="7" t="s">
        <v>77</v>
      </c>
      <c r="B4281" s="7" t="s">
        <v>984</v>
      </c>
      <c r="C4281" s="7">
        <f>2+1</f>
        <v>3</v>
      </c>
      <c r="D4281" s="7">
        <v>3.0</v>
      </c>
      <c r="E4281" s="7">
        <v>2.0</v>
      </c>
      <c r="F4281" s="7" t="s">
        <v>93</v>
      </c>
      <c r="G4281" s="7" t="s">
        <v>490</v>
      </c>
      <c r="H4281" s="9" t="s">
        <v>2979</v>
      </c>
      <c r="I4281" t="s">
        <v>3189</v>
      </c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  <c r="AA4281" s="7"/>
      <c r="AB4281" s="7"/>
      <c r="AC4281" s="7"/>
      <c r="AD4281" s="7" t="str">
        <f t="shared" si="1"/>
        <v>Built-up :</v>
      </c>
      <c r="AE4281" s="7" t="str">
        <f t="shared" si="2"/>
        <v> sq. ft.</v>
      </c>
      <c r="AF4281">
        <f>IFERROR(__xludf.DUMMYFUNCTION("VALUE(REGEXREPLACE(G4281,""[^[:digit:]]"", """"))"),1378.0)</f>
        <v>1378</v>
      </c>
      <c r="AG4281" s="7"/>
      <c r="AH4281" s="7"/>
      <c r="AI4281" s="7"/>
      <c r="AJ4281" s="7"/>
      <c r="AK4281" s="7"/>
      <c r="AL4281" s="7"/>
      <c r="AM4281" s="7"/>
      <c r="AN4281" s="7"/>
      <c r="AO4281" s="7"/>
      <c r="AP4281" s="7"/>
      <c r="AQ4281" s="7"/>
      <c r="AR4281" s="7"/>
      <c r="AS4281" s="7" t="s">
        <v>103</v>
      </c>
    </row>
    <row r="4282">
      <c r="A4282" s="7" t="s">
        <v>358</v>
      </c>
      <c r="B4282" s="7" t="s">
        <v>1328</v>
      </c>
      <c r="C4282" s="7">
        <f>3</f>
        <v>3</v>
      </c>
      <c r="D4282" s="7">
        <v>2.0</v>
      </c>
      <c r="E4282" s="7">
        <v>2.0</v>
      </c>
      <c r="F4282" s="7" t="s">
        <v>93</v>
      </c>
      <c r="G4282" s="7" t="s">
        <v>345</v>
      </c>
      <c r="H4282" s="9" t="s">
        <v>2979</v>
      </c>
      <c r="I4282" t="s">
        <v>3119</v>
      </c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  <c r="AA4282" s="7"/>
      <c r="AB4282" s="7"/>
      <c r="AC4282" s="7"/>
      <c r="AD4282" s="7" t="str">
        <f t="shared" si="1"/>
        <v>Built-up :</v>
      </c>
      <c r="AE4282" s="7" t="str">
        <f t="shared" si="2"/>
        <v> sq. ft.</v>
      </c>
      <c r="AF4282">
        <f>IFERROR(__xludf.DUMMYFUNCTION("VALUE(REGEXREPLACE(G4282,""[^[:digit:]]"", """"))"),1381.0)</f>
        <v>1381</v>
      </c>
      <c r="AG4282" s="7"/>
      <c r="AH4282" s="7"/>
      <c r="AI4282" s="7"/>
      <c r="AJ4282" s="7"/>
      <c r="AK4282" s="7"/>
      <c r="AL4282" s="7"/>
      <c r="AM4282" s="7"/>
      <c r="AN4282" s="7"/>
      <c r="AO4282" s="7"/>
      <c r="AP4282" s="7"/>
      <c r="AQ4282" s="7"/>
      <c r="AR4282" s="7"/>
      <c r="AS4282" s="7" t="s">
        <v>27</v>
      </c>
    </row>
    <row r="4283">
      <c r="A4283" s="7" t="s">
        <v>1014</v>
      </c>
      <c r="B4283" s="7" t="s">
        <v>403</v>
      </c>
      <c r="C4283" s="7">
        <f>5+1</f>
        <v>6</v>
      </c>
      <c r="D4283" s="7">
        <v>5.0</v>
      </c>
      <c r="E4283" s="9">
        <v>2.0</v>
      </c>
      <c r="F4283" s="7" t="s">
        <v>90</v>
      </c>
      <c r="G4283" s="7" t="s">
        <v>344</v>
      </c>
      <c r="H4283" s="9" t="s">
        <v>2981</v>
      </c>
      <c r="I4283" t="s">
        <v>3118</v>
      </c>
      <c r="J4283" s="7"/>
      <c r="K4283" s="7"/>
      <c r="L4283" s="7"/>
      <c r="M4283" s="7"/>
      <c r="N4283" s="7"/>
      <c r="O4283" s="7"/>
      <c r="P4283" s="7"/>
      <c r="Q4283" s="7"/>
      <c r="R4283" s="7"/>
      <c r="S4283" s="7" t="s">
        <v>2993</v>
      </c>
      <c r="T4283" s="7"/>
      <c r="U4283" s="7"/>
      <c r="V4283" s="7"/>
      <c r="W4283" s="7"/>
      <c r="X4283" s="7"/>
      <c r="Y4283" s="7"/>
      <c r="Z4283" s="7"/>
      <c r="AA4283" s="7"/>
      <c r="AB4283" s="7"/>
      <c r="AC4283" s="7"/>
      <c r="AD4283" s="7" t="str">
        <f t="shared" si="1"/>
        <v>Land area </v>
      </c>
      <c r="AE4283" s="7" t="str">
        <f t="shared" si="2"/>
        <v> sq. ft.</v>
      </c>
      <c r="AF4283">
        <f>IFERROR(__xludf.DUMMYFUNCTION("VALUE(REGEXREPLACE(G4283,""[^[:digit:]]"", """"))"),2480.0)</f>
        <v>2480</v>
      </c>
      <c r="AG4283" s="7"/>
      <c r="AH4283" s="7"/>
      <c r="AI4283" s="7"/>
      <c r="AJ4283" s="7"/>
      <c r="AK4283" s="7"/>
      <c r="AL4283" s="7"/>
      <c r="AM4283" s="7"/>
      <c r="AN4283" s="7"/>
      <c r="AO4283" s="7"/>
      <c r="AP4283" s="7"/>
      <c r="AQ4283" s="7"/>
      <c r="AR4283" s="7"/>
      <c r="AS4283" s="7" t="s">
        <v>27</v>
      </c>
    </row>
    <row r="4284">
      <c r="A4284" s="7" t="s">
        <v>104</v>
      </c>
      <c r="B4284" s="7" t="s">
        <v>327</v>
      </c>
      <c r="C4284" s="7">
        <f t="shared" ref="C4284:C4285" si="595">6</f>
        <v>6</v>
      </c>
      <c r="D4284" s="7">
        <v>5.0</v>
      </c>
      <c r="E4284" s="9">
        <v>2.0</v>
      </c>
      <c r="F4284" s="7" t="s">
        <v>90</v>
      </c>
      <c r="G4284" s="7" t="s">
        <v>283</v>
      </c>
      <c r="H4284" s="9" t="s">
        <v>2981</v>
      </c>
      <c r="I4284" t="s">
        <v>3091</v>
      </c>
      <c r="J4284" s="7"/>
      <c r="K4284" s="7"/>
      <c r="L4284" s="7"/>
      <c r="M4284" s="7"/>
      <c r="N4284" s="7"/>
      <c r="O4284" s="7"/>
      <c r="P4284" s="7"/>
      <c r="Q4284" s="7"/>
      <c r="R4284" s="7"/>
      <c r="S4284" s="7" t="s">
        <v>2990</v>
      </c>
      <c r="T4284" s="7"/>
      <c r="U4284" s="7"/>
      <c r="V4284" s="7"/>
      <c r="W4284" s="7"/>
      <c r="X4284" s="7"/>
      <c r="Y4284" s="7"/>
      <c r="Z4284" s="7"/>
      <c r="AA4284" s="7"/>
      <c r="AB4284" s="7"/>
      <c r="AC4284" s="7"/>
      <c r="AD4284" s="7" t="str">
        <f t="shared" si="1"/>
        <v>Land area </v>
      </c>
      <c r="AE4284" s="7" t="str">
        <f t="shared" si="2"/>
        <v> sq. ft.</v>
      </c>
      <c r="AF4284">
        <f>IFERROR(__xludf.DUMMYFUNCTION("VALUE(REGEXREPLACE(G4284,""[^[:digit:]]"", """"))"),2275.0)</f>
        <v>2275</v>
      </c>
      <c r="AG4284" s="7"/>
      <c r="AH4284" s="7"/>
      <c r="AI4284" s="7"/>
      <c r="AJ4284" s="7"/>
      <c r="AK4284" s="7"/>
      <c r="AL4284" s="7"/>
      <c r="AM4284" s="7"/>
      <c r="AN4284" s="7"/>
      <c r="AO4284" s="7"/>
      <c r="AP4284" s="7"/>
      <c r="AQ4284" s="7"/>
      <c r="AR4284" s="7"/>
      <c r="AS4284" s="7" t="s">
        <v>27</v>
      </c>
    </row>
    <row r="4285">
      <c r="A4285" s="7" t="s">
        <v>104</v>
      </c>
      <c r="B4285" s="7" t="s">
        <v>525</v>
      </c>
      <c r="C4285" s="7">
        <f t="shared" si="595"/>
        <v>6</v>
      </c>
      <c r="D4285" s="7">
        <v>5.0</v>
      </c>
      <c r="E4285" s="9">
        <v>2.0</v>
      </c>
      <c r="F4285" s="7" t="s">
        <v>90</v>
      </c>
      <c r="G4285" s="7" t="s">
        <v>1119</v>
      </c>
      <c r="H4285" s="9" t="s">
        <v>2981</v>
      </c>
      <c r="I4285" t="s">
        <v>3516</v>
      </c>
      <c r="J4285" s="7"/>
      <c r="K4285" s="7"/>
      <c r="L4285" s="7"/>
      <c r="M4285" s="7"/>
      <c r="N4285" s="7"/>
      <c r="O4285" s="7"/>
      <c r="P4285" s="7"/>
      <c r="Q4285" s="7"/>
      <c r="R4285" s="7"/>
      <c r="S4285" s="7" t="s">
        <v>3121</v>
      </c>
      <c r="T4285" s="7"/>
      <c r="U4285" s="7"/>
      <c r="V4285" s="7"/>
      <c r="W4285" s="7"/>
      <c r="X4285" s="7"/>
      <c r="Y4285" s="7"/>
      <c r="Z4285" s="7"/>
      <c r="AA4285" s="7"/>
      <c r="AB4285" s="7"/>
      <c r="AC4285" s="7"/>
      <c r="AD4285" s="7" t="str">
        <f t="shared" si="1"/>
        <v>Land area </v>
      </c>
      <c r="AE4285" s="7" t="str">
        <f t="shared" si="2"/>
        <v> sq. ft.</v>
      </c>
      <c r="AF4285">
        <f>IFERROR(__xludf.DUMMYFUNCTION("VALUE(REGEXREPLACE(G4285,""[^[:digit:]]"", """"))"),2070.0)</f>
        <v>2070</v>
      </c>
      <c r="AG4285" s="7"/>
      <c r="AH4285" s="7"/>
      <c r="AI4285" s="7"/>
      <c r="AJ4285" s="7"/>
      <c r="AK4285" s="7"/>
      <c r="AL4285" s="7"/>
      <c r="AM4285" s="7"/>
      <c r="AN4285" s="7"/>
      <c r="AO4285" s="7"/>
      <c r="AP4285" s="7"/>
      <c r="AQ4285" s="7"/>
      <c r="AR4285" s="7"/>
      <c r="AS4285" s="7" t="s">
        <v>27</v>
      </c>
    </row>
    <row r="4286">
      <c r="A4286" s="7" t="s">
        <v>104</v>
      </c>
      <c r="B4286" s="7" t="s">
        <v>206</v>
      </c>
      <c r="C4286" s="7">
        <f t="shared" ref="C4286:C4287" si="596">4</f>
        <v>4</v>
      </c>
      <c r="D4286" s="7">
        <v>3.0</v>
      </c>
      <c r="E4286" s="9">
        <v>2.0</v>
      </c>
      <c r="F4286" s="7" t="s">
        <v>54</v>
      </c>
      <c r="G4286" s="7" t="s">
        <v>1119</v>
      </c>
      <c r="H4286" s="9" t="s">
        <v>2981</v>
      </c>
      <c r="I4286" t="s">
        <v>3516</v>
      </c>
      <c r="J4286" s="7"/>
      <c r="K4286" s="7"/>
      <c r="L4286" s="7"/>
      <c r="M4286" s="7"/>
      <c r="N4286" s="7"/>
      <c r="O4286" s="7"/>
      <c r="P4286" s="7"/>
      <c r="Q4286" s="7"/>
      <c r="R4286" s="7"/>
      <c r="S4286" s="7" t="s">
        <v>3121</v>
      </c>
      <c r="T4286" s="7"/>
      <c r="U4286" s="7"/>
      <c r="V4286" s="7"/>
      <c r="W4286" s="7"/>
      <c r="X4286" s="7"/>
      <c r="Y4286" s="7"/>
      <c r="Z4286" s="7"/>
      <c r="AA4286" s="7"/>
      <c r="AB4286" s="7"/>
      <c r="AC4286" s="7"/>
      <c r="AD4286" s="7" t="str">
        <f t="shared" si="1"/>
        <v>Land area </v>
      </c>
      <c r="AE4286" s="7" t="str">
        <f t="shared" si="2"/>
        <v> sq. ft.</v>
      </c>
      <c r="AF4286">
        <f>IFERROR(__xludf.DUMMYFUNCTION("VALUE(REGEXREPLACE(G4286,""[^[:digit:]]"", """"))"),2070.0)</f>
        <v>2070</v>
      </c>
      <c r="AG4286" s="7"/>
      <c r="AH4286" s="7"/>
      <c r="AI4286" s="7"/>
      <c r="AJ4286" s="7"/>
      <c r="AK4286" s="7"/>
      <c r="AL4286" s="7"/>
      <c r="AM4286" s="7"/>
      <c r="AN4286" s="7"/>
      <c r="AO4286" s="7"/>
      <c r="AP4286" s="7"/>
      <c r="AQ4286" s="7"/>
      <c r="AR4286" s="7"/>
      <c r="AS4286" s="7" t="s">
        <v>27</v>
      </c>
    </row>
    <row r="4287">
      <c r="A4287" s="7" t="s">
        <v>104</v>
      </c>
      <c r="B4287" s="7" t="s">
        <v>2677</v>
      </c>
      <c r="C4287" s="7">
        <f t="shared" si="596"/>
        <v>4</v>
      </c>
      <c r="D4287" s="7">
        <v>3.0</v>
      </c>
      <c r="E4287" s="9">
        <v>2.0</v>
      </c>
      <c r="F4287" s="7" t="s">
        <v>54</v>
      </c>
      <c r="G4287" s="7" t="s">
        <v>1119</v>
      </c>
      <c r="H4287" s="9" t="s">
        <v>2981</v>
      </c>
      <c r="I4287" t="s">
        <v>3516</v>
      </c>
      <c r="J4287" s="7"/>
      <c r="K4287" s="7"/>
      <c r="L4287" s="7"/>
      <c r="M4287" s="7"/>
      <c r="N4287" s="7"/>
      <c r="O4287" s="7"/>
      <c r="P4287" s="7"/>
      <c r="Q4287" s="7"/>
      <c r="R4287" s="7"/>
      <c r="S4287" s="7" t="s">
        <v>3121</v>
      </c>
      <c r="T4287" s="7"/>
      <c r="U4287" s="7"/>
      <c r="V4287" s="7"/>
      <c r="W4287" s="7"/>
      <c r="X4287" s="7"/>
      <c r="Y4287" s="7"/>
      <c r="Z4287" s="7"/>
      <c r="AA4287" s="7"/>
      <c r="AB4287" s="7"/>
      <c r="AC4287" s="7"/>
      <c r="AD4287" s="7" t="str">
        <f t="shared" si="1"/>
        <v>Land area </v>
      </c>
      <c r="AE4287" s="7" t="str">
        <f t="shared" si="2"/>
        <v> sq. ft.</v>
      </c>
      <c r="AF4287">
        <f>IFERROR(__xludf.DUMMYFUNCTION("VALUE(REGEXREPLACE(G4287,""[^[:digit:]]"", """"))"),2070.0)</f>
        <v>2070</v>
      </c>
      <c r="AG4287" s="7"/>
      <c r="AH4287" s="7"/>
      <c r="AI4287" s="7"/>
      <c r="AJ4287" s="7"/>
      <c r="AK4287" s="7"/>
      <c r="AL4287" s="7"/>
      <c r="AM4287" s="7"/>
      <c r="AN4287" s="7"/>
      <c r="AO4287" s="7"/>
      <c r="AP4287" s="7"/>
      <c r="AQ4287" s="7"/>
      <c r="AR4287" s="7"/>
      <c r="AS4287" s="7" t="s">
        <v>27</v>
      </c>
    </row>
    <row r="4288">
      <c r="A4288" s="7" t="s">
        <v>104</v>
      </c>
      <c r="B4288" s="7" t="s">
        <v>18</v>
      </c>
      <c r="C4288" s="7">
        <f>5+1</f>
        <v>6</v>
      </c>
      <c r="D4288" s="7">
        <v>5.0</v>
      </c>
      <c r="E4288" s="9">
        <v>2.0</v>
      </c>
      <c r="F4288" s="7" t="s">
        <v>90</v>
      </c>
      <c r="G4288" s="7" t="s">
        <v>344</v>
      </c>
      <c r="H4288" s="9" t="s">
        <v>2981</v>
      </c>
      <c r="I4288" t="s">
        <v>3118</v>
      </c>
      <c r="J4288" s="7"/>
      <c r="K4288" s="7"/>
      <c r="L4288" s="7"/>
      <c r="M4288" s="7"/>
      <c r="N4288" s="7"/>
      <c r="O4288" s="7"/>
      <c r="P4288" s="7"/>
      <c r="Q4288" s="7"/>
      <c r="R4288" s="7"/>
      <c r="S4288" s="7" t="s">
        <v>2993</v>
      </c>
      <c r="T4288" s="7"/>
      <c r="U4288" s="7"/>
      <c r="V4288" s="7"/>
      <c r="W4288" s="7"/>
      <c r="X4288" s="7"/>
      <c r="Y4288" s="7"/>
      <c r="Z4288" s="7"/>
      <c r="AA4288" s="7"/>
      <c r="AB4288" s="7"/>
      <c r="AC4288" s="7"/>
      <c r="AD4288" s="7" t="str">
        <f t="shared" si="1"/>
        <v>Land area </v>
      </c>
      <c r="AE4288" s="7" t="str">
        <f t="shared" si="2"/>
        <v> sq. ft.</v>
      </c>
      <c r="AF4288">
        <f>IFERROR(__xludf.DUMMYFUNCTION("VALUE(REGEXREPLACE(G4288,""[^[:digit:]]"", """"))"),2480.0)</f>
        <v>2480</v>
      </c>
      <c r="AG4288" s="7"/>
      <c r="AH4288" s="7"/>
      <c r="AI4288" s="7"/>
      <c r="AJ4288" s="7"/>
      <c r="AK4288" s="7"/>
      <c r="AL4288" s="7"/>
      <c r="AM4288" s="7"/>
      <c r="AN4288" s="7"/>
      <c r="AO4288" s="7"/>
      <c r="AP4288" s="7"/>
      <c r="AQ4288" s="7"/>
      <c r="AR4288" s="7"/>
      <c r="AS4288" s="7" t="s">
        <v>27</v>
      </c>
    </row>
    <row r="4289">
      <c r="A4289" s="7" t="s">
        <v>104</v>
      </c>
      <c r="B4289" s="7" t="s">
        <v>1432</v>
      </c>
      <c r="C4289" s="7">
        <f t="shared" ref="C4289:C4290" si="597">4</f>
        <v>4</v>
      </c>
      <c r="D4289" s="7">
        <v>4.0</v>
      </c>
      <c r="E4289" s="9">
        <v>2.0</v>
      </c>
      <c r="F4289" s="7" t="s">
        <v>54</v>
      </c>
      <c r="G4289" s="7" t="s">
        <v>211</v>
      </c>
      <c r="H4289" s="9" t="s">
        <v>2981</v>
      </c>
      <c r="I4289" t="s">
        <v>2992</v>
      </c>
      <c r="J4289" s="7"/>
      <c r="K4289" s="7"/>
      <c r="L4289" s="7"/>
      <c r="M4289" s="7"/>
      <c r="N4289" s="7"/>
      <c r="O4289" s="7"/>
      <c r="P4289" s="7"/>
      <c r="Q4289" s="7"/>
      <c r="R4289" s="7"/>
      <c r="S4289" s="7" t="s">
        <v>2993</v>
      </c>
      <c r="T4289" s="7"/>
      <c r="U4289" s="7"/>
      <c r="V4289" s="7"/>
      <c r="W4289" s="7"/>
      <c r="X4289" s="7"/>
      <c r="Y4289" s="7"/>
      <c r="Z4289" s="7"/>
      <c r="AA4289" s="7"/>
      <c r="AB4289" s="7"/>
      <c r="AC4289" s="7"/>
      <c r="AD4289" s="7" t="str">
        <f t="shared" si="1"/>
        <v>Land area </v>
      </c>
      <c r="AE4289" s="7" t="str">
        <f t="shared" si="2"/>
        <v> sq. ft.</v>
      </c>
      <c r="AF4289">
        <f>IFERROR(__xludf.DUMMYFUNCTION("VALUE(REGEXREPLACE(G4289,""[^[:digit:]]"", """"))"),2280.0)</f>
        <v>2280</v>
      </c>
      <c r="AG4289" s="7"/>
      <c r="AH4289" s="7"/>
      <c r="AI4289" s="7"/>
      <c r="AJ4289" s="7"/>
      <c r="AK4289" s="7"/>
      <c r="AL4289" s="7"/>
      <c r="AM4289" s="7"/>
      <c r="AN4289" s="7"/>
      <c r="AO4289" s="7"/>
      <c r="AP4289" s="7"/>
      <c r="AQ4289" s="7"/>
      <c r="AR4289" s="7"/>
      <c r="AS4289" s="7" t="s">
        <v>27</v>
      </c>
    </row>
    <row r="4290">
      <c r="A4290" s="7" t="s">
        <v>104</v>
      </c>
      <c r="B4290" s="7" t="s">
        <v>635</v>
      </c>
      <c r="C4290" s="7">
        <f t="shared" si="597"/>
        <v>4</v>
      </c>
      <c r="D4290" s="7">
        <v>3.0</v>
      </c>
      <c r="E4290" s="9">
        <v>2.0</v>
      </c>
      <c r="F4290" s="7" t="s">
        <v>54</v>
      </c>
      <c r="G4290" s="7" t="s">
        <v>211</v>
      </c>
      <c r="H4290" s="9" t="s">
        <v>2981</v>
      </c>
      <c r="I4290" t="s">
        <v>2992</v>
      </c>
      <c r="J4290" s="7"/>
      <c r="K4290" s="7"/>
      <c r="L4290" s="7"/>
      <c r="M4290" s="7"/>
      <c r="N4290" s="7"/>
      <c r="O4290" s="7"/>
      <c r="P4290" s="7"/>
      <c r="Q4290" s="7"/>
      <c r="R4290" s="7"/>
      <c r="S4290" s="7" t="s">
        <v>2993</v>
      </c>
      <c r="T4290" s="7"/>
      <c r="U4290" s="7"/>
      <c r="V4290" s="7"/>
      <c r="W4290" s="7"/>
      <c r="X4290" s="7"/>
      <c r="Y4290" s="7"/>
      <c r="Z4290" s="7"/>
      <c r="AA4290" s="7"/>
      <c r="AB4290" s="7"/>
      <c r="AC4290" s="7"/>
      <c r="AD4290" s="7" t="str">
        <f t="shared" si="1"/>
        <v>Land area </v>
      </c>
      <c r="AE4290" s="7" t="str">
        <f t="shared" si="2"/>
        <v> sq. ft.</v>
      </c>
      <c r="AF4290">
        <f>IFERROR(__xludf.DUMMYFUNCTION("VALUE(REGEXREPLACE(G4290,""[^[:digit:]]"", """"))"),2280.0)</f>
        <v>2280</v>
      </c>
      <c r="AG4290" s="7"/>
      <c r="AH4290" s="7"/>
      <c r="AI4290" s="7"/>
      <c r="AJ4290" s="7"/>
      <c r="AK4290" s="7"/>
      <c r="AL4290" s="7"/>
      <c r="AM4290" s="7"/>
      <c r="AN4290" s="7"/>
      <c r="AO4290" s="7"/>
      <c r="AP4290" s="7"/>
      <c r="AQ4290" s="7"/>
      <c r="AR4290" s="7"/>
      <c r="AS4290" s="7" t="s">
        <v>27</v>
      </c>
    </row>
    <row r="4291">
      <c r="A4291" s="7" t="s">
        <v>104</v>
      </c>
      <c r="B4291" s="7" t="s">
        <v>45</v>
      </c>
      <c r="C4291" s="7">
        <f>5+1</f>
        <v>6</v>
      </c>
      <c r="D4291" s="7">
        <v>6.0</v>
      </c>
      <c r="E4291" s="9">
        <v>2.0</v>
      </c>
      <c r="F4291" s="7" t="s">
        <v>64</v>
      </c>
      <c r="G4291" s="7" t="s">
        <v>2678</v>
      </c>
      <c r="H4291" s="9" t="s">
        <v>2981</v>
      </c>
      <c r="I4291" t="s">
        <v>4462</v>
      </c>
      <c r="J4291" s="7"/>
      <c r="K4291" s="7"/>
      <c r="L4291" s="7"/>
      <c r="M4291" s="7"/>
      <c r="N4291" s="7"/>
      <c r="O4291" s="7"/>
      <c r="P4291" s="7"/>
      <c r="Q4291" s="7"/>
      <c r="R4291" s="7"/>
      <c r="S4291" s="7" t="s">
        <v>2993</v>
      </c>
      <c r="T4291" s="7"/>
      <c r="U4291" s="7"/>
      <c r="V4291" s="7"/>
      <c r="W4291" s="7"/>
      <c r="X4291" s="7"/>
      <c r="Y4291" s="7"/>
      <c r="Z4291" s="7"/>
      <c r="AA4291" s="7"/>
      <c r="AB4291" s="7"/>
      <c r="AC4291" s="7"/>
      <c r="AD4291" s="7" t="str">
        <f t="shared" si="1"/>
        <v>Land area </v>
      </c>
      <c r="AE4291" s="7" t="str">
        <f t="shared" si="2"/>
        <v> sq. ft.</v>
      </c>
      <c r="AF4291">
        <f>IFERROR(__xludf.DUMMYFUNCTION("VALUE(REGEXREPLACE(G4291,""[^[:digit:]]"", """"))"),3680.0)</f>
        <v>3680</v>
      </c>
      <c r="AG4291" s="7"/>
      <c r="AH4291" s="7"/>
      <c r="AI4291" s="7"/>
      <c r="AJ4291" s="7"/>
      <c r="AK4291" s="7"/>
      <c r="AL4291" s="7"/>
      <c r="AM4291" s="7"/>
      <c r="AN4291" s="7"/>
      <c r="AO4291" s="7"/>
      <c r="AP4291" s="7"/>
      <c r="AQ4291" s="7"/>
      <c r="AR4291" s="7"/>
      <c r="AS4291" s="7" t="s">
        <v>103</v>
      </c>
    </row>
    <row r="4292">
      <c r="A4292" s="7" t="s">
        <v>104</v>
      </c>
      <c r="B4292" s="7" t="s">
        <v>206</v>
      </c>
      <c r="C4292" s="7">
        <f t="shared" ref="C4292:C4293" si="598">4</f>
        <v>4</v>
      </c>
      <c r="D4292" s="7">
        <v>3.0</v>
      </c>
      <c r="E4292" s="9">
        <v>2.0</v>
      </c>
      <c r="F4292" s="7" t="s">
        <v>54</v>
      </c>
      <c r="G4292" s="7" t="s">
        <v>1119</v>
      </c>
      <c r="H4292" s="9" t="s">
        <v>2981</v>
      </c>
      <c r="I4292" t="s">
        <v>3516</v>
      </c>
      <c r="J4292" s="7"/>
      <c r="K4292" s="7"/>
      <c r="L4292" s="7"/>
      <c r="M4292" s="7"/>
      <c r="N4292" s="7"/>
      <c r="O4292" s="7"/>
      <c r="P4292" s="7"/>
      <c r="Q4292" s="7"/>
      <c r="R4292" s="7"/>
      <c r="S4292" s="7" t="s">
        <v>3121</v>
      </c>
      <c r="T4292" s="7"/>
      <c r="U4292" s="7"/>
      <c r="V4292" s="7"/>
      <c r="W4292" s="7"/>
      <c r="X4292" s="7"/>
      <c r="Y4292" s="7"/>
      <c r="Z4292" s="7"/>
      <c r="AA4292" s="7"/>
      <c r="AB4292" s="7"/>
      <c r="AC4292" s="7"/>
      <c r="AD4292" s="7" t="str">
        <f t="shared" si="1"/>
        <v>Land area </v>
      </c>
      <c r="AE4292" s="7" t="str">
        <f t="shared" si="2"/>
        <v> sq. ft.</v>
      </c>
      <c r="AF4292">
        <f>IFERROR(__xludf.DUMMYFUNCTION("VALUE(REGEXREPLACE(G4292,""[^[:digit:]]"", """"))"),2070.0)</f>
        <v>2070</v>
      </c>
      <c r="AG4292" s="7"/>
      <c r="AH4292" s="7"/>
      <c r="AI4292" s="7"/>
      <c r="AJ4292" s="7"/>
      <c r="AK4292" s="7"/>
      <c r="AL4292" s="7"/>
      <c r="AM4292" s="7"/>
      <c r="AN4292" s="7"/>
      <c r="AO4292" s="7"/>
      <c r="AP4292" s="7"/>
      <c r="AQ4292" s="7"/>
      <c r="AR4292" s="7"/>
      <c r="AS4292" s="7" t="s">
        <v>27</v>
      </c>
    </row>
    <row r="4293">
      <c r="A4293" s="7" t="s">
        <v>580</v>
      </c>
      <c r="B4293" s="7" t="s">
        <v>168</v>
      </c>
      <c r="C4293" s="7">
        <f t="shared" si="598"/>
        <v>4</v>
      </c>
      <c r="D4293" s="7">
        <v>2.0</v>
      </c>
      <c r="E4293" s="9">
        <v>2.0</v>
      </c>
      <c r="F4293" s="7" t="s">
        <v>93</v>
      </c>
      <c r="G4293" s="7" t="s">
        <v>2679</v>
      </c>
      <c r="H4293" s="9" t="s">
        <v>2979</v>
      </c>
      <c r="I4293" t="s">
        <v>4463</v>
      </c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  <c r="AA4293" s="7"/>
      <c r="AB4293" s="7"/>
      <c r="AC4293" s="7"/>
      <c r="AD4293" s="7" t="str">
        <f t="shared" si="1"/>
        <v>Built-up :</v>
      </c>
      <c r="AE4293" s="7" t="str">
        <f t="shared" si="2"/>
        <v> sq. ft.</v>
      </c>
      <c r="AF4293">
        <f>IFERROR(__xludf.DUMMYFUNCTION("VALUE(REGEXREPLACE(G4293,""[^[:digit:]]"", """"))"),1358.0)</f>
        <v>1358</v>
      </c>
      <c r="AG4293" s="7"/>
      <c r="AH4293" s="7"/>
      <c r="AI4293" s="7"/>
      <c r="AJ4293" s="7"/>
      <c r="AK4293" s="7"/>
      <c r="AL4293" s="7"/>
      <c r="AM4293" s="7"/>
      <c r="AN4293" s="7"/>
      <c r="AO4293" s="7"/>
      <c r="AP4293" s="7"/>
      <c r="AQ4293" s="7"/>
      <c r="AR4293" s="7"/>
      <c r="AS4293" s="7" t="s">
        <v>103</v>
      </c>
    </row>
    <row r="4294">
      <c r="A4294" s="7" t="s">
        <v>580</v>
      </c>
      <c r="B4294" s="7" t="s">
        <v>1328</v>
      </c>
      <c r="C4294" s="7">
        <f>3+1</f>
        <v>4</v>
      </c>
      <c r="D4294" s="7">
        <v>3.0</v>
      </c>
      <c r="E4294" s="7">
        <v>1.0</v>
      </c>
      <c r="F4294" s="7" t="s">
        <v>93</v>
      </c>
      <c r="G4294" s="7" t="s">
        <v>2680</v>
      </c>
      <c r="H4294" s="9" t="s">
        <v>2979</v>
      </c>
      <c r="I4294" t="s">
        <v>4464</v>
      </c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  <c r="AA4294" s="7"/>
      <c r="AB4294" s="7"/>
      <c r="AC4294" s="7"/>
      <c r="AD4294" s="7" t="str">
        <f t="shared" si="1"/>
        <v>Built-up :</v>
      </c>
      <c r="AE4294" s="7" t="str">
        <f t="shared" si="2"/>
        <v> sq. ft.</v>
      </c>
      <c r="AF4294">
        <f>IFERROR(__xludf.DUMMYFUNCTION("VALUE(REGEXREPLACE(G4294,""[^[:digit:]]"", """"))"),1316.0)</f>
        <v>1316</v>
      </c>
      <c r="AG4294" s="7"/>
      <c r="AH4294" s="7"/>
      <c r="AI4294" s="7"/>
      <c r="AJ4294" s="7"/>
      <c r="AK4294" s="7"/>
      <c r="AL4294" s="7"/>
      <c r="AM4294" s="7"/>
      <c r="AN4294" s="7"/>
      <c r="AO4294" s="7"/>
      <c r="AP4294" s="7"/>
      <c r="AQ4294" s="7"/>
      <c r="AR4294" s="7"/>
      <c r="AS4294" s="7" t="s">
        <v>27</v>
      </c>
    </row>
    <row r="4295">
      <c r="A4295" s="7" t="s">
        <v>155</v>
      </c>
      <c r="B4295" s="7" t="s">
        <v>105</v>
      </c>
      <c r="C4295" s="7">
        <f t="shared" ref="C4295:C4299" si="599">3</f>
        <v>3</v>
      </c>
      <c r="D4295" s="7">
        <v>2.0</v>
      </c>
      <c r="E4295" s="7">
        <v>2.0</v>
      </c>
      <c r="F4295" s="7" t="s">
        <v>30</v>
      </c>
      <c r="G4295" s="7" t="s">
        <v>1003</v>
      </c>
      <c r="H4295" s="9" t="s">
        <v>2979</v>
      </c>
      <c r="I4295" t="s">
        <v>3448</v>
      </c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  <c r="AA4295" s="7"/>
      <c r="AB4295" s="7"/>
      <c r="AC4295" s="7"/>
      <c r="AD4295" s="7" t="str">
        <f t="shared" si="1"/>
        <v>Built-up :</v>
      </c>
      <c r="AE4295" s="7" t="str">
        <f t="shared" si="2"/>
        <v> sq. ft.</v>
      </c>
      <c r="AF4295">
        <f>IFERROR(__xludf.DUMMYFUNCTION("VALUE(REGEXREPLACE(G4295,""[^[:digit:]]"", """"))"),1323.0)</f>
        <v>1323</v>
      </c>
      <c r="AG4295" s="7"/>
      <c r="AH4295" s="7"/>
      <c r="AI4295" s="7"/>
      <c r="AJ4295" s="7"/>
      <c r="AK4295" s="7"/>
      <c r="AL4295" s="7"/>
      <c r="AM4295" s="7"/>
      <c r="AN4295" s="7"/>
      <c r="AO4295" s="7"/>
      <c r="AP4295" s="7"/>
      <c r="AQ4295" s="7"/>
      <c r="AR4295" s="7"/>
      <c r="AS4295" s="7" t="s">
        <v>27</v>
      </c>
    </row>
    <row r="4296">
      <c r="A4296" s="7" t="s">
        <v>109</v>
      </c>
      <c r="B4296" s="7" t="s">
        <v>603</v>
      </c>
      <c r="C4296" s="7">
        <f t="shared" si="599"/>
        <v>3</v>
      </c>
      <c r="D4296" s="7">
        <v>2.0</v>
      </c>
      <c r="E4296" s="7">
        <v>1.0</v>
      </c>
      <c r="F4296" s="7" t="s">
        <v>503</v>
      </c>
      <c r="G4296" s="7" t="s">
        <v>2681</v>
      </c>
      <c r="H4296" s="9" t="s">
        <v>2979</v>
      </c>
      <c r="I4296" t="s">
        <v>4465</v>
      </c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  <c r="AA4296" s="7"/>
      <c r="AB4296" s="7"/>
      <c r="AC4296" s="7"/>
      <c r="AD4296" s="7" t="str">
        <f t="shared" si="1"/>
        <v>Built-up :</v>
      </c>
      <c r="AE4296" s="7" t="str">
        <f t="shared" si="2"/>
        <v> sq. ft.</v>
      </c>
      <c r="AF4296">
        <f>IFERROR(__xludf.DUMMYFUNCTION("VALUE(REGEXREPLACE(G4296,""[^[:digit:]]"", """"))"),2236.0)</f>
        <v>2236</v>
      </c>
      <c r="AG4296" s="7"/>
      <c r="AH4296" s="7"/>
      <c r="AI4296" s="7"/>
      <c r="AJ4296" s="7"/>
      <c r="AK4296" s="7"/>
      <c r="AL4296" s="7"/>
      <c r="AM4296" s="7"/>
      <c r="AN4296" s="7"/>
      <c r="AO4296" s="7"/>
      <c r="AP4296" s="7"/>
      <c r="AQ4296" s="7"/>
      <c r="AR4296" s="7"/>
      <c r="AS4296" s="7" t="s">
        <v>22</v>
      </c>
    </row>
    <row r="4297">
      <c r="A4297" s="7" t="s">
        <v>109</v>
      </c>
      <c r="B4297" s="7" t="s">
        <v>969</v>
      </c>
      <c r="C4297" s="7">
        <f t="shared" si="599"/>
        <v>3</v>
      </c>
      <c r="D4297" s="7">
        <v>2.0</v>
      </c>
      <c r="E4297" s="7">
        <v>1.0</v>
      </c>
      <c r="F4297" s="7" t="s">
        <v>503</v>
      </c>
      <c r="G4297" s="7" t="s">
        <v>2682</v>
      </c>
      <c r="H4297" s="9" t="s">
        <v>2979</v>
      </c>
      <c r="I4297" t="s">
        <v>4466</v>
      </c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  <c r="AA4297" s="7"/>
      <c r="AB4297" s="7"/>
      <c r="AC4297" s="7"/>
      <c r="AD4297" s="7" t="str">
        <f t="shared" si="1"/>
        <v>Built-up :</v>
      </c>
      <c r="AE4297" s="7" t="str">
        <f t="shared" si="2"/>
        <v> sq. ft.</v>
      </c>
      <c r="AF4297">
        <f>IFERROR(__xludf.DUMMYFUNCTION("VALUE(REGEXREPLACE(G4297,""[^[:digit:]]"", """"))"),1221.0)</f>
        <v>1221</v>
      </c>
      <c r="AG4297" s="7"/>
      <c r="AH4297" s="7"/>
      <c r="AI4297" s="7"/>
      <c r="AJ4297" s="7"/>
      <c r="AK4297" s="7"/>
      <c r="AL4297" s="7"/>
      <c r="AM4297" s="7"/>
      <c r="AN4297" s="7"/>
      <c r="AO4297" s="7"/>
      <c r="AP4297" s="7"/>
      <c r="AQ4297" s="7"/>
      <c r="AR4297" s="7"/>
      <c r="AS4297" s="7" t="s">
        <v>22</v>
      </c>
    </row>
    <row r="4298">
      <c r="A4298" s="7" t="s">
        <v>358</v>
      </c>
      <c r="B4298" s="7" t="s">
        <v>1423</v>
      </c>
      <c r="C4298" s="7">
        <f t="shared" si="599"/>
        <v>3</v>
      </c>
      <c r="D4298" s="7">
        <v>1.0</v>
      </c>
      <c r="E4298" s="7">
        <v>1.0</v>
      </c>
      <c r="F4298" s="7" t="s">
        <v>50</v>
      </c>
      <c r="G4298" s="7" t="s">
        <v>924</v>
      </c>
      <c r="H4298" s="9" t="s">
        <v>2979</v>
      </c>
      <c r="I4298" t="s">
        <v>3406</v>
      </c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  <c r="AA4298" s="7"/>
      <c r="AB4298" s="7"/>
      <c r="AC4298" s="7"/>
      <c r="AD4298" s="7" t="str">
        <f t="shared" si="1"/>
        <v>Built-up :</v>
      </c>
      <c r="AE4298" s="7" t="str">
        <f t="shared" si="2"/>
        <v> sq. ft.</v>
      </c>
      <c r="AF4298">
        <f>IFERROR(__xludf.DUMMYFUNCTION("VALUE(REGEXREPLACE(G4298,""[^[:digit:]]"", """"))"),750.0)</f>
        <v>750</v>
      </c>
      <c r="AG4298" s="7"/>
      <c r="AH4298" s="7"/>
      <c r="AI4298" s="7"/>
      <c r="AJ4298" s="7"/>
      <c r="AK4298" s="7"/>
      <c r="AL4298" s="7"/>
      <c r="AM4298" s="7"/>
      <c r="AN4298" s="7"/>
      <c r="AO4298" s="7"/>
      <c r="AP4298" s="7"/>
      <c r="AQ4298" s="7"/>
      <c r="AR4298" s="7"/>
      <c r="AS4298" s="7" t="s">
        <v>27</v>
      </c>
    </row>
    <row r="4299">
      <c r="A4299" s="7" t="s">
        <v>104</v>
      </c>
      <c r="B4299" s="7" t="s">
        <v>969</v>
      </c>
      <c r="C4299" s="7">
        <f t="shared" si="599"/>
        <v>3</v>
      </c>
      <c r="D4299" s="7">
        <v>2.0</v>
      </c>
      <c r="E4299" s="7">
        <v>1.0</v>
      </c>
      <c r="F4299" s="7" t="s">
        <v>93</v>
      </c>
      <c r="G4299" s="7" t="s">
        <v>604</v>
      </c>
      <c r="H4299" s="9" t="s">
        <v>2979</v>
      </c>
      <c r="I4299" t="s">
        <v>3244</v>
      </c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  <c r="AA4299" s="7"/>
      <c r="AB4299" s="7"/>
      <c r="AC4299" s="7"/>
      <c r="AD4299" s="7" t="str">
        <f t="shared" si="1"/>
        <v>Built-up :</v>
      </c>
      <c r="AE4299" s="7" t="str">
        <f t="shared" si="2"/>
        <v> sq. ft.</v>
      </c>
      <c r="AF4299">
        <f>IFERROR(__xludf.DUMMYFUNCTION("VALUE(REGEXREPLACE(G4299,""[^[:digit:]]"", """"))"),1150.0)</f>
        <v>1150</v>
      </c>
      <c r="AG4299" s="7"/>
      <c r="AH4299" s="7"/>
      <c r="AI4299" s="7"/>
      <c r="AJ4299" s="7"/>
      <c r="AK4299" s="7"/>
      <c r="AL4299" s="7"/>
      <c r="AM4299" s="7"/>
      <c r="AN4299" s="7"/>
      <c r="AO4299" s="7"/>
      <c r="AP4299" s="7"/>
      <c r="AQ4299" s="7"/>
      <c r="AR4299" s="7"/>
      <c r="AS4299" s="7" t="s">
        <v>27</v>
      </c>
    </row>
    <row r="4300">
      <c r="A4300" s="7" t="s">
        <v>104</v>
      </c>
      <c r="B4300" s="7" t="s">
        <v>309</v>
      </c>
      <c r="C4300" s="7">
        <f t="shared" ref="C4300:C4301" si="600">5+1</f>
        <v>6</v>
      </c>
      <c r="D4300" s="7">
        <v>6.0</v>
      </c>
      <c r="E4300" s="9">
        <v>2.0</v>
      </c>
      <c r="F4300" s="7" t="s">
        <v>64</v>
      </c>
      <c r="G4300" s="7" t="s">
        <v>912</v>
      </c>
      <c r="H4300" s="9" t="s">
        <v>2981</v>
      </c>
      <c r="I4300" t="s">
        <v>3183</v>
      </c>
      <c r="J4300" s="7"/>
      <c r="K4300" s="7"/>
      <c r="L4300" s="7"/>
      <c r="M4300" s="7"/>
      <c r="N4300" s="7"/>
      <c r="O4300" s="7"/>
      <c r="P4300" s="7"/>
      <c r="Q4300" s="7"/>
      <c r="R4300" s="7"/>
      <c r="S4300" s="7" t="s">
        <v>2993</v>
      </c>
      <c r="T4300" s="7"/>
      <c r="U4300" s="7"/>
      <c r="V4300" s="7"/>
      <c r="W4300" s="7"/>
      <c r="X4300" s="7"/>
      <c r="Y4300" s="7"/>
      <c r="Z4300" s="7"/>
      <c r="AA4300" s="7"/>
      <c r="AB4300" s="7"/>
      <c r="AC4300" s="7"/>
      <c r="AD4300" s="7" t="str">
        <f t="shared" si="1"/>
        <v>Land area </v>
      </c>
      <c r="AE4300" s="7" t="str">
        <f t="shared" si="2"/>
        <v> sq. ft.</v>
      </c>
      <c r="AF4300">
        <f>IFERROR(__xludf.DUMMYFUNCTION("VALUE(REGEXREPLACE(G4300,""[^[:digit:]]"", """"))"),4080.0)</f>
        <v>4080</v>
      </c>
      <c r="AG4300" s="7"/>
      <c r="AH4300" s="7"/>
      <c r="AI4300" s="7"/>
      <c r="AJ4300" s="7"/>
      <c r="AK4300" s="7"/>
      <c r="AL4300" s="7"/>
      <c r="AM4300" s="7"/>
      <c r="AN4300" s="7"/>
      <c r="AO4300" s="7"/>
      <c r="AP4300" s="7"/>
      <c r="AQ4300" s="7"/>
      <c r="AR4300" s="7"/>
      <c r="AS4300" s="7" t="s">
        <v>103</v>
      </c>
    </row>
    <row r="4301">
      <c r="A4301" s="7" t="s">
        <v>104</v>
      </c>
      <c r="B4301" s="7" t="s">
        <v>277</v>
      </c>
      <c r="C4301" s="7">
        <f t="shared" si="600"/>
        <v>6</v>
      </c>
      <c r="D4301" s="7">
        <v>6.0</v>
      </c>
      <c r="E4301" s="9">
        <v>2.0</v>
      </c>
      <c r="F4301" s="7" t="s">
        <v>64</v>
      </c>
      <c r="G4301" s="7" t="s">
        <v>2683</v>
      </c>
      <c r="H4301" s="9" t="s">
        <v>2981</v>
      </c>
      <c r="I4301" t="s">
        <v>3398</v>
      </c>
      <c r="J4301" s="7"/>
      <c r="K4301" s="7"/>
      <c r="L4301" s="7"/>
      <c r="M4301" s="7"/>
      <c r="N4301" s="7"/>
      <c r="O4301" s="7"/>
      <c r="P4301" s="7"/>
      <c r="Q4301" s="7"/>
      <c r="R4301" s="7"/>
      <c r="S4301" s="7" t="s">
        <v>3101</v>
      </c>
      <c r="T4301" s="7"/>
      <c r="U4301" s="7"/>
      <c r="V4301" s="7"/>
      <c r="W4301" s="7"/>
      <c r="X4301" s="7"/>
      <c r="Y4301" s="7"/>
      <c r="Z4301" s="7"/>
      <c r="AA4301" s="7"/>
      <c r="AB4301" s="7"/>
      <c r="AC4301" s="7"/>
      <c r="AD4301" s="7" t="str">
        <f t="shared" si="1"/>
        <v>Land area </v>
      </c>
      <c r="AE4301" s="7" t="str">
        <f t="shared" si="2"/>
        <v> sq. ft.</v>
      </c>
      <c r="AF4301">
        <f>IFERROR(__xludf.DUMMYFUNCTION("VALUE(REGEXREPLACE(G4301,""[^[:digit:]]"", """"))"),3685.0)</f>
        <v>3685</v>
      </c>
      <c r="AG4301" s="7"/>
      <c r="AH4301" s="7"/>
      <c r="AI4301" s="7"/>
      <c r="AJ4301" s="7"/>
      <c r="AK4301" s="7"/>
      <c r="AL4301" s="7"/>
      <c r="AM4301" s="7"/>
      <c r="AN4301" s="7"/>
      <c r="AO4301" s="7"/>
      <c r="AP4301" s="7"/>
      <c r="AQ4301" s="7"/>
      <c r="AR4301" s="7"/>
      <c r="AS4301" s="7" t="s">
        <v>103</v>
      </c>
    </row>
    <row r="4302">
      <c r="A4302" s="7" t="s">
        <v>104</v>
      </c>
      <c r="B4302" s="7" t="s">
        <v>236</v>
      </c>
      <c r="C4302" s="7">
        <f>6</f>
        <v>6</v>
      </c>
      <c r="D4302" s="7">
        <v>5.0</v>
      </c>
      <c r="E4302" s="9">
        <v>2.0</v>
      </c>
      <c r="F4302" s="7" t="s">
        <v>487</v>
      </c>
      <c r="G4302" s="7" t="s">
        <v>2684</v>
      </c>
      <c r="H4302" s="9" t="s">
        <v>2981</v>
      </c>
      <c r="I4302" t="s">
        <v>4467</v>
      </c>
      <c r="J4302" s="7"/>
      <c r="K4302" s="7"/>
      <c r="L4302" s="7"/>
      <c r="M4302" s="7"/>
      <c r="N4302" s="7"/>
      <c r="O4302" s="7"/>
      <c r="P4302" s="7"/>
      <c r="Q4302" s="7"/>
      <c r="R4302" s="7"/>
      <c r="S4302" s="7" t="s">
        <v>2990</v>
      </c>
      <c r="T4302" s="7"/>
      <c r="U4302" s="7"/>
      <c r="V4302" s="7"/>
      <c r="W4302" s="7"/>
      <c r="X4302" s="7"/>
      <c r="Y4302" s="7"/>
      <c r="Z4302" s="7"/>
      <c r="AA4302" s="7"/>
      <c r="AB4302" s="7"/>
      <c r="AC4302" s="7"/>
      <c r="AD4302" s="7" t="str">
        <f t="shared" si="1"/>
        <v>Land area </v>
      </c>
      <c r="AE4302" s="7" t="str">
        <f t="shared" si="2"/>
        <v> sq. ft.</v>
      </c>
      <c r="AF4302">
        <f>IFERROR(__xludf.DUMMYFUNCTION("VALUE(REGEXREPLACE(G4302,""[^[:digit:]]"", """"))"),4775.0)</f>
        <v>4775</v>
      </c>
      <c r="AG4302" s="7"/>
      <c r="AH4302" s="7"/>
      <c r="AI4302" s="7"/>
      <c r="AJ4302" s="7"/>
      <c r="AK4302" s="7"/>
      <c r="AL4302" s="7"/>
      <c r="AM4302" s="7"/>
      <c r="AN4302" s="7"/>
      <c r="AO4302" s="7"/>
      <c r="AP4302" s="7"/>
      <c r="AQ4302" s="7"/>
      <c r="AR4302" s="7"/>
      <c r="AS4302" s="7" t="s">
        <v>103</v>
      </c>
    </row>
    <row r="4303">
      <c r="A4303" s="7" t="s">
        <v>104</v>
      </c>
      <c r="B4303" s="7" t="s">
        <v>144</v>
      </c>
      <c r="C4303" s="7">
        <f t="shared" ref="C4303:C4305" si="601">4</f>
        <v>4</v>
      </c>
      <c r="D4303" s="7">
        <v>3.0</v>
      </c>
      <c r="E4303" s="9">
        <v>2.0</v>
      </c>
      <c r="F4303" s="7" t="s">
        <v>184</v>
      </c>
      <c r="G4303" s="7" t="s">
        <v>2147</v>
      </c>
      <c r="H4303" s="9" t="s">
        <v>2981</v>
      </c>
      <c r="I4303" t="s">
        <v>4139</v>
      </c>
      <c r="J4303" s="7"/>
      <c r="K4303" s="7"/>
      <c r="L4303" s="7"/>
      <c r="M4303" s="7"/>
      <c r="N4303" s="7"/>
      <c r="O4303" s="7"/>
      <c r="P4303" s="7"/>
      <c r="Q4303" s="7"/>
      <c r="R4303" s="7"/>
      <c r="S4303" s="7" t="s">
        <v>2993</v>
      </c>
      <c r="T4303" s="7"/>
      <c r="U4303" s="7"/>
      <c r="V4303" s="7"/>
      <c r="W4303" s="7"/>
      <c r="X4303" s="7"/>
      <c r="Y4303" s="7"/>
      <c r="Z4303" s="7"/>
      <c r="AA4303" s="7"/>
      <c r="AB4303" s="7"/>
      <c r="AC4303" s="7"/>
      <c r="AD4303" s="7" t="str">
        <f t="shared" si="1"/>
        <v>Land area </v>
      </c>
      <c r="AE4303" s="7" t="str">
        <f t="shared" si="2"/>
        <v> sq. ft.</v>
      </c>
      <c r="AF4303">
        <f>IFERROR(__xludf.DUMMYFUNCTION("VALUE(REGEXREPLACE(G4303,""[^[:digit:]]"", """"))"),4280.0)</f>
        <v>4280</v>
      </c>
      <c r="AG4303" s="7"/>
      <c r="AH4303" s="7"/>
      <c r="AI4303" s="7"/>
      <c r="AJ4303" s="7"/>
      <c r="AK4303" s="7"/>
      <c r="AL4303" s="7"/>
      <c r="AM4303" s="7"/>
      <c r="AN4303" s="7"/>
      <c r="AO4303" s="7"/>
      <c r="AP4303" s="7"/>
      <c r="AQ4303" s="7"/>
      <c r="AR4303" s="7"/>
      <c r="AS4303" s="7" t="s">
        <v>27</v>
      </c>
    </row>
    <row r="4304">
      <c r="A4304" s="7" t="s">
        <v>104</v>
      </c>
      <c r="B4304" s="7" t="s">
        <v>78</v>
      </c>
      <c r="C4304" s="7">
        <f t="shared" si="601"/>
        <v>4</v>
      </c>
      <c r="D4304" s="7">
        <v>3.0</v>
      </c>
      <c r="E4304" s="9">
        <v>2.0</v>
      </c>
      <c r="F4304" s="7" t="s">
        <v>184</v>
      </c>
      <c r="G4304" s="7" t="s">
        <v>1769</v>
      </c>
      <c r="H4304" s="9" t="s">
        <v>2981</v>
      </c>
      <c r="I4304" t="s">
        <v>2988</v>
      </c>
      <c r="J4304" s="7"/>
      <c r="K4304" s="7"/>
      <c r="L4304" s="7"/>
      <c r="M4304" s="7"/>
      <c r="N4304" s="7"/>
      <c r="O4304" s="7"/>
      <c r="P4304" s="7"/>
      <c r="Q4304" s="7"/>
      <c r="R4304" s="7"/>
      <c r="S4304" s="7" t="s">
        <v>3188</v>
      </c>
      <c r="T4304" s="7"/>
      <c r="U4304" s="7"/>
      <c r="V4304" s="7"/>
      <c r="W4304" s="7"/>
      <c r="X4304" s="7"/>
      <c r="Y4304" s="7"/>
      <c r="Z4304" s="7"/>
      <c r="AA4304" s="7"/>
      <c r="AB4304" s="7"/>
      <c r="AC4304" s="7"/>
      <c r="AD4304" s="7" t="str">
        <f t="shared" si="1"/>
        <v>Land area </v>
      </c>
      <c r="AE4304" s="7" t="str">
        <f t="shared" si="2"/>
        <v> sq. ft.</v>
      </c>
      <c r="AF4304">
        <f>IFERROR(__xludf.DUMMYFUNCTION("VALUE(REGEXREPLACE(G4304,""[^[:digit:]]"", """"))"),4090.0)</f>
        <v>4090</v>
      </c>
      <c r="AG4304" s="7"/>
      <c r="AH4304" s="7"/>
      <c r="AI4304" s="7"/>
      <c r="AJ4304" s="7"/>
      <c r="AK4304" s="7"/>
      <c r="AL4304" s="7"/>
      <c r="AM4304" s="7"/>
      <c r="AN4304" s="7"/>
      <c r="AO4304" s="7"/>
      <c r="AP4304" s="7"/>
      <c r="AQ4304" s="7"/>
      <c r="AR4304" s="7"/>
      <c r="AS4304" s="7" t="s">
        <v>27</v>
      </c>
    </row>
    <row r="4305">
      <c r="A4305" s="7" t="s">
        <v>104</v>
      </c>
      <c r="B4305" s="7" t="s">
        <v>963</v>
      </c>
      <c r="C4305" s="7">
        <f t="shared" si="601"/>
        <v>4</v>
      </c>
      <c r="D4305" s="7">
        <v>3.0</v>
      </c>
      <c r="E4305" s="9">
        <v>2.0</v>
      </c>
      <c r="F4305" s="7" t="s">
        <v>54</v>
      </c>
      <c r="G4305" s="7" t="s">
        <v>1119</v>
      </c>
      <c r="H4305" s="9" t="s">
        <v>2981</v>
      </c>
      <c r="I4305" t="s">
        <v>3516</v>
      </c>
      <c r="J4305" s="7"/>
      <c r="K4305" s="7"/>
      <c r="L4305" s="7"/>
      <c r="M4305" s="7"/>
      <c r="N4305" s="7"/>
      <c r="O4305" s="7"/>
      <c r="P4305" s="7"/>
      <c r="Q4305" s="7"/>
      <c r="R4305" s="7"/>
      <c r="S4305" s="7" t="s">
        <v>3121</v>
      </c>
      <c r="T4305" s="7"/>
      <c r="U4305" s="7"/>
      <c r="V4305" s="7"/>
      <c r="W4305" s="7"/>
      <c r="X4305" s="7"/>
      <c r="Y4305" s="7"/>
      <c r="Z4305" s="7"/>
      <c r="AA4305" s="7"/>
      <c r="AB4305" s="7"/>
      <c r="AC4305" s="7"/>
      <c r="AD4305" s="7" t="str">
        <f t="shared" si="1"/>
        <v>Land area </v>
      </c>
      <c r="AE4305" s="7" t="str">
        <f t="shared" si="2"/>
        <v> sq. ft.</v>
      </c>
      <c r="AF4305">
        <f>IFERROR(__xludf.DUMMYFUNCTION("VALUE(REGEXREPLACE(G4305,""[^[:digit:]]"", """"))"),2070.0)</f>
        <v>2070</v>
      </c>
      <c r="AG4305" s="7"/>
      <c r="AH4305" s="7"/>
      <c r="AI4305" s="7"/>
      <c r="AJ4305" s="7"/>
      <c r="AK4305" s="7"/>
      <c r="AL4305" s="7"/>
      <c r="AM4305" s="7"/>
      <c r="AN4305" s="7"/>
      <c r="AO4305" s="7"/>
      <c r="AP4305" s="7"/>
      <c r="AQ4305" s="7"/>
      <c r="AR4305" s="7"/>
      <c r="AS4305" s="7" t="s">
        <v>27</v>
      </c>
    </row>
    <row r="4306">
      <c r="A4306" s="7" t="s">
        <v>432</v>
      </c>
      <c r="B4306" s="7" t="s">
        <v>127</v>
      </c>
      <c r="E4306" s="9">
        <v>2.0</v>
      </c>
      <c r="F4306" s="7" t="s">
        <v>1642</v>
      </c>
      <c r="G4306" s="7" t="s">
        <v>2685</v>
      </c>
      <c r="H4306" s="9" t="s">
        <v>2981</v>
      </c>
      <c r="I4306" t="s">
        <v>4468</v>
      </c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  <c r="AA4306" s="7"/>
      <c r="AB4306" s="7"/>
      <c r="AC4306" s="7"/>
      <c r="AD4306" s="7" t="str">
        <f t="shared" si="1"/>
        <v>Land area </v>
      </c>
      <c r="AE4306" s="7" t="str">
        <f t="shared" si="2"/>
        <v> sq. ft.</v>
      </c>
      <c r="AF4306">
        <f>IFERROR(__xludf.DUMMYFUNCTION("VALUE(REGEXREPLACE(G4306,""[^[:digit:]]"", """"))"),8848.0)</f>
        <v>8848</v>
      </c>
      <c r="AG4306" s="7"/>
      <c r="AH4306" s="7"/>
      <c r="AI4306" s="7"/>
      <c r="AJ4306" s="7"/>
      <c r="AK4306" s="7"/>
      <c r="AL4306" s="7"/>
      <c r="AM4306" s="7"/>
      <c r="AN4306" s="7"/>
      <c r="AO4306" s="7"/>
      <c r="AP4306" s="7"/>
      <c r="AQ4306" s="7"/>
      <c r="AR4306" s="7"/>
      <c r="AS4306" s="7" t="s">
        <v>103</v>
      </c>
    </row>
    <row r="4307">
      <c r="A4307" s="7" t="s">
        <v>104</v>
      </c>
      <c r="B4307" s="7" t="s">
        <v>1213</v>
      </c>
      <c r="C4307" s="7">
        <f>3</f>
        <v>3</v>
      </c>
      <c r="D4307" s="7">
        <v>2.0</v>
      </c>
      <c r="E4307" s="7">
        <v>1.0</v>
      </c>
      <c r="F4307" s="7" t="s">
        <v>50</v>
      </c>
      <c r="G4307" s="7" t="s">
        <v>1635</v>
      </c>
      <c r="H4307" s="9" t="s">
        <v>2979</v>
      </c>
      <c r="I4307" t="s">
        <v>3827</v>
      </c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  <c r="AA4307" s="7"/>
      <c r="AB4307" s="7"/>
      <c r="AC4307" s="7"/>
      <c r="AD4307" s="7" t="str">
        <f t="shared" si="1"/>
        <v>Built-up :</v>
      </c>
      <c r="AE4307" s="7" t="str">
        <f t="shared" si="2"/>
        <v> sq. ft.</v>
      </c>
      <c r="AF4307">
        <f>IFERROR(__xludf.DUMMYFUNCTION("VALUE(REGEXREPLACE(G4307,""[^[:digit:]]"", """"))"),1010.0)</f>
        <v>1010</v>
      </c>
      <c r="AG4307" s="7"/>
      <c r="AH4307" s="7"/>
      <c r="AI4307" s="7"/>
      <c r="AJ4307" s="7"/>
      <c r="AK4307" s="7"/>
      <c r="AL4307" s="7"/>
      <c r="AM4307" s="7"/>
      <c r="AN4307" s="7"/>
      <c r="AO4307" s="7"/>
      <c r="AP4307" s="7"/>
      <c r="AQ4307" s="7"/>
      <c r="AR4307" s="7"/>
      <c r="AS4307" s="7" t="s">
        <v>27</v>
      </c>
    </row>
    <row r="4308">
      <c r="A4308" s="7" t="s">
        <v>155</v>
      </c>
      <c r="B4308" s="7" t="s">
        <v>1659</v>
      </c>
      <c r="C4308" s="7">
        <f>3+1</f>
        <v>4</v>
      </c>
      <c r="D4308" s="7">
        <v>3.0</v>
      </c>
      <c r="E4308" s="7">
        <v>1.0</v>
      </c>
      <c r="F4308" s="7" t="s">
        <v>30</v>
      </c>
      <c r="G4308" s="7" t="s">
        <v>690</v>
      </c>
      <c r="H4308" s="9" t="s">
        <v>2979</v>
      </c>
      <c r="I4308" t="s">
        <v>3287</v>
      </c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  <c r="AA4308" s="7"/>
      <c r="AB4308" s="7"/>
      <c r="AC4308" s="7"/>
      <c r="AD4308" s="7" t="str">
        <f t="shared" si="1"/>
        <v>Built-up :</v>
      </c>
      <c r="AE4308" s="7" t="str">
        <f t="shared" si="2"/>
        <v> sq. ft.</v>
      </c>
      <c r="AF4308">
        <f>IFERROR(__xludf.DUMMYFUNCTION("VALUE(REGEXREPLACE(G4308,""[^[:digit:]]"", """"))"),1423.0)</f>
        <v>1423</v>
      </c>
      <c r="AG4308" s="7"/>
      <c r="AH4308" s="7"/>
      <c r="AI4308" s="7"/>
      <c r="AJ4308" s="7"/>
      <c r="AK4308" s="7"/>
      <c r="AL4308" s="7"/>
      <c r="AM4308" s="7"/>
      <c r="AN4308" s="7"/>
      <c r="AO4308" s="7"/>
      <c r="AP4308" s="7"/>
      <c r="AQ4308" s="7"/>
      <c r="AR4308" s="7"/>
      <c r="AS4308" s="7" t="s">
        <v>27</v>
      </c>
    </row>
    <row r="4309">
      <c r="A4309" s="7" t="s">
        <v>580</v>
      </c>
      <c r="B4309" s="7" t="s">
        <v>599</v>
      </c>
      <c r="C4309" s="7">
        <f>4</f>
        <v>4</v>
      </c>
      <c r="D4309" s="7">
        <v>3.0</v>
      </c>
      <c r="E4309" s="7">
        <v>2.0</v>
      </c>
      <c r="F4309" s="7" t="s">
        <v>30</v>
      </c>
      <c r="G4309" s="7" t="s">
        <v>2686</v>
      </c>
      <c r="H4309" s="9" t="s">
        <v>2979</v>
      </c>
      <c r="I4309" t="s">
        <v>4469</v>
      </c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  <c r="AA4309" s="7"/>
      <c r="AB4309" s="7"/>
      <c r="AC4309" s="7"/>
      <c r="AD4309" s="7" t="str">
        <f t="shared" si="1"/>
        <v>Built-up :</v>
      </c>
      <c r="AE4309" s="7" t="str">
        <f t="shared" si="2"/>
        <v> sq. ft.</v>
      </c>
      <c r="AF4309">
        <f>IFERROR(__xludf.DUMMYFUNCTION("VALUE(REGEXREPLACE(G4309,""[^[:digit:]]"", """"))"),1635.0)</f>
        <v>1635</v>
      </c>
      <c r="AG4309" s="7"/>
      <c r="AH4309" s="7"/>
      <c r="AI4309" s="7"/>
      <c r="AJ4309" s="7"/>
      <c r="AK4309" s="7"/>
      <c r="AL4309" s="7"/>
      <c r="AM4309" s="7"/>
      <c r="AN4309" s="7"/>
      <c r="AO4309" s="7"/>
      <c r="AP4309" s="7"/>
      <c r="AQ4309" s="7"/>
      <c r="AR4309" s="7"/>
      <c r="AS4309" s="7" t="s">
        <v>27</v>
      </c>
    </row>
    <row r="4310">
      <c r="A4310" s="7" t="s">
        <v>580</v>
      </c>
      <c r="B4310" s="7" t="s">
        <v>1957</v>
      </c>
      <c r="C4310" s="7">
        <f>3+1</f>
        <v>4</v>
      </c>
      <c r="D4310" s="7">
        <v>3.0</v>
      </c>
      <c r="E4310" s="7">
        <v>2.0</v>
      </c>
      <c r="F4310" s="7" t="s">
        <v>93</v>
      </c>
      <c r="G4310" s="7" t="s">
        <v>2680</v>
      </c>
      <c r="H4310" s="9" t="s">
        <v>2979</v>
      </c>
      <c r="I4310" t="s">
        <v>4464</v>
      </c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  <c r="AA4310" s="7"/>
      <c r="AB4310" s="7"/>
      <c r="AC4310" s="7"/>
      <c r="AD4310" s="7" t="str">
        <f t="shared" si="1"/>
        <v>Built-up :</v>
      </c>
      <c r="AE4310" s="7" t="str">
        <f t="shared" si="2"/>
        <v> sq. ft.</v>
      </c>
      <c r="AF4310">
        <f>IFERROR(__xludf.DUMMYFUNCTION("VALUE(REGEXREPLACE(G4310,""[^[:digit:]]"", """"))"),1316.0)</f>
        <v>1316</v>
      </c>
      <c r="AG4310" s="7"/>
      <c r="AH4310" s="7"/>
      <c r="AI4310" s="7"/>
      <c r="AJ4310" s="7"/>
      <c r="AK4310" s="7"/>
      <c r="AL4310" s="7"/>
      <c r="AM4310" s="7"/>
      <c r="AN4310" s="7"/>
      <c r="AO4310" s="7"/>
      <c r="AP4310" s="7"/>
      <c r="AQ4310" s="7"/>
      <c r="AR4310" s="7"/>
      <c r="AS4310" s="7" t="s">
        <v>22</v>
      </c>
    </row>
    <row r="4311">
      <c r="A4311" s="7" t="s">
        <v>580</v>
      </c>
      <c r="B4311" s="7" t="s">
        <v>2346</v>
      </c>
      <c r="C4311" s="7">
        <f>4</f>
        <v>4</v>
      </c>
      <c r="D4311" s="7">
        <v>3.0</v>
      </c>
      <c r="E4311" s="9">
        <v>2.0</v>
      </c>
      <c r="F4311" s="7" t="s">
        <v>93</v>
      </c>
      <c r="G4311" s="7" t="s">
        <v>2680</v>
      </c>
      <c r="H4311" s="9" t="s">
        <v>2979</v>
      </c>
      <c r="I4311" t="s">
        <v>4464</v>
      </c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  <c r="AA4311" s="7"/>
      <c r="AB4311" s="7"/>
      <c r="AC4311" s="7"/>
      <c r="AD4311" s="7" t="str">
        <f t="shared" si="1"/>
        <v>Built-up :</v>
      </c>
      <c r="AE4311" s="7" t="str">
        <f t="shared" si="2"/>
        <v> sq. ft.</v>
      </c>
      <c r="AF4311">
        <f>IFERROR(__xludf.DUMMYFUNCTION("VALUE(REGEXREPLACE(G4311,""[^[:digit:]]"", """"))"),1316.0)</f>
        <v>1316</v>
      </c>
      <c r="AG4311" s="7"/>
      <c r="AH4311" s="7"/>
      <c r="AI4311" s="7"/>
      <c r="AJ4311" s="7"/>
      <c r="AK4311" s="7"/>
      <c r="AL4311" s="7"/>
      <c r="AM4311" s="7"/>
      <c r="AN4311" s="7"/>
      <c r="AO4311" s="7"/>
      <c r="AP4311" s="7"/>
      <c r="AQ4311" s="7"/>
      <c r="AR4311" s="7"/>
      <c r="AS4311" s="7" t="s">
        <v>22</v>
      </c>
    </row>
    <row r="4312">
      <c r="A4312" s="7" t="s">
        <v>155</v>
      </c>
      <c r="B4312" s="7" t="s">
        <v>268</v>
      </c>
      <c r="C4312" s="7">
        <f t="shared" ref="C4312:C4313" si="602">3</f>
        <v>3</v>
      </c>
      <c r="D4312" s="7">
        <v>2.0</v>
      </c>
      <c r="E4312" s="7">
        <v>1.0</v>
      </c>
      <c r="F4312" s="7" t="s">
        <v>93</v>
      </c>
      <c r="G4312" s="7" t="s">
        <v>1630</v>
      </c>
      <c r="H4312" s="9" t="s">
        <v>2979</v>
      </c>
      <c r="I4312" t="s">
        <v>3824</v>
      </c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  <c r="AA4312" s="7"/>
      <c r="AB4312" s="7"/>
      <c r="AC4312" s="7"/>
      <c r="AD4312" s="7" t="str">
        <f t="shared" si="1"/>
        <v>Built-up :</v>
      </c>
      <c r="AE4312" s="7" t="str">
        <f t="shared" si="2"/>
        <v> sq. ft.</v>
      </c>
      <c r="AF4312">
        <f>IFERROR(__xludf.DUMMYFUNCTION("VALUE(REGEXREPLACE(G4312,""[^[:digit:]]"", """"))"),1108.0)</f>
        <v>1108</v>
      </c>
      <c r="AG4312" s="7"/>
      <c r="AH4312" s="7"/>
      <c r="AI4312" s="7"/>
      <c r="AJ4312" s="7"/>
      <c r="AK4312" s="7"/>
      <c r="AL4312" s="7"/>
      <c r="AM4312" s="7"/>
      <c r="AN4312" s="7"/>
      <c r="AO4312" s="7"/>
      <c r="AP4312" s="7"/>
      <c r="AQ4312" s="7"/>
      <c r="AR4312" s="7"/>
      <c r="AS4312" s="7" t="s">
        <v>27</v>
      </c>
    </row>
    <row r="4313">
      <c r="A4313" s="7" t="s">
        <v>109</v>
      </c>
      <c r="B4313" s="7" t="s">
        <v>2184</v>
      </c>
      <c r="C4313" s="7">
        <f t="shared" si="602"/>
        <v>3</v>
      </c>
      <c r="D4313" s="7">
        <v>2.0</v>
      </c>
      <c r="E4313" s="7">
        <v>1.0</v>
      </c>
      <c r="F4313" s="7" t="s">
        <v>50</v>
      </c>
      <c r="G4313" s="7" t="s">
        <v>491</v>
      </c>
      <c r="H4313" s="9" t="s">
        <v>2979</v>
      </c>
      <c r="I4313" t="s">
        <v>3190</v>
      </c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  <c r="AA4313" s="7"/>
      <c r="AB4313" s="7"/>
      <c r="AC4313" s="7"/>
      <c r="AD4313" s="7" t="str">
        <f t="shared" si="1"/>
        <v>Built-up :</v>
      </c>
      <c r="AE4313" s="7" t="str">
        <f t="shared" si="2"/>
        <v> sq. ft.</v>
      </c>
      <c r="AF4313">
        <f>IFERROR(__xludf.DUMMYFUNCTION("VALUE(REGEXREPLACE(G4313,""[^[:digit:]]"", """"))"),950.0)</f>
        <v>950</v>
      </c>
      <c r="AG4313" s="7"/>
      <c r="AH4313" s="7"/>
      <c r="AI4313" s="7"/>
      <c r="AJ4313" s="7"/>
      <c r="AK4313" s="7"/>
      <c r="AL4313" s="7"/>
      <c r="AM4313" s="7"/>
      <c r="AN4313" s="7"/>
      <c r="AO4313" s="7"/>
      <c r="AP4313" s="7"/>
      <c r="AQ4313" s="7"/>
      <c r="AR4313" s="7"/>
      <c r="AS4313" s="7" t="s">
        <v>103</v>
      </c>
    </row>
    <row r="4314">
      <c r="A4314" s="7" t="s">
        <v>1014</v>
      </c>
      <c r="B4314" s="7" t="s">
        <v>281</v>
      </c>
      <c r="E4314" s="9">
        <v>2.0</v>
      </c>
      <c r="F4314" s="7" t="s">
        <v>1642</v>
      </c>
      <c r="G4314" s="7" t="s">
        <v>2687</v>
      </c>
      <c r="H4314" s="9" t="s">
        <v>2981</v>
      </c>
      <c r="I4314" t="s">
        <v>4470</v>
      </c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  <c r="AA4314" s="7"/>
      <c r="AB4314" s="7"/>
      <c r="AC4314" s="7"/>
      <c r="AD4314" s="7" t="str">
        <f t="shared" si="1"/>
        <v>Land area </v>
      </c>
      <c r="AE4314" s="7" t="str">
        <f t="shared" si="2"/>
        <v> sq. ft.</v>
      </c>
      <c r="AF4314">
        <f>IFERROR(__xludf.DUMMYFUNCTION("VALUE(REGEXREPLACE(G4314,""[^[:digit:]]"", """"))"),9120.0)</f>
        <v>9120</v>
      </c>
      <c r="AG4314" s="7"/>
      <c r="AH4314" s="7"/>
      <c r="AI4314" s="7"/>
      <c r="AJ4314" s="7"/>
      <c r="AK4314" s="7"/>
      <c r="AL4314" s="7"/>
      <c r="AM4314" s="7"/>
      <c r="AN4314" s="7"/>
      <c r="AO4314" s="7"/>
      <c r="AP4314" s="7"/>
      <c r="AQ4314" s="7"/>
      <c r="AR4314" s="7"/>
      <c r="AS4314" s="7" t="s">
        <v>103</v>
      </c>
    </row>
    <row r="4315">
      <c r="A4315" s="7" t="s">
        <v>104</v>
      </c>
      <c r="B4315" s="7" t="s">
        <v>510</v>
      </c>
      <c r="C4315" s="7">
        <f>2+1</f>
        <v>3</v>
      </c>
      <c r="D4315" s="7">
        <v>2.0</v>
      </c>
      <c r="E4315" s="7">
        <v>1.0</v>
      </c>
      <c r="F4315" s="7" t="s">
        <v>50</v>
      </c>
      <c r="G4315" s="7" t="s">
        <v>2353</v>
      </c>
      <c r="H4315" s="9" t="s">
        <v>2979</v>
      </c>
      <c r="I4315" t="s">
        <v>4270</v>
      </c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  <c r="AA4315" s="7"/>
      <c r="AB4315" s="7"/>
      <c r="AC4315" s="7"/>
      <c r="AD4315" s="7" t="str">
        <f t="shared" si="1"/>
        <v>Built-up :</v>
      </c>
      <c r="AE4315" s="7" t="str">
        <f t="shared" si="2"/>
        <v> sq. ft.</v>
      </c>
      <c r="AF4315">
        <f>IFERROR(__xludf.DUMMYFUNCTION("VALUE(REGEXREPLACE(G4315,""[^[:digit:]]"", """"))"),1001.0)</f>
        <v>1001</v>
      </c>
      <c r="AG4315" s="7"/>
      <c r="AH4315" s="7"/>
      <c r="AI4315" s="7"/>
      <c r="AJ4315" s="7"/>
      <c r="AK4315" s="7"/>
      <c r="AL4315" s="7"/>
      <c r="AM4315" s="7"/>
      <c r="AN4315" s="7"/>
      <c r="AO4315" s="7"/>
      <c r="AP4315" s="7"/>
      <c r="AQ4315" s="7"/>
      <c r="AR4315" s="7"/>
      <c r="AS4315" s="7" t="s">
        <v>103</v>
      </c>
    </row>
    <row r="4316">
      <c r="A4316" s="7" t="s">
        <v>262</v>
      </c>
      <c r="B4316" s="7" t="s">
        <v>2688</v>
      </c>
      <c r="E4316" s="9">
        <v>2.0</v>
      </c>
      <c r="F4316" s="7" t="s">
        <v>2689</v>
      </c>
      <c r="G4316" s="7" t="s">
        <v>2690</v>
      </c>
      <c r="H4316" s="9" t="s">
        <v>2981</v>
      </c>
      <c r="I4316" t="s">
        <v>4471</v>
      </c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  <c r="AA4316" s="7"/>
      <c r="AB4316" s="7"/>
      <c r="AC4316" s="7"/>
      <c r="AD4316" s="7" t="str">
        <f t="shared" si="1"/>
        <v>Land area </v>
      </c>
      <c r="AE4316" s="7" t="str">
        <f t="shared" si="2"/>
        <v> sq. ft.</v>
      </c>
      <c r="AF4316">
        <f>IFERROR(__xludf.DUMMYFUNCTION("VALUE(REGEXREPLACE(G4316,""[^[:digit:]]"", """"))"),14068.0)</f>
        <v>14068</v>
      </c>
      <c r="AG4316" s="7"/>
      <c r="AH4316" s="7"/>
      <c r="AI4316" s="7"/>
      <c r="AJ4316" s="7"/>
      <c r="AK4316" s="7"/>
      <c r="AL4316" s="7"/>
      <c r="AM4316" s="7"/>
      <c r="AN4316" s="7"/>
      <c r="AO4316" s="7"/>
      <c r="AP4316" s="7"/>
      <c r="AQ4316" s="7"/>
      <c r="AR4316" s="7"/>
      <c r="AS4316" s="7" t="s">
        <v>103</v>
      </c>
    </row>
    <row r="4317">
      <c r="A4317" s="7" t="s">
        <v>262</v>
      </c>
      <c r="B4317" s="7" t="s">
        <v>42</v>
      </c>
      <c r="E4317" s="9">
        <v>2.0</v>
      </c>
      <c r="F4317" s="7" t="s">
        <v>2689</v>
      </c>
      <c r="G4317" s="7" t="s">
        <v>2691</v>
      </c>
      <c r="H4317" s="9" t="s">
        <v>2981</v>
      </c>
      <c r="I4317" t="s">
        <v>4472</v>
      </c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  <c r="AA4317" s="7"/>
      <c r="AB4317" s="7"/>
      <c r="AC4317" s="7"/>
      <c r="AD4317" s="7" t="str">
        <f t="shared" si="1"/>
        <v>Land area </v>
      </c>
      <c r="AE4317" s="7" t="str">
        <f t="shared" si="2"/>
        <v> sq. ft.</v>
      </c>
      <c r="AF4317">
        <f>IFERROR(__xludf.DUMMYFUNCTION("VALUE(REGEXREPLACE(G4317,""[^[:digit:]]"", """"))"),12002.0)</f>
        <v>12002</v>
      </c>
      <c r="AG4317" s="7"/>
      <c r="AH4317" s="7"/>
      <c r="AI4317" s="7"/>
      <c r="AJ4317" s="7"/>
      <c r="AK4317" s="7"/>
      <c r="AL4317" s="7"/>
      <c r="AM4317" s="7"/>
      <c r="AN4317" s="7"/>
      <c r="AO4317" s="7"/>
      <c r="AP4317" s="7"/>
      <c r="AQ4317" s="7"/>
      <c r="AR4317" s="7"/>
      <c r="AS4317" s="7" t="s">
        <v>103</v>
      </c>
    </row>
    <row r="4318">
      <c r="A4318" s="7" t="s">
        <v>72</v>
      </c>
      <c r="B4318" s="7" t="s">
        <v>98</v>
      </c>
      <c r="C4318" s="7">
        <f>3+2</f>
        <v>5</v>
      </c>
      <c r="D4318" s="7">
        <v>4.0</v>
      </c>
      <c r="E4318" s="7">
        <v>3.0</v>
      </c>
      <c r="F4318" s="7" t="s">
        <v>30</v>
      </c>
      <c r="G4318" s="7" t="s">
        <v>555</v>
      </c>
      <c r="H4318" s="9" t="s">
        <v>2979</v>
      </c>
      <c r="I4318" t="s">
        <v>3222</v>
      </c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  <c r="AA4318" s="7"/>
      <c r="AB4318" s="7"/>
      <c r="AC4318" s="7"/>
      <c r="AD4318" s="7" t="str">
        <f t="shared" si="1"/>
        <v>Built-up :</v>
      </c>
      <c r="AE4318" s="7" t="str">
        <f t="shared" si="2"/>
        <v> sq. ft.</v>
      </c>
      <c r="AF4318">
        <f>IFERROR(__xludf.DUMMYFUNCTION("VALUE(REGEXREPLACE(G4318,""[^[:digit:]]"", """"))"),2648.0)</f>
        <v>2648</v>
      </c>
      <c r="AG4318" s="7"/>
      <c r="AH4318" s="7"/>
      <c r="AI4318" s="7"/>
      <c r="AJ4318" s="7"/>
      <c r="AK4318" s="7"/>
      <c r="AL4318" s="7"/>
      <c r="AM4318" s="7"/>
      <c r="AN4318" s="7"/>
      <c r="AO4318" s="7"/>
      <c r="AP4318" s="7"/>
      <c r="AQ4318" s="7"/>
      <c r="AR4318" s="7"/>
      <c r="AS4318" s="7" t="s">
        <v>27</v>
      </c>
    </row>
    <row r="4319">
      <c r="A4319" s="7" t="s">
        <v>72</v>
      </c>
      <c r="B4319" s="7" t="s">
        <v>165</v>
      </c>
      <c r="C4319" s="7">
        <f>6</f>
        <v>6</v>
      </c>
      <c r="D4319" s="7">
        <v>7.0</v>
      </c>
      <c r="E4319" s="7">
        <v>4.0</v>
      </c>
      <c r="F4319" s="7" t="s">
        <v>64</v>
      </c>
      <c r="G4319" s="7" t="s">
        <v>2692</v>
      </c>
      <c r="H4319" s="9" t="s">
        <v>2981</v>
      </c>
      <c r="I4319" t="s">
        <v>4473</v>
      </c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  <c r="AA4319" s="7"/>
      <c r="AB4319" s="7"/>
      <c r="AC4319" s="7"/>
      <c r="AD4319" s="7" t="str">
        <f t="shared" si="1"/>
        <v>Land area </v>
      </c>
      <c r="AE4319" s="7" t="str">
        <f t="shared" si="2"/>
        <v> sq. ft.</v>
      </c>
      <c r="AF4319">
        <f>IFERROR(__xludf.DUMMYFUNCTION("VALUE(REGEXREPLACE(G4319,""[^[:digit:]]"", """"))"),4941.0)</f>
        <v>4941</v>
      </c>
      <c r="AG4319" s="7"/>
      <c r="AH4319" s="7"/>
      <c r="AI4319" s="7"/>
      <c r="AJ4319" s="7"/>
      <c r="AK4319" s="7"/>
      <c r="AL4319" s="7"/>
      <c r="AM4319" s="7"/>
      <c r="AN4319" s="7"/>
      <c r="AO4319" s="7"/>
      <c r="AP4319" s="7"/>
      <c r="AQ4319" s="7"/>
      <c r="AR4319" s="7"/>
      <c r="AS4319" s="7" t="s">
        <v>27</v>
      </c>
    </row>
    <row r="4320">
      <c r="A4320" s="7" t="s">
        <v>171</v>
      </c>
      <c r="B4320" s="7" t="s">
        <v>327</v>
      </c>
      <c r="C4320" s="7">
        <f>4+1</f>
        <v>5</v>
      </c>
      <c r="D4320" s="7">
        <v>4.0</v>
      </c>
      <c r="E4320" s="9">
        <v>2.0</v>
      </c>
      <c r="F4320" s="7" t="s">
        <v>64</v>
      </c>
      <c r="G4320" s="7" t="s">
        <v>912</v>
      </c>
      <c r="H4320" s="9" t="s">
        <v>2981</v>
      </c>
      <c r="I4320" t="s">
        <v>3183</v>
      </c>
      <c r="J4320" s="7"/>
      <c r="K4320" s="7"/>
      <c r="L4320" s="7"/>
      <c r="M4320" s="7"/>
      <c r="N4320" s="7"/>
      <c r="O4320" s="7"/>
      <c r="P4320" s="7"/>
      <c r="Q4320" s="7"/>
      <c r="R4320" s="7"/>
      <c r="S4320" s="7" t="s">
        <v>2993</v>
      </c>
      <c r="T4320" s="7"/>
      <c r="U4320" s="7"/>
      <c r="V4320" s="7"/>
      <c r="W4320" s="7"/>
      <c r="X4320" s="7"/>
      <c r="Y4320" s="7"/>
      <c r="Z4320" s="7"/>
      <c r="AA4320" s="7"/>
      <c r="AB4320" s="7"/>
      <c r="AC4320" s="7"/>
      <c r="AD4320" s="7" t="str">
        <f t="shared" si="1"/>
        <v>Land area </v>
      </c>
      <c r="AE4320" s="7" t="str">
        <f t="shared" si="2"/>
        <v> sq. ft.</v>
      </c>
      <c r="AF4320">
        <f>IFERROR(__xludf.DUMMYFUNCTION("VALUE(REGEXREPLACE(G4320,""[^[:digit:]]"", """"))"),4080.0)</f>
        <v>4080</v>
      </c>
      <c r="AG4320" s="7"/>
      <c r="AH4320" s="7"/>
      <c r="AI4320" s="7"/>
      <c r="AJ4320" s="7"/>
      <c r="AK4320" s="7"/>
      <c r="AL4320" s="7"/>
      <c r="AM4320" s="7"/>
      <c r="AN4320" s="7"/>
      <c r="AO4320" s="7"/>
      <c r="AP4320" s="7"/>
      <c r="AQ4320" s="7"/>
      <c r="AR4320" s="7"/>
      <c r="AS4320" s="7" t="s">
        <v>103</v>
      </c>
    </row>
    <row r="4321">
      <c r="A4321" s="7" t="s">
        <v>104</v>
      </c>
      <c r="B4321" s="7" t="s">
        <v>610</v>
      </c>
      <c r="C4321" s="7">
        <f>5</f>
        <v>5</v>
      </c>
      <c r="D4321" s="7">
        <v>4.0</v>
      </c>
      <c r="E4321" s="9">
        <v>2.0</v>
      </c>
      <c r="F4321" s="7" t="s">
        <v>64</v>
      </c>
      <c r="G4321" s="7" t="s">
        <v>1508</v>
      </c>
      <c r="H4321" s="9" t="s">
        <v>2981</v>
      </c>
      <c r="I4321" t="s">
        <v>3574</v>
      </c>
      <c r="J4321" s="7"/>
      <c r="K4321" s="7"/>
      <c r="L4321" s="7"/>
      <c r="M4321" s="7"/>
      <c r="N4321" s="7"/>
      <c r="O4321" s="7"/>
      <c r="P4321" s="7"/>
      <c r="Q4321" s="7"/>
      <c r="R4321" s="7"/>
      <c r="S4321" s="7" t="s">
        <v>3188</v>
      </c>
      <c r="T4321" s="7"/>
      <c r="U4321" s="7"/>
      <c r="V4321" s="7"/>
      <c r="W4321" s="7"/>
      <c r="X4321" s="7"/>
      <c r="Y4321" s="7"/>
      <c r="Z4321" s="7"/>
      <c r="AA4321" s="7"/>
      <c r="AB4321" s="7"/>
      <c r="AC4321" s="7"/>
      <c r="AD4321" s="7" t="str">
        <f t="shared" si="1"/>
        <v>Land area </v>
      </c>
      <c r="AE4321" s="7" t="str">
        <f t="shared" si="2"/>
        <v> sq. ft.</v>
      </c>
      <c r="AF4321">
        <f>IFERROR(__xludf.DUMMYFUNCTION("VALUE(REGEXREPLACE(G4321,""[^[:digit:]]"", """"))"),5090.0)</f>
        <v>5090</v>
      </c>
      <c r="AG4321" s="7"/>
      <c r="AH4321" s="7"/>
      <c r="AI4321" s="7"/>
      <c r="AJ4321" s="7"/>
      <c r="AK4321" s="7"/>
      <c r="AL4321" s="7"/>
      <c r="AM4321" s="7"/>
      <c r="AN4321" s="7"/>
      <c r="AO4321" s="7"/>
      <c r="AP4321" s="7"/>
      <c r="AQ4321" s="7"/>
      <c r="AR4321" s="7"/>
      <c r="AS4321" s="7" t="s">
        <v>27</v>
      </c>
    </row>
    <row r="4322">
      <c r="A4322" s="7" t="s">
        <v>358</v>
      </c>
      <c r="B4322" s="7" t="s">
        <v>120</v>
      </c>
      <c r="C4322" s="7">
        <f>7</f>
        <v>7</v>
      </c>
      <c r="D4322" s="7">
        <v>7.0</v>
      </c>
      <c r="E4322" s="9">
        <v>2.0</v>
      </c>
      <c r="F4322" s="7" t="s">
        <v>61</v>
      </c>
      <c r="G4322" s="7" t="s">
        <v>2693</v>
      </c>
      <c r="H4322" s="9" t="s">
        <v>2981</v>
      </c>
      <c r="I4322" t="s">
        <v>4474</v>
      </c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  <c r="AA4322" s="7"/>
      <c r="AB4322" s="7"/>
      <c r="AC4322" s="7"/>
      <c r="AD4322" s="7" t="str">
        <f t="shared" si="1"/>
        <v>Land area </v>
      </c>
      <c r="AE4322" s="7" t="str">
        <f t="shared" si="2"/>
        <v> sq. ft.</v>
      </c>
      <c r="AF4322">
        <f>IFERROR(__xludf.DUMMYFUNCTION("VALUE(REGEXREPLACE(G4322,""[^[:digit:]]"", """"))"),4556.0)</f>
        <v>4556</v>
      </c>
      <c r="AG4322" s="7"/>
      <c r="AH4322" s="7"/>
      <c r="AI4322" s="7"/>
      <c r="AJ4322" s="7"/>
      <c r="AK4322" s="7"/>
      <c r="AL4322" s="7"/>
      <c r="AM4322" s="7"/>
      <c r="AN4322" s="7"/>
      <c r="AO4322" s="7"/>
      <c r="AP4322" s="7"/>
      <c r="AQ4322" s="7"/>
      <c r="AR4322" s="7"/>
      <c r="AS4322" s="7" t="s">
        <v>103</v>
      </c>
    </row>
    <row r="4323">
      <c r="A4323" s="7" t="s">
        <v>358</v>
      </c>
      <c r="B4323" s="7" t="s">
        <v>351</v>
      </c>
      <c r="C4323" s="7">
        <f>6+1</f>
        <v>7</v>
      </c>
      <c r="D4323" s="7">
        <v>7.0</v>
      </c>
      <c r="E4323" s="7">
        <v>8.0</v>
      </c>
      <c r="F4323" s="7" t="s">
        <v>61</v>
      </c>
      <c r="G4323" s="7" t="s">
        <v>2694</v>
      </c>
      <c r="H4323" s="9" t="s">
        <v>2981</v>
      </c>
      <c r="I4323" t="s">
        <v>4475</v>
      </c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  <c r="AA4323" s="7"/>
      <c r="AB4323" s="7"/>
      <c r="AC4323" s="7"/>
      <c r="AD4323" s="7" t="str">
        <f t="shared" si="1"/>
        <v>Land area </v>
      </c>
      <c r="AE4323" s="7" t="str">
        <f t="shared" si="2"/>
        <v> sq. ft.</v>
      </c>
      <c r="AF4323">
        <f>IFERROR(__xludf.DUMMYFUNCTION("VALUE(REGEXREPLACE(G4323,""[^[:digit:]]"", """"))"),4667.0)</f>
        <v>4667</v>
      </c>
      <c r="AG4323" s="7"/>
      <c r="AH4323" s="7"/>
      <c r="AI4323" s="7"/>
      <c r="AJ4323" s="7"/>
      <c r="AK4323" s="7"/>
      <c r="AL4323" s="7"/>
      <c r="AM4323" s="7"/>
      <c r="AN4323" s="7"/>
      <c r="AO4323" s="7"/>
      <c r="AP4323" s="7"/>
      <c r="AQ4323" s="7"/>
      <c r="AR4323" s="7"/>
      <c r="AS4323" s="7" t="s">
        <v>103</v>
      </c>
    </row>
    <row r="4324">
      <c r="A4324" s="7" t="s">
        <v>72</v>
      </c>
      <c r="B4324" s="7" t="s">
        <v>899</v>
      </c>
      <c r="C4324" s="7">
        <f>3+1</f>
        <v>4</v>
      </c>
      <c r="E4324" s="9">
        <v>2.0</v>
      </c>
      <c r="F4324" s="7" t="s">
        <v>83</v>
      </c>
      <c r="G4324" s="7" t="s">
        <v>334</v>
      </c>
      <c r="H4324" s="9" t="s">
        <v>2979</v>
      </c>
      <c r="I4324" t="s">
        <v>3112</v>
      </c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  <c r="AA4324" s="7"/>
      <c r="AB4324" s="7"/>
      <c r="AC4324" s="7"/>
      <c r="AD4324" s="7" t="str">
        <f t="shared" si="1"/>
        <v>Built-up :</v>
      </c>
      <c r="AE4324" s="7" t="str">
        <f t="shared" si="2"/>
        <v> sq. ft.</v>
      </c>
      <c r="AF4324">
        <f>IFERROR(__xludf.DUMMYFUNCTION("VALUE(REGEXREPLACE(G4324,""[^[:digit:]]"", """"))"),1496.0)</f>
        <v>1496</v>
      </c>
      <c r="AG4324" s="7"/>
      <c r="AH4324" s="7"/>
      <c r="AI4324" s="7"/>
      <c r="AJ4324" s="7"/>
      <c r="AK4324" s="7"/>
      <c r="AL4324" s="7"/>
      <c r="AM4324" s="7"/>
      <c r="AN4324" s="7"/>
      <c r="AO4324" s="7"/>
      <c r="AP4324" s="7"/>
      <c r="AQ4324" s="7"/>
      <c r="AR4324" s="7"/>
    </row>
    <row r="4325">
      <c r="A4325" s="7" t="s">
        <v>72</v>
      </c>
      <c r="B4325" s="7" t="s">
        <v>168</v>
      </c>
      <c r="C4325" s="7">
        <f>3</f>
        <v>3</v>
      </c>
      <c r="D4325" s="7">
        <v>2.0</v>
      </c>
      <c r="E4325" s="7">
        <v>2.0</v>
      </c>
      <c r="F4325" s="7" t="s">
        <v>20</v>
      </c>
      <c r="G4325" s="7" t="s">
        <v>2148</v>
      </c>
      <c r="H4325" s="9" t="s">
        <v>2979</v>
      </c>
      <c r="I4325" t="s">
        <v>4140</v>
      </c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  <c r="AA4325" s="7"/>
      <c r="AB4325" s="7"/>
      <c r="AC4325" s="7"/>
      <c r="AD4325" s="7" t="str">
        <f t="shared" si="1"/>
        <v>Built-up :</v>
      </c>
      <c r="AE4325" s="7" t="str">
        <f t="shared" si="2"/>
        <v> sq. ft.</v>
      </c>
      <c r="AF4325">
        <f>IFERROR(__xludf.DUMMYFUNCTION("VALUE(REGEXREPLACE(G4325,""[^[:digit:]]"", """"))"),1248.0)</f>
        <v>1248</v>
      </c>
      <c r="AG4325" s="7"/>
      <c r="AH4325" s="7"/>
      <c r="AI4325" s="7"/>
      <c r="AJ4325" s="7"/>
      <c r="AK4325" s="7"/>
      <c r="AL4325" s="7"/>
      <c r="AM4325" s="7"/>
      <c r="AN4325" s="7"/>
      <c r="AO4325" s="7"/>
      <c r="AP4325" s="7"/>
      <c r="AQ4325" s="7"/>
      <c r="AR4325" s="7"/>
      <c r="AS4325" s="7" t="s">
        <v>22</v>
      </c>
    </row>
    <row r="4326">
      <c r="A4326" s="7" t="s">
        <v>72</v>
      </c>
      <c r="B4326" s="7" t="s">
        <v>144</v>
      </c>
      <c r="C4326" s="7">
        <f>3+1</f>
        <v>4</v>
      </c>
      <c r="D4326" s="7">
        <v>4.0</v>
      </c>
      <c r="E4326" s="7">
        <v>2.0</v>
      </c>
      <c r="F4326" s="7" t="s">
        <v>83</v>
      </c>
      <c r="G4326" s="7" t="s">
        <v>119</v>
      </c>
      <c r="H4326" s="9" t="s">
        <v>2979</v>
      </c>
      <c r="I4326" t="s">
        <v>3015</v>
      </c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  <c r="AA4326" s="7"/>
      <c r="AB4326" s="7"/>
      <c r="AC4326" s="7"/>
      <c r="AD4326" s="7" t="str">
        <f t="shared" si="1"/>
        <v>Built-up :</v>
      </c>
      <c r="AE4326" s="7" t="str">
        <f t="shared" si="2"/>
        <v> sq. ft.</v>
      </c>
      <c r="AF4326">
        <f>IFERROR(__xludf.DUMMYFUNCTION("VALUE(REGEXREPLACE(G4326,""[^[:digit:]]"", """"))"),2020.0)</f>
        <v>2020</v>
      </c>
      <c r="AG4326" s="7"/>
      <c r="AH4326" s="7"/>
      <c r="AI4326" s="7"/>
      <c r="AJ4326" s="7"/>
      <c r="AK4326" s="7"/>
      <c r="AL4326" s="7"/>
      <c r="AM4326" s="7"/>
      <c r="AN4326" s="7"/>
      <c r="AO4326" s="7"/>
      <c r="AP4326" s="7"/>
      <c r="AQ4326" s="7"/>
      <c r="AR4326" s="7"/>
    </row>
    <row r="4327">
      <c r="A4327" s="7" t="s">
        <v>77</v>
      </c>
      <c r="B4327" s="7" t="s">
        <v>165</v>
      </c>
      <c r="C4327" s="7">
        <f>6+1</f>
        <v>7</v>
      </c>
      <c r="D4327" s="7">
        <v>6.0</v>
      </c>
      <c r="E4327" s="7">
        <v>4.0</v>
      </c>
      <c r="F4327" s="7" t="s">
        <v>64</v>
      </c>
      <c r="G4327" s="7" t="s">
        <v>912</v>
      </c>
      <c r="H4327" s="9" t="s">
        <v>2981</v>
      </c>
      <c r="I4327" t="s">
        <v>3183</v>
      </c>
      <c r="J4327" s="7"/>
      <c r="K4327" s="7"/>
      <c r="L4327" s="7"/>
      <c r="M4327" s="7"/>
      <c r="N4327" s="7"/>
      <c r="O4327" s="7"/>
      <c r="P4327" s="7"/>
      <c r="Q4327" s="7"/>
      <c r="R4327" s="7"/>
      <c r="S4327" s="7" t="s">
        <v>2993</v>
      </c>
      <c r="T4327" s="7"/>
      <c r="U4327" s="7"/>
      <c r="V4327" s="7"/>
      <c r="W4327" s="7"/>
      <c r="X4327" s="7"/>
      <c r="Y4327" s="7"/>
      <c r="Z4327" s="7"/>
      <c r="AA4327" s="7"/>
      <c r="AB4327" s="7"/>
      <c r="AC4327" s="7"/>
      <c r="AD4327" s="7" t="str">
        <f t="shared" si="1"/>
        <v>Land area </v>
      </c>
      <c r="AE4327" s="7" t="str">
        <f t="shared" si="2"/>
        <v> sq. ft.</v>
      </c>
      <c r="AF4327">
        <f>IFERROR(__xludf.DUMMYFUNCTION("VALUE(REGEXREPLACE(G4327,""[^[:digit:]]"", """"))"),4080.0)</f>
        <v>4080</v>
      </c>
      <c r="AG4327" s="7"/>
      <c r="AH4327" s="7"/>
      <c r="AI4327" s="7"/>
      <c r="AJ4327" s="7"/>
      <c r="AK4327" s="7"/>
      <c r="AL4327" s="7"/>
      <c r="AM4327" s="7"/>
      <c r="AN4327" s="7"/>
      <c r="AO4327" s="7"/>
      <c r="AP4327" s="7"/>
      <c r="AQ4327" s="7"/>
      <c r="AR4327" s="7"/>
      <c r="AS4327" s="7" t="s">
        <v>27</v>
      </c>
    </row>
    <row r="4328">
      <c r="A4328" s="7" t="s">
        <v>77</v>
      </c>
      <c r="B4328" s="7" t="s">
        <v>239</v>
      </c>
      <c r="C4328" s="7">
        <f t="shared" ref="C4328:C4329" si="603">3+1</f>
        <v>4</v>
      </c>
      <c r="D4328" s="7">
        <v>2.0</v>
      </c>
      <c r="E4328" s="7">
        <v>2.0</v>
      </c>
      <c r="F4328" s="7" t="s">
        <v>30</v>
      </c>
      <c r="G4328" s="7" t="s">
        <v>1025</v>
      </c>
      <c r="H4328" s="9" t="s">
        <v>2979</v>
      </c>
      <c r="I4328" t="s">
        <v>3461</v>
      </c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  <c r="AA4328" s="7"/>
      <c r="AB4328" s="7"/>
      <c r="AC4328" s="7"/>
      <c r="AD4328" s="7" t="str">
        <f t="shared" si="1"/>
        <v>Built-up :</v>
      </c>
      <c r="AE4328" s="7" t="str">
        <f t="shared" si="2"/>
        <v> sq. ft.</v>
      </c>
      <c r="AF4328">
        <f>IFERROR(__xludf.DUMMYFUNCTION("VALUE(REGEXREPLACE(G4328,""[^[:digit:]]"", """"))"),1432.0)</f>
        <v>1432</v>
      </c>
      <c r="AG4328" s="7"/>
      <c r="AH4328" s="7"/>
      <c r="AI4328" s="7"/>
      <c r="AJ4328" s="7"/>
      <c r="AK4328" s="7"/>
      <c r="AL4328" s="7"/>
      <c r="AM4328" s="7"/>
      <c r="AN4328" s="7"/>
      <c r="AO4328" s="7"/>
      <c r="AP4328" s="7"/>
      <c r="AQ4328" s="7"/>
      <c r="AR4328" s="7"/>
      <c r="AS4328" s="7" t="s">
        <v>27</v>
      </c>
    </row>
    <row r="4329">
      <c r="A4329" s="7" t="s">
        <v>72</v>
      </c>
      <c r="B4329" s="7" t="s">
        <v>236</v>
      </c>
      <c r="C4329" s="7">
        <f t="shared" si="603"/>
        <v>4</v>
      </c>
      <c r="E4329" s="9">
        <v>2.0</v>
      </c>
      <c r="F4329" s="7" t="s">
        <v>83</v>
      </c>
      <c r="G4329" s="7" t="s">
        <v>561</v>
      </c>
      <c r="H4329" s="9" t="s">
        <v>2979</v>
      </c>
      <c r="I4329" t="s">
        <v>3226</v>
      </c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  <c r="AA4329" s="7"/>
      <c r="AB4329" s="7"/>
      <c r="AC4329" s="7"/>
      <c r="AD4329" s="7" t="str">
        <f t="shared" si="1"/>
        <v>Built-up :</v>
      </c>
      <c r="AE4329" s="7" t="str">
        <f t="shared" si="2"/>
        <v> sq. ft.</v>
      </c>
      <c r="AF4329">
        <f>IFERROR(__xludf.DUMMYFUNCTION("VALUE(REGEXREPLACE(G4329,""[^[:digit:]]"", """"))"),2535.0)</f>
        <v>2535</v>
      </c>
      <c r="AG4329" s="7"/>
      <c r="AH4329" s="7"/>
      <c r="AI4329" s="7"/>
      <c r="AJ4329" s="7"/>
      <c r="AK4329" s="7"/>
      <c r="AL4329" s="7"/>
      <c r="AM4329" s="7"/>
      <c r="AN4329" s="7"/>
      <c r="AO4329" s="7"/>
      <c r="AP4329" s="7"/>
      <c r="AQ4329" s="7"/>
      <c r="AR4329" s="7"/>
      <c r="AS4329" s="7" t="s">
        <v>22</v>
      </c>
    </row>
    <row r="4330">
      <c r="A4330" s="7" t="s">
        <v>28</v>
      </c>
      <c r="B4330" s="7" t="s">
        <v>134</v>
      </c>
      <c r="C4330" s="7">
        <f>2</f>
        <v>2</v>
      </c>
      <c r="D4330" s="7">
        <v>2.0</v>
      </c>
      <c r="E4330" s="7">
        <v>1.0</v>
      </c>
      <c r="F4330" s="7" t="s">
        <v>82</v>
      </c>
      <c r="G4330" s="7" t="s">
        <v>1847</v>
      </c>
      <c r="H4330" s="9" t="s">
        <v>2979</v>
      </c>
      <c r="I4330" t="s">
        <v>3955</v>
      </c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  <c r="AA4330" s="7"/>
      <c r="AB4330" s="7"/>
      <c r="AC4330" s="7"/>
      <c r="AD4330" s="7" t="str">
        <f t="shared" si="1"/>
        <v>Built-up :</v>
      </c>
      <c r="AE4330" s="7" t="str">
        <f t="shared" si="2"/>
        <v> sq. ft.</v>
      </c>
      <c r="AF4330">
        <f>IFERROR(__xludf.DUMMYFUNCTION("VALUE(REGEXREPLACE(G4330,""[^[:digit:]]"", """"))"),997.0)</f>
        <v>997</v>
      </c>
      <c r="AG4330" s="7"/>
      <c r="AH4330" s="7"/>
      <c r="AI4330" s="7"/>
      <c r="AJ4330" s="7"/>
      <c r="AK4330" s="7"/>
      <c r="AL4330" s="7"/>
      <c r="AM4330" s="7"/>
      <c r="AN4330" s="7"/>
      <c r="AO4330" s="7"/>
      <c r="AP4330" s="7"/>
      <c r="AQ4330" s="7"/>
      <c r="AR4330" s="7"/>
      <c r="AS4330" s="7" t="s">
        <v>22</v>
      </c>
    </row>
    <row r="4331">
      <c r="A4331" s="7" t="s">
        <v>28</v>
      </c>
      <c r="B4331" s="7" t="s">
        <v>327</v>
      </c>
      <c r="C4331" s="7">
        <f>3</f>
        <v>3</v>
      </c>
      <c r="D4331" s="7">
        <v>2.0</v>
      </c>
      <c r="E4331" s="7">
        <v>1.0</v>
      </c>
      <c r="F4331" s="7" t="s">
        <v>82</v>
      </c>
      <c r="G4331" s="7" t="s">
        <v>1555</v>
      </c>
      <c r="H4331" s="9" t="s">
        <v>2979</v>
      </c>
      <c r="I4331" t="s">
        <v>3777</v>
      </c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  <c r="AA4331" s="7"/>
      <c r="AB4331" s="7"/>
      <c r="AC4331" s="7"/>
      <c r="AD4331" s="7" t="str">
        <f t="shared" si="1"/>
        <v>Built-up :</v>
      </c>
      <c r="AE4331" s="7" t="str">
        <f t="shared" si="2"/>
        <v> sq. ft.</v>
      </c>
      <c r="AF4331">
        <f>IFERROR(__xludf.DUMMYFUNCTION("VALUE(REGEXREPLACE(G4331,""[^[:digit:]]"", """"))"),1238.0)</f>
        <v>1238</v>
      </c>
      <c r="AG4331" s="7"/>
      <c r="AH4331" s="7"/>
      <c r="AI4331" s="7"/>
      <c r="AJ4331" s="7"/>
      <c r="AK4331" s="7"/>
      <c r="AL4331" s="7"/>
      <c r="AM4331" s="7"/>
      <c r="AN4331" s="7"/>
      <c r="AO4331" s="7"/>
      <c r="AP4331" s="7"/>
      <c r="AQ4331" s="7"/>
      <c r="AR4331" s="7"/>
      <c r="AS4331" s="7" t="s">
        <v>22</v>
      </c>
    </row>
    <row r="4332">
      <c r="A4332" s="7" t="s">
        <v>28</v>
      </c>
      <c r="B4332" s="7" t="s">
        <v>327</v>
      </c>
      <c r="C4332" s="7">
        <f>2</f>
        <v>2</v>
      </c>
      <c r="D4332" s="7">
        <v>2.0</v>
      </c>
      <c r="E4332" s="7">
        <v>1.0</v>
      </c>
      <c r="F4332" s="7" t="s">
        <v>82</v>
      </c>
      <c r="G4332" s="7" t="s">
        <v>937</v>
      </c>
      <c r="H4332" s="9" t="s">
        <v>2979</v>
      </c>
      <c r="I4332" t="s">
        <v>3416</v>
      </c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  <c r="AA4332" s="7"/>
      <c r="AB4332" s="7"/>
      <c r="AC4332" s="7"/>
      <c r="AD4332" s="7" t="str">
        <f t="shared" si="1"/>
        <v>Built-up :</v>
      </c>
      <c r="AE4332" s="7" t="str">
        <f t="shared" si="2"/>
        <v> sq. ft.</v>
      </c>
      <c r="AF4332">
        <f>IFERROR(__xludf.DUMMYFUNCTION("VALUE(REGEXREPLACE(G4332,""[^[:digit:]]"", """"))"),1148.0)</f>
        <v>1148</v>
      </c>
      <c r="AG4332" s="7"/>
      <c r="AH4332" s="7"/>
      <c r="AI4332" s="7"/>
      <c r="AJ4332" s="7"/>
      <c r="AK4332" s="7"/>
      <c r="AL4332" s="7"/>
      <c r="AM4332" s="7"/>
      <c r="AN4332" s="7"/>
      <c r="AO4332" s="7"/>
      <c r="AP4332" s="7"/>
      <c r="AQ4332" s="7"/>
      <c r="AR4332" s="7"/>
      <c r="AS4332" s="7" t="s">
        <v>22</v>
      </c>
    </row>
    <row r="4333">
      <c r="A4333" s="7" t="s">
        <v>171</v>
      </c>
      <c r="B4333" s="7" t="s">
        <v>1140</v>
      </c>
      <c r="C4333" s="7">
        <f>3</f>
        <v>3</v>
      </c>
      <c r="D4333" s="7">
        <v>2.0</v>
      </c>
      <c r="E4333" s="7">
        <v>1.0</v>
      </c>
      <c r="F4333" s="7" t="s">
        <v>83</v>
      </c>
      <c r="H4333" s="9" t="s">
        <v>2984</v>
      </c>
      <c r="I4333" t="s">
        <v>2985</v>
      </c>
      <c r="AD4333" s="7" t="str">
        <f t="shared" si="1"/>
        <v/>
      </c>
      <c r="AE4333" s="7" t="str">
        <f t="shared" si="2"/>
        <v/>
      </c>
      <c r="AF4333">
        <f>IFERROR(__xludf.DUMMYFUNCTION("VALUE(REGEXREPLACE(G4333,""[^[:digit:]]"", """"))"),0.0)</f>
        <v>0</v>
      </c>
      <c r="AS4333" s="7" t="s">
        <v>27</v>
      </c>
    </row>
    <row r="4334">
      <c r="A4334" s="7" t="s">
        <v>28</v>
      </c>
      <c r="B4334" s="7" t="s">
        <v>78</v>
      </c>
      <c r="C4334" s="7">
        <f>2</f>
        <v>2</v>
      </c>
      <c r="D4334" s="7">
        <v>2.0</v>
      </c>
      <c r="E4334" s="7">
        <v>1.0</v>
      </c>
      <c r="F4334" s="7" t="s">
        <v>121</v>
      </c>
      <c r="G4334" s="7" t="s">
        <v>94</v>
      </c>
      <c r="H4334" s="9" t="s">
        <v>2979</v>
      </c>
      <c r="I4334" t="s">
        <v>3004</v>
      </c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  <c r="AA4334" s="7"/>
      <c r="AB4334" s="7"/>
      <c r="AC4334" s="7"/>
      <c r="AD4334" s="7" t="str">
        <f t="shared" si="1"/>
        <v>Built-up :</v>
      </c>
      <c r="AE4334" s="7" t="str">
        <f t="shared" si="2"/>
        <v> sq. ft.</v>
      </c>
      <c r="AF4334">
        <f>IFERROR(__xludf.DUMMYFUNCTION("VALUE(REGEXREPLACE(G4334,""[^[:digit:]]"", """"))"),1236.0)</f>
        <v>1236</v>
      </c>
      <c r="AG4334" s="7"/>
      <c r="AH4334" s="7"/>
      <c r="AI4334" s="7"/>
      <c r="AJ4334" s="7"/>
      <c r="AK4334" s="7"/>
      <c r="AL4334" s="7"/>
      <c r="AM4334" s="7"/>
      <c r="AN4334" s="7"/>
      <c r="AO4334" s="7"/>
      <c r="AP4334" s="7"/>
      <c r="AQ4334" s="7"/>
      <c r="AR4334" s="7"/>
      <c r="AS4334" s="7" t="s">
        <v>22</v>
      </c>
    </row>
    <row r="4335">
      <c r="A4335" s="7" t="s">
        <v>371</v>
      </c>
      <c r="B4335" s="7" t="s">
        <v>349</v>
      </c>
      <c r="C4335" s="7">
        <f>7</f>
        <v>7</v>
      </c>
      <c r="D4335" s="7">
        <v>4.0</v>
      </c>
      <c r="E4335" s="7">
        <v>2.0</v>
      </c>
      <c r="F4335" s="7" t="s">
        <v>562</v>
      </c>
      <c r="G4335" s="7" t="s">
        <v>727</v>
      </c>
      <c r="H4335" s="9" t="s">
        <v>2979</v>
      </c>
      <c r="I4335" t="s">
        <v>3305</v>
      </c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  <c r="AA4335" s="7"/>
      <c r="AB4335" s="7"/>
      <c r="AC4335" s="7"/>
      <c r="AD4335" s="7" t="str">
        <f t="shared" si="1"/>
        <v>Built-up :</v>
      </c>
      <c r="AE4335" s="7" t="str">
        <f t="shared" si="2"/>
        <v> sq. ft.</v>
      </c>
      <c r="AF4335">
        <f>IFERROR(__xludf.DUMMYFUNCTION("VALUE(REGEXREPLACE(G4335,""[^[:digit:]]"", """"))"),3300.0)</f>
        <v>3300</v>
      </c>
      <c r="AG4335" s="7"/>
      <c r="AH4335" s="7"/>
      <c r="AI4335" s="7"/>
      <c r="AJ4335" s="7"/>
      <c r="AK4335" s="7"/>
      <c r="AL4335" s="7"/>
      <c r="AM4335" s="7"/>
      <c r="AN4335" s="7"/>
      <c r="AO4335" s="7"/>
      <c r="AP4335" s="7"/>
      <c r="AQ4335" s="7"/>
      <c r="AR4335" s="7"/>
      <c r="AS4335" s="7" t="s">
        <v>27</v>
      </c>
    </row>
    <row r="4336">
      <c r="A4336" s="7" t="s">
        <v>164</v>
      </c>
      <c r="B4336" s="7" t="s">
        <v>243</v>
      </c>
      <c r="C4336" s="7">
        <f>2+1</f>
        <v>3</v>
      </c>
      <c r="D4336" s="7">
        <v>2.0</v>
      </c>
      <c r="E4336" s="9">
        <v>2.0</v>
      </c>
      <c r="F4336" s="7" t="s">
        <v>83</v>
      </c>
      <c r="G4336" s="7" t="s">
        <v>2244</v>
      </c>
      <c r="H4336" s="9" t="s">
        <v>2979</v>
      </c>
      <c r="I4336" t="s">
        <v>4202</v>
      </c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  <c r="AA4336" s="7"/>
      <c r="AB4336" s="7"/>
      <c r="AC4336" s="7"/>
      <c r="AD4336" s="7" t="str">
        <f t="shared" si="1"/>
        <v>Built-up :</v>
      </c>
      <c r="AE4336" s="7" t="str">
        <f t="shared" si="2"/>
        <v> sq. ft.</v>
      </c>
      <c r="AF4336">
        <f>IFERROR(__xludf.DUMMYFUNCTION("VALUE(REGEXREPLACE(G4336,""[^[:digit:]]"", """"))"),1130.0)</f>
        <v>1130</v>
      </c>
      <c r="AG4336" s="7"/>
      <c r="AH4336" s="7"/>
      <c r="AI4336" s="7"/>
      <c r="AJ4336" s="7"/>
      <c r="AK4336" s="7"/>
      <c r="AL4336" s="7"/>
      <c r="AM4336" s="7"/>
      <c r="AN4336" s="7"/>
      <c r="AO4336" s="7"/>
      <c r="AP4336" s="7"/>
      <c r="AQ4336" s="7"/>
      <c r="AR4336" s="7"/>
    </row>
    <row r="4337">
      <c r="A4337" s="7" t="s">
        <v>32</v>
      </c>
      <c r="B4337" s="7" t="s">
        <v>2106</v>
      </c>
      <c r="C4337" s="7">
        <f>2</f>
        <v>2</v>
      </c>
      <c r="D4337" s="7">
        <v>2.0</v>
      </c>
      <c r="E4337" s="7">
        <v>2.0</v>
      </c>
      <c r="F4337" s="7" t="s">
        <v>82</v>
      </c>
      <c r="G4337" s="7" t="s">
        <v>187</v>
      </c>
      <c r="H4337" s="9" t="s">
        <v>2979</v>
      </c>
      <c r="I4337" t="s">
        <v>3043</v>
      </c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  <c r="AA4337" s="7"/>
      <c r="AB4337" s="7"/>
      <c r="AC4337" s="7"/>
      <c r="AD4337" s="7" t="str">
        <f t="shared" si="1"/>
        <v>Built-up :</v>
      </c>
      <c r="AE4337" s="7" t="str">
        <f t="shared" si="2"/>
        <v> sq. ft.</v>
      </c>
      <c r="AF4337">
        <f>IFERROR(__xludf.DUMMYFUNCTION("VALUE(REGEXREPLACE(G4337,""[^[:digit:]]"", """"))"),720.0)</f>
        <v>720</v>
      </c>
      <c r="AG4337" s="7"/>
      <c r="AH4337" s="7"/>
      <c r="AI4337" s="7"/>
      <c r="AJ4337" s="7"/>
      <c r="AK4337" s="7"/>
      <c r="AL4337" s="7"/>
      <c r="AM4337" s="7"/>
      <c r="AN4337" s="7"/>
      <c r="AO4337" s="7"/>
      <c r="AP4337" s="7"/>
      <c r="AQ4337" s="7"/>
      <c r="AR4337" s="7"/>
      <c r="AS4337" s="7" t="s">
        <v>27</v>
      </c>
    </row>
    <row r="4338">
      <c r="A4338" s="7" t="s">
        <v>1315</v>
      </c>
      <c r="B4338" s="7" t="s">
        <v>268</v>
      </c>
      <c r="C4338" s="7">
        <f t="shared" ref="C4338:C4339" si="604">3</f>
        <v>3</v>
      </c>
      <c r="D4338" s="7">
        <v>2.0</v>
      </c>
      <c r="E4338" s="9">
        <v>2.0</v>
      </c>
      <c r="F4338" s="7" t="s">
        <v>93</v>
      </c>
      <c r="G4338" s="7" t="s">
        <v>1156</v>
      </c>
      <c r="H4338" s="9" t="s">
        <v>2979</v>
      </c>
      <c r="I4338" t="s">
        <v>3545</v>
      </c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  <c r="AA4338" s="7"/>
      <c r="AB4338" s="7"/>
      <c r="AC4338" s="7"/>
      <c r="AD4338" s="7" t="str">
        <f t="shared" si="1"/>
        <v>Built-up :</v>
      </c>
      <c r="AE4338" s="7" t="str">
        <f t="shared" si="2"/>
        <v> sq. ft.</v>
      </c>
      <c r="AF4338">
        <f>IFERROR(__xludf.DUMMYFUNCTION("VALUE(REGEXREPLACE(G4338,""[^[:digit:]]"", """"))"),1003.0)</f>
        <v>1003</v>
      </c>
      <c r="AG4338" s="7"/>
      <c r="AH4338" s="7"/>
      <c r="AI4338" s="7"/>
      <c r="AJ4338" s="7"/>
      <c r="AK4338" s="7"/>
      <c r="AL4338" s="7"/>
      <c r="AM4338" s="7"/>
      <c r="AN4338" s="7"/>
      <c r="AO4338" s="7"/>
      <c r="AP4338" s="7"/>
      <c r="AQ4338" s="7"/>
      <c r="AR4338" s="7"/>
      <c r="AS4338" s="7" t="s">
        <v>27</v>
      </c>
    </row>
    <row r="4339">
      <c r="A4339" s="7" t="s">
        <v>17</v>
      </c>
      <c r="B4339" s="7" t="s">
        <v>362</v>
      </c>
      <c r="C4339" s="7">
        <f t="shared" si="604"/>
        <v>3</v>
      </c>
      <c r="D4339" s="7">
        <v>4.0</v>
      </c>
      <c r="E4339" s="7">
        <v>3.0</v>
      </c>
      <c r="F4339" s="7" t="s">
        <v>20</v>
      </c>
      <c r="G4339" s="7" t="s">
        <v>363</v>
      </c>
      <c r="H4339" s="9" t="s">
        <v>2979</v>
      </c>
      <c r="I4339" t="s">
        <v>3127</v>
      </c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  <c r="AA4339" s="7"/>
      <c r="AB4339" s="7"/>
      <c r="AC4339" s="7"/>
      <c r="AD4339" s="7" t="str">
        <f t="shared" si="1"/>
        <v>Built-up :</v>
      </c>
      <c r="AE4339" s="7" t="str">
        <f t="shared" si="2"/>
        <v> sq. ft.</v>
      </c>
      <c r="AF4339">
        <f>IFERROR(__xludf.DUMMYFUNCTION("VALUE(REGEXREPLACE(G4339,""[^[:digit:]]"", """"))"),2142.0)</f>
        <v>2142</v>
      </c>
      <c r="AG4339" s="7"/>
      <c r="AH4339" s="7"/>
      <c r="AI4339" s="7"/>
      <c r="AJ4339" s="7"/>
      <c r="AK4339" s="7"/>
      <c r="AL4339" s="7"/>
      <c r="AM4339" s="7"/>
      <c r="AN4339" s="7"/>
      <c r="AO4339" s="7"/>
      <c r="AP4339" s="7"/>
      <c r="AQ4339" s="7"/>
      <c r="AR4339" s="7"/>
      <c r="AS4339" s="7" t="s">
        <v>27</v>
      </c>
    </row>
    <row r="4340">
      <c r="A4340" s="7" t="s">
        <v>41</v>
      </c>
      <c r="B4340" s="7" t="s">
        <v>1287</v>
      </c>
      <c r="C4340" s="7">
        <f>4+1</f>
        <v>5</v>
      </c>
      <c r="D4340" s="7">
        <v>5.0</v>
      </c>
      <c r="E4340" s="7">
        <v>2.0</v>
      </c>
      <c r="F4340" s="7" t="s">
        <v>64</v>
      </c>
      <c r="G4340" s="7" t="s">
        <v>1628</v>
      </c>
      <c r="H4340" s="9" t="s">
        <v>2979</v>
      </c>
      <c r="I4340" t="s">
        <v>3821</v>
      </c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  <c r="AA4340" s="7"/>
      <c r="AB4340" s="7"/>
      <c r="AC4340" s="7"/>
      <c r="AD4340" s="7" t="str">
        <f t="shared" si="1"/>
        <v>Built-up :</v>
      </c>
      <c r="AE4340" s="7" t="str">
        <f t="shared" si="2"/>
        <v> sq. ft.</v>
      </c>
      <c r="AF4340">
        <f>IFERROR(__xludf.DUMMYFUNCTION("VALUE(REGEXREPLACE(G4340,""[^[:digit:]]"", """"))"),3660.0)</f>
        <v>3660</v>
      </c>
      <c r="AG4340" s="7"/>
      <c r="AH4340" s="7"/>
      <c r="AI4340" s="7"/>
      <c r="AJ4340" s="7"/>
      <c r="AK4340" s="7"/>
      <c r="AL4340" s="7"/>
      <c r="AM4340" s="7"/>
      <c r="AN4340" s="7"/>
      <c r="AO4340" s="7"/>
      <c r="AP4340" s="7"/>
      <c r="AQ4340" s="7"/>
      <c r="AR4340" s="7"/>
      <c r="AS4340" s="7" t="s">
        <v>27</v>
      </c>
    </row>
    <row r="4341">
      <c r="A4341" s="7" t="s">
        <v>100</v>
      </c>
      <c r="B4341" s="7" t="s">
        <v>229</v>
      </c>
      <c r="C4341" s="7">
        <f>2+1</f>
        <v>3</v>
      </c>
      <c r="D4341" s="7">
        <v>3.0</v>
      </c>
      <c r="E4341" s="9">
        <v>2.0</v>
      </c>
      <c r="F4341" s="7" t="s">
        <v>93</v>
      </c>
      <c r="G4341" s="7" t="s">
        <v>31</v>
      </c>
      <c r="H4341" s="9" t="s">
        <v>2979</v>
      </c>
      <c r="I4341" t="s">
        <v>2983</v>
      </c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  <c r="AA4341" s="7"/>
      <c r="AB4341" s="7"/>
      <c r="AC4341" s="7"/>
      <c r="AD4341" s="7" t="str">
        <f t="shared" si="1"/>
        <v>Built-up :</v>
      </c>
      <c r="AE4341" s="7" t="str">
        <f t="shared" si="2"/>
        <v> sq. ft.</v>
      </c>
      <c r="AF4341">
        <f>IFERROR(__xludf.DUMMYFUNCTION("VALUE(REGEXREPLACE(G4341,""[^[:digit:]]"", """"))"),1875.0)</f>
        <v>1875</v>
      </c>
      <c r="AG4341" s="7"/>
      <c r="AH4341" s="7"/>
      <c r="AI4341" s="7"/>
      <c r="AJ4341" s="7"/>
      <c r="AK4341" s="7"/>
      <c r="AL4341" s="7"/>
      <c r="AM4341" s="7"/>
      <c r="AN4341" s="7"/>
      <c r="AO4341" s="7"/>
      <c r="AP4341" s="7"/>
      <c r="AQ4341" s="7"/>
      <c r="AR4341" s="7"/>
      <c r="AS4341" s="7" t="s">
        <v>103</v>
      </c>
    </row>
    <row r="4342">
      <c r="A4342" s="7" t="s">
        <v>368</v>
      </c>
      <c r="B4342" s="7" t="s">
        <v>890</v>
      </c>
      <c r="C4342" s="7">
        <f t="shared" ref="C4342:C4344" si="605">3</f>
        <v>3</v>
      </c>
      <c r="D4342" s="7">
        <v>2.0</v>
      </c>
      <c r="E4342" s="7">
        <v>1.0</v>
      </c>
      <c r="F4342" s="7" t="s">
        <v>83</v>
      </c>
      <c r="G4342" s="7" t="s">
        <v>2695</v>
      </c>
      <c r="H4342" s="9" t="s">
        <v>2979</v>
      </c>
      <c r="I4342" t="s">
        <v>4476</v>
      </c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  <c r="AA4342" s="7"/>
      <c r="AB4342" s="7"/>
      <c r="AC4342" s="7"/>
      <c r="AD4342" s="7" t="str">
        <f t="shared" si="1"/>
        <v>Built-up :</v>
      </c>
      <c r="AE4342" s="7" t="str">
        <f t="shared" si="2"/>
        <v> sq. ft.</v>
      </c>
      <c r="AF4342">
        <f>IFERROR(__xludf.DUMMYFUNCTION("VALUE(REGEXREPLACE(G4342,""[^[:digit:]]"", """"))"),1405.0)</f>
        <v>1405</v>
      </c>
      <c r="AG4342" s="7"/>
      <c r="AH4342" s="7"/>
      <c r="AI4342" s="7"/>
      <c r="AJ4342" s="7"/>
      <c r="AK4342" s="7"/>
      <c r="AL4342" s="7"/>
      <c r="AM4342" s="7"/>
      <c r="AN4342" s="7"/>
      <c r="AO4342" s="7"/>
      <c r="AP4342" s="7"/>
      <c r="AQ4342" s="7"/>
      <c r="AR4342" s="7"/>
      <c r="AS4342" s="7" t="s">
        <v>27</v>
      </c>
    </row>
    <row r="4343">
      <c r="A4343" s="7" t="s">
        <v>104</v>
      </c>
      <c r="B4343" s="7" t="s">
        <v>2696</v>
      </c>
      <c r="C4343" s="7">
        <f t="shared" si="605"/>
        <v>3</v>
      </c>
      <c r="D4343" s="7">
        <v>2.0</v>
      </c>
      <c r="E4343" s="9">
        <v>2.0</v>
      </c>
      <c r="F4343" s="7" t="s">
        <v>354</v>
      </c>
      <c r="G4343" s="7" t="s">
        <v>187</v>
      </c>
      <c r="H4343" s="9" t="s">
        <v>2979</v>
      </c>
      <c r="I4343" t="s">
        <v>3043</v>
      </c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  <c r="AA4343" s="7"/>
      <c r="AB4343" s="7"/>
      <c r="AC4343" s="7"/>
      <c r="AD4343" s="7" t="str">
        <f t="shared" si="1"/>
        <v>Built-up :</v>
      </c>
      <c r="AE4343" s="7" t="str">
        <f t="shared" si="2"/>
        <v> sq. ft.</v>
      </c>
      <c r="AF4343">
        <f>IFERROR(__xludf.DUMMYFUNCTION("VALUE(REGEXREPLACE(G4343,""[^[:digit:]]"", """"))"),720.0)</f>
        <v>720</v>
      </c>
      <c r="AG4343" s="7"/>
      <c r="AH4343" s="7"/>
      <c r="AI4343" s="7"/>
      <c r="AJ4343" s="7"/>
      <c r="AK4343" s="7"/>
      <c r="AL4343" s="7"/>
      <c r="AM4343" s="7"/>
      <c r="AN4343" s="7"/>
      <c r="AO4343" s="7"/>
      <c r="AP4343" s="7"/>
      <c r="AQ4343" s="7"/>
      <c r="AR4343" s="7"/>
      <c r="AS4343" s="7" t="s">
        <v>27</v>
      </c>
    </row>
    <row r="4344">
      <c r="A4344" s="7" t="s">
        <v>104</v>
      </c>
      <c r="B4344" s="7" t="s">
        <v>2365</v>
      </c>
      <c r="C4344" s="7">
        <f t="shared" si="605"/>
        <v>3</v>
      </c>
      <c r="D4344" s="7">
        <v>2.0</v>
      </c>
      <c r="E4344" s="9">
        <v>2.0</v>
      </c>
      <c r="F4344" s="7" t="s">
        <v>50</v>
      </c>
      <c r="G4344" s="7" t="s">
        <v>242</v>
      </c>
      <c r="H4344" s="9" t="s">
        <v>2979</v>
      </c>
      <c r="I4344" t="s">
        <v>3072</v>
      </c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  <c r="AA4344" s="7"/>
      <c r="AB4344" s="7"/>
      <c r="AC4344" s="7"/>
      <c r="AD4344" s="7" t="str">
        <f t="shared" si="1"/>
        <v>Built-up :</v>
      </c>
      <c r="AE4344" s="7" t="str">
        <f t="shared" si="2"/>
        <v> sq. ft.</v>
      </c>
      <c r="AF4344">
        <f>IFERROR(__xludf.DUMMYFUNCTION("VALUE(REGEXREPLACE(G4344,""[^[:digit:]]"", """"))"),650.0)</f>
        <v>650</v>
      </c>
      <c r="AG4344" s="7"/>
      <c r="AH4344" s="7"/>
      <c r="AI4344" s="7"/>
      <c r="AJ4344" s="7"/>
      <c r="AK4344" s="7"/>
      <c r="AL4344" s="7"/>
      <c r="AM4344" s="7"/>
      <c r="AN4344" s="7"/>
      <c r="AO4344" s="7"/>
      <c r="AP4344" s="7"/>
      <c r="AQ4344" s="7"/>
      <c r="AR4344" s="7"/>
      <c r="AS4344" s="7" t="s">
        <v>27</v>
      </c>
    </row>
    <row r="4345">
      <c r="A4345" s="7" t="s">
        <v>23</v>
      </c>
      <c r="B4345" s="7" t="s">
        <v>134</v>
      </c>
      <c r="C4345" s="7">
        <f>2+1</f>
        <v>3</v>
      </c>
      <c r="D4345" s="7">
        <v>2.0</v>
      </c>
      <c r="E4345" s="9">
        <v>2.0</v>
      </c>
      <c r="F4345" s="7" t="s">
        <v>83</v>
      </c>
      <c r="G4345" s="7" t="s">
        <v>135</v>
      </c>
      <c r="H4345" s="9" t="s">
        <v>2979</v>
      </c>
      <c r="I4345" t="s">
        <v>3023</v>
      </c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  <c r="AA4345" s="7"/>
      <c r="AB4345" s="7"/>
      <c r="AC4345" s="7"/>
      <c r="AD4345" s="7" t="str">
        <f t="shared" si="1"/>
        <v>Built-up :</v>
      </c>
      <c r="AE4345" s="7" t="str">
        <f t="shared" si="2"/>
        <v> sq. ft.</v>
      </c>
      <c r="AF4345">
        <f>IFERROR(__xludf.DUMMYFUNCTION("VALUE(REGEXREPLACE(G4345,""[^[:digit:]]"", """"))"),1200.0)</f>
        <v>1200</v>
      </c>
      <c r="AG4345" s="7"/>
      <c r="AH4345" s="7"/>
      <c r="AI4345" s="7"/>
      <c r="AJ4345" s="7"/>
      <c r="AK4345" s="7"/>
      <c r="AL4345" s="7"/>
      <c r="AM4345" s="7"/>
      <c r="AN4345" s="7"/>
      <c r="AO4345" s="7"/>
      <c r="AP4345" s="7"/>
      <c r="AQ4345" s="7"/>
      <c r="AR4345" s="7"/>
    </row>
    <row r="4346">
      <c r="A4346" s="7" t="s">
        <v>371</v>
      </c>
      <c r="B4346" s="7" t="s">
        <v>2697</v>
      </c>
      <c r="C4346" s="7">
        <f>1+1</f>
        <v>2</v>
      </c>
      <c r="D4346" s="7">
        <v>1.0</v>
      </c>
      <c r="E4346" s="7">
        <v>1.0</v>
      </c>
      <c r="F4346" s="7" t="s">
        <v>82</v>
      </c>
      <c r="G4346" s="7" t="s">
        <v>252</v>
      </c>
      <c r="H4346" s="9" t="s">
        <v>2979</v>
      </c>
      <c r="I4346" t="s">
        <v>3077</v>
      </c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  <c r="AA4346" s="7"/>
      <c r="AB4346" s="7"/>
      <c r="AC4346" s="7"/>
      <c r="AD4346" s="7" t="str">
        <f t="shared" si="1"/>
        <v>Built-up :</v>
      </c>
      <c r="AE4346" s="7" t="str">
        <f t="shared" si="2"/>
        <v> sq. ft.</v>
      </c>
      <c r="AF4346">
        <f>IFERROR(__xludf.DUMMYFUNCTION("VALUE(REGEXREPLACE(G4346,""[^[:digit:]]"", """"))"),657.0)</f>
        <v>657</v>
      </c>
      <c r="AG4346" s="7"/>
      <c r="AH4346" s="7"/>
      <c r="AI4346" s="7"/>
      <c r="AJ4346" s="7"/>
      <c r="AK4346" s="7"/>
      <c r="AL4346" s="7"/>
      <c r="AM4346" s="7"/>
      <c r="AN4346" s="7"/>
      <c r="AO4346" s="7"/>
      <c r="AP4346" s="7"/>
      <c r="AQ4346" s="7"/>
      <c r="AR4346" s="7"/>
      <c r="AS4346" s="7" t="s">
        <v>27</v>
      </c>
    </row>
    <row r="4347">
      <c r="A4347" s="7" t="s">
        <v>371</v>
      </c>
      <c r="B4347" s="7" t="s">
        <v>2698</v>
      </c>
      <c r="C4347" s="7">
        <f>2</f>
        <v>2</v>
      </c>
      <c r="D4347" s="7">
        <v>2.0</v>
      </c>
      <c r="E4347" s="7">
        <v>1.0</v>
      </c>
      <c r="F4347" s="7" t="s">
        <v>82</v>
      </c>
      <c r="G4347" s="7" t="s">
        <v>2620</v>
      </c>
      <c r="H4347" s="9" t="s">
        <v>2979</v>
      </c>
      <c r="I4347" t="s">
        <v>4432</v>
      </c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  <c r="AA4347" s="7"/>
      <c r="AB4347" s="7"/>
      <c r="AC4347" s="7"/>
      <c r="AD4347" s="7" t="str">
        <f t="shared" si="1"/>
        <v>Built-up :</v>
      </c>
      <c r="AE4347" s="7" t="str">
        <f t="shared" si="2"/>
        <v> sq. ft.</v>
      </c>
      <c r="AF4347">
        <f>IFERROR(__xludf.DUMMYFUNCTION("VALUE(REGEXREPLACE(G4347,""[^[:digit:]]"", """"))"),725.0)</f>
        <v>725</v>
      </c>
      <c r="AG4347" s="7"/>
      <c r="AH4347" s="7"/>
      <c r="AI4347" s="7"/>
      <c r="AJ4347" s="7"/>
      <c r="AK4347" s="7"/>
      <c r="AL4347" s="7"/>
      <c r="AM4347" s="7"/>
      <c r="AN4347" s="7"/>
      <c r="AO4347" s="7"/>
      <c r="AP4347" s="7"/>
      <c r="AQ4347" s="7"/>
      <c r="AR4347" s="7"/>
      <c r="AS4347" s="7" t="s">
        <v>27</v>
      </c>
    </row>
    <row r="4348">
      <c r="A4348" s="7" t="s">
        <v>143</v>
      </c>
      <c r="B4348" s="7" t="s">
        <v>2698</v>
      </c>
      <c r="C4348" s="7">
        <f>3+1</f>
        <v>4</v>
      </c>
      <c r="D4348" s="7">
        <v>2.0</v>
      </c>
      <c r="E4348" s="7">
        <v>2.0</v>
      </c>
      <c r="F4348" s="7" t="s">
        <v>93</v>
      </c>
      <c r="G4348" s="7" t="s">
        <v>383</v>
      </c>
      <c r="H4348" s="9" t="s">
        <v>2979</v>
      </c>
      <c r="I4348" t="s">
        <v>3137</v>
      </c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  <c r="AA4348" s="7"/>
      <c r="AB4348" s="7"/>
      <c r="AC4348" s="7"/>
      <c r="AD4348" s="7" t="str">
        <f t="shared" si="1"/>
        <v>Built-up :</v>
      </c>
      <c r="AE4348" s="7" t="str">
        <f t="shared" si="2"/>
        <v> sq. ft.</v>
      </c>
      <c r="AF4348">
        <f>IFERROR(__xludf.DUMMYFUNCTION("VALUE(REGEXREPLACE(G4348,""[^[:digit:]]"", """"))"),1065.0)</f>
        <v>1065</v>
      </c>
      <c r="AG4348" s="7"/>
      <c r="AH4348" s="7"/>
      <c r="AI4348" s="7"/>
      <c r="AJ4348" s="7"/>
      <c r="AK4348" s="7"/>
      <c r="AL4348" s="7"/>
      <c r="AM4348" s="7"/>
      <c r="AN4348" s="7"/>
      <c r="AO4348" s="7"/>
      <c r="AP4348" s="7"/>
      <c r="AQ4348" s="7"/>
      <c r="AR4348" s="7"/>
      <c r="AS4348" s="7" t="s">
        <v>103</v>
      </c>
    </row>
    <row r="4349">
      <c r="A4349" s="7" t="s">
        <v>171</v>
      </c>
      <c r="B4349" s="7" t="s">
        <v>2699</v>
      </c>
      <c r="C4349" s="7">
        <f>4</f>
        <v>4</v>
      </c>
      <c r="D4349" s="7">
        <v>2.0</v>
      </c>
      <c r="E4349" s="7">
        <v>2.0</v>
      </c>
      <c r="F4349" s="7" t="s">
        <v>93</v>
      </c>
      <c r="G4349" s="7" t="s">
        <v>491</v>
      </c>
      <c r="H4349" s="9" t="s">
        <v>2979</v>
      </c>
      <c r="I4349" t="s">
        <v>3190</v>
      </c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  <c r="AA4349" s="7"/>
      <c r="AB4349" s="7"/>
      <c r="AC4349" s="7"/>
      <c r="AD4349" s="7" t="str">
        <f t="shared" si="1"/>
        <v>Built-up :</v>
      </c>
      <c r="AE4349" s="7" t="str">
        <f t="shared" si="2"/>
        <v> sq. ft.</v>
      </c>
      <c r="AF4349">
        <f>IFERROR(__xludf.DUMMYFUNCTION("VALUE(REGEXREPLACE(G4349,""[^[:digit:]]"", """"))"),950.0)</f>
        <v>950</v>
      </c>
      <c r="AG4349" s="7"/>
      <c r="AH4349" s="7"/>
      <c r="AI4349" s="7"/>
      <c r="AJ4349" s="7"/>
      <c r="AK4349" s="7"/>
      <c r="AL4349" s="7"/>
      <c r="AM4349" s="7"/>
      <c r="AN4349" s="7"/>
      <c r="AO4349" s="7"/>
      <c r="AP4349" s="7"/>
      <c r="AQ4349" s="7"/>
      <c r="AR4349" s="7"/>
      <c r="AS4349" s="7" t="s">
        <v>251</v>
      </c>
    </row>
    <row r="4350">
      <c r="A4350" s="7" t="s">
        <v>368</v>
      </c>
      <c r="B4350" s="7" t="s">
        <v>2016</v>
      </c>
      <c r="C4350" s="7">
        <f>3</f>
        <v>3</v>
      </c>
      <c r="D4350" s="7">
        <v>2.0</v>
      </c>
      <c r="E4350" s="7">
        <v>2.0</v>
      </c>
      <c r="F4350" s="7" t="s">
        <v>96</v>
      </c>
      <c r="G4350" s="7" t="s">
        <v>2695</v>
      </c>
      <c r="H4350" s="9" t="s">
        <v>2979</v>
      </c>
      <c r="I4350" t="s">
        <v>4476</v>
      </c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  <c r="AA4350" s="7"/>
      <c r="AB4350" s="7"/>
      <c r="AC4350" s="7"/>
      <c r="AD4350" s="7" t="str">
        <f t="shared" si="1"/>
        <v>Built-up :</v>
      </c>
      <c r="AE4350" s="7" t="str">
        <f t="shared" si="2"/>
        <v> sq. ft.</v>
      </c>
      <c r="AF4350">
        <f>IFERROR(__xludf.DUMMYFUNCTION("VALUE(REGEXREPLACE(G4350,""[^[:digit:]]"", """"))"),1405.0)</f>
        <v>1405</v>
      </c>
      <c r="AG4350" s="7"/>
      <c r="AH4350" s="7"/>
      <c r="AI4350" s="7"/>
      <c r="AJ4350" s="7"/>
      <c r="AK4350" s="7"/>
      <c r="AL4350" s="7"/>
      <c r="AM4350" s="7"/>
      <c r="AN4350" s="7"/>
      <c r="AO4350" s="7"/>
      <c r="AP4350" s="7"/>
      <c r="AQ4350" s="7"/>
      <c r="AR4350" s="7"/>
      <c r="AS4350" s="7" t="s">
        <v>27</v>
      </c>
    </row>
    <row r="4351">
      <c r="A4351" s="7" t="s">
        <v>17</v>
      </c>
      <c r="B4351" s="7" t="s">
        <v>499</v>
      </c>
      <c r="C4351" s="7">
        <f>2</f>
        <v>2</v>
      </c>
      <c r="D4351" s="7">
        <v>3.0</v>
      </c>
      <c r="E4351" s="7">
        <v>2.0</v>
      </c>
      <c r="F4351" s="7" t="s">
        <v>20</v>
      </c>
      <c r="G4351" s="7" t="s">
        <v>318</v>
      </c>
      <c r="H4351" s="9" t="s">
        <v>2979</v>
      </c>
      <c r="I4351" t="s">
        <v>3105</v>
      </c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  <c r="AA4351" s="7"/>
      <c r="AB4351" s="7"/>
      <c r="AC4351" s="7"/>
      <c r="AD4351" s="7" t="str">
        <f t="shared" si="1"/>
        <v>Built-up :</v>
      </c>
      <c r="AE4351" s="7" t="str">
        <f t="shared" si="2"/>
        <v> sq. ft.</v>
      </c>
      <c r="AF4351">
        <f>IFERROR(__xludf.DUMMYFUNCTION("VALUE(REGEXREPLACE(G4351,""[^[:digit:]]"", """"))"),1572.0)</f>
        <v>1572</v>
      </c>
      <c r="AG4351" s="7"/>
      <c r="AH4351" s="7"/>
      <c r="AI4351" s="7"/>
      <c r="AJ4351" s="7"/>
      <c r="AK4351" s="7"/>
      <c r="AL4351" s="7"/>
      <c r="AM4351" s="7"/>
      <c r="AN4351" s="7"/>
      <c r="AO4351" s="7"/>
      <c r="AP4351" s="7"/>
      <c r="AQ4351" s="7"/>
      <c r="AR4351" s="7"/>
      <c r="AS4351" s="7" t="s">
        <v>27</v>
      </c>
    </row>
    <row r="4352">
      <c r="A4352" s="7" t="s">
        <v>100</v>
      </c>
      <c r="B4352" s="7" t="s">
        <v>2497</v>
      </c>
      <c r="C4352" s="7">
        <f>3+1</f>
        <v>4</v>
      </c>
      <c r="D4352" s="7">
        <v>4.0</v>
      </c>
      <c r="E4352" s="9">
        <v>2.0</v>
      </c>
      <c r="F4352" s="7" t="s">
        <v>30</v>
      </c>
      <c r="G4352" s="7" t="s">
        <v>21</v>
      </c>
      <c r="H4352" s="9" t="s">
        <v>2979</v>
      </c>
      <c r="I4352" t="s">
        <v>2980</v>
      </c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  <c r="AA4352" s="7"/>
      <c r="AB4352" s="7"/>
      <c r="AC4352" s="7"/>
      <c r="AD4352" s="7" t="str">
        <f t="shared" si="1"/>
        <v>Built-up :</v>
      </c>
      <c r="AE4352" s="7" t="str">
        <f t="shared" si="2"/>
        <v> sq. ft.</v>
      </c>
      <c r="AF4352">
        <f>IFERROR(__xludf.DUMMYFUNCTION("VALUE(REGEXREPLACE(G4352,""[^[:digit:]]"", """"))"),1335.0)</f>
        <v>1335</v>
      </c>
      <c r="AG4352" s="7"/>
      <c r="AH4352" s="7"/>
      <c r="AI4352" s="7"/>
      <c r="AJ4352" s="7"/>
      <c r="AK4352" s="7"/>
      <c r="AL4352" s="7"/>
      <c r="AM4352" s="7"/>
      <c r="AN4352" s="7"/>
      <c r="AO4352" s="7"/>
      <c r="AP4352" s="7"/>
      <c r="AQ4352" s="7"/>
      <c r="AR4352" s="7"/>
      <c r="AS4352" s="7" t="s">
        <v>251</v>
      </c>
    </row>
    <row r="4353">
      <c r="A4353" s="7" t="s">
        <v>32</v>
      </c>
      <c r="B4353" s="7" t="s">
        <v>1187</v>
      </c>
      <c r="C4353" s="7">
        <f>3</f>
        <v>3</v>
      </c>
      <c r="D4353" s="7">
        <v>3.0</v>
      </c>
      <c r="E4353" s="9">
        <v>2.0</v>
      </c>
      <c r="F4353" s="7" t="s">
        <v>82</v>
      </c>
      <c r="G4353" s="7" t="s">
        <v>1384</v>
      </c>
      <c r="H4353" s="9" t="s">
        <v>2979</v>
      </c>
      <c r="I4353" t="s">
        <v>3683</v>
      </c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  <c r="AA4353" s="7"/>
      <c r="AB4353" s="7"/>
      <c r="AC4353" s="7"/>
      <c r="AD4353" s="7" t="str">
        <f t="shared" si="1"/>
        <v>Built-up :</v>
      </c>
      <c r="AE4353" s="7" t="str">
        <f t="shared" si="2"/>
        <v> sq. ft.</v>
      </c>
      <c r="AF4353">
        <f>IFERROR(__xludf.DUMMYFUNCTION("VALUE(REGEXREPLACE(G4353,""[^[:digit:]]"", """"))"),1054.0)</f>
        <v>1054</v>
      </c>
      <c r="AG4353" s="7"/>
      <c r="AH4353" s="7"/>
      <c r="AI4353" s="7"/>
      <c r="AJ4353" s="7"/>
      <c r="AK4353" s="7"/>
      <c r="AL4353" s="7"/>
      <c r="AM4353" s="7"/>
      <c r="AN4353" s="7"/>
      <c r="AO4353" s="7"/>
      <c r="AP4353" s="7"/>
      <c r="AQ4353" s="7"/>
      <c r="AR4353" s="7"/>
      <c r="AS4353" s="7" t="s">
        <v>27</v>
      </c>
    </row>
    <row r="4354">
      <c r="A4354" s="7" t="s">
        <v>72</v>
      </c>
      <c r="B4354" s="7" t="s">
        <v>1021</v>
      </c>
      <c r="C4354" s="7">
        <f>4+1</f>
        <v>5</v>
      </c>
      <c r="D4354" s="7">
        <v>5.0</v>
      </c>
      <c r="E4354" s="9">
        <v>2.0</v>
      </c>
      <c r="F4354" s="7" t="s">
        <v>83</v>
      </c>
      <c r="G4354" s="7" t="s">
        <v>989</v>
      </c>
      <c r="H4354" s="9" t="s">
        <v>2979</v>
      </c>
      <c r="I4354" t="s">
        <v>3438</v>
      </c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  <c r="AA4354" s="7"/>
      <c r="AB4354" s="7"/>
      <c r="AC4354" s="7"/>
      <c r="AD4354" s="7" t="str">
        <f t="shared" si="1"/>
        <v>Built-up :</v>
      </c>
      <c r="AE4354" s="7" t="str">
        <f t="shared" si="2"/>
        <v> sq. ft.</v>
      </c>
      <c r="AF4354">
        <f>IFERROR(__xludf.DUMMYFUNCTION("VALUE(REGEXREPLACE(G4354,""[^[:digit:]]"", """"))"),3729.0)</f>
        <v>3729</v>
      </c>
      <c r="AG4354" s="7"/>
      <c r="AH4354" s="7"/>
      <c r="AI4354" s="7"/>
      <c r="AJ4354" s="7"/>
      <c r="AK4354" s="7"/>
      <c r="AL4354" s="7"/>
      <c r="AM4354" s="7"/>
      <c r="AN4354" s="7"/>
      <c r="AO4354" s="7"/>
      <c r="AP4354" s="7"/>
      <c r="AQ4354" s="7"/>
      <c r="AR4354" s="7"/>
      <c r="AS4354" s="7" t="s">
        <v>251</v>
      </c>
    </row>
    <row r="4355">
      <c r="A4355" s="7" t="s">
        <v>1088</v>
      </c>
      <c r="B4355" s="7" t="s">
        <v>73</v>
      </c>
      <c r="C4355" s="7">
        <f>4</f>
        <v>4</v>
      </c>
      <c r="D4355" s="7">
        <v>3.0</v>
      </c>
      <c r="E4355" s="9">
        <v>2.0</v>
      </c>
      <c r="F4355" s="7" t="s">
        <v>30</v>
      </c>
      <c r="G4355" s="7" t="s">
        <v>194</v>
      </c>
      <c r="H4355" s="9" t="s">
        <v>2979</v>
      </c>
      <c r="I4355" t="s">
        <v>3046</v>
      </c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  <c r="AA4355" s="7"/>
      <c r="AB4355" s="7"/>
      <c r="AC4355" s="7"/>
      <c r="AD4355" s="7" t="str">
        <f t="shared" si="1"/>
        <v>Built-up :</v>
      </c>
      <c r="AE4355" s="7" t="str">
        <f t="shared" si="2"/>
        <v> sq. ft.</v>
      </c>
      <c r="AF4355">
        <f>IFERROR(__xludf.DUMMYFUNCTION("VALUE(REGEXREPLACE(G4355,""[^[:digit:]]"", """"))"),1905.0)</f>
        <v>1905</v>
      </c>
      <c r="AG4355" s="7"/>
      <c r="AH4355" s="7"/>
      <c r="AI4355" s="7"/>
      <c r="AJ4355" s="7"/>
      <c r="AK4355" s="7"/>
      <c r="AL4355" s="7"/>
      <c r="AM4355" s="7"/>
      <c r="AN4355" s="7"/>
      <c r="AO4355" s="7"/>
      <c r="AP4355" s="7"/>
      <c r="AQ4355" s="7"/>
      <c r="AR4355" s="7"/>
      <c r="AS4355" s="7" t="s">
        <v>22</v>
      </c>
    </row>
    <row r="4356">
      <c r="A4356" s="7" t="s">
        <v>86</v>
      </c>
      <c r="B4356" s="7" t="s">
        <v>221</v>
      </c>
      <c r="C4356" s="7">
        <f>1+1</f>
        <v>2</v>
      </c>
      <c r="D4356" s="7">
        <v>1.0</v>
      </c>
      <c r="E4356" s="7">
        <v>1.0</v>
      </c>
      <c r="F4356" s="7" t="s">
        <v>20</v>
      </c>
      <c r="G4356" s="7" t="s">
        <v>1169</v>
      </c>
      <c r="H4356" s="9" t="s">
        <v>2979</v>
      </c>
      <c r="I4356" t="s">
        <v>3554</v>
      </c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  <c r="AA4356" s="7"/>
      <c r="AB4356" s="7"/>
      <c r="AC4356" s="7"/>
      <c r="AD4356" s="7" t="str">
        <f t="shared" si="1"/>
        <v>Built-up :</v>
      </c>
      <c r="AE4356" s="7" t="str">
        <f t="shared" si="2"/>
        <v> sq. ft.</v>
      </c>
      <c r="AF4356">
        <f>IFERROR(__xludf.DUMMYFUNCTION("VALUE(REGEXREPLACE(G4356,""[^[:digit:]]"", """"))"),708.0)</f>
        <v>708</v>
      </c>
      <c r="AG4356" s="7"/>
      <c r="AH4356" s="7"/>
      <c r="AI4356" s="7"/>
      <c r="AJ4356" s="7"/>
      <c r="AK4356" s="7"/>
      <c r="AL4356" s="7"/>
      <c r="AM4356" s="7"/>
      <c r="AN4356" s="7"/>
      <c r="AO4356" s="7"/>
      <c r="AP4356" s="7"/>
      <c r="AQ4356" s="7"/>
      <c r="AR4356" s="7"/>
    </row>
    <row r="4357">
      <c r="A4357" s="7" t="s">
        <v>32</v>
      </c>
      <c r="B4357" s="7" t="s">
        <v>107</v>
      </c>
      <c r="C4357" s="7">
        <f>2+1</f>
        <v>3</v>
      </c>
      <c r="D4357" s="7">
        <v>2.0</v>
      </c>
      <c r="E4357" s="7">
        <v>1.0</v>
      </c>
      <c r="F4357" s="7" t="s">
        <v>30</v>
      </c>
      <c r="G4357" s="7" t="s">
        <v>964</v>
      </c>
      <c r="H4357" s="9" t="s">
        <v>2979</v>
      </c>
      <c r="I4357" t="s">
        <v>3429</v>
      </c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  <c r="AA4357" s="7"/>
      <c r="AB4357" s="7"/>
      <c r="AC4357" s="7"/>
      <c r="AD4357" s="7" t="str">
        <f t="shared" si="1"/>
        <v>Built-up :</v>
      </c>
      <c r="AE4357" s="7" t="str">
        <f t="shared" si="2"/>
        <v> sq. ft.</v>
      </c>
      <c r="AF4357">
        <f>IFERROR(__xludf.DUMMYFUNCTION("VALUE(REGEXREPLACE(G4357,""[^[:digit:]]"", """"))"),926.0)</f>
        <v>926</v>
      </c>
      <c r="AG4357" s="7"/>
      <c r="AH4357" s="7"/>
      <c r="AI4357" s="7"/>
      <c r="AJ4357" s="7"/>
      <c r="AK4357" s="7"/>
      <c r="AL4357" s="7"/>
      <c r="AM4357" s="7"/>
      <c r="AN4357" s="7"/>
      <c r="AO4357" s="7"/>
      <c r="AP4357" s="7"/>
      <c r="AQ4357" s="7"/>
      <c r="AR4357" s="7"/>
      <c r="AS4357" s="7" t="s">
        <v>27</v>
      </c>
    </row>
    <row r="4358">
      <c r="A4358" s="7" t="s">
        <v>86</v>
      </c>
      <c r="B4358" s="7" t="s">
        <v>361</v>
      </c>
      <c r="C4358" s="7">
        <f>1</f>
        <v>1</v>
      </c>
      <c r="D4358" s="7">
        <v>1.0</v>
      </c>
      <c r="E4358" s="7">
        <v>1.0</v>
      </c>
      <c r="F4358" s="7" t="s">
        <v>82</v>
      </c>
      <c r="G4358" s="7" t="s">
        <v>2700</v>
      </c>
      <c r="H4358" s="9" t="s">
        <v>2979</v>
      </c>
      <c r="I4358" t="s">
        <v>4477</v>
      </c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  <c r="AA4358" s="7"/>
      <c r="AB4358" s="7"/>
      <c r="AC4358" s="7"/>
      <c r="AD4358" s="7" t="str">
        <f t="shared" si="1"/>
        <v>Built-up :</v>
      </c>
      <c r="AE4358" s="7" t="str">
        <f t="shared" si="2"/>
        <v> sq. ft.</v>
      </c>
      <c r="AF4358">
        <f>IFERROR(__xludf.DUMMYFUNCTION("VALUE(REGEXREPLACE(G4358,""[^[:digit:]]"", """"))"),514.0)</f>
        <v>514</v>
      </c>
      <c r="AG4358" s="7"/>
      <c r="AH4358" s="7"/>
      <c r="AI4358" s="7"/>
      <c r="AJ4358" s="7"/>
      <c r="AK4358" s="7"/>
      <c r="AL4358" s="7"/>
      <c r="AM4358" s="7"/>
      <c r="AN4358" s="7"/>
      <c r="AO4358" s="7"/>
      <c r="AP4358" s="7"/>
      <c r="AQ4358" s="7"/>
      <c r="AR4358" s="7"/>
      <c r="AS4358" s="7" t="s">
        <v>27</v>
      </c>
    </row>
    <row r="4359">
      <c r="A4359" s="7" t="s">
        <v>1088</v>
      </c>
      <c r="B4359" s="7" t="s">
        <v>85</v>
      </c>
      <c r="C4359" s="7">
        <f>2+1</f>
        <v>3</v>
      </c>
      <c r="D4359" s="7">
        <v>2.0</v>
      </c>
      <c r="E4359" s="9">
        <v>2.0</v>
      </c>
      <c r="F4359" s="7" t="s">
        <v>30</v>
      </c>
      <c r="G4359" s="7" t="s">
        <v>1153</v>
      </c>
      <c r="H4359" s="9" t="s">
        <v>2979</v>
      </c>
      <c r="I4359" t="s">
        <v>3542</v>
      </c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  <c r="AA4359" s="7"/>
      <c r="AB4359" s="7"/>
      <c r="AC4359" s="7"/>
      <c r="AD4359" s="7" t="str">
        <f t="shared" si="1"/>
        <v>Built-up :</v>
      </c>
      <c r="AE4359" s="7" t="str">
        <f t="shared" si="2"/>
        <v> sq. ft.</v>
      </c>
      <c r="AF4359">
        <f>IFERROR(__xludf.DUMMYFUNCTION("VALUE(REGEXREPLACE(G4359,""[^[:digit:]]"", """"))"),1356.0)</f>
        <v>1356</v>
      </c>
      <c r="AG4359" s="7"/>
      <c r="AH4359" s="7"/>
      <c r="AI4359" s="7"/>
      <c r="AJ4359" s="7"/>
      <c r="AK4359" s="7"/>
      <c r="AL4359" s="7"/>
      <c r="AM4359" s="7"/>
      <c r="AN4359" s="7"/>
      <c r="AO4359" s="7"/>
      <c r="AP4359" s="7"/>
      <c r="AQ4359" s="7"/>
      <c r="AR4359" s="7"/>
      <c r="AS4359" s="7" t="s">
        <v>22</v>
      </c>
    </row>
    <row r="4360">
      <c r="A4360" s="7" t="s">
        <v>1088</v>
      </c>
      <c r="B4360" s="7" t="s">
        <v>158</v>
      </c>
      <c r="C4360" s="7">
        <f>3+1</f>
        <v>4</v>
      </c>
      <c r="D4360" s="7">
        <v>4.0</v>
      </c>
      <c r="E4360" s="7">
        <v>1.0</v>
      </c>
      <c r="F4360" s="7" t="s">
        <v>30</v>
      </c>
      <c r="G4360" s="7" t="s">
        <v>1718</v>
      </c>
      <c r="H4360" s="9" t="s">
        <v>2979</v>
      </c>
      <c r="I4360" t="s">
        <v>3877</v>
      </c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  <c r="AA4360" s="7"/>
      <c r="AB4360" s="7"/>
      <c r="AC4360" s="7"/>
      <c r="AD4360" s="7" t="str">
        <f t="shared" si="1"/>
        <v>Built-up :</v>
      </c>
      <c r="AE4360" s="7" t="str">
        <f t="shared" si="2"/>
        <v> sq. ft.</v>
      </c>
      <c r="AF4360">
        <f>IFERROR(__xludf.DUMMYFUNCTION("VALUE(REGEXREPLACE(G4360,""[^[:digit:]]"", """"))"),1819.0)</f>
        <v>1819</v>
      </c>
      <c r="AG4360" s="7"/>
      <c r="AH4360" s="7"/>
      <c r="AI4360" s="7"/>
      <c r="AJ4360" s="7"/>
      <c r="AK4360" s="7"/>
      <c r="AL4360" s="7"/>
      <c r="AM4360" s="7"/>
      <c r="AN4360" s="7"/>
      <c r="AO4360" s="7"/>
      <c r="AP4360" s="7"/>
      <c r="AQ4360" s="7"/>
      <c r="AR4360" s="7"/>
      <c r="AS4360" s="7" t="s">
        <v>22</v>
      </c>
    </row>
    <row r="4361">
      <c r="A4361" s="7" t="s">
        <v>1088</v>
      </c>
      <c r="B4361" s="7" t="s">
        <v>349</v>
      </c>
      <c r="C4361" s="7" t="s">
        <v>19</v>
      </c>
      <c r="D4361" s="7">
        <v>2.0</v>
      </c>
      <c r="E4361" s="9">
        <v>2.0</v>
      </c>
      <c r="F4361" s="7" t="s">
        <v>93</v>
      </c>
      <c r="G4361" s="7" t="s">
        <v>464</v>
      </c>
      <c r="H4361" s="9" t="s">
        <v>2979</v>
      </c>
      <c r="I4361" t="s">
        <v>3174</v>
      </c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  <c r="AA4361" s="7"/>
      <c r="AB4361" s="7"/>
      <c r="AC4361" s="7"/>
      <c r="AD4361" s="7" t="str">
        <f t="shared" si="1"/>
        <v>Built-up :</v>
      </c>
      <c r="AE4361" s="7" t="str">
        <f t="shared" si="2"/>
        <v> sq. ft.</v>
      </c>
      <c r="AF4361">
        <f>IFERROR(__xludf.DUMMYFUNCTION("VALUE(REGEXREPLACE(G4361,""[^[:digit:]]"", """"))"),1367.0)</f>
        <v>1367</v>
      </c>
      <c r="AG4361" s="7"/>
      <c r="AH4361" s="7"/>
      <c r="AI4361" s="7"/>
      <c r="AJ4361" s="7"/>
      <c r="AK4361" s="7"/>
      <c r="AL4361" s="7"/>
      <c r="AM4361" s="7"/>
      <c r="AN4361" s="7"/>
      <c r="AO4361" s="7"/>
      <c r="AP4361" s="7"/>
      <c r="AQ4361" s="7"/>
      <c r="AR4361" s="7"/>
      <c r="AS4361" s="7" t="s">
        <v>22</v>
      </c>
    </row>
    <row r="4362">
      <c r="A4362" s="7" t="s">
        <v>17</v>
      </c>
      <c r="B4362" s="7" t="s">
        <v>144</v>
      </c>
      <c r="C4362" s="7">
        <f>3+1</f>
        <v>4</v>
      </c>
      <c r="D4362" s="7">
        <v>4.0</v>
      </c>
      <c r="E4362" s="7">
        <v>2.0</v>
      </c>
      <c r="F4362" s="7" t="s">
        <v>494</v>
      </c>
      <c r="G4362" s="7" t="s">
        <v>1599</v>
      </c>
      <c r="H4362" s="9" t="s">
        <v>2979</v>
      </c>
      <c r="I4362" t="s">
        <v>3803</v>
      </c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  <c r="AA4362" s="7"/>
      <c r="AB4362" s="7"/>
      <c r="AC4362" s="7"/>
      <c r="AD4362" s="7" t="str">
        <f t="shared" si="1"/>
        <v>Built-up :</v>
      </c>
      <c r="AE4362" s="7" t="str">
        <f t="shared" si="2"/>
        <v> sq. ft.</v>
      </c>
      <c r="AF4362">
        <f>IFERROR(__xludf.DUMMYFUNCTION("VALUE(REGEXREPLACE(G4362,""[^[:digit:]]"", """"))"),2691.0)</f>
        <v>2691</v>
      </c>
      <c r="AG4362" s="7"/>
      <c r="AH4362" s="7"/>
      <c r="AI4362" s="7"/>
      <c r="AJ4362" s="7"/>
      <c r="AK4362" s="7"/>
      <c r="AL4362" s="7"/>
      <c r="AM4362" s="7"/>
      <c r="AN4362" s="7"/>
      <c r="AO4362" s="7"/>
      <c r="AP4362" s="7"/>
      <c r="AQ4362" s="7"/>
      <c r="AR4362" s="7"/>
      <c r="AS4362" s="7" t="s">
        <v>22</v>
      </c>
    </row>
    <row r="4363">
      <c r="A4363" s="7" t="s">
        <v>17</v>
      </c>
      <c r="B4363" s="7" t="s">
        <v>1297</v>
      </c>
      <c r="C4363" s="7">
        <f>1</f>
        <v>1</v>
      </c>
      <c r="D4363" s="7">
        <v>1.0</v>
      </c>
      <c r="E4363" s="7">
        <v>1.0</v>
      </c>
      <c r="F4363" s="7" t="s">
        <v>83</v>
      </c>
      <c r="G4363" s="7" t="s">
        <v>924</v>
      </c>
      <c r="H4363" s="9" t="s">
        <v>2979</v>
      </c>
      <c r="I4363" t="s">
        <v>3406</v>
      </c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  <c r="AA4363" s="7"/>
      <c r="AB4363" s="7"/>
      <c r="AC4363" s="7"/>
      <c r="AD4363" s="7" t="str">
        <f t="shared" si="1"/>
        <v>Built-up :</v>
      </c>
      <c r="AE4363" s="7" t="str">
        <f t="shared" si="2"/>
        <v> sq. ft.</v>
      </c>
      <c r="AF4363">
        <f>IFERROR(__xludf.DUMMYFUNCTION("VALUE(REGEXREPLACE(G4363,""[^[:digit:]]"", """"))"),750.0)</f>
        <v>750</v>
      </c>
      <c r="AG4363" s="7"/>
      <c r="AH4363" s="7"/>
      <c r="AI4363" s="7"/>
      <c r="AJ4363" s="7"/>
      <c r="AK4363" s="7"/>
      <c r="AL4363" s="7"/>
      <c r="AM4363" s="7"/>
      <c r="AN4363" s="7"/>
      <c r="AO4363" s="7"/>
      <c r="AP4363" s="7"/>
      <c r="AQ4363" s="7"/>
      <c r="AR4363" s="7"/>
      <c r="AS4363" s="7" t="s">
        <v>22</v>
      </c>
    </row>
    <row r="4364">
      <c r="A4364" s="7" t="s">
        <v>17</v>
      </c>
      <c r="B4364" s="7" t="s">
        <v>201</v>
      </c>
      <c r="C4364" s="7">
        <f>2</f>
        <v>2</v>
      </c>
      <c r="D4364" s="7">
        <v>2.0</v>
      </c>
      <c r="E4364" s="7">
        <v>1.0</v>
      </c>
      <c r="F4364" s="7" t="s">
        <v>83</v>
      </c>
      <c r="H4364" s="9" t="s">
        <v>2984</v>
      </c>
      <c r="I4364" t="s">
        <v>2985</v>
      </c>
      <c r="AD4364" s="7" t="str">
        <f t="shared" si="1"/>
        <v/>
      </c>
      <c r="AE4364" s="7" t="str">
        <f t="shared" si="2"/>
        <v/>
      </c>
      <c r="AF4364">
        <f>IFERROR(__xludf.DUMMYFUNCTION("VALUE(REGEXREPLACE(G4364,""[^[:digit:]]"", """"))"),0.0)</f>
        <v>0</v>
      </c>
      <c r="AS4364" s="7" t="s">
        <v>27</v>
      </c>
    </row>
    <row r="4365">
      <c r="A4365" s="7" t="s">
        <v>709</v>
      </c>
      <c r="B4365" s="7" t="s">
        <v>715</v>
      </c>
      <c r="C4365" s="7">
        <f>3</f>
        <v>3</v>
      </c>
      <c r="D4365" s="7">
        <v>2.0</v>
      </c>
      <c r="E4365" s="7">
        <v>1.0</v>
      </c>
      <c r="F4365" s="7" t="s">
        <v>93</v>
      </c>
      <c r="G4365" s="7" t="s">
        <v>2701</v>
      </c>
      <c r="H4365" s="9" t="s">
        <v>2981</v>
      </c>
      <c r="I4365" t="s">
        <v>4478</v>
      </c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  <c r="AA4365" s="7"/>
      <c r="AB4365" s="7"/>
      <c r="AC4365" s="7"/>
      <c r="AD4365" s="7" t="str">
        <f t="shared" si="1"/>
        <v>Land area </v>
      </c>
      <c r="AE4365" s="7" t="str">
        <f t="shared" si="2"/>
        <v> sq. ft.</v>
      </c>
      <c r="AF4365">
        <f>IFERROR(__xludf.DUMMYFUNCTION("VALUE(REGEXREPLACE(G4365,""[^[:digit:]]"", """"))"),1039.0)</f>
        <v>1039</v>
      </c>
      <c r="AG4365" s="7"/>
      <c r="AH4365" s="7"/>
      <c r="AI4365" s="7"/>
      <c r="AJ4365" s="7"/>
      <c r="AK4365" s="7"/>
      <c r="AL4365" s="7"/>
      <c r="AM4365" s="7"/>
      <c r="AN4365" s="7"/>
      <c r="AO4365" s="7"/>
      <c r="AP4365" s="7"/>
      <c r="AQ4365" s="7"/>
      <c r="AR4365" s="7"/>
      <c r="AS4365" s="7" t="s">
        <v>27</v>
      </c>
    </row>
    <row r="4366">
      <c r="A4366" s="7" t="s">
        <v>17</v>
      </c>
      <c r="B4366" s="7" t="s">
        <v>411</v>
      </c>
      <c r="C4366" s="7">
        <f>4+1</f>
        <v>5</v>
      </c>
      <c r="D4366" s="7">
        <v>4.0</v>
      </c>
      <c r="E4366" s="7">
        <v>2.0</v>
      </c>
      <c r="F4366" s="7" t="s">
        <v>793</v>
      </c>
      <c r="G4366" s="7" t="s">
        <v>2702</v>
      </c>
      <c r="H4366" s="9" t="s">
        <v>2979</v>
      </c>
      <c r="I4366" t="s">
        <v>4479</v>
      </c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  <c r="AA4366" s="7"/>
      <c r="AB4366" s="7"/>
      <c r="AC4366" s="7"/>
      <c r="AD4366" s="7" t="str">
        <f t="shared" si="1"/>
        <v>Built-up :</v>
      </c>
      <c r="AE4366" s="7" t="str">
        <f t="shared" si="2"/>
        <v> sq. ft.</v>
      </c>
      <c r="AF4366">
        <f>IFERROR(__xludf.DUMMYFUNCTION("VALUE(REGEXREPLACE(G4366,""[^[:digit:]]"", """"))"),3033.0)</f>
        <v>3033</v>
      </c>
      <c r="AG4366" s="7"/>
      <c r="AH4366" s="7"/>
      <c r="AI4366" s="7"/>
      <c r="AJ4366" s="7"/>
      <c r="AK4366" s="7"/>
      <c r="AL4366" s="7"/>
      <c r="AM4366" s="7"/>
      <c r="AN4366" s="7"/>
      <c r="AO4366" s="7"/>
      <c r="AP4366" s="7"/>
      <c r="AQ4366" s="7"/>
      <c r="AR4366" s="7"/>
      <c r="AS4366" s="7" t="s">
        <v>27</v>
      </c>
    </row>
    <row r="4367">
      <c r="A4367" s="7" t="s">
        <v>148</v>
      </c>
      <c r="B4367" s="7" t="s">
        <v>1075</v>
      </c>
      <c r="C4367" s="7">
        <f>4</f>
        <v>4</v>
      </c>
      <c r="D4367" s="7">
        <v>3.0</v>
      </c>
      <c r="E4367" s="9">
        <v>2.0</v>
      </c>
      <c r="F4367" s="7" t="s">
        <v>169</v>
      </c>
      <c r="G4367" s="7" t="s">
        <v>91</v>
      </c>
      <c r="H4367" s="9" t="s">
        <v>2981</v>
      </c>
      <c r="I4367" t="s">
        <v>3003</v>
      </c>
      <c r="J4367" s="7"/>
      <c r="K4367" s="7"/>
      <c r="L4367" s="7"/>
      <c r="M4367" s="7"/>
      <c r="N4367" s="7"/>
      <c r="O4367" s="7"/>
      <c r="P4367" s="7"/>
      <c r="Q4367" s="7"/>
      <c r="R4367" s="7"/>
      <c r="S4367" s="7" t="s">
        <v>2990</v>
      </c>
      <c r="T4367" s="7"/>
      <c r="U4367" s="7"/>
      <c r="V4367" s="7"/>
      <c r="W4367" s="7"/>
      <c r="X4367" s="7"/>
      <c r="Y4367" s="7"/>
      <c r="Z4367" s="7"/>
      <c r="AA4367" s="7"/>
      <c r="AB4367" s="7"/>
      <c r="AC4367" s="7"/>
      <c r="AD4367" s="7" t="str">
        <f t="shared" si="1"/>
        <v>Land area </v>
      </c>
      <c r="AE4367" s="7" t="str">
        <f t="shared" si="2"/>
        <v> sq. ft.</v>
      </c>
      <c r="AF4367">
        <f>IFERROR(__xludf.DUMMYFUNCTION("VALUE(REGEXREPLACE(G4367,""[^[:digit:]]"", """"))"),2075.0)</f>
        <v>2075</v>
      </c>
      <c r="AG4367" s="7"/>
      <c r="AH4367" s="7"/>
      <c r="AI4367" s="7"/>
      <c r="AJ4367" s="7"/>
      <c r="AK4367" s="7"/>
      <c r="AL4367" s="7"/>
      <c r="AM4367" s="7"/>
      <c r="AN4367" s="7"/>
      <c r="AO4367" s="7"/>
      <c r="AP4367" s="7"/>
      <c r="AQ4367" s="7"/>
      <c r="AR4367" s="7"/>
    </row>
    <row r="4368">
      <c r="A4368" s="7" t="s">
        <v>72</v>
      </c>
      <c r="B4368" s="7" t="s">
        <v>475</v>
      </c>
      <c r="C4368" s="7">
        <f>4+1</f>
        <v>5</v>
      </c>
      <c r="D4368" s="7">
        <v>6.0</v>
      </c>
      <c r="E4368" s="7">
        <v>3.0</v>
      </c>
      <c r="F4368" s="7" t="s">
        <v>30</v>
      </c>
      <c r="G4368" s="7" t="s">
        <v>1230</v>
      </c>
      <c r="H4368" s="9" t="s">
        <v>2979</v>
      </c>
      <c r="I4368" t="s">
        <v>3593</v>
      </c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  <c r="AA4368" s="7"/>
      <c r="AB4368" s="7"/>
      <c r="AC4368" s="7"/>
      <c r="AD4368" s="7" t="str">
        <f t="shared" si="1"/>
        <v>Built-up :</v>
      </c>
      <c r="AE4368" s="7" t="str">
        <f t="shared" si="2"/>
        <v> sq. ft.</v>
      </c>
      <c r="AF4368">
        <f>IFERROR(__xludf.DUMMYFUNCTION("VALUE(REGEXREPLACE(G4368,""[^[:digit:]]"", """"))"),3317.0)</f>
        <v>3317</v>
      </c>
      <c r="AG4368" s="7"/>
      <c r="AH4368" s="7"/>
      <c r="AI4368" s="7"/>
      <c r="AJ4368" s="7"/>
      <c r="AK4368" s="7"/>
      <c r="AL4368" s="7"/>
      <c r="AM4368" s="7"/>
      <c r="AN4368" s="7"/>
      <c r="AO4368" s="7"/>
      <c r="AP4368" s="7"/>
      <c r="AQ4368" s="7"/>
      <c r="AR4368" s="7"/>
      <c r="AS4368" s="7" t="s">
        <v>27</v>
      </c>
    </row>
    <row r="4369">
      <c r="A4369" s="7" t="s">
        <v>72</v>
      </c>
      <c r="B4369" s="7" t="s">
        <v>322</v>
      </c>
      <c r="E4369" s="7">
        <v>3.0</v>
      </c>
      <c r="F4369" s="7" t="s">
        <v>83</v>
      </c>
      <c r="G4369" s="7" t="s">
        <v>159</v>
      </c>
      <c r="H4369" s="9" t="s">
        <v>2979</v>
      </c>
      <c r="I4369" t="s">
        <v>3032</v>
      </c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  <c r="AA4369" s="7"/>
      <c r="AB4369" s="7"/>
      <c r="AC4369" s="7"/>
      <c r="AD4369" s="7" t="str">
        <f t="shared" si="1"/>
        <v>Built-up :</v>
      </c>
      <c r="AE4369" s="7" t="str">
        <f t="shared" si="2"/>
        <v> sq. ft.</v>
      </c>
      <c r="AF4369">
        <f>IFERROR(__xludf.DUMMYFUNCTION("VALUE(REGEXREPLACE(G4369,""[^[:digit:]]"", """"))"),2347.0)</f>
        <v>2347</v>
      </c>
      <c r="AG4369" s="7"/>
      <c r="AH4369" s="7"/>
      <c r="AI4369" s="7"/>
      <c r="AJ4369" s="7"/>
      <c r="AK4369" s="7"/>
      <c r="AL4369" s="7"/>
      <c r="AM4369" s="7"/>
      <c r="AN4369" s="7"/>
      <c r="AO4369" s="7"/>
      <c r="AP4369" s="7"/>
      <c r="AQ4369" s="7"/>
      <c r="AR4369" s="7"/>
    </row>
    <row r="4370">
      <c r="A4370" s="7" t="s">
        <v>72</v>
      </c>
      <c r="B4370" s="7" t="s">
        <v>281</v>
      </c>
      <c r="C4370" s="7">
        <f>4</f>
        <v>4</v>
      </c>
      <c r="D4370" s="7">
        <v>5.0</v>
      </c>
      <c r="E4370" s="9">
        <v>2.0</v>
      </c>
      <c r="F4370" s="7" t="s">
        <v>83</v>
      </c>
      <c r="G4370" s="7" t="s">
        <v>989</v>
      </c>
      <c r="H4370" s="9" t="s">
        <v>2979</v>
      </c>
      <c r="I4370" t="s">
        <v>3438</v>
      </c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  <c r="AA4370" s="7"/>
      <c r="AB4370" s="7"/>
      <c r="AC4370" s="7"/>
      <c r="AD4370" s="7" t="str">
        <f t="shared" si="1"/>
        <v>Built-up :</v>
      </c>
      <c r="AE4370" s="7" t="str">
        <f t="shared" si="2"/>
        <v> sq. ft.</v>
      </c>
      <c r="AF4370">
        <f>IFERROR(__xludf.DUMMYFUNCTION("VALUE(REGEXREPLACE(G4370,""[^[:digit:]]"", """"))"),3729.0)</f>
        <v>3729</v>
      </c>
      <c r="AG4370" s="7"/>
      <c r="AH4370" s="7"/>
      <c r="AI4370" s="7"/>
      <c r="AJ4370" s="7"/>
      <c r="AK4370" s="7"/>
      <c r="AL4370" s="7"/>
      <c r="AM4370" s="7"/>
      <c r="AN4370" s="7"/>
      <c r="AO4370" s="7"/>
      <c r="AP4370" s="7"/>
      <c r="AQ4370" s="7"/>
      <c r="AR4370" s="7"/>
      <c r="AS4370" s="7" t="s">
        <v>22</v>
      </c>
    </row>
    <row r="4371">
      <c r="A4371" s="7" t="s">
        <v>72</v>
      </c>
      <c r="B4371" s="7" t="s">
        <v>2703</v>
      </c>
      <c r="C4371" s="7">
        <f>5</f>
        <v>5</v>
      </c>
      <c r="D4371" s="7">
        <v>6.0</v>
      </c>
      <c r="E4371" s="9">
        <v>2.0</v>
      </c>
      <c r="F4371" s="7" t="s">
        <v>30</v>
      </c>
      <c r="G4371" s="7" t="s">
        <v>926</v>
      </c>
      <c r="H4371" s="9" t="s">
        <v>2979</v>
      </c>
      <c r="I4371" t="s">
        <v>3408</v>
      </c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  <c r="AA4371" s="7"/>
      <c r="AB4371" s="7"/>
      <c r="AC4371" s="7"/>
      <c r="AD4371" s="7" t="str">
        <f t="shared" si="1"/>
        <v>Built-up :</v>
      </c>
      <c r="AE4371" s="7" t="str">
        <f t="shared" si="2"/>
        <v> sq. ft.</v>
      </c>
      <c r="AF4371">
        <f>IFERROR(__xludf.DUMMYFUNCTION("VALUE(REGEXREPLACE(G4371,""[^[:digit:]]"", """"))"),3401.0)</f>
        <v>3401</v>
      </c>
      <c r="AG4371" s="7"/>
      <c r="AH4371" s="7"/>
      <c r="AI4371" s="7"/>
      <c r="AJ4371" s="7"/>
      <c r="AK4371" s="7"/>
      <c r="AL4371" s="7"/>
      <c r="AM4371" s="7"/>
      <c r="AN4371" s="7"/>
      <c r="AO4371" s="7"/>
      <c r="AP4371" s="7"/>
      <c r="AQ4371" s="7"/>
      <c r="AR4371" s="7"/>
      <c r="AS4371" s="7" t="s">
        <v>27</v>
      </c>
    </row>
    <row r="4372">
      <c r="A4372" s="7" t="s">
        <v>72</v>
      </c>
      <c r="B4372" s="7" t="s">
        <v>69</v>
      </c>
      <c r="E4372" s="9">
        <v>2.0</v>
      </c>
      <c r="F4372" s="7" t="s">
        <v>67</v>
      </c>
      <c r="G4372" s="7" t="s">
        <v>860</v>
      </c>
      <c r="H4372" s="9" t="s">
        <v>2981</v>
      </c>
      <c r="I4372" t="s">
        <v>3376</v>
      </c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  <c r="AA4372" s="7"/>
      <c r="AB4372" s="7"/>
      <c r="AC4372" s="7"/>
      <c r="AD4372" s="7" t="str">
        <f t="shared" si="1"/>
        <v>Land area </v>
      </c>
      <c r="AE4372" s="7" t="str">
        <f t="shared" si="2"/>
        <v> sq. ft.</v>
      </c>
      <c r="AF4372">
        <f>IFERROR(__xludf.DUMMYFUNCTION("VALUE(REGEXREPLACE(G4372,""[^[:digit:]]"", """"))"),4000.0)</f>
        <v>4000</v>
      </c>
      <c r="AG4372" s="7"/>
      <c r="AH4372" s="7"/>
      <c r="AI4372" s="7"/>
      <c r="AJ4372" s="7"/>
      <c r="AK4372" s="7"/>
      <c r="AL4372" s="7"/>
      <c r="AM4372" s="7"/>
      <c r="AN4372" s="7"/>
      <c r="AO4372" s="7"/>
      <c r="AP4372" s="7"/>
      <c r="AQ4372" s="7"/>
      <c r="AR4372" s="7"/>
      <c r="AS4372" s="7" t="s">
        <v>27</v>
      </c>
    </row>
    <row r="4373">
      <c r="A4373" s="7" t="s">
        <v>72</v>
      </c>
      <c r="B4373" s="7" t="s">
        <v>349</v>
      </c>
      <c r="C4373" s="7">
        <f>3+1</f>
        <v>4</v>
      </c>
      <c r="D4373" s="7">
        <v>3.0</v>
      </c>
      <c r="E4373" s="7">
        <v>2.0</v>
      </c>
      <c r="F4373" s="7" t="s">
        <v>30</v>
      </c>
      <c r="G4373" s="7" t="s">
        <v>2704</v>
      </c>
      <c r="H4373" s="9" t="s">
        <v>2979</v>
      </c>
      <c r="I4373" t="s">
        <v>4480</v>
      </c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  <c r="AA4373" s="7"/>
      <c r="AB4373" s="7"/>
      <c r="AC4373" s="7"/>
      <c r="AD4373" s="7" t="str">
        <f t="shared" si="1"/>
        <v>Built-up :</v>
      </c>
      <c r="AE4373" s="7" t="str">
        <f t="shared" si="2"/>
        <v> sq. ft.</v>
      </c>
      <c r="AF4373">
        <f>IFERROR(__xludf.DUMMYFUNCTION("VALUE(REGEXREPLACE(G4373,""[^[:digit:]]"", """"))"),2090.0)</f>
        <v>2090</v>
      </c>
      <c r="AG4373" s="7"/>
      <c r="AH4373" s="7"/>
      <c r="AI4373" s="7"/>
      <c r="AJ4373" s="7"/>
      <c r="AK4373" s="7"/>
      <c r="AL4373" s="7"/>
      <c r="AM4373" s="7"/>
      <c r="AN4373" s="7"/>
      <c r="AO4373" s="7"/>
      <c r="AP4373" s="7"/>
      <c r="AQ4373" s="7"/>
      <c r="AR4373" s="7"/>
      <c r="AS4373" s="7" t="s">
        <v>22</v>
      </c>
    </row>
    <row r="4374">
      <c r="A4374" s="7" t="s">
        <v>72</v>
      </c>
      <c r="B4374" s="7" t="s">
        <v>475</v>
      </c>
      <c r="C4374" s="7">
        <f>4+1</f>
        <v>5</v>
      </c>
      <c r="D4374" s="7">
        <v>7.0</v>
      </c>
      <c r="E4374" s="7">
        <v>3.0</v>
      </c>
      <c r="F4374" s="7" t="s">
        <v>83</v>
      </c>
      <c r="G4374" s="7" t="s">
        <v>933</v>
      </c>
      <c r="H4374" s="9" t="s">
        <v>2979</v>
      </c>
      <c r="I4374" t="s">
        <v>3414</v>
      </c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  <c r="AA4374" s="7"/>
      <c r="AB4374" s="7"/>
      <c r="AC4374" s="7"/>
      <c r="AD4374" s="7" t="str">
        <f t="shared" si="1"/>
        <v>Built-up :</v>
      </c>
      <c r="AE4374" s="7" t="str">
        <f t="shared" si="2"/>
        <v> sq. ft.</v>
      </c>
      <c r="AF4374">
        <f>IFERROR(__xludf.DUMMYFUNCTION("VALUE(REGEXREPLACE(G4374,""[^[:digit:]]"", """"))"),3541.0)</f>
        <v>3541</v>
      </c>
      <c r="AG4374" s="7"/>
      <c r="AH4374" s="7"/>
      <c r="AI4374" s="7"/>
      <c r="AJ4374" s="7"/>
      <c r="AK4374" s="7"/>
      <c r="AL4374" s="7"/>
      <c r="AM4374" s="7"/>
      <c r="AN4374" s="7"/>
      <c r="AO4374" s="7"/>
      <c r="AP4374" s="7"/>
      <c r="AQ4374" s="7"/>
      <c r="AR4374" s="7"/>
      <c r="AS4374" s="7" t="s">
        <v>22</v>
      </c>
    </row>
    <row r="4375">
      <c r="A4375" s="7" t="s">
        <v>72</v>
      </c>
      <c r="B4375" s="7" t="s">
        <v>45</v>
      </c>
      <c r="C4375" s="7">
        <f>3+1</f>
        <v>4</v>
      </c>
      <c r="D4375" s="7">
        <v>4.0</v>
      </c>
      <c r="E4375" s="9">
        <v>2.0</v>
      </c>
      <c r="F4375" s="7" t="s">
        <v>83</v>
      </c>
      <c r="G4375" s="7" t="s">
        <v>2705</v>
      </c>
      <c r="H4375" s="9" t="s">
        <v>2979</v>
      </c>
      <c r="I4375" t="s">
        <v>4481</v>
      </c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  <c r="AA4375" s="7"/>
      <c r="AB4375" s="7"/>
      <c r="AC4375" s="7"/>
      <c r="AD4375" s="7" t="str">
        <f t="shared" si="1"/>
        <v>Built-up :</v>
      </c>
      <c r="AE4375" s="7" t="str">
        <f t="shared" si="2"/>
        <v> sq. ft.</v>
      </c>
      <c r="AF4375">
        <f>IFERROR(__xludf.DUMMYFUNCTION("VALUE(REGEXREPLACE(G4375,""[^[:digit:]]"", """"))"),2553.0)</f>
        <v>2553</v>
      </c>
      <c r="AG4375" s="7"/>
      <c r="AH4375" s="7"/>
      <c r="AI4375" s="7"/>
      <c r="AJ4375" s="7"/>
      <c r="AK4375" s="7"/>
      <c r="AL4375" s="7"/>
      <c r="AM4375" s="7"/>
      <c r="AN4375" s="7"/>
      <c r="AO4375" s="7"/>
      <c r="AP4375" s="7"/>
      <c r="AQ4375" s="7"/>
      <c r="AR4375" s="7"/>
      <c r="AS4375" s="7" t="s">
        <v>27</v>
      </c>
    </row>
    <row r="4376">
      <c r="A4376" s="7" t="s">
        <v>72</v>
      </c>
      <c r="B4376" s="7" t="s">
        <v>854</v>
      </c>
      <c r="C4376" s="7">
        <f>1</f>
        <v>1</v>
      </c>
      <c r="D4376" s="7">
        <v>1.0</v>
      </c>
      <c r="E4376" s="7">
        <v>1.0</v>
      </c>
      <c r="F4376" s="7" t="s">
        <v>121</v>
      </c>
      <c r="G4376" s="7" t="s">
        <v>1127</v>
      </c>
      <c r="H4376" s="9" t="s">
        <v>2979</v>
      </c>
      <c r="I4376" t="s">
        <v>3521</v>
      </c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  <c r="AA4376" s="7"/>
      <c r="AB4376" s="7"/>
      <c r="AC4376" s="7"/>
      <c r="AD4376" s="7" t="str">
        <f t="shared" si="1"/>
        <v>Built-up :</v>
      </c>
      <c r="AE4376" s="7" t="str">
        <f t="shared" si="2"/>
        <v> sq. ft.</v>
      </c>
      <c r="AF4376">
        <f>IFERROR(__xludf.DUMMYFUNCTION("VALUE(REGEXREPLACE(G4376,""[^[:digit:]]"", """"))"),672.0)</f>
        <v>672</v>
      </c>
      <c r="AG4376" s="7"/>
      <c r="AH4376" s="7"/>
      <c r="AI4376" s="7"/>
      <c r="AJ4376" s="7"/>
      <c r="AK4376" s="7"/>
      <c r="AL4376" s="7"/>
      <c r="AM4376" s="7"/>
      <c r="AN4376" s="7"/>
      <c r="AO4376" s="7"/>
      <c r="AP4376" s="7"/>
      <c r="AQ4376" s="7"/>
      <c r="AR4376" s="7"/>
      <c r="AS4376" s="7" t="s">
        <v>22</v>
      </c>
    </row>
    <row r="4377">
      <c r="A4377" s="7" t="s">
        <v>72</v>
      </c>
      <c r="B4377" s="7" t="s">
        <v>2706</v>
      </c>
      <c r="C4377" s="7">
        <f>4+1</f>
        <v>5</v>
      </c>
      <c r="D4377" s="7">
        <v>3.0</v>
      </c>
      <c r="E4377" s="9">
        <v>2.0</v>
      </c>
      <c r="F4377" s="7" t="s">
        <v>93</v>
      </c>
      <c r="G4377" s="7" t="s">
        <v>431</v>
      </c>
      <c r="H4377" s="9" t="s">
        <v>2979</v>
      </c>
      <c r="I4377" t="s">
        <v>3159</v>
      </c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  <c r="AA4377" s="7"/>
      <c r="AB4377" s="7"/>
      <c r="AC4377" s="7"/>
      <c r="AD4377" s="7" t="str">
        <f t="shared" si="1"/>
        <v>Built-up :</v>
      </c>
      <c r="AE4377" s="7" t="str">
        <f t="shared" si="2"/>
        <v> sq. ft.</v>
      </c>
      <c r="AF4377">
        <f>IFERROR(__xludf.DUMMYFUNCTION("VALUE(REGEXREPLACE(G4377,""[^[:digit:]]"", """"))"),2906.0)</f>
        <v>2906</v>
      </c>
      <c r="AG4377" s="7"/>
      <c r="AH4377" s="7"/>
      <c r="AI4377" s="7"/>
      <c r="AJ4377" s="7"/>
      <c r="AK4377" s="7"/>
      <c r="AL4377" s="7"/>
      <c r="AM4377" s="7"/>
      <c r="AN4377" s="7"/>
      <c r="AO4377" s="7"/>
      <c r="AP4377" s="7"/>
      <c r="AQ4377" s="7"/>
      <c r="AR4377" s="7"/>
      <c r="AS4377" s="7" t="s">
        <v>22</v>
      </c>
    </row>
    <row r="4378">
      <c r="A4378" s="7" t="s">
        <v>72</v>
      </c>
      <c r="B4378" s="7" t="s">
        <v>403</v>
      </c>
      <c r="C4378" s="7">
        <f t="shared" ref="C4378:C4379" si="606">3+1</f>
        <v>4</v>
      </c>
      <c r="D4378" s="7">
        <v>3.0</v>
      </c>
      <c r="E4378" s="9">
        <v>2.0</v>
      </c>
      <c r="F4378" s="7" t="s">
        <v>83</v>
      </c>
      <c r="G4378" s="7" t="s">
        <v>2707</v>
      </c>
      <c r="H4378" s="9" t="s">
        <v>2979</v>
      </c>
      <c r="I4378" t="s">
        <v>4482</v>
      </c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  <c r="AA4378" s="7"/>
      <c r="AB4378" s="7"/>
      <c r="AC4378" s="7"/>
      <c r="AD4378" s="7" t="str">
        <f t="shared" si="1"/>
        <v>Built-up :</v>
      </c>
      <c r="AE4378" s="7" t="str">
        <f t="shared" si="2"/>
        <v> sq. ft.</v>
      </c>
      <c r="AF4378">
        <f>IFERROR(__xludf.DUMMYFUNCTION("VALUE(REGEXREPLACE(G4378,""[^[:digit:]]"", """"))"),2668.0)</f>
        <v>2668</v>
      </c>
      <c r="AG4378" s="7"/>
      <c r="AH4378" s="7"/>
      <c r="AI4378" s="7"/>
      <c r="AJ4378" s="7"/>
      <c r="AK4378" s="7"/>
      <c r="AL4378" s="7"/>
      <c r="AM4378" s="7"/>
      <c r="AN4378" s="7"/>
      <c r="AO4378" s="7"/>
      <c r="AP4378" s="7"/>
      <c r="AQ4378" s="7"/>
      <c r="AR4378" s="7"/>
      <c r="AS4378" s="7" t="s">
        <v>22</v>
      </c>
    </row>
    <row r="4379">
      <c r="A4379" s="7" t="s">
        <v>72</v>
      </c>
      <c r="B4379" s="7" t="s">
        <v>399</v>
      </c>
      <c r="C4379" s="7">
        <f t="shared" si="606"/>
        <v>4</v>
      </c>
      <c r="D4379" s="7">
        <v>3.0</v>
      </c>
      <c r="E4379" s="9">
        <v>2.0</v>
      </c>
      <c r="F4379" s="7" t="s">
        <v>93</v>
      </c>
      <c r="G4379" s="7" t="s">
        <v>159</v>
      </c>
      <c r="H4379" s="9" t="s">
        <v>2979</v>
      </c>
      <c r="I4379" t="s">
        <v>3032</v>
      </c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  <c r="AA4379" s="7"/>
      <c r="AB4379" s="7"/>
      <c r="AC4379" s="7"/>
      <c r="AD4379" s="7" t="str">
        <f t="shared" si="1"/>
        <v>Built-up :</v>
      </c>
      <c r="AE4379" s="7" t="str">
        <f t="shared" si="2"/>
        <v> sq. ft.</v>
      </c>
      <c r="AF4379">
        <f>IFERROR(__xludf.DUMMYFUNCTION("VALUE(REGEXREPLACE(G4379,""[^[:digit:]]"", """"))"),2347.0)</f>
        <v>2347</v>
      </c>
      <c r="AG4379" s="7"/>
      <c r="AH4379" s="7"/>
      <c r="AI4379" s="7"/>
      <c r="AJ4379" s="7"/>
      <c r="AK4379" s="7"/>
      <c r="AL4379" s="7"/>
      <c r="AM4379" s="7"/>
      <c r="AN4379" s="7"/>
      <c r="AO4379" s="7"/>
      <c r="AP4379" s="7"/>
      <c r="AQ4379" s="7"/>
      <c r="AR4379" s="7"/>
      <c r="AS4379" s="7" t="s">
        <v>22</v>
      </c>
    </row>
    <row r="4380">
      <c r="A4380" s="7" t="s">
        <v>72</v>
      </c>
      <c r="B4380" s="7" t="s">
        <v>34</v>
      </c>
      <c r="C4380" s="7">
        <f>2</f>
        <v>2</v>
      </c>
      <c r="D4380" s="7">
        <v>2.0</v>
      </c>
      <c r="E4380" s="7">
        <v>1.0</v>
      </c>
      <c r="F4380" s="7" t="s">
        <v>20</v>
      </c>
      <c r="G4380" s="7" t="s">
        <v>1567</v>
      </c>
      <c r="H4380" s="9" t="s">
        <v>2979</v>
      </c>
      <c r="I4380" t="s">
        <v>3785</v>
      </c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  <c r="AA4380" s="7"/>
      <c r="AB4380" s="7"/>
      <c r="AC4380" s="7"/>
      <c r="AD4380" s="7" t="str">
        <f t="shared" si="1"/>
        <v>Built-up :</v>
      </c>
      <c r="AE4380" s="7" t="str">
        <f t="shared" si="2"/>
        <v> sq. ft.</v>
      </c>
      <c r="AF4380">
        <f>IFERROR(__xludf.DUMMYFUNCTION("VALUE(REGEXREPLACE(G4380,""[^[:digit:]]"", """"))"),861.0)</f>
        <v>861</v>
      </c>
      <c r="AG4380" s="7"/>
      <c r="AH4380" s="7"/>
      <c r="AI4380" s="7"/>
      <c r="AJ4380" s="7"/>
      <c r="AK4380" s="7"/>
      <c r="AL4380" s="7"/>
      <c r="AM4380" s="7"/>
      <c r="AN4380" s="7"/>
      <c r="AO4380" s="7"/>
      <c r="AP4380" s="7"/>
      <c r="AQ4380" s="7"/>
      <c r="AR4380" s="7"/>
      <c r="AS4380" s="7" t="s">
        <v>22</v>
      </c>
    </row>
    <row r="4381">
      <c r="A4381" s="7" t="s">
        <v>72</v>
      </c>
      <c r="B4381" s="7" t="s">
        <v>1079</v>
      </c>
      <c r="C4381" s="7">
        <f>4+1</f>
        <v>5</v>
      </c>
      <c r="D4381" s="7">
        <v>6.0</v>
      </c>
      <c r="E4381" s="7">
        <v>3.0</v>
      </c>
      <c r="F4381" s="7" t="s">
        <v>83</v>
      </c>
      <c r="G4381" s="7" t="s">
        <v>431</v>
      </c>
      <c r="H4381" s="9" t="s">
        <v>2979</v>
      </c>
      <c r="I4381" t="s">
        <v>3159</v>
      </c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  <c r="AA4381" s="7"/>
      <c r="AB4381" s="7"/>
      <c r="AC4381" s="7"/>
      <c r="AD4381" s="7" t="str">
        <f t="shared" si="1"/>
        <v>Built-up :</v>
      </c>
      <c r="AE4381" s="7" t="str">
        <f t="shared" si="2"/>
        <v> sq. ft.</v>
      </c>
      <c r="AF4381">
        <f>IFERROR(__xludf.DUMMYFUNCTION("VALUE(REGEXREPLACE(G4381,""[^[:digit:]]"", """"))"),2906.0)</f>
        <v>2906</v>
      </c>
      <c r="AG4381" s="7"/>
      <c r="AH4381" s="7"/>
      <c r="AI4381" s="7"/>
      <c r="AJ4381" s="7"/>
      <c r="AK4381" s="7"/>
      <c r="AL4381" s="7"/>
      <c r="AM4381" s="7"/>
      <c r="AN4381" s="7"/>
      <c r="AO4381" s="7"/>
      <c r="AP4381" s="7"/>
      <c r="AQ4381" s="7"/>
      <c r="AR4381" s="7"/>
      <c r="AS4381" s="7" t="s">
        <v>22</v>
      </c>
    </row>
    <row r="4382">
      <c r="A4382" s="7" t="s">
        <v>72</v>
      </c>
      <c r="B4382" s="7" t="s">
        <v>1146</v>
      </c>
      <c r="C4382" s="7">
        <f>3+1</f>
        <v>4</v>
      </c>
      <c r="E4382" s="7">
        <v>2.0</v>
      </c>
      <c r="F4382" s="7" t="s">
        <v>83</v>
      </c>
      <c r="G4382" s="7" t="s">
        <v>404</v>
      </c>
      <c r="H4382" s="9" t="s">
        <v>2979</v>
      </c>
      <c r="I4382" t="s">
        <v>3147</v>
      </c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  <c r="AA4382" s="7"/>
      <c r="AB4382" s="7"/>
      <c r="AC4382" s="7"/>
      <c r="AD4382" s="7" t="str">
        <f t="shared" si="1"/>
        <v>Built-up :</v>
      </c>
      <c r="AE4382" s="7" t="str">
        <f t="shared" si="2"/>
        <v> sq. ft.</v>
      </c>
      <c r="AF4382">
        <f>IFERROR(__xludf.DUMMYFUNCTION("VALUE(REGEXREPLACE(G4382,""[^[:digit:]]"", """"))"),1878.0)</f>
        <v>1878</v>
      </c>
      <c r="AG4382" s="7"/>
      <c r="AH4382" s="7"/>
      <c r="AI4382" s="7"/>
      <c r="AJ4382" s="7"/>
      <c r="AK4382" s="7"/>
      <c r="AL4382" s="7"/>
      <c r="AM4382" s="7"/>
      <c r="AN4382" s="7"/>
      <c r="AO4382" s="7"/>
      <c r="AP4382" s="7"/>
      <c r="AQ4382" s="7"/>
      <c r="AR4382" s="7"/>
      <c r="AS4382" s="7" t="s">
        <v>27</v>
      </c>
    </row>
    <row r="4383">
      <c r="A4383" s="7" t="s">
        <v>72</v>
      </c>
      <c r="B4383" s="7" t="s">
        <v>156</v>
      </c>
      <c r="C4383" s="7">
        <f>2</f>
        <v>2</v>
      </c>
      <c r="D4383" s="7">
        <v>2.0</v>
      </c>
      <c r="E4383" s="7">
        <v>1.0</v>
      </c>
      <c r="F4383" s="7" t="s">
        <v>20</v>
      </c>
      <c r="G4383" s="7" t="s">
        <v>1567</v>
      </c>
      <c r="H4383" s="9" t="s">
        <v>2979</v>
      </c>
      <c r="I4383" t="s">
        <v>3785</v>
      </c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  <c r="AA4383" s="7"/>
      <c r="AB4383" s="7"/>
      <c r="AC4383" s="7"/>
      <c r="AD4383" s="7" t="str">
        <f t="shared" si="1"/>
        <v>Built-up :</v>
      </c>
      <c r="AE4383" s="7" t="str">
        <f t="shared" si="2"/>
        <v> sq. ft.</v>
      </c>
      <c r="AF4383">
        <f>IFERROR(__xludf.DUMMYFUNCTION("VALUE(REGEXREPLACE(G4383,""[^[:digit:]]"", """"))"),861.0)</f>
        <v>861</v>
      </c>
      <c r="AG4383" s="7"/>
      <c r="AH4383" s="7"/>
      <c r="AI4383" s="7"/>
      <c r="AJ4383" s="7"/>
      <c r="AK4383" s="7"/>
      <c r="AL4383" s="7"/>
      <c r="AM4383" s="7"/>
      <c r="AN4383" s="7"/>
      <c r="AO4383" s="7"/>
      <c r="AP4383" s="7"/>
      <c r="AQ4383" s="7"/>
      <c r="AR4383" s="7"/>
      <c r="AS4383" s="7" t="s">
        <v>22</v>
      </c>
    </row>
    <row r="4384">
      <c r="A4384" s="7" t="s">
        <v>72</v>
      </c>
      <c r="B4384" s="7" t="s">
        <v>610</v>
      </c>
      <c r="C4384" s="7">
        <f t="shared" ref="C4384:C4387" si="607">4+1</f>
        <v>5</v>
      </c>
      <c r="D4384" s="7">
        <v>6.0</v>
      </c>
      <c r="E4384" s="7">
        <v>3.0</v>
      </c>
      <c r="F4384" s="7" t="s">
        <v>30</v>
      </c>
      <c r="G4384" s="7" t="s">
        <v>431</v>
      </c>
      <c r="H4384" s="9" t="s">
        <v>2979</v>
      </c>
      <c r="I4384" t="s">
        <v>3159</v>
      </c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  <c r="AA4384" s="7"/>
      <c r="AB4384" s="7"/>
      <c r="AC4384" s="7"/>
      <c r="AD4384" s="7" t="str">
        <f t="shared" si="1"/>
        <v>Built-up :</v>
      </c>
      <c r="AE4384" s="7" t="str">
        <f t="shared" si="2"/>
        <v> sq. ft.</v>
      </c>
      <c r="AF4384">
        <f>IFERROR(__xludf.DUMMYFUNCTION("VALUE(REGEXREPLACE(G4384,""[^[:digit:]]"", """"))"),2906.0)</f>
        <v>2906</v>
      </c>
      <c r="AG4384" s="7"/>
      <c r="AH4384" s="7"/>
      <c r="AI4384" s="7"/>
      <c r="AJ4384" s="7"/>
      <c r="AK4384" s="7"/>
      <c r="AL4384" s="7"/>
      <c r="AM4384" s="7"/>
      <c r="AN4384" s="7"/>
      <c r="AO4384" s="7"/>
      <c r="AP4384" s="7"/>
      <c r="AQ4384" s="7"/>
      <c r="AR4384" s="7"/>
      <c r="AS4384" s="7" t="s">
        <v>22</v>
      </c>
    </row>
    <row r="4385">
      <c r="A4385" s="7" t="s">
        <v>72</v>
      </c>
      <c r="B4385" s="7" t="s">
        <v>605</v>
      </c>
      <c r="C4385" s="7">
        <f t="shared" si="607"/>
        <v>5</v>
      </c>
      <c r="D4385" s="7">
        <v>4.0</v>
      </c>
      <c r="E4385" s="7">
        <v>3.0</v>
      </c>
      <c r="F4385" s="7" t="s">
        <v>83</v>
      </c>
      <c r="G4385" s="7" t="s">
        <v>555</v>
      </c>
      <c r="H4385" s="9" t="s">
        <v>2979</v>
      </c>
      <c r="I4385" t="s">
        <v>3222</v>
      </c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  <c r="AA4385" s="7"/>
      <c r="AB4385" s="7"/>
      <c r="AC4385" s="7"/>
      <c r="AD4385" s="7" t="str">
        <f t="shared" si="1"/>
        <v>Built-up :</v>
      </c>
      <c r="AE4385" s="7" t="str">
        <f t="shared" si="2"/>
        <v> sq. ft.</v>
      </c>
      <c r="AF4385">
        <f>IFERROR(__xludf.DUMMYFUNCTION("VALUE(REGEXREPLACE(G4385,""[^[:digit:]]"", """"))"),2648.0)</f>
        <v>2648</v>
      </c>
      <c r="AG4385" s="7"/>
      <c r="AH4385" s="7"/>
      <c r="AI4385" s="7"/>
      <c r="AJ4385" s="7"/>
      <c r="AK4385" s="7"/>
      <c r="AL4385" s="7"/>
      <c r="AM4385" s="7"/>
      <c r="AN4385" s="7"/>
      <c r="AO4385" s="7"/>
      <c r="AP4385" s="7"/>
      <c r="AQ4385" s="7"/>
      <c r="AR4385" s="7"/>
      <c r="AS4385" s="7" t="s">
        <v>22</v>
      </c>
    </row>
    <row r="4386">
      <c r="A4386" s="7" t="s">
        <v>72</v>
      </c>
      <c r="B4386" s="7" t="s">
        <v>655</v>
      </c>
      <c r="C4386" s="7">
        <f t="shared" si="607"/>
        <v>5</v>
      </c>
      <c r="D4386" s="7">
        <v>6.0</v>
      </c>
      <c r="E4386" s="7">
        <v>3.0</v>
      </c>
      <c r="F4386" s="7" t="s">
        <v>30</v>
      </c>
      <c r="G4386" s="7" t="s">
        <v>933</v>
      </c>
      <c r="H4386" s="9" t="s">
        <v>2979</v>
      </c>
      <c r="I4386" t="s">
        <v>3414</v>
      </c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  <c r="AA4386" s="7"/>
      <c r="AB4386" s="7"/>
      <c r="AC4386" s="7"/>
      <c r="AD4386" s="7" t="str">
        <f t="shared" si="1"/>
        <v>Built-up :</v>
      </c>
      <c r="AE4386" s="7" t="str">
        <f t="shared" si="2"/>
        <v> sq. ft.</v>
      </c>
      <c r="AF4386">
        <f>IFERROR(__xludf.DUMMYFUNCTION("VALUE(REGEXREPLACE(G4386,""[^[:digit:]]"", """"))"),3541.0)</f>
        <v>3541</v>
      </c>
      <c r="AG4386" s="7"/>
      <c r="AH4386" s="7"/>
      <c r="AI4386" s="7"/>
      <c r="AJ4386" s="7"/>
      <c r="AK4386" s="7"/>
      <c r="AL4386" s="7"/>
      <c r="AM4386" s="7"/>
      <c r="AN4386" s="7"/>
      <c r="AO4386" s="7"/>
      <c r="AP4386" s="7"/>
      <c r="AQ4386" s="7"/>
      <c r="AR4386" s="7"/>
      <c r="AS4386" s="7" t="s">
        <v>103</v>
      </c>
    </row>
    <row r="4387">
      <c r="A4387" s="7" t="s">
        <v>371</v>
      </c>
      <c r="B4387" s="7" t="s">
        <v>1349</v>
      </c>
      <c r="C4387" s="7">
        <f t="shared" si="607"/>
        <v>5</v>
      </c>
      <c r="D4387" s="7">
        <v>5.0</v>
      </c>
      <c r="E4387" s="7">
        <v>4.0</v>
      </c>
      <c r="F4387" s="7" t="s">
        <v>793</v>
      </c>
      <c r="G4387" s="7" t="s">
        <v>905</v>
      </c>
      <c r="H4387" s="9" t="s">
        <v>2979</v>
      </c>
      <c r="I4387" t="s">
        <v>3397</v>
      </c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  <c r="AA4387" s="7"/>
      <c r="AB4387" s="7"/>
      <c r="AC4387" s="7"/>
      <c r="AD4387" s="7" t="str">
        <f t="shared" si="1"/>
        <v>Built-up :</v>
      </c>
      <c r="AE4387" s="7" t="str">
        <f t="shared" si="2"/>
        <v> sq. ft.</v>
      </c>
      <c r="AF4387">
        <f>IFERROR(__xludf.DUMMYFUNCTION("VALUE(REGEXREPLACE(G4387,""[^[:digit:]]"", """"))"),2266.0)</f>
        <v>2266</v>
      </c>
      <c r="AG4387" s="7"/>
      <c r="AH4387" s="7"/>
      <c r="AI4387" s="7"/>
      <c r="AJ4387" s="7"/>
      <c r="AK4387" s="7"/>
      <c r="AL4387" s="7"/>
      <c r="AM4387" s="7"/>
      <c r="AN4387" s="7"/>
      <c r="AO4387" s="7"/>
      <c r="AP4387" s="7"/>
      <c r="AQ4387" s="7"/>
      <c r="AR4387" s="7"/>
      <c r="AS4387" s="7" t="s">
        <v>27</v>
      </c>
    </row>
    <row r="4388">
      <c r="A4388" s="7" t="s">
        <v>72</v>
      </c>
      <c r="B4388" s="7" t="s">
        <v>844</v>
      </c>
      <c r="C4388" s="7">
        <f t="shared" ref="C4388:C4389" si="608">3+1</f>
        <v>4</v>
      </c>
      <c r="D4388" s="7">
        <v>4.0</v>
      </c>
      <c r="E4388" s="7">
        <v>2.0</v>
      </c>
      <c r="F4388" s="7" t="s">
        <v>83</v>
      </c>
      <c r="G4388" s="7" t="s">
        <v>555</v>
      </c>
      <c r="H4388" s="9" t="s">
        <v>2979</v>
      </c>
      <c r="I4388" t="s">
        <v>3222</v>
      </c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  <c r="AA4388" s="7"/>
      <c r="AB4388" s="7"/>
      <c r="AC4388" s="7"/>
      <c r="AD4388" s="7" t="str">
        <f t="shared" si="1"/>
        <v>Built-up :</v>
      </c>
      <c r="AE4388" s="7" t="str">
        <f t="shared" si="2"/>
        <v> sq. ft.</v>
      </c>
      <c r="AF4388">
        <f>IFERROR(__xludf.DUMMYFUNCTION("VALUE(REGEXREPLACE(G4388,""[^[:digit:]]"", """"))"),2648.0)</f>
        <v>2648</v>
      </c>
      <c r="AG4388" s="7"/>
      <c r="AH4388" s="7"/>
      <c r="AI4388" s="7"/>
      <c r="AJ4388" s="7"/>
      <c r="AK4388" s="7"/>
      <c r="AL4388" s="7"/>
      <c r="AM4388" s="7"/>
      <c r="AN4388" s="7"/>
      <c r="AO4388" s="7"/>
      <c r="AP4388" s="7"/>
      <c r="AQ4388" s="7"/>
      <c r="AR4388" s="7"/>
    </row>
    <row r="4389">
      <c r="A4389" s="7" t="s">
        <v>72</v>
      </c>
      <c r="B4389" s="7" t="s">
        <v>193</v>
      </c>
      <c r="C4389" s="7">
        <f t="shared" si="608"/>
        <v>4</v>
      </c>
      <c r="D4389" s="7">
        <v>4.0</v>
      </c>
      <c r="E4389" s="7">
        <v>2.0</v>
      </c>
      <c r="F4389" s="7" t="s">
        <v>83</v>
      </c>
      <c r="G4389" s="7" t="s">
        <v>555</v>
      </c>
      <c r="H4389" s="9" t="s">
        <v>2979</v>
      </c>
      <c r="I4389" t="s">
        <v>3222</v>
      </c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  <c r="AA4389" s="7"/>
      <c r="AB4389" s="7"/>
      <c r="AC4389" s="7"/>
      <c r="AD4389" s="7" t="str">
        <f t="shared" si="1"/>
        <v>Built-up :</v>
      </c>
      <c r="AE4389" s="7" t="str">
        <f t="shared" si="2"/>
        <v> sq. ft.</v>
      </c>
      <c r="AF4389">
        <f>IFERROR(__xludf.DUMMYFUNCTION("VALUE(REGEXREPLACE(G4389,""[^[:digit:]]"", """"))"),2648.0)</f>
        <v>2648</v>
      </c>
      <c r="AG4389" s="7"/>
      <c r="AH4389" s="7"/>
      <c r="AI4389" s="7"/>
      <c r="AJ4389" s="7"/>
      <c r="AK4389" s="7"/>
      <c r="AL4389" s="7"/>
      <c r="AM4389" s="7"/>
      <c r="AN4389" s="7"/>
      <c r="AO4389" s="7"/>
      <c r="AP4389" s="7"/>
      <c r="AQ4389" s="7"/>
      <c r="AR4389" s="7"/>
      <c r="AS4389" s="7" t="s">
        <v>22</v>
      </c>
    </row>
    <row r="4390">
      <c r="A4390" s="7" t="s">
        <v>72</v>
      </c>
      <c r="B4390" s="7" t="s">
        <v>279</v>
      </c>
      <c r="C4390" s="7">
        <f t="shared" ref="C4390:C4391" si="609">3</f>
        <v>3</v>
      </c>
      <c r="D4390" s="7">
        <v>3.0</v>
      </c>
      <c r="E4390" s="7">
        <v>2.0</v>
      </c>
      <c r="F4390" s="7" t="s">
        <v>83</v>
      </c>
      <c r="G4390" s="7" t="s">
        <v>680</v>
      </c>
      <c r="H4390" s="9" t="s">
        <v>2979</v>
      </c>
      <c r="I4390" t="s">
        <v>3281</v>
      </c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  <c r="AA4390" s="7"/>
      <c r="AB4390" s="7"/>
      <c r="AC4390" s="7"/>
      <c r="AD4390" s="7" t="str">
        <f t="shared" si="1"/>
        <v>Built-up :</v>
      </c>
      <c r="AE4390" s="7" t="str">
        <f t="shared" si="2"/>
        <v> sq. ft.</v>
      </c>
      <c r="AF4390">
        <f>IFERROR(__xludf.DUMMYFUNCTION("VALUE(REGEXREPLACE(G4390,""[^[:digit:]]"", """"))"),2013.0)</f>
        <v>2013</v>
      </c>
      <c r="AG4390" s="7"/>
      <c r="AH4390" s="7"/>
      <c r="AI4390" s="7"/>
      <c r="AJ4390" s="7"/>
      <c r="AK4390" s="7"/>
      <c r="AL4390" s="7"/>
      <c r="AM4390" s="7"/>
      <c r="AN4390" s="7"/>
      <c r="AO4390" s="7"/>
      <c r="AP4390" s="7"/>
      <c r="AQ4390" s="7"/>
      <c r="AR4390" s="7"/>
      <c r="AS4390" s="7" t="s">
        <v>22</v>
      </c>
    </row>
    <row r="4391">
      <c r="A4391" s="7" t="s">
        <v>72</v>
      </c>
      <c r="B4391" s="7" t="s">
        <v>279</v>
      </c>
      <c r="C4391" s="7">
        <f t="shared" si="609"/>
        <v>3</v>
      </c>
      <c r="D4391" s="7">
        <v>3.0</v>
      </c>
      <c r="E4391" s="7">
        <v>2.0</v>
      </c>
      <c r="F4391" s="7" t="s">
        <v>83</v>
      </c>
      <c r="G4391" s="7" t="s">
        <v>2708</v>
      </c>
      <c r="H4391" s="9" t="s">
        <v>2979</v>
      </c>
      <c r="I4391" t="s">
        <v>4483</v>
      </c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  <c r="AA4391" s="7"/>
      <c r="AB4391" s="7"/>
      <c r="AC4391" s="7"/>
      <c r="AD4391" s="7" t="str">
        <f t="shared" si="1"/>
        <v>Built-up :</v>
      </c>
      <c r="AE4391" s="7" t="str">
        <f t="shared" si="2"/>
        <v> sq. ft.</v>
      </c>
      <c r="AF4391">
        <f>IFERROR(__xludf.DUMMYFUNCTION("VALUE(REGEXREPLACE(G4391,""[^[:digit:]]"", """"))"),2028.0)</f>
        <v>2028</v>
      </c>
      <c r="AG4391" s="7"/>
      <c r="AH4391" s="7"/>
      <c r="AI4391" s="7"/>
      <c r="AJ4391" s="7"/>
      <c r="AK4391" s="7"/>
      <c r="AL4391" s="7"/>
      <c r="AM4391" s="7"/>
      <c r="AN4391" s="7"/>
      <c r="AO4391" s="7"/>
      <c r="AP4391" s="7"/>
      <c r="AQ4391" s="7"/>
      <c r="AR4391" s="7"/>
      <c r="AS4391" s="7" t="s">
        <v>22</v>
      </c>
    </row>
    <row r="4392">
      <c r="A4392" s="7" t="s">
        <v>72</v>
      </c>
      <c r="B4392" s="7" t="s">
        <v>73</v>
      </c>
      <c r="C4392" s="7">
        <f t="shared" ref="C4392:C4393" si="610">3+1</f>
        <v>4</v>
      </c>
      <c r="D4392" s="7">
        <v>4.0</v>
      </c>
      <c r="E4392" s="7">
        <v>3.0</v>
      </c>
      <c r="F4392" s="7" t="s">
        <v>83</v>
      </c>
      <c r="G4392" s="7" t="s">
        <v>159</v>
      </c>
      <c r="H4392" s="9" t="s">
        <v>2979</v>
      </c>
      <c r="I4392" t="s">
        <v>3032</v>
      </c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  <c r="AA4392" s="7"/>
      <c r="AB4392" s="7"/>
      <c r="AC4392" s="7"/>
      <c r="AD4392" s="7" t="str">
        <f t="shared" si="1"/>
        <v>Built-up :</v>
      </c>
      <c r="AE4392" s="7" t="str">
        <f t="shared" si="2"/>
        <v> sq. ft.</v>
      </c>
      <c r="AF4392">
        <f>IFERROR(__xludf.DUMMYFUNCTION("VALUE(REGEXREPLACE(G4392,""[^[:digit:]]"", """"))"),2347.0)</f>
        <v>2347</v>
      </c>
      <c r="AG4392" s="7"/>
      <c r="AH4392" s="7"/>
      <c r="AI4392" s="7"/>
      <c r="AJ4392" s="7"/>
      <c r="AK4392" s="7"/>
      <c r="AL4392" s="7"/>
      <c r="AM4392" s="7"/>
      <c r="AN4392" s="7"/>
      <c r="AO4392" s="7"/>
      <c r="AP4392" s="7"/>
      <c r="AQ4392" s="7"/>
      <c r="AR4392" s="7"/>
      <c r="AS4392" s="7" t="s">
        <v>22</v>
      </c>
    </row>
    <row r="4393">
      <c r="A4393" s="7" t="s">
        <v>72</v>
      </c>
      <c r="B4393" s="7" t="s">
        <v>73</v>
      </c>
      <c r="C4393" s="7">
        <f t="shared" si="610"/>
        <v>4</v>
      </c>
      <c r="D4393" s="7">
        <v>4.0</v>
      </c>
      <c r="E4393" s="7">
        <v>3.0</v>
      </c>
      <c r="F4393" s="7" t="s">
        <v>83</v>
      </c>
      <c r="G4393" s="7" t="s">
        <v>2045</v>
      </c>
      <c r="H4393" s="9" t="s">
        <v>2979</v>
      </c>
      <c r="I4393" t="s">
        <v>4075</v>
      </c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  <c r="AA4393" s="7"/>
      <c r="AB4393" s="7"/>
      <c r="AC4393" s="7"/>
      <c r="AD4393" s="7" t="str">
        <f t="shared" si="1"/>
        <v>Built-up :</v>
      </c>
      <c r="AE4393" s="7" t="str">
        <f t="shared" si="2"/>
        <v> sq. ft.</v>
      </c>
      <c r="AF4393">
        <f>IFERROR(__xludf.DUMMYFUNCTION("VALUE(REGEXREPLACE(G4393,""[^[:digit:]]"", """"))"),2025.0)</f>
        <v>2025</v>
      </c>
      <c r="AG4393" s="7"/>
      <c r="AH4393" s="7"/>
      <c r="AI4393" s="7"/>
      <c r="AJ4393" s="7"/>
      <c r="AK4393" s="7"/>
      <c r="AL4393" s="7"/>
      <c r="AM4393" s="7"/>
      <c r="AN4393" s="7"/>
      <c r="AO4393" s="7"/>
      <c r="AP4393" s="7"/>
      <c r="AQ4393" s="7"/>
      <c r="AR4393" s="7"/>
      <c r="AS4393" s="7" t="s">
        <v>22</v>
      </c>
    </row>
    <row r="4394">
      <c r="A4394" s="7" t="s">
        <v>72</v>
      </c>
      <c r="B4394" s="7" t="s">
        <v>130</v>
      </c>
      <c r="C4394" s="7">
        <f>4+2</f>
        <v>6</v>
      </c>
      <c r="D4394" s="7">
        <v>5.0</v>
      </c>
      <c r="E4394" s="7">
        <v>4.0</v>
      </c>
      <c r="F4394" s="7" t="s">
        <v>83</v>
      </c>
      <c r="G4394" s="7" t="s">
        <v>2228</v>
      </c>
      <c r="H4394" s="9" t="s">
        <v>2979</v>
      </c>
      <c r="I4394" t="s">
        <v>4196</v>
      </c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  <c r="AA4394" s="7"/>
      <c r="AB4394" s="7"/>
      <c r="AC4394" s="7"/>
      <c r="AD4394" s="7" t="str">
        <f t="shared" si="1"/>
        <v>Built-up :</v>
      </c>
      <c r="AE4394" s="7" t="str">
        <f t="shared" si="2"/>
        <v> sq. ft.</v>
      </c>
      <c r="AF4394">
        <f>IFERROR(__xludf.DUMMYFUNCTION("VALUE(REGEXREPLACE(G4394,""[^[:digit:]]"", """"))"),3732.0)</f>
        <v>3732</v>
      </c>
      <c r="AG4394" s="7"/>
      <c r="AH4394" s="7"/>
      <c r="AI4394" s="7"/>
      <c r="AJ4394" s="7"/>
      <c r="AK4394" s="7"/>
      <c r="AL4394" s="7"/>
      <c r="AM4394" s="7"/>
      <c r="AN4394" s="7"/>
      <c r="AO4394" s="7"/>
      <c r="AP4394" s="7"/>
      <c r="AQ4394" s="7"/>
      <c r="AR4394" s="7"/>
      <c r="AS4394" s="7" t="s">
        <v>27</v>
      </c>
    </row>
    <row r="4395">
      <c r="A4395" s="7" t="s">
        <v>72</v>
      </c>
      <c r="B4395" s="7" t="s">
        <v>239</v>
      </c>
      <c r="C4395" s="7">
        <f>3+1</f>
        <v>4</v>
      </c>
      <c r="D4395" s="7">
        <v>3.0</v>
      </c>
      <c r="E4395" s="7">
        <v>2.0</v>
      </c>
      <c r="F4395" s="7" t="s">
        <v>83</v>
      </c>
      <c r="G4395" s="7" t="s">
        <v>99</v>
      </c>
      <c r="H4395" s="9" t="s">
        <v>2979</v>
      </c>
      <c r="I4395" t="s">
        <v>3006</v>
      </c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  <c r="AA4395" s="7"/>
      <c r="AB4395" s="7"/>
      <c r="AC4395" s="7"/>
      <c r="AD4395" s="7" t="str">
        <f t="shared" si="1"/>
        <v>Built-up :</v>
      </c>
      <c r="AE4395" s="7" t="str">
        <f t="shared" si="2"/>
        <v> sq. ft.</v>
      </c>
      <c r="AF4395">
        <f>IFERROR(__xludf.DUMMYFUNCTION("VALUE(REGEXREPLACE(G4395,""[^[:digit:]]"", """"))"),1668.0)</f>
        <v>1668</v>
      </c>
      <c r="AG4395" s="7"/>
      <c r="AH4395" s="7"/>
      <c r="AI4395" s="7"/>
      <c r="AJ4395" s="7"/>
      <c r="AK4395" s="7"/>
      <c r="AL4395" s="7"/>
      <c r="AM4395" s="7"/>
      <c r="AN4395" s="7"/>
      <c r="AO4395" s="7"/>
      <c r="AP4395" s="7"/>
      <c r="AQ4395" s="7"/>
      <c r="AR4395" s="7"/>
      <c r="AS4395" s="7" t="s">
        <v>22</v>
      </c>
    </row>
    <row r="4396">
      <c r="A4396" s="7" t="s">
        <v>72</v>
      </c>
      <c r="B4396" s="7" t="s">
        <v>866</v>
      </c>
      <c r="C4396" s="7">
        <f t="shared" ref="C4396:C4397" si="611">4+1</f>
        <v>5</v>
      </c>
      <c r="D4396" s="7">
        <v>5.0</v>
      </c>
      <c r="E4396" s="7">
        <v>3.0</v>
      </c>
      <c r="F4396" s="7" t="s">
        <v>83</v>
      </c>
      <c r="G4396" s="7" t="s">
        <v>431</v>
      </c>
      <c r="H4396" s="9" t="s">
        <v>2979</v>
      </c>
      <c r="I4396" t="s">
        <v>3159</v>
      </c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  <c r="AA4396" s="7"/>
      <c r="AB4396" s="7"/>
      <c r="AC4396" s="7"/>
      <c r="AD4396" s="7" t="str">
        <f t="shared" si="1"/>
        <v>Built-up :</v>
      </c>
      <c r="AE4396" s="7" t="str">
        <f t="shared" si="2"/>
        <v> sq. ft.</v>
      </c>
      <c r="AF4396">
        <f>IFERROR(__xludf.DUMMYFUNCTION("VALUE(REGEXREPLACE(G4396,""[^[:digit:]]"", """"))"),2906.0)</f>
        <v>2906</v>
      </c>
      <c r="AG4396" s="7"/>
      <c r="AH4396" s="7"/>
      <c r="AI4396" s="7"/>
      <c r="AJ4396" s="7"/>
      <c r="AK4396" s="7"/>
      <c r="AL4396" s="7"/>
      <c r="AM4396" s="7"/>
      <c r="AN4396" s="7"/>
      <c r="AO4396" s="7"/>
      <c r="AP4396" s="7"/>
      <c r="AQ4396" s="7"/>
      <c r="AR4396" s="7"/>
      <c r="AS4396" s="7" t="s">
        <v>27</v>
      </c>
    </row>
    <row r="4397">
      <c r="A4397" s="7" t="s">
        <v>72</v>
      </c>
      <c r="B4397" s="7" t="s">
        <v>125</v>
      </c>
      <c r="C4397" s="7">
        <f t="shared" si="611"/>
        <v>5</v>
      </c>
      <c r="D4397" s="7">
        <v>4.0</v>
      </c>
      <c r="E4397" s="7">
        <v>3.0</v>
      </c>
      <c r="F4397" s="7" t="s">
        <v>83</v>
      </c>
      <c r="G4397" s="7" t="s">
        <v>220</v>
      </c>
      <c r="H4397" s="9" t="s">
        <v>2979</v>
      </c>
      <c r="I4397" t="s">
        <v>3060</v>
      </c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  <c r="AA4397" s="7"/>
      <c r="AB4397" s="7"/>
      <c r="AC4397" s="7"/>
      <c r="AD4397" s="7" t="str">
        <f t="shared" si="1"/>
        <v>Built-up :</v>
      </c>
      <c r="AE4397" s="7" t="str">
        <f t="shared" si="2"/>
        <v> sq. ft.</v>
      </c>
      <c r="AF4397">
        <f>IFERROR(__xludf.DUMMYFUNCTION("VALUE(REGEXREPLACE(G4397,""[^[:digit:]]"", """"))"),3400.0)</f>
        <v>3400</v>
      </c>
      <c r="AG4397" s="7"/>
      <c r="AH4397" s="7"/>
      <c r="AI4397" s="7"/>
      <c r="AJ4397" s="7"/>
      <c r="AK4397" s="7"/>
      <c r="AL4397" s="7"/>
      <c r="AM4397" s="7"/>
      <c r="AN4397" s="7"/>
      <c r="AO4397" s="7"/>
      <c r="AP4397" s="7"/>
      <c r="AQ4397" s="7"/>
      <c r="AR4397" s="7"/>
      <c r="AS4397" s="7" t="s">
        <v>22</v>
      </c>
    </row>
    <row r="4398">
      <c r="A4398" s="7" t="s">
        <v>72</v>
      </c>
      <c r="B4398" s="7" t="s">
        <v>1152</v>
      </c>
      <c r="C4398" s="7">
        <f>3+1</f>
        <v>4</v>
      </c>
      <c r="D4398" s="7">
        <v>3.0</v>
      </c>
      <c r="E4398" s="7">
        <v>3.0</v>
      </c>
      <c r="F4398" s="7" t="s">
        <v>83</v>
      </c>
      <c r="G4398" s="7" t="s">
        <v>84</v>
      </c>
      <c r="H4398" s="9" t="s">
        <v>2979</v>
      </c>
      <c r="I4398" t="s">
        <v>3001</v>
      </c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  <c r="AA4398" s="7"/>
      <c r="AB4398" s="7"/>
      <c r="AC4398" s="7"/>
      <c r="AD4398" s="7" t="str">
        <f t="shared" si="1"/>
        <v>Built-up :</v>
      </c>
      <c r="AE4398" s="7" t="str">
        <f t="shared" si="2"/>
        <v> sq. ft.</v>
      </c>
      <c r="AF4398">
        <f>IFERROR(__xludf.DUMMYFUNCTION("VALUE(REGEXREPLACE(G4398,""[^[:digit:]]"", """"))"),2163.0)</f>
        <v>2163</v>
      </c>
      <c r="AG4398" s="7"/>
      <c r="AH4398" s="7"/>
      <c r="AI4398" s="7"/>
      <c r="AJ4398" s="7"/>
      <c r="AK4398" s="7"/>
      <c r="AL4398" s="7"/>
      <c r="AM4398" s="7"/>
      <c r="AN4398" s="7"/>
      <c r="AO4398" s="7"/>
      <c r="AP4398" s="7"/>
      <c r="AQ4398" s="7"/>
      <c r="AR4398" s="7"/>
      <c r="AS4398" s="7" t="s">
        <v>22</v>
      </c>
    </row>
    <row r="4399">
      <c r="A4399" s="7" t="s">
        <v>72</v>
      </c>
      <c r="B4399" s="7" t="s">
        <v>1349</v>
      </c>
      <c r="C4399" s="7">
        <f t="shared" ref="C4399:C4400" si="612">3</f>
        <v>3</v>
      </c>
      <c r="D4399" s="7">
        <v>3.0</v>
      </c>
      <c r="E4399" s="7">
        <v>2.0</v>
      </c>
      <c r="F4399" s="7" t="s">
        <v>93</v>
      </c>
      <c r="G4399" s="7" t="s">
        <v>1900</v>
      </c>
      <c r="H4399" s="9" t="s">
        <v>2979</v>
      </c>
      <c r="I4399" t="s">
        <v>3988</v>
      </c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  <c r="AA4399" s="7"/>
      <c r="AB4399" s="7"/>
      <c r="AC4399" s="7"/>
      <c r="AD4399" s="7" t="str">
        <f t="shared" si="1"/>
        <v>Built-up :</v>
      </c>
      <c r="AE4399" s="7" t="str">
        <f t="shared" si="2"/>
        <v> sq. ft.</v>
      </c>
      <c r="AF4399">
        <f>IFERROR(__xludf.DUMMYFUNCTION("VALUE(REGEXREPLACE(G4399,""[^[:digit:]]"", """"))"),1703.0)</f>
        <v>1703</v>
      </c>
      <c r="AG4399" s="7"/>
      <c r="AH4399" s="7"/>
      <c r="AI4399" s="7"/>
      <c r="AJ4399" s="7"/>
      <c r="AK4399" s="7"/>
      <c r="AL4399" s="7"/>
      <c r="AM4399" s="7"/>
      <c r="AN4399" s="7"/>
      <c r="AO4399" s="7"/>
      <c r="AP4399" s="7"/>
      <c r="AQ4399" s="7"/>
      <c r="AR4399" s="7"/>
      <c r="AS4399" s="7" t="s">
        <v>22</v>
      </c>
    </row>
    <row r="4400">
      <c r="A4400" s="7" t="s">
        <v>72</v>
      </c>
      <c r="B4400" s="7" t="s">
        <v>1349</v>
      </c>
      <c r="C4400" s="7">
        <f t="shared" si="612"/>
        <v>3</v>
      </c>
      <c r="D4400" s="7">
        <v>3.0</v>
      </c>
      <c r="E4400" s="7">
        <v>2.0</v>
      </c>
      <c r="F4400" s="7" t="s">
        <v>93</v>
      </c>
      <c r="G4400" s="7" t="s">
        <v>360</v>
      </c>
      <c r="H4400" s="9" t="s">
        <v>2979</v>
      </c>
      <c r="I4400" t="s">
        <v>3126</v>
      </c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  <c r="AA4400" s="7"/>
      <c r="AB4400" s="7"/>
      <c r="AC4400" s="7"/>
      <c r="AD4400" s="7" t="str">
        <f t="shared" si="1"/>
        <v>Built-up :</v>
      </c>
      <c r="AE4400" s="7" t="str">
        <f t="shared" si="2"/>
        <v> sq. ft.</v>
      </c>
      <c r="AF4400">
        <f>IFERROR(__xludf.DUMMYFUNCTION("VALUE(REGEXREPLACE(G4400,""[^[:digit:]]"", """"))"),1643.0)</f>
        <v>1643</v>
      </c>
      <c r="AG4400" s="7"/>
      <c r="AH4400" s="7"/>
      <c r="AI4400" s="7"/>
      <c r="AJ4400" s="7"/>
      <c r="AK4400" s="7"/>
      <c r="AL4400" s="7"/>
      <c r="AM4400" s="7"/>
      <c r="AN4400" s="7"/>
      <c r="AO4400" s="7"/>
      <c r="AP4400" s="7"/>
      <c r="AQ4400" s="7"/>
      <c r="AR4400" s="7"/>
      <c r="AS4400" s="7" t="s">
        <v>22</v>
      </c>
    </row>
    <row r="4401">
      <c r="A4401" s="7" t="s">
        <v>72</v>
      </c>
      <c r="B4401" s="7" t="s">
        <v>243</v>
      </c>
      <c r="C4401" s="7">
        <f>3+1</f>
        <v>4</v>
      </c>
      <c r="D4401" s="7">
        <v>3.0</v>
      </c>
      <c r="E4401" s="9">
        <v>2.0</v>
      </c>
      <c r="F4401" s="7" t="s">
        <v>83</v>
      </c>
      <c r="G4401" s="7" t="s">
        <v>84</v>
      </c>
      <c r="H4401" s="9" t="s">
        <v>2979</v>
      </c>
      <c r="I4401" t="s">
        <v>3001</v>
      </c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  <c r="AA4401" s="7"/>
      <c r="AB4401" s="7"/>
      <c r="AC4401" s="7"/>
      <c r="AD4401" s="7" t="str">
        <f t="shared" si="1"/>
        <v>Built-up :</v>
      </c>
      <c r="AE4401" s="7" t="str">
        <f t="shared" si="2"/>
        <v> sq. ft.</v>
      </c>
      <c r="AF4401">
        <f>IFERROR(__xludf.DUMMYFUNCTION("VALUE(REGEXREPLACE(G4401,""[^[:digit:]]"", """"))"),2163.0)</f>
        <v>2163</v>
      </c>
      <c r="AG4401" s="7"/>
      <c r="AH4401" s="7"/>
      <c r="AI4401" s="7"/>
      <c r="AJ4401" s="7"/>
      <c r="AK4401" s="7"/>
      <c r="AL4401" s="7"/>
      <c r="AM4401" s="7"/>
      <c r="AN4401" s="7"/>
      <c r="AO4401" s="7"/>
      <c r="AP4401" s="7"/>
      <c r="AQ4401" s="7"/>
      <c r="AR4401" s="7"/>
      <c r="AS4401" s="7" t="s">
        <v>22</v>
      </c>
    </row>
    <row r="4402">
      <c r="A4402" s="7" t="s">
        <v>72</v>
      </c>
      <c r="B4402" s="7" t="s">
        <v>279</v>
      </c>
      <c r="C4402" s="7">
        <f>3</f>
        <v>3</v>
      </c>
      <c r="D4402" s="7">
        <v>3.0</v>
      </c>
      <c r="E4402" s="9">
        <v>2.0</v>
      </c>
      <c r="F4402" s="7" t="s">
        <v>30</v>
      </c>
      <c r="G4402" s="7" t="s">
        <v>427</v>
      </c>
      <c r="H4402" s="9" t="s">
        <v>2979</v>
      </c>
      <c r="I4402" t="s">
        <v>3157</v>
      </c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  <c r="AA4402" s="7"/>
      <c r="AB4402" s="7"/>
      <c r="AC4402" s="7"/>
      <c r="AD4402" s="7" t="str">
        <f t="shared" si="1"/>
        <v>Built-up :</v>
      </c>
      <c r="AE4402" s="7" t="str">
        <f t="shared" si="2"/>
        <v> sq. ft.</v>
      </c>
      <c r="AF4402">
        <f>IFERROR(__xludf.DUMMYFUNCTION("VALUE(REGEXREPLACE(G4402,""[^[:digit:]]"", """"))"),2095.0)</f>
        <v>2095</v>
      </c>
      <c r="AG4402" s="7"/>
      <c r="AH4402" s="7"/>
      <c r="AI4402" s="7"/>
      <c r="AJ4402" s="7"/>
      <c r="AK4402" s="7"/>
      <c r="AL4402" s="7"/>
      <c r="AM4402" s="7"/>
      <c r="AN4402" s="7"/>
      <c r="AO4402" s="7"/>
      <c r="AP4402" s="7"/>
      <c r="AQ4402" s="7"/>
      <c r="AR4402" s="7"/>
      <c r="AS4402" s="7" t="s">
        <v>22</v>
      </c>
    </row>
    <row r="4403">
      <c r="A4403" s="7" t="s">
        <v>72</v>
      </c>
      <c r="B4403" s="7" t="s">
        <v>81</v>
      </c>
      <c r="C4403" s="7">
        <f t="shared" ref="C4403:C4404" si="613">4+1</f>
        <v>5</v>
      </c>
      <c r="D4403" s="7">
        <v>4.0</v>
      </c>
      <c r="E4403" s="7">
        <v>2.0</v>
      </c>
      <c r="F4403" s="7" t="s">
        <v>30</v>
      </c>
      <c r="G4403" s="7" t="s">
        <v>2709</v>
      </c>
      <c r="H4403" s="9" t="s">
        <v>2979</v>
      </c>
      <c r="I4403" t="s">
        <v>4484</v>
      </c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  <c r="AA4403" s="7"/>
      <c r="AB4403" s="7"/>
      <c r="AC4403" s="7"/>
      <c r="AD4403" s="7" t="str">
        <f t="shared" si="1"/>
        <v>Built-up :</v>
      </c>
      <c r="AE4403" s="7" t="str">
        <f t="shared" si="2"/>
        <v> sq. ft.</v>
      </c>
      <c r="AF4403">
        <f>IFERROR(__xludf.DUMMYFUNCTION("VALUE(REGEXREPLACE(G4403,""[^[:digit:]]"", """"))"),2487.0)</f>
        <v>2487</v>
      </c>
      <c r="AG4403" s="7"/>
      <c r="AH4403" s="7"/>
      <c r="AI4403" s="7"/>
      <c r="AJ4403" s="7"/>
      <c r="AK4403" s="7"/>
      <c r="AL4403" s="7"/>
      <c r="AM4403" s="7"/>
      <c r="AN4403" s="7"/>
      <c r="AO4403" s="7"/>
      <c r="AP4403" s="7"/>
      <c r="AQ4403" s="7"/>
      <c r="AR4403" s="7"/>
      <c r="AS4403" s="7" t="s">
        <v>27</v>
      </c>
    </row>
    <row r="4404">
      <c r="A4404" s="7" t="s">
        <v>72</v>
      </c>
      <c r="B4404" s="7" t="s">
        <v>2710</v>
      </c>
      <c r="C4404" s="7">
        <f t="shared" si="613"/>
        <v>5</v>
      </c>
      <c r="D4404" s="7">
        <v>5.0</v>
      </c>
      <c r="E4404" s="9">
        <v>2.0</v>
      </c>
      <c r="F4404" s="7" t="s">
        <v>83</v>
      </c>
      <c r="G4404" s="7" t="s">
        <v>2711</v>
      </c>
      <c r="H4404" s="9" t="s">
        <v>2979</v>
      </c>
      <c r="I4404" t="s">
        <v>4485</v>
      </c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  <c r="AA4404" s="7"/>
      <c r="AB4404" s="7"/>
      <c r="AC4404" s="7"/>
      <c r="AD4404" s="7" t="str">
        <f t="shared" si="1"/>
        <v>Built-up :</v>
      </c>
      <c r="AE4404" s="7" t="str">
        <f t="shared" si="2"/>
        <v> sq. ft.</v>
      </c>
      <c r="AF4404">
        <f>IFERROR(__xludf.DUMMYFUNCTION("VALUE(REGEXREPLACE(G4404,""[^[:digit:]]"", """"))"),3626.0)</f>
        <v>3626</v>
      </c>
      <c r="AG4404" s="7"/>
      <c r="AH4404" s="7"/>
      <c r="AI4404" s="7"/>
      <c r="AJ4404" s="7"/>
      <c r="AK4404" s="7"/>
      <c r="AL4404" s="7"/>
      <c r="AM4404" s="7"/>
      <c r="AN4404" s="7"/>
      <c r="AO4404" s="7"/>
      <c r="AP4404" s="7"/>
      <c r="AQ4404" s="7"/>
      <c r="AR4404" s="7"/>
      <c r="AS4404" s="7" t="s">
        <v>22</v>
      </c>
    </row>
    <row r="4405">
      <c r="A4405" s="7" t="s">
        <v>72</v>
      </c>
      <c r="B4405" s="7" t="s">
        <v>403</v>
      </c>
      <c r="C4405" s="7">
        <f>3+1</f>
        <v>4</v>
      </c>
      <c r="D4405" s="7">
        <v>3.0</v>
      </c>
      <c r="E4405" s="7">
        <v>2.0</v>
      </c>
      <c r="F4405" s="7" t="s">
        <v>30</v>
      </c>
      <c r="G4405" s="7" t="s">
        <v>2709</v>
      </c>
      <c r="H4405" s="9" t="s">
        <v>2979</v>
      </c>
      <c r="I4405" t="s">
        <v>4484</v>
      </c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  <c r="AA4405" s="7"/>
      <c r="AB4405" s="7"/>
      <c r="AC4405" s="7"/>
      <c r="AD4405" s="7" t="str">
        <f t="shared" si="1"/>
        <v>Built-up :</v>
      </c>
      <c r="AE4405" s="7" t="str">
        <f t="shared" si="2"/>
        <v> sq. ft.</v>
      </c>
      <c r="AF4405">
        <f>IFERROR(__xludf.DUMMYFUNCTION("VALUE(REGEXREPLACE(G4405,""[^[:digit:]]"", """"))"),2487.0)</f>
        <v>2487</v>
      </c>
      <c r="AG4405" s="7"/>
      <c r="AH4405" s="7"/>
      <c r="AI4405" s="7"/>
      <c r="AJ4405" s="7"/>
      <c r="AK4405" s="7"/>
      <c r="AL4405" s="7"/>
      <c r="AM4405" s="7"/>
      <c r="AN4405" s="7"/>
      <c r="AO4405" s="7"/>
      <c r="AP4405" s="7"/>
      <c r="AQ4405" s="7"/>
      <c r="AR4405" s="7"/>
      <c r="AS4405" s="7" t="s">
        <v>27</v>
      </c>
    </row>
    <row r="4406">
      <c r="A4406" s="7" t="s">
        <v>428</v>
      </c>
      <c r="B4406" s="7" t="s">
        <v>125</v>
      </c>
      <c r="C4406" s="7">
        <f>5</f>
        <v>5</v>
      </c>
      <c r="D4406" s="7">
        <v>3.0</v>
      </c>
      <c r="E4406" s="9">
        <v>2.0</v>
      </c>
      <c r="F4406" s="7" t="s">
        <v>43</v>
      </c>
      <c r="G4406" s="7" t="s">
        <v>775</v>
      </c>
      <c r="H4406" s="9" t="s">
        <v>2981</v>
      </c>
      <c r="I4406" t="s">
        <v>3331</v>
      </c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  <c r="AA4406" s="7"/>
      <c r="AB4406" s="7"/>
      <c r="AC4406" s="7"/>
      <c r="AD4406" s="7" t="str">
        <f t="shared" si="1"/>
        <v>Land area </v>
      </c>
      <c r="AE4406" s="7" t="str">
        <f t="shared" si="2"/>
        <v> sq. ft.</v>
      </c>
      <c r="AF4406">
        <f>IFERROR(__xludf.DUMMYFUNCTION("VALUE(REGEXREPLACE(G4406,""[^[:digit:]]"", """"))"),4800.0)</f>
        <v>4800</v>
      </c>
      <c r="AG4406" s="7"/>
      <c r="AH4406" s="7"/>
      <c r="AI4406" s="7"/>
      <c r="AJ4406" s="7"/>
      <c r="AK4406" s="7"/>
      <c r="AL4406" s="7"/>
      <c r="AM4406" s="7"/>
      <c r="AN4406" s="7"/>
      <c r="AO4406" s="7"/>
      <c r="AP4406" s="7"/>
      <c r="AQ4406" s="7"/>
      <c r="AR4406" s="7"/>
    </row>
    <row r="4407">
      <c r="A4407" s="7" t="s">
        <v>428</v>
      </c>
      <c r="B4407" s="7" t="s">
        <v>165</v>
      </c>
      <c r="C4407" s="7">
        <f>6+1</f>
        <v>7</v>
      </c>
      <c r="D4407" s="7">
        <v>7.0</v>
      </c>
      <c r="E4407" s="9">
        <v>2.0</v>
      </c>
      <c r="F4407" s="7" t="s">
        <v>67</v>
      </c>
      <c r="G4407" s="7" t="s">
        <v>1764</v>
      </c>
      <c r="H4407" s="9" t="s">
        <v>2981</v>
      </c>
      <c r="I4407" t="s">
        <v>3912</v>
      </c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  <c r="AA4407" s="7"/>
      <c r="AB4407" s="7"/>
      <c r="AC4407" s="7"/>
      <c r="AD4407" s="7" t="str">
        <f t="shared" si="1"/>
        <v>Land area </v>
      </c>
      <c r="AE4407" s="7" t="str">
        <f t="shared" si="2"/>
        <v> sq. ft.</v>
      </c>
      <c r="AF4407">
        <f>IFERROR(__xludf.DUMMYFUNCTION("VALUE(REGEXREPLACE(G4407,""[^[:digit:]]"", """"))"),8200.0)</f>
        <v>8200</v>
      </c>
      <c r="AG4407" s="7"/>
      <c r="AH4407" s="7"/>
      <c r="AI4407" s="7"/>
      <c r="AJ4407" s="7"/>
      <c r="AK4407" s="7"/>
      <c r="AL4407" s="7"/>
      <c r="AM4407" s="7"/>
      <c r="AN4407" s="7"/>
      <c r="AO4407" s="7"/>
      <c r="AP4407" s="7"/>
      <c r="AQ4407" s="7"/>
      <c r="AR4407" s="7"/>
    </row>
    <row r="4408">
      <c r="A4408" s="7" t="s">
        <v>148</v>
      </c>
      <c r="B4408" s="7" t="s">
        <v>227</v>
      </c>
      <c r="C4408" s="7">
        <f>4+1</f>
        <v>5</v>
      </c>
      <c r="D4408" s="7">
        <v>5.0</v>
      </c>
      <c r="E4408" s="9">
        <v>2.0</v>
      </c>
      <c r="F4408" s="7" t="s">
        <v>25</v>
      </c>
      <c r="G4408" s="7" t="s">
        <v>631</v>
      </c>
      <c r="H4408" s="9" t="s">
        <v>2981</v>
      </c>
      <c r="I4408" t="s">
        <v>3258</v>
      </c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  <c r="AA4408" s="7"/>
      <c r="AB4408" s="7"/>
      <c r="AC4408" s="7"/>
      <c r="AD4408" s="7" t="str">
        <f t="shared" si="1"/>
        <v>Land area </v>
      </c>
      <c r="AE4408" s="7" t="str">
        <f t="shared" si="2"/>
        <v> sq. ft.</v>
      </c>
      <c r="AF4408">
        <f>IFERROR(__xludf.DUMMYFUNCTION("VALUE(REGEXREPLACE(G4408,""[^[:digit:]]"", """"))"),5000.0)</f>
        <v>5000</v>
      </c>
      <c r="AG4408" s="7"/>
      <c r="AH4408" s="7"/>
      <c r="AI4408" s="7"/>
      <c r="AJ4408" s="7"/>
      <c r="AK4408" s="7"/>
      <c r="AL4408" s="7"/>
      <c r="AM4408" s="7"/>
      <c r="AN4408" s="7"/>
      <c r="AO4408" s="7"/>
      <c r="AP4408" s="7"/>
      <c r="AQ4408" s="7"/>
      <c r="AR4408" s="7"/>
    </row>
    <row r="4409">
      <c r="A4409" s="7" t="s">
        <v>148</v>
      </c>
      <c r="B4409" s="7" t="s">
        <v>403</v>
      </c>
      <c r="E4409" s="9">
        <v>2.0</v>
      </c>
      <c r="F4409" s="7" t="s">
        <v>1453</v>
      </c>
      <c r="G4409" s="7" t="s">
        <v>430</v>
      </c>
      <c r="H4409" s="9" t="s">
        <v>2981</v>
      </c>
      <c r="I4409" t="s">
        <v>3158</v>
      </c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  <c r="AA4409" s="7"/>
      <c r="AB4409" s="7"/>
      <c r="AC4409" s="7"/>
      <c r="AD4409" s="7" t="str">
        <f t="shared" si="1"/>
        <v>Land area </v>
      </c>
      <c r="AE4409" s="7" t="str">
        <f t="shared" si="2"/>
        <v> sq. ft.</v>
      </c>
      <c r="AF4409">
        <f>IFERROR(__xludf.DUMMYFUNCTION("VALUE(REGEXREPLACE(G4409,""[^[:digit:]]"", """"))"),6300.0)</f>
        <v>6300</v>
      </c>
      <c r="AG4409" s="7"/>
      <c r="AH4409" s="7"/>
      <c r="AI4409" s="7"/>
      <c r="AJ4409" s="7"/>
      <c r="AK4409" s="7"/>
      <c r="AL4409" s="7"/>
      <c r="AM4409" s="7"/>
      <c r="AN4409" s="7"/>
      <c r="AO4409" s="7"/>
      <c r="AP4409" s="7"/>
      <c r="AQ4409" s="7"/>
      <c r="AR4409" s="7"/>
    </row>
    <row r="4410">
      <c r="A4410" s="7" t="s">
        <v>32</v>
      </c>
      <c r="B4410" s="7" t="s">
        <v>361</v>
      </c>
      <c r="C4410" s="7">
        <f>3</f>
        <v>3</v>
      </c>
      <c r="D4410" s="7">
        <v>2.0</v>
      </c>
      <c r="E4410" s="9">
        <v>2.0</v>
      </c>
      <c r="F4410" s="7" t="s">
        <v>20</v>
      </c>
      <c r="G4410" s="7" t="s">
        <v>2712</v>
      </c>
      <c r="H4410" s="9" t="s">
        <v>2979</v>
      </c>
      <c r="I4410" t="s">
        <v>4486</v>
      </c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  <c r="AA4410" s="7"/>
      <c r="AB4410" s="7"/>
      <c r="AC4410" s="7"/>
      <c r="AD4410" s="7" t="str">
        <f t="shared" si="1"/>
        <v>Built-up :</v>
      </c>
      <c r="AE4410" s="7" t="str">
        <f t="shared" si="2"/>
        <v> sq. ft.</v>
      </c>
      <c r="AF4410">
        <f>IFERROR(__xludf.DUMMYFUNCTION("VALUE(REGEXREPLACE(G4410,""[^[:digit:]]"", """"))"),1097.0)</f>
        <v>1097</v>
      </c>
      <c r="AG4410" s="7"/>
      <c r="AH4410" s="7"/>
      <c r="AI4410" s="7"/>
      <c r="AJ4410" s="7"/>
      <c r="AK4410" s="7"/>
      <c r="AL4410" s="7"/>
      <c r="AM4410" s="7"/>
      <c r="AN4410" s="7"/>
      <c r="AO4410" s="7"/>
      <c r="AP4410" s="7"/>
      <c r="AQ4410" s="7"/>
      <c r="AR4410" s="7"/>
      <c r="AS4410" s="7" t="s">
        <v>27</v>
      </c>
    </row>
    <row r="4411">
      <c r="A4411" s="7" t="s">
        <v>17</v>
      </c>
      <c r="B4411" s="7" t="s">
        <v>296</v>
      </c>
      <c r="C4411" s="7">
        <f>4+1</f>
        <v>5</v>
      </c>
      <c r="D4411" s="7">
        <v>4.0</v>
      </c>
      <c r="E4411" s="9">
        <v>2.0</v>
      </c>
      <c r="F4411" s="7" t="s">
        <v>83</v>
      </c>
      <c r="G4411" s="7" t="s">
        <v>2713</v>
      </c>
      <c r="H4411" s="9" t="s">
        <v>2979</v>
      </c>
      <c r="I4411" t="s">
        <v>4487</v>
      </c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  <c r="AA4411" s="7"/>
      <c r="AB4411" s="7"/>
      <c r="AC4411" s="7"/>
      <c r="AD4411" s="7" t="str">
        <f t="shared" si="1"/>
        <v>Built-up :</v>
      </c>
      <c r="AE4411" s="7" t="str">
        <f t="shared" si="2"/>
        <v> sq. ft.</v>
      </c>
      <c r="AF4411">
        <f>IFERROR(__xludf.DUMMYFUNCTION("VALUE(REGEXREPLACE(G4411,""[^[:digit:]]"", """"))"),3316.0)</f>
        <v>3316</v>
      </c>
      <c r="AG4411" s="7"/>
      <c r="AH4411" s="7"/>
      <c r="AI4411" s="7"/>
      <c r="AJ4411" s="7"/>
      <c r="AK4411" s="7"/>
      <c r="AL4411" s="7"/>
      <c r="AM4411" s="7"/>
      <c r="AN4411" s="7"/>
      <c r="AO4411" s="7"/>
      <c r="AP4411" s="7"/>
      <c r="AQ4411" s="7"/>
      <c r="AR4411" s="7"/>
      <c r="AS4411" s="7" t="s">
        <v>27</v>
      </c>
    </row>
    <row r="4412">
      <c r="A4412" s="7" t="s">
        <v>32</v>
      </c>
      <c r="B4412" s="7" t="s">
        <v>1978</v>
      </c>
      <c r="C4412" s="7">
        <f>2</f>
        <v>2</v>
      </c>
      <c r="D4412" s="7">
        <v>2.0</v>
      </c>
      <c r="E4412" s="9">
        <v>2.0</v>
      </c>
      <c r="F4412" s="7" t="s">
        <v>20</v>
      </c>
      <c r="G4412" s="7" t="s">
        <v>1884</v>
      </c>
      <c r="H4412" s="9" t="s">
        <v>2979</v>
      </c>
      <c r="I4412" t="s">
        <v>3979</v>
      </c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  <c r="AA4412" s="7"/>
      <c r="AB4412" s="7"/>
      <c r="AC4412" s="7"/>
      <c r="AD4412" s="7" t="str">
        <f t="shared" si="1"/>
        <v>Built-up :</v>
      </c>
      <c r="AE4412" s="7" t="str">
        <f t="shared" si="2"/>
        <v> sq. ft.</v>
      </c>
      <c r="AF4412">
        <f>IFERROR(__xludf.DUMMYFUNCTION("VALUE(REGEXREPLACE(G4412,""[^[:digit:]]"", """"))"),916.0)</f>
        <v>916</v>
      </c>
      <c r="AG4412" s="7"/>
      <c r="AH4412" s="7"/>
      <c r="AI4412" s="7"/>
      <c r="AJ4412" s="7"/>
      <c r="AK4412" s="7"/>
      <c r="AL4412" s="7"/>
      <c r="AM4412" s="7"/>
      <c r="AN4412" s="7"/>
      <c r="AO4412" s="7"/>
      <c r="AP4412" s="7"/>
      <c r="AQ4412" s="7"/>
      <c r="AR4412" s="7"/>
      <c r="AS4412" s="7" t="s">
        <v>22</v>
      </c>
    </row>
    <row r="4413">
      <c r="A4413" s="7" t="s">
        <v>32</v>
      </c>
      <c r="B4413" s="7" t="s">
        <v>1267</v>
      </c>
      <c r="C4413" s="7">
        <f>3</f>
        <v>3</v>
      </c>
      <c r="D4413" s="7">
        <v>2.0</v>
      </c>
      <c r="E4413" s="9">
        <v>2.0</v>
      </c>
      <c r="F4413" s="7" t="s">
        <v>20</v>
      </c>
      <c r="G4413" s="7" t="s">
        <v>1973</v>
      </c>
      <c r="H4413" s="9" t="s">
        <v>2979</v>
      </c>
      <c r="I4413" t="s">
        <v>4030</v>
      </c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  <c r="AA4413" s="7"/>
      <c r="AB4413" s="7"/>
      <c r="AC4413" s="7"/>
      <c r="AD4413" s="7" t="str">
        <f t="shared" si="1"/>
        <v>Built-up :</v>
      </c>
      <c r="AE4413" s="7" t="str">
        <f t="shared" si="2"/>
        <v> sq. ft.</v>
      </c>
      <c r="AF4413">
        <f>IFERROR(__xludf.DUMMYFUNCTION("VALUE(REGEXREPLACE(G4413,""[^[:digit:]]"", """"))"),1304.0)</f>
        <v>1304</v>
      </c>
      <c r="AG4413" s="7"/>
      <c r="AH4413" s="7"/>
      <c r="AI4413" s="7"/>
      <c r="AJ4413" s="7"/>
      <c r="AK4413" s="7"/>
      <c r="AL4413" s="7"/>
      <c r="AM4413" s="7"/>
      <c r="AN4413" s="7"/>
      <c r="AO4413" s="7"/>
      <c r="AP4413" s="7"/>
      <c r="AQ4413" s="7"/>
      <c r="AR4413" s="7"/>
      <c r="AS4413" s="7" t="s">
        <v>27</v>
      </c>
    </row>
    <row r="4414">
      <c r="A4414" s="7" t="s">
        <v>180</v>
      </c>
      <c r="B4414" s="7" t="s">
        <v>277</v>
      </c>
      <c r="C4414" s="7">
        <f>4+1</f>
        <v>5</v>
      </c>
      <c r="D4414" s="7">
        <v>4.0</v>
      </c>
      <c r="E4414" s="9">
        <v>2.0</v>
      </c>
      <c r="F4414" s="7" t="s">
        <v>83</v>
      </c>
      <c r="G4414" s="7" t="s">
        <v>2714</v>
      </c>
      <c r="H4414" s="9" t="s">
        <v>2979</v>
      </c>
      <c r="I4414" t="s">
        <v>4488</v>
      </c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  <c r="AA4414" s="7"/>
      <c r="AB4414" s="7"/>
      <c r="AC4414" s="7"/>
      <c r="AD4414" s="7" t="str">
        <f t="shared" si="1"/>
        <v>Built-up :</v>
      </c>
      <c r="AE4414" s="7" t="str">
        <f t="shared" si="2"/>
        <v> sq. ft.</v>
      </c>
      <c r="AF4414">
        <f>IFERROR(__xludf.DUMMYFUNCTION("VALUE(REGEXREPLACE(G4414,""[^[:digit:]]"", """"))"),3203.0)</f>
        <v>3203</v>
      </c>
      <c r="AG4414" s="7"/>
      <c r="AH4414" s="7"/>
      <c r="AI4414" s="7"/>
      <c r="AJ4414" s="7"/>
      <c r="AK4414" s="7"/>
      <c r="AL4414" s="7"/>
      <c r="AM4414" s="7"/>
      <c r="AN4414" s="7"/>
      <c r="AO4414" s="7"/>
      <c r="AP4414" s="7"/>
      <c r="AQ4414" s="7"/>
      <c r="AR4414" s="7"/>
      <c r="AS4414" s="7" t="s">
        <v>22</v>
      </c>
    </row>
    <row r="4415">
      <c r="A4415" s="7" t="s">
        <v>17</v>
      </c>
      <c r="B4415" s="7" t="s">
        <v>2715</v>
      </c>
      <c r="C4415" s="7">
        <f t="shared" ref="C4415:C4416" si="614">3+1</f>
        <v>4</v>
      </c>
      <c r="D4415" s="7">
        <v>3.0</v>
      </c>
      <c r="E4415" s="9">
        <v>2.0</v>
      </c>
      <c r="F4415" s="7" t="s">
        <v>83</v>
      </c>
      <c r="G4415" s="7" t="s">
        <v>387</v>
      </c>
      <c r="H4415" s="9" t="s">
        <v>2979</v>
      </c>
      <c r="I4415" t="s">
        <v>3139</v>
      </c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  <c r="AA4415" s="7"/>
      <c r="AB4415" s="7"/>
      <c r="AC4415" s="7"/>
      <c r="AD4415" s="7" t="str">
        <f t="shared" si="1"/>
        <v>Built-up :</v>
      </c>
      <c r="AE4415" s="7" t="str">
        <f t="shared" si="2"/>
        <v> sq. ft.</v>
      </c>
      <c r="AF4415">
        <f>IFERROR(__xludf.DUMMYFUNCTION("VALUE(REGEXREPLACE(G4415,""[^[:digit:]]"", """"))"),2315.0)</f>
        <v>2315</v>
      </c>
      <c r="AG4415" s="7"/>
      <c r="AH4415" s="7"/>
      <c r="AI4415" s="7"/>
      <c r="AJ4415" s="7"/>
      <c r="AK4415" s="7"/>
      <c r="AL4415" s="7"/>
      <c r="AM4415" s="7"/>
      <c r="AN4415" s="7"/>
      <c r="AO4415" s="7"/>
      <c r="AP4415" s="7"/>
      <c r="AQ4415" s="7"/>
      <c r="AR4415" s="7"/>
      <c r="AS4415" s="7" t="s">
        <v>22</v>
      </c>
    </row>
    <row r="4416">
      <c r="A4416" s="7" t="s">
        <v>17</v>
      </c>
      <c r="B4416" s="7" t="s">
        <v>2716</v>
      </c>
      <c r="C4416" s="7">
        <f t="shared" si="614"/>
        <v>4</v>
      </c>
      <c r="D4416" s="7">
        <v>3.0</v>
      </c>
      <c r="E4416" s="9">
        <v>2.0</v>
      </c>
      <c r="F4416" s="7" t="s">
        <v>83</v>
      </c>
      <c r="G4416" s="7" t="s">
        <v>387</v>
      </c>
      <c r="H4416" s="9" t="s">
        <v>2979</v>
      </c>
      <c r="I4416" t="s">
        <v>3139</v>
      </c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  <c r="AA4416" s="7"/>
      <c r="AB4416" s="7"/>
      <c r="AC4416" s="7"/>
      <c r="AD4416" s="7" t="str">
        <f t="shared" si="1"/>
        <v>Built-up :</v>
      </c>
      <c r="AE4416" s="7" t="str">
        <f t="shared" si="2"/>
        <v> sq. ft.</v>
      </c>
      <c r="AF4416">
        <f>IFERROR(__xludf.DUMMYFUNCTION("VALUE(REGEXREPLACE(G4416,""[^[:digit:]]"", """"))"),2315.0)</f>
        <v>2315</v>
      </c>
      <c r="AG4416" s="7"/>
      <c r="AH4416" s="7"/>
      <c r="AI4416" s="7"/>
      <c r="AJ4416" s="7"/>
      <c r="AK4416" s="7"/>
      <c r="AL4416" s="7"/>
      <c r="AM4416" s="7"/>
      <c r="AN4416" s="7"/>
      <c r="AO4416" s="7"/>
      <c r="AP4416" s="7"/>
      <c r="AQ4416" s="7"/>
      <c r="AR4416" s="7"/>
      <c r="AS4416" s="7" t="s">
        <v>22</v>
      </c>
    </row>
    <row r="4417">
      <c r="A4417" s="7" t="s">
        <v>52</v>
      </c>
      <c r="B4417" s="7" t="s">
        <v>2717</v>
      </c>
      <c r="C4417" s="7">
        <f>5+2</f>
        <v>7</v>
      </c>
      <c r="D4417" s="7">
        <v>7.0</v>
      </c>
      <c r="E4417" s="9">
        <v>2.0</v>
      </c>
      <c r="F4417" s="7" t="s">
        <v>83</v>
      </c>
      <c r="G4417" s="7" t="s">
        <v>2718</v>
      </c>
      <c r="H4417" s="9" t="s">
        <v>2979</v>
      </c>
      <c r="I4417" t="s">
        <v>4489</v>
      </c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  <c r="AA4417" s="7"/>
      <c r="AB4417" s="7"/>
      <c r="AC4417" s="7"/>
      <c r="AD4417" s="7" t="str">
        <f t="shared" si="1"/>
        <v>Built-up :</v>
      </c>
      <c r="AE4417" s="7" t="str">
        <f t="shared" si="2"/>
        <v> sq. ft.</v>
      </c>
      <c r="AF4417">
        <f>IFERROR(__xludf.DUMMYFUNCTION("VALUE(REGEXREPLACE(G4417,""[^[:digit:]]"", """"))"),6575.0)</f>
        <v>6575</v>
      </c>
      <c r="AG4417" s="7"/>
      <c r="AH4417" s="7"/>
      <c r="AI4417" s="7"/>
      <c r="AJ4417" s="7"/>
      <c r="AK4417" s="7"/>
      <c r="AL4417" s="7"/>
      <c r="AM4417" s="7"/>
      <c r="AN4417" s="7"/>
      <c r="AO4417" s="7"/>
      <c r="AP4417" s="7"/>
      <c r="AQ4417" s="7"/>
      <c r="AR4417" s="7"/>
      <c r="AS4417" s="7" t="s">
        <v>27</v>
      </c>
    </row>
    <row r="4418">
      <c r="A4418" s="7" t="s">
        <v>52</v>
      </c>
      <c r="B4418" s="7" t="s">
        <v>2719</v>
      </c>
      <c r="C4418" s="7">
        <f t="shared" ref="C4418:C4419" si="615">3+1</f>
        <v>4</v>
      </c>
      <c r="D4418" s="7">
        <v>5.0</v>
      </c>
      <c r="E4418" s="9">
        <v>2.0</v>
      </c>
      <c r="F4418" s="7" t="s">
        <v>83</v>
      </c>
      <c r="G4418" s="7" t="s">
        <v>1773</v>
      </c>
      <c r="H4418" s="9" t="s">
        <v>2979</v>
      </c>
      <c r="I4418" t="s">
        <v>3916</v>
      </c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  <c r="AA4418" s="7"/>
      <c r="AB4418" s="7"/>
      <c r="AC4418" s="7"/>
      <c r="AD4418" s="7" t="str">
        <f t="shared" si="1"/>
        <v>Built-up :</v>
      </c>
      <c r="AE4418" s="7" t="str">
        <f t="shared" si="2"/>
        <v> sq. ft.</v>
      </c>
      <c r="AF4418">
        <f>IFERROR(__xludf.DUMMYFUNCTION("VALUE(REGEXREPLACE(G4418,""[^[:digit:]]"", """"))"),4074.0)</f>
        <v>4074</v>
      </c>
      <c r="AG4418" s="7"/>
      <c r="AH4418" s="7"/>
      <c r="AI4418" s="7"/>
      <c r="AJ4418" s="7"/>
      <c r="AK4418" s="7"/>
      <c r="AL4418" s="7"/>
      <c r="AM4418" s="7"/>
      <c r="AN4418" s="7"/>
      <c r="AO4418" s="7"/>
      <c r="AP4418" s="7"/>
      <c r="AQ4418" s="7"/>
      <c r="AR4418" s="7"/>
      <c r="AS4418" s="7" t="s">
        <v>27</v>
      </c>
    </row>
    <row r="4419">
      <c r="A4419" s="7" t="s">
        <v>52</v>
      </c>
      <c r="B4419" s="7" t="s">
        <v>2720</v>
      </c>
      <c r="C4419" s="7">
        <f t="shared" si="615"/>
        <v>4</v>
      </c>
      <c r="D4419" s="7">
        <v>5.0</v>
      </c>
      <c r="E4419" s="9">
        <v>2.0</v>
      </c>
      <c r="F4419" s="7" t="s">
        <v>83</v>
      </c>
      <c r="G4419" s="7" t="s">
        <v>2721</v>
      </c>
      <c r="H4419" s="9" t="s">
        <v>2979</v>
      </c>
      <c r="I4419" t="s">
        <v>4490</v>
      </c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  <c r="AA4419" s="7"/>
      <c r="AB4419" s="7"/>
      <c r="AC4419" s="7"/>
      <c r="AD4419" s="7" t="str">
        <f t="shared" si="1"/>
        <v>Built-up :</v>
      </c>
      <c r="AE4419" s="7" t="str">
        <f t="shared" si="2"/>
        <v> sq. ft.</v>
      </c>
      <c r="AF4419">
        <f>IFERROR(__xludf.DUMMYFUNCTION("VALUE(REGEXREPLACE(G4419,""[^[:digit:]]"", """"))"),4356.0)</f>
        <v>4356</v>
      </c>
      <c r="AG4419" s="7"/>
      <c r="AH4419" s="7"/>
      <c r="AI4419" s="7"/>
      <c r="AJ4419" s="7"/>
      <c r="AK4419" s="7"/>
      <c r="AL4419" s="7"/>
      <c r="AM4419" s="7"/>
      <c r="AN4419" s="7"/>
      <c r="AO4419" s="7"/>
      <c r="AP4419" s="7"/>
      <c r="AQ4419" s="7"/>
      <c r="AR4419" s="7"/>
      <c r="AS4419" s="7" t="s">
        <v>22</v>
      </c>
    </row>
    <row r="4420">
      <c r="A4420" s="7" t="s">
        <v>17</v>
      </c>
      <c r="B4420" s="7" t="s">
        <v>2722</v>
      </c>
      <c r="C4420" s="7">
        <f>4+1</f>
        <v>5</v>
      </c>
      <c r="D4420" s="7">
        <v>5.0</v>
      </c>
      <c r="E4420" s="9">
        <v>2.0</v>
      </c>
      <c r="F4420" s="7" t="s">
        <v>83</v>
      </c>
      <c r="G4420" s="7" t="s">
        <v>2723</v>
      </c>
      <c r="H4420" s="9" t="s">
        <v>2979</v>
      </c>
      <c r="I4420" t="s">
        <v>4491</v>
      </c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  <c r="AA4420" s="7"/>
      <c r="AB4420" s="7"/>
      <c r="AC4420" s="7"/>
      <c r="AD4420" s="7" t="str">
        <f t="shared" si="1"/>
        <v>Built-up :</v>
      </c>
      <c r="AE4420" s="7" t="str">
        <f t="shared" si="2"/>
        <v> sq. ft.</v>
      </c>
      <c r="AF4420">
        <f>IFERROR(__xludf.DUMMYFUNCTION("VALUE(REGEXREPLACE(G4420,""[^[:digit:]]"", """"))"),3979.0)</f>
        <v>3979</v>
      </c>
      <c r="AG4420" s="7"/>
      <c r="AH4420" s="7"/>
      <c r="AI4420" s="7"/>
      <c r="AJ4420" s="7"/>
      <c r="AK4420" s="7"/>
      <c r="AL4420" s="7"/>
      <c r="AM4420" s="7"/>
      <c r="AN4420" s="7"/>
      <c r="AO4420" s="7"/>
      <c r="AP4420" s="7"/>
      <c r="AQ4420" s="7"/>
      <c r="AR4420" s="7"/>
      <c r="AS4420" s="7" t="s">
        <v>27</v>
      </c>
    </row>
    <row r="4421">
      <c r="A4421" s="7" t="s">
        <v>180</v>
      </c>
      <c r="B4421" s="7" t="s">
        <v>658</v>
      </c>
      <c r="C4421" s="7">
        <f>3+1</f>
        <v>4</v>
      </c>
      <c r="D4421" s="7">
        <v>4.0</v>
      </c>
      <c r="E4421" s="9">
        <v>2.0</v>
      </c>
      <c r="F4421" s="7" t="s">
        <v>20</v>
      </c>
      <c r="G4421" s="7" t="s">
        <v>2724</v>
      </c>
      <c r="H4421" s="9" t="s">
        <v>2979</v>
      </c>
      <c r="I4421" t="s">
        <v>4492</v>
      </c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  <c r="AA4421" s="7"/>
      <c r="AB4421" s="7"/>
      <c r="AC4421" s="7"/>
      <c r="AD4421" s="7" t="str">
        <f t="shared" si="1"/>
        <v>Built-up :</v>
      </c>
      <c r="AE4421" s="7" t="str">
        <f t="shared" si="2"/>
        <v> sq. ft.</v>
      </c>
      <c r="AF4421">
        <f>IFERROR(__xludf.DUMMYFUNCTION("VALUE(REGEXREPLACE(G4421,""[^[:digit:]]"", """"))"),2249.0)</f>
        <v>2249</v>
      </c>
      <c r="AG4421" s="7"/>
      <c r="AH4421" s="7"/>
      <c r="AI4421" s="7"/>
      <c r="AJ4421" s="7"/>
      <c r="AK4421" s="7"/>
      <c r="AL4421" s="7"/>
      <c r="AM4421" s="7"/>
      <c r="AN4421" s="7"/>
      <c r="AO4421" s="7"/>
      <c r="AP4421" s="7"/>
      <c r="AQ4421" s="7"/>
      <c r="AR4421" s="7"/>
      <c r="AS4421" s="7" t="s">
        <v>27</v>
      </c>
    </row>
    <row r="4422">
      <c r="A4422" s="7" t="s">
        <v>52</v>
      </c>
      <c r="B4422" s="7" t="s">
        <v>2725</v>
      </c>
      <c r="C4422" s="7">
        <f>4+2</f>
        <v>6</v>
      </c>
      <c r="D4422" s="7">
        <v>6.0</v>
      </c>
      <c r="E4422" s="9">
        <v>2.0</v>
      </c>
      <c r="F4422" s="7" t="s">
        <v>83</v>
      </c>
      <c r="G4422" s="7" t="s">
        <v>2726</v>
      </c>
      <c r="H4422" s="9" t="s">
        <v>2979</v>
      </c>
      <c r="I4422" t="s">
        <v>4493</v>
      </c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  <c r="AA4422" s="7"/>
      <c r="AB4422" s="7"/>
      <c r="AC4422" s="7"/>
      <c r="AD4422" s="7" t="str">
        <f t="shared" si="1"/>
        <v>Built-up :</v>
      </c>
      <c r="AE4422" s="7" t="str">
        <f t="shared" si="2"/>
        <v> sq. ft.</v>
      </c>
      <c r="AF4422">
        <f>IFERROR(__xludf.DUMMYFUNCTION("VALUE(REGEXREPLACE(G4422,""[^[:digit:]]"", """"))"),4237.0)</f>
        <v>4237</v>
      </c>
      <c r="AG4422" s="7"/>
      <c r="AH4422" s="7"/>
      <c r="AI4422" s="7"/>
      <c r="AJ4422" s="7"/>
      <c r="AK4422" s="7"/>
      <c r="AL4422" s="7"/>
      <c r="AM4422" s="7"/>
      <c r="AN4422" s="7"/>
      <c r="AO4422" s="7"/>
      <c r="AP4422" s="7"/>
      <c r="AQ4422" s="7"/>
      <c r="AR4422" s="7"/>
      <c r="AS4422" s="7" t="s">
        <v>22</v>
      </c>
    </row>
    <row r="4423">
      <c r="A4423" s="7" t="s">
        <v>17</v>
      </c>
      <c r="B4423" s="7" t="s">
        <v>2727</v>
      </c>
      <c r="C4423" s="7">
        <f>4+1</f>
        <v>5</v>
      </c>
      <c r="D4423" s="7">
        <v>6.0</v>
      </c>
      <c r="E4423" s="9">
        <v>2.0</v>
      </c>
      <c r="F4423" s="7" t="s">
        <v>83</v>
      </c>
      <c r="G4423" s="7" t="s">
        <v>2634</v>
      </c>
      <c r="H4423" s="9" t="s">
        <v>2979</v>
      </c>
      <c r="I4423" t="s">
        <v>4443</v>
      </c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  <c r="AA4423" s="7"/>
      <c r="AB4423" s="7"/>
      <c r="AC4423" s="7"/>
      <c r="AD4423" s="7" t="str">
        <f t="shared" si="1"/>
        <v>Built-up :</v>
      </c>
      <c r="AE4423" s="7" t="str">
        <f t="shared" si="2"/>
        <v> sq. ft.</v>
      </c>
      <c r="AF4423">
        <f>IFERROR(__xludf.DUMMYFUNCTION("VALUE(REGEXREPLACE(G4423,""[^[:digit:]]"", """"))"),3502.0)</f>
        <v>3502</v>
      </c>
      <c r="AG4423" s="7"/>
      <c r="AH4423" s="7"/>
      <c r="AI4423" s="7"/>
      <c r="AJ4423" s="7"/>
      <c r="AK4423" s="7"/>
      <c r="AL4423" s="7"/>
      <c r="AM4423" s="7"/>
      <c r="AN4423" s="7"/>
      <c r="AO4423" s="7"/>
      <c r="AP4423" s="7"/>
      <c r="AQ4423" s="7"/>
      <c r="AR4423" s="7"/>
      <c r="AS4423" s="7" t="s">
        <v>27</v>
      </c>
    </row>
    <row r="4424">
      <c r="A4424" s="7" t="s">
        <v>17</v>
      </c>
      <c r="B4424" s="7" t="s">
        <v>2574</v>
      </c>
      <c r="C4424" s="7">
        <f t="shared" ref="C4424:C4427" si="616">3+1</f>
        <v>4</v>
      </c>
      <c r="D4424" s="7">
        <v>5.0</v>
      </c>
      <c r="E4424" s="9">
        <v>2.0</v>
      </c>
      <c r="F4424" s="7" t="s">
        <v>83</v>
      </c>
      <c r="G4424" s="7" t="s">
        <v>150</v>
      </c>
      <c r="H4424" s="9" t="s">
        <v>2979</v>
      </c>
      <c r="I4424" t="s">
        <v>3028</v>
      </c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  <c r="AA4424" s="7"/>
      <c r="AB4424" s="7"/>
      <c r="AC4424" s="7"/>
      <c r="AD4424" s="7" t="str">
        <f t="shared" si="1"/>
        <v>Built-up :</v>
      </c>
      <c r="AE4424" s="7" t="str">
        <f t="shared" si="2"/>
        <v> sq. ft.</v>
      </c>
      <c r="AF4424">
        <f>IFERROR(__xludf.DUMMYFUNCTION("VALUE(REGEXREPLACE(G4424,""[^[:digit:]]"", """"))"),2250.0)</f>
        <v>2250</v>
      </c>
      <c r="AG4424" s="7"/>
      <c r="AH4424" s="7"/>
      <c r="AI4424" s="7"/>
      <c r="AJ4424" s="7"/>
      <c r="AK4424" s="7"/>
      <c r="AL4424" s="7"/>
      <c r="AM4424" s="7"/>
      <c r="AN4424" s="7"/>
      <c r="AO4424" s="7"/>
      <c r="AP4424" s="7"/>
      <c r="AQ4424" s="7"/>
      <c r="AR4424" s="7"/>
      <c r="AS4424" s="7" t="s">
        <v>27</v>
      </c>
    </row>
    <row r="4425">
      <c r="A4425" s="7" t="s">
        <v>52</v>
      </c>
      <c r="B4425" s="7" t="s">
        <v>175</v>
      </c>
      <c r="C4425" s="7">
        <f t="shared" si="616"/>
        <v>4</v>
      </c>
      <c r="D4425" s="7">
        <v>4.0</v>
      </c>
      <c r="E4425" s="9">
        <v>2.0</v>
      </c>
      <c r="F4425" s="7" t="s">
        <v>83</v>
      </c>
      <c r="G4425" s="7" t="s">
        <v>2728</v>
      </c>
      <c r="H4425" s="9" t="s">
        <v>2979</v>
      </c>
      <c r="I4425" t="s">
        <v>4494</v>
      </c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  <c r="AA4425" s="7"/>
      <c r="AB4425" s="7"/>
      <c r="AC4425" s="7"/>
      <c r="AD4425" s="7" t="str">
        <f t="shared" si="1"/>
        <v>Built-up :</v>
      </c>
      <c r="AE4425" s="7" t="str">
        <f t="shared" si="2"/>
        <v> sq. ft.</v>
      </c>
      <c r="AF4425">
        <f>IFERROR(__xludf.DUMMYFUNCTION("VALUE(REGEXREPLACE(G4425,""[^[:digit:]]"", """"))"),2241.0)</f>
        <v>2241</v>
      </c>
      <c r="AG4425" s="7"/>
      <c r="AH4425" s="7"/>
      <c r="AI4425" s="7"/>
      <c r="AJ4425" s="7"/>
      <c r="AK4425" s="7"/>
      <c r="AL4425" s="7"/>
      <c r="AM4425" s="7"/>
      <c r="AN4425" s="7"/>
      <c r="AO4425" s="7"/>
      <c r="AP4425" s="7"/>
      <c r="AQ4425" s="7"/>
      <c r="AR4425" s="7"/>
      <c r="AS4425" s="7" t="s">
        <v>22</v>
      </c>
    </row>
    <row r="4426">
      <c r="A4426" s="7" t="s">
        <v>52</v>
      </c>
      <c r="B4426" s="7" t="s">
        <v>2729</v>
      </c>
      <c r="C4426" s="7">
        <f t="shared" si="616"/>
        <v>4</v>
      </c>
      <c r="D4426" s="7">
        <v>4.0</v>
      </c>
      <c r="E4426" s="9">
        <v>2.0</v>
      </c>
      <c r="F4426" s="7" t="s">
        <v>83</v>
      </c>
      <c r="G4426" s="7" t="s">
        <v>2730</v>
      </c>
      <c r="H4426" s="9" t="s">
        <v>2979</v>
      </c>
      <c r="I4426" t="s">
        <v>4495</v>
      </c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  <c r="AA4426" s="7"/>
      <c r="AB4426" s="7"/>
      <c r="AC4426" s="7"/>
      <c r="AD4426" s="7" t="str">
        <f t="shared" si="1"/>
        <v>Built-up :</v>
      </c>
      <c r="AE4426" s="7" t="str">
        <f t="shared" si="2"/>
        <v> sq. ft.</v>
      </c>
      <c r="AF4426">
        <f>IFERROR(__xludf.DUMMYFUNCTION("VALUE(REGEXREPLACE(G4426,""[^[:digit:]]"", """"))"),2357.0)</f>
        <v>2357</v>
      </c>
      <c r="AG4426" s="7"/>
      <c r="AH4426" s="7"/>
      <c r="AI4426" s="7"/>
      <c r="AJ4426" s="7"/>
      <c r="AK4426" s="7"/>
      <c r="AL4426" s="7"/>
      <c r="AM4426" s="7"/>
      <c r="AN4426" s="7"/>
      <c r="AO4426" s="7"/>
      <c r="AP4426" s="7"/>
      <c r="AQ4426" s="7"/>
      <c r="AR4426" s="7"/>
      <c r="AS4426" s="7" t="s">
        <v>27</v>
      </c>
    </row>
    <row r="4427">
      <c r="A4427" s="7" t="s">
        <v>17</v>
      </c>
      <c r="B4427" s="7" t="s">
        <v>2731</v>
      </c>
      <c r="C4427" s="7">
        <f t="shared" si="616"/>
        <v>4</v>
      </c>
      <c r="D4427" s="7">
        <v>5.0</v>
      </c>
      <c r="E4427" s="9">
        <v>2.0</v>
      </c>
      <c r="F4427" s="7" t="s">
        <v>20</v>
      </c>
      <c r="G4427" s="7" t="s">
        <v>1609</v>
      </c>
      <c r="H4427" s="9" t="s">
        <v>2979</v>
      </c>
      <c r="I4427" t="s">
        <v>3809</v>
      </c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  <c r="AA4427" s="7"/>
      <c r="AB4427" s="7"/>
      <c r="AC4427" s="7"/>
      <c r="AD4427" s="7" t="str">
        <f t="shared" si="1"/>
        <v>Built-up :</v>
      </c>
      <c r="AE4427" s="7" t="str">
        <f t="shared" si="2"/>
        <v> sq. ft.</v>
      </c>
      <c r="AF4427">
        <f>IFERROR(__xludf.DUMMYFUNCTION("VALUE(REGEXREPLACE(G4427,""[^[:digit:]]"", """"))"),3513.0)</f>
        <v>3513</v>
      </c>
      <c r="AG4427" s="7"/>
      <c r="AH4427" s="7"/>
      <c r="AI4427" s="7"/>
      <c r="AJ4427" s="7"/>
      <c r="AK4427" s="7"/>
      <c r="AL4427" s="7"/>
      <c r="AM4427" s="7"/>
      <c r="AN4427" s="7"/>
      <c r="AO4427" s="7"/>
      <c r="AP4427" s="7"/>
      <c r="AQ4427" s="7"/>
      <c r="AR4427" s="7"/>
      <c r="AS4427" s="7" t="s">
        <v>27</v>
      </c>
    </row>
    <row r="4428">
      <c r="A4428" s="7" t="s">
        <v>17</v>
      </c>
      <c r="B4428" s="7" t="s">
        <v>73</v>
      </c>
      <c r="C4428" s="7">
        <f>2</f>
        <v>2</v>
      </c>
      <c r="D4428" s="7">
        <v>3.0</v>
      </c>
      <c r="E4428" s="9">
        <v>2.0</v>
      </c>
      <c r="F4428" s="7" t="s">
        <v>20</v>
      </c>
      <c r="G4428" s="7" t="s">
        <v>2732</v>
      </c>
      <c r="H4428" s="9" t="s">
        <v>2979</v>
      </c>
      <c r="I4428" t="s">
        <v>4496</v>
      </c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  <c r="AA4428" s="7"/>
      <c r="AB4428" s="7"/>
      <c r="AC4428" s="7"/>
      <c r="AD4428" s="7" t="str">
        <f t="shared" si="1"/>
        <v>Built-up :</v>
      </c>
      <c r="AE4428" s="7" t="str">
        <f t="shared" si="2"/>
        <v> sq. ft.</v>
      </c>
      <c r="AF4428">
        <f>IFERROR(__xludf.DUMMYFUNCTION("VALUE(REGEXREPLACE(G4428,""[^[:digit:]]"", """"))"),1492.0)</f>
        <v>1492</v>
      </c>
      <c r="AG4428" s="7"/>
      <c r="AH4428" s="7"/>
      <c r="AI4428" s="7"/>
      <c r="AJ4428" s="7"/>
      <c r="AK4428" s="7"/>
      <c r="AL4428" s="7"/>
      <c r="AM4428" s="7"/>
      <c r="AN4428" s="7"/>
      <c r="AO4428" s="7"/>
      <c r="AP4428" s="7"/>
      <c r="AQ4428" s="7"/>
      <c r="AR4428" s="7"/>
      <c r="AS4428" s="7" t="s">
        <v>22</v>
      </c>
    </row>
    <row r="4429">
      <c r="A4429" s="7" t="s">
        <v>17</v>
      </c>
      <c r="B4429" s="7" t="s">
        <v>2733</v>
      </c>
      <c r="C4429" s="7">
        <f>3+1</f>
        <v>4</v>
      </c>
      <c r="D4429" s="7">
        <v>5.0</v>
      </c>
      <c r="E4429" s="9">
        <v>2.0</v>
      </c>
      <c r="F4429" s="7" t="s">
        <v>20</v>
      </c>
      <c r="G4429" s="7" t="s">
        <v>1672</v>
      </c>
      <c r="H4429" s="9" t="s">
        <v>2979</v>
      </c>
      <c r="I4429" t="s">
        <v>3847</v>
      </c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  <c r="AA4429" s="7"/>
      <c r="AB4429" s="7"/>
      <c r="AC4429" s="7"/>
      <c r="AD4429" s="7" t="str">
        <f t="shared" si="1"/>
        <v>Built-up :</v>
      </c>
      <c r="AE4429" s="7" t="str">
        <f t="shared" si="2"/>
        <v> sq. ft.</v>
      </c>
      <c r="AF4429">
        <f>IFERROR(__xludf.DUMMYFUNCTION("VALUE(REGEXREPLACE(G4429,""[^[:digit:]]"", """"))"),3514.0)</f>
        <v>3514</v>
      </c>
      <c r="AG4429" s="7"/>
      <c r="AH4429" s="7"/>
      <c r="AI4429" s="7"/>
      <c r="AJ4429" s="7"/>
      <c r="AK4429" s="7"/>
      <c r="AL4429" s="7"/>
      <c r="AM4429" s="7"/>
      <c r="AN4429" s="7"/>
      <c r="AO4429" s="7"/>
      <c r="AP4429" s="7"/>
      <c r="AQ4429" s="7"/>
      <c r="AR4429" s="7"/>
      <c r="AS4429" s="7" t="s">
        <v>27</v>
      </c>
    </row>
    <row r="4430">
      <c r="A4430" s="7" t="s">
        <v>17</v>
      </c>
      <c r="B4430" s="7" t="s">
        <v>2734</v>
      </c>
      <c r="C4430" s="7">
        <f>2+1</f>
        <v>3</v>
      </c>
      <c r="D4430" s="7">
        <v>3.0</v>
      </c>
      <c r="E4430" s="9">
        <v>2.0</v>
      </c>
      <c r="F4430" s="7" t="s">
        <v>20</v>
      </c>
      <c r="G4430" s="7" t="s">
        <v>2735</v>
      </c>
      <c r="H4430" s="9" t="s">
        <v>2979</v>
      </c>
      <c r="I4430" t="s">
        <v>4497</v>
      </c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  <c r="AA4430" s="7"/>
      <c r="AB4430" s="7"/>
      <c r="AC4430" s="7"/>
      <c r="AD4430" s="7" t="str">
        <f t="shared" si="1"/>
        <v>Built-up :</v>
      </c>
      <c r="AE4430" s="7" t="str">
        <f t="shared" si="2"/>
        <v> sq. ft.</v>
      </c>
      <c r="AF4430">
        <f>IFERROR(__xludf.DUMMYFUNCTION("VALUE(REGEXREPLACE(G4430,""[^[:digit:]]"", """"))"),1885.0)</f>
        <v>1885</v>
      </c>
      <c r="AG4430" s="7"/>
      <c r="AH4430" s="7"/>
      <c r="AI4430" s="7"/>
      <c r="AJ4430" s="7"/>
      <c r="AK4430" s="7"/>
      <c r="AL4430" s="7"/>
      <c r="AM4430" s="7"/>
      <c r="AN4430" s="7"/>
      <c r="AO4430" s="7"/>
      <c r="AP4430" s="7"/>
      <c r="AQ4430" s="7"/>
      <c r="AR4430" s="7"/>
    </row>
    <row r="4431">
      <c r="A4431" s="7" t="s">
        <v>17</v>
      </c>
      <c r="B4431" s="7" t="s">
        <v>2736</v>
      </c>
      <c r="C4431" s="7">
        <f t="shared" ref="C4431:C4432" si="617">3+1</f>
        <v>4</v>
      </c>
      <c r="D4431" s="7">
        <v>5.0</v>
      </c>
      <c r="E4431" s="9">
        <v>2.0</v>
      </c>
      <c r="F4431" s="7" t="s">
        <v>20</v>
      </c>
      <c r="G4431" s="7" t="s">
        <v>2737</v>
      </c>
      <c r="H4431" s="9" t="s">
        <v>2979</v>
      </c>
      <c r="I4431" t="s">
        <v>4498</v>
      </c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  <c r="AA4431" s="7"/>
      <c r="AB4431" s="7"/>
      <c r="AC4431" s="7"/>
      <c r="AD4431" s="7" t="str">
        <f t="shared" si="1"/>
        <v>Built-up :</v>
      </c>
      <c r="AE4431" s="7" t="str">
        <f t="shared" si="2"/>
        <v> sq. ft.</v>
      </c>
      <c r="AF4431">
        <f>IFERROR(__xludf.DUMMYFUNCTION("VALUE(REGEXREPLACE(G4431,""[^[:digit:]]"", """"))"),2414.0)</f>
        <v>2414</v>
      </c>
      <c r="AG4431" s="7"/>
      <c r="AH4431" s="7"/>
      <c r="AI4431" s="7"/>
      <c r="AJ4431" s="7"/>
      <c r="AK4431" s="7"/>
      <c r="AL4431" s="7"/>
      <c r="AM4431" s="7"/>
      <c r="AN4431" s="7"/>
      <c r="AO4431" s="7"/>
      <c r="AP4431" s="7"/>
      <c r="AQ4431" s="7"/>
      <c r="AR4431" s="7"/>
      <c r="AS4431" s="7" t="s">
        <v>27</v>
      </c>
    </row>
    <row r="4432">
      <c r="A4432" s="7" t="s">
        <v>17</v>
      </c>
      <c r="B4432" s="7" t="s">
        <v>921</v>
      </c>
      <c r="C4432" s="7">
        <f t="shared" si="617"/>
        <v>4</v>
      </c>
      <c r="D4432" s="7">
        <v>5.0</v>
      </c>
      <c r="E4432" s="9">
        <v>2.0</v>
      </c>
      <c r="F4432" s="7" t="s">
        <v>20</v>
      </c>
      <c r="G4432" s="7" t="s">
        <v>340</v>
      </c>
      <c r="H4432" s="9" t="s">
        <v>2979</v>
      </c>
      <c r="I4432" t="s">
        <v>3115</v>
      </c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  <c r="AA4432" s="7"/>
      <c r="AB4432" s="7"/>
      <c r="AC4432" s="7"/>
      <c r="AD4432" s="7" t="str">
        <f t="shared" si="1"/>
        <v>Built-up :</v>
      </c>
      <c r="AE4432" s="7" t="str">
        <f t="shared" si="2"/>
        <v> sq. ft.</v>
      </c>
      <c r="AF4432">
        <f>IFERROR(__xludf.DUMMYFUNCTION("VALUE(REGEXREPLACE(G4432,""[^[:digit:]]"", """"))"),2789.0)</f>
        <v>2789</v>
      </c>
      <c r="AG4432" s="7"/>
      <c r="AH4432" s="7"/>
      <c r="AI4432" s="7"/>
      <c r="AJ4432" s="7"/>
      <c r="AK4432" s="7"/>
      <c r="AL4432" s="7"/>
      <c r="AM4432" s="7"/>
      <c r="AN4432" s="7"/>
      <c r="AO4432" s="7"/>
      <c r="AP4432" s="7"/>
      <c r="AQ4432" s="7"/>
      <c r="AR4432" s="7"/>
      <c r="AS4432" s="7" t="s">
        <v>22</v>
      </c>
    </row>
    <row r="4433">
      <c r="A4433" s="7" t="s">
        <v>17</v>
      </c>
      <c r="B4433" s="7" t="s">
        <v>2738</v>
      </c>
      <c r="C4433" s="7">
        <f>3+2</f>
        <v>5</v>
      </c>
      <c r="D4433" s="7">
        <v>4.0</v>
      </c>
      <c r="E4433" s="9">
        <v>2.0</v>
      </c>
      <c r="F4433" s="7" t="s">
        <v>20</v>
      </c>
      <c r="G4433" s="7" t="s">
        <v>2739</v>
      </c>
      <c r="H4433" s="9" t="s">
        <v>2979</v>
      </c>
      <c r="I4433" t="s">
        <v>4499</v>
      </c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  <c r="AA4433" s="7"/>
      <c r="AB4433" s="7"/>
      <c r="AC4433" s="7"/>
      <c r="AD4433" s="7" t="str">
        <f t="shared" si="1"/>
        <v>Built-up :</v>
      </c>
      <c r="AE4433" s="7" t="str">
        <f t="shared" si="2"/>
        <v> sq. ft.</v>
      </c>
      <c r="AF4433">
        <f>IFERROR(__xludf.DUMMYFUNCTION("VALUE(REGEXREPLACE(G4433,""[^[:digit:]]"", """"))"),2473.0)</f>
        <v>2473</v>
      </c>
      <c r="AG4433" s="7"/>
      <c r="AH4433" s="7"/>
      <c r="AI4433" s="7"/>
      <c r="AJ4433" s="7"/>
      <c r="AK4433" s="7"/>
      <c r="AL4433" s="7"/>
      <c r="AM4433" s="7"/>
      <c r="AN4433" s="7"/>
      <c r="AO4433" s="7"/>
      <c r="AP4433" s="7"/>
      <c r="AQ4433" s="7"/>
      <c r="AR4433" s="7"/>
    </row>
    <row r="4434">
      <c r="A4434" s="7" t="s">
        <v>171</v>
      </c>
      <c r="B4434" s="7" t="s">
        <v>761</v>
      </c>
      <c r="C4434" s="7">
        <f>3</f>
        <v>3</v>
      </c>
      <c r="D4434" s="7">
        <v>2.0</v>
      </c>
      <c r="E4434" s="7">
        <v>2.0</v>
      </c>
      <c r="F4434" s="7" t="s">
        <v>83</v>
      </c>
      <c r="G4434" s="7" t="s">
        <v>2740</v>
      </c>
      <c r="H4434" s="9" t="s">
        <v>2979</v>
      </c>
      <c r="I4434" t="s">
        <v>4500</v>
      </c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  <c r="AA4434" s="7"/>
      <c r="AB4434" s="7"/>
      <c r="AC4434" s="7"/>
      <c r="AD4434" s="7" t="str">
        <f t="shared" si="1"/>
        <v>Built-up :</v>
      </c>
      <c r="AE4434" s="7" t="str">
        <f t="shared" si="2"/>
        <v> sq. ft.</v>
      </c>
      <c r="AF4434">
        <f>IFERROR(__xludf.DUMMYFUNCTION("VALUE(REGEXREPLACE(G4434,""[^[:digit:]]"", """"))"),908.0)</f>
        <v>908</v>
      </c>
      <c r="AG4434" s="7"/>
      <c r="AH4434" s="7"/>
      <c r="AI4434" s="7"/>
      <c r="AJ4434" s="7"/>
      <c r="AK4434" s="7"/>
      <c r="AL4434" s="7"/>
      <c r="AM4434" s="7"/>
      <c r="AN4434" s="7"/>
      <c r="AO4434" s="7"/>
      <c r="AP4434" s="7"/>
      <c r="AQ4434" s="7"/>
      <c r="AR4434" s="7"/>
    </row>
    <row r="4435">
      <c r="A4435" s="7" t="s">
        <v>52</v>
      </c>
      <c r="B4435" s="7" t="s">
        <v>2741</v>
      </c>
      <c r="C4435" s="7">
        <f t="shared" ref="C4435:C4436" si="618">4+2</f>
        <v>6</v>
      </c>
      <c r="D4435" s="7">
        <v>7.0</v>
      </c>
      <c r="E4435" s="9">
        <v>2.0</v>
      </c>
      <c r="F4435" s="7" t="s">
        <v>83</v>
      </c>
      <c r="G4435" s="7" t="s">
        <v>2742</v>
      </c>
      <c r="H4435" s="9" t="s">
        <v>2979</v>
      </c>
      <c r="I4435" t="s">
        <v>4501</v>
      </c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  <c r="AA4435" s="7"/>
      <c r="AB4435" s="7"/>
      <c r="AC4435" s="7"/>
      <c r="AD4435" s="7" t="str">
        <f t="shared" si="1"/>
        <v>Built-up :</v>
      </c>
      <c r="AE4435" s="7" t="str">
        <f t="shared" si="2"/>
        <v> sq. ft.</v>
      </c>
      <c r="AF4435">
        <f>IFERROR(__xludf.DUMMYFUNCTION("VALUE(REGEXREPLACE(G4435,""[^[:digit:]]"", """"))"),7287.0)</f>
        <v>7287</v>
      </c>
      <c r="AG4435" s="7"/>
      <c r="AH4435" s="7"/>
      <c r="AI4435" s="7"/>
      <c r="AJ4435" s="7"/>
      <c r="AK4435" s="7"/>
      <c r="AL4435" s="7"/>
      <c r="AM4435" s="7"/>
      <c r="AN4435" s="7"/>
      <c r="AO4435" s="7"/>
      <c r="AP4435" s="7"/>
      <c r="AQ4435" s="7"/>
      <c r="AR4435" s="7"/>
      <c r="AS4435" s="7" t="s">
        <v>27</v>
      </c>
    </row>
    <row r="4436">
      <c r="A4436" s="7" t="s">
        <v>52</v>
      </c>
      <c r="B4436" s="7" t="s">
        <v>2743</v>
      </c>
      <c r="C4436" s="7">
        <f t="shared" si="618"/>
        <v>6</v>
      </c>
      <c r="D4436" s="7">
        <v>6.0</v>
      </c>
      <c r="E4436" s="9">
        <v>2.0</v>
      </c>
      <c r="F4436" s="7" t="s">
        <v>83</v>
      </c>
      <c r="G4436" s="7" t="s">
        <v>2744</v>
      </c>
      <c r="H4436" s="9" t="s">
        <v>2979</v>
      </c>
      <c r="I4436" t="s">
        <v>4502</v>
      </c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  <c r="AA4436" s="7"/>
      <c r="AB4436" s="7"/>
      <c r="AC4436" s="7"/>
      <c r="AD4436" s="7" t="str">
        <f t="shared" si="1"/>
        <v>Built-up :</v>
      </c>
      <c r="AE4436" s="7" t="str">
        <f t="shared" si="2"/>
        <v> sq. ft.</v>
      </c>
      <c r="AF4436">
        <f>IFERROR(__xludf.DUMMYFUNCTION("VALUE(REGEXREPLACE(G4436,""[^[:digit:]]"", """"))"),3950.0)</f>
        <v>3950</v>
      </c>
      <c r="AG4436" s="7"/>
      <c r="AH4436" s="7"/>
      <c r="AI4436" s="7"/>
      <c r="AJ4436" s="7"/>
      <c r="AK4436" s="7"/>
      <c r="AL4436" s="7"/>
      <c r="AM4436" s="7"/>
      <c r="AN4436" s="7"/>
      <c r="AO4436" s="7"/>
      <c r="AP4436" s="7"/>
      <c r="AQ4436" s="7"/>
      <c r="AR4436" s="7"/>
      <c r="AS4436" s="7" t="s">
        <v>27</v>
      </c>
    </row>
    <row r="4437">
      <c r="A4437" s="7" t="s">
        <v>77</v>
      </c>
      <c r="B4437" s="7" t="s">
        <v>479</v>
      </c>
      <c r="C4437" s="7">
        <f>5+1</f>
        <v>6</v>
      </c>
      <c r="D4437" s="7">
        <v>6.0</v>
      </c>
      <c r="E4437" s="7">
        <v>3.0</v>
      </c>
      <c r="F4437" s="7" t="s">
        <v>64</v>
      </c>
      <c r="G4437" s="7" t="s">
        <v>2745</v>
      </c>
      <c r="H4437" s="9" t="s">
        <v>2979</v>
      </c>
      <c r="I4437" t="s">
        <v>4503</v>
      </c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  <c r="AA4437" s="7"/>
      <c r="AB4437" s="7"/>
      <c r="AC4437" s="7"/>
      <c r="AD4437" s="7" t="str">
        <f t="shared" si="1"/>
        <v>Built-up :</v>
      </c>
      <c r="AE4437" s="7" t="str">
        <f t="shared" si="2"/>
        <v> sq. ft.</v>
      </c>
      <c r="AF4437">
        <f>IFERROR(__xludf.DUMMYFUNCTION("VALUE(REGEXREPLACE(G4437,""[^[:digit:]]"", """"))"),4721.0)</f>
        <v>4721</v>
      </c>
      <c r="AG4437" s="7"/>
      <c r="AH4437" s="7"/>
      <c r="AI4437" s="7"/>
      <c r="AJ4437" s="7"/>
      <c r="AK4437" s="7"/>
      <c r="AL4437" s="7"/>
      <c r="AM4437" s="7"/>
      <c r="AN4437" s="7"/>
      <c r="AO4437" s="7"/>
      <c r="AP4437" s="7"/>
      <c r="AQ4437" s="7"/>
      <c r="AR4437" s="7"/>
      <c r="AS4437" s="7" t="s">
        <v>27</v>
      </c>
    </row>
    <row r="4438">
      <c r="A4438" s="7" t="s">
        <v>77</v>
      </c>
      <c r="B4438" s="7" t="s">
        <v>1060</v>
      </c>
      <c r="C4438" s="7">
        <f>4+1</f>
        <v>5</v>
      </c>
      <c r="D4438" s="7">
        <v>5.0</v>
      </c>
      <c r="E4438" s="7">
        <v>3.0</v>
      </c>
      <c r="F4438" s="7" t="s">
        <v>64</v>
      </c>
      <c r="G4438" s="7" t="s">
        <v>1083</v>
      </c>
      <c r="H4438" s="9" t="s">
        <v>2979</v>
      </c>
      <c r="I4438" t="s">
        <v>3493</v>
      </c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  <c r="AA4438" s="7"/>
      <c r="AB4438" s="7"/>
      <c r="AC4438" s="7"/>
      <c r="AD4438" s="7" t="str">
        <f t="shared" si="1"/>
        <v>Built-up :</v>
      </c>
      <c r="AE4438" s="7" t="str">
        <f t="shared" si="2"/>
        <v> sq. ft.</v>
      </c>
      <c r="AF4438">
        <f>IFERROR(__xludf.DUMMYFUNCTION("VALUE(REGEXREPLACE(G4438,""[^[:digit:]]"", """"))"),4500.0)</f>
        <v>4500</v>
      </c>
      <c r="AG4438" s="7"/>
      <c r="AH4438" s="7"/>
      <c r="AI4438" s="7"/>
      <c r="AJ4438" s="7"/>
      <c r="AK4438" s="7"/>
      <c r="AL4438" s="7"/>
      <c r="AM4438" s="7"/>
      <c r="AN4438" s="7"/>
      <c r="AO4438" s="7"/>
      <c r="AP4438" s="7"/>
      <c r="AQ4438" s="7"/>
      <c r="AR4438" s="7"/>
      <c r="AS4438" s="7" t="s">
        <v>27</v>
      </c>
    </row>
    <row r="4439">
      <c r="A4439" s="7" t="s">
        <v>77</v>
      </c>
      <c r="B4439" s="7" t="s">
        <v>2746</v>
      </c>
      <c r="E4439" s="9">
        <v>2.0</v>
      </c>
      <c r="F4439" s="7" t="s">
        <v>1804</v>
      </c>
      <c r="G4439" s="7" t="s">
        <v>1846</v>
      </c>
      <c r="H4439" s="9" t="s">
        <v>2981</v>
      </c>
      <c r="I4439" t="s">
        <v>3954</v>
      </c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  <c r="AA4439" s="7"/>
      <c r="AB4439" s="7"/>
      <c r="AC4439" s="7"/>
      <c r="AD4439" s="7" t="str">
        <f t="shared" si="1"/>
        <v>Land area </v>
      </c>
      <c r="AE4439" s="7" t="str">
        <f t="shared" si="2"/>
        <v> sq. ft.</v>
      </c>
      <c r="AF4439">
        <f>IFERROR(__xludf.DUMMYFUNCTION("VALUE(REGEXREPLACE(G4439,""[^[:digit:]]"", """"))"),6609.0)</f>
        <v>6609</v>
      </c>
      <c r="AG4439" s="7"/>
      <c r="AH4439" s="7"/>
      <c r="AI4439" s="7"/>
      <c r="AJ4439" s="7"/>
      <c r="AK4439" s="7"/>
      <c r="AL4439" s="7"/>
      <c r="AM4439" s="7"/>
      <c r="AN4439" s="7"/>
      <c r="AO4439" s="7"/>
      <c r="AP4439" s="7"/>
      <c r="AQ4439" s="7"/>
      <c r="AR4439" s="7"/>
      <c r="AS4439" s="7" t="s">
        <v>103</v>
      </c>
    </row>
    <row r="4440">
      <c r="A4440" s="7" t="s">
        <v>77</v>
      </c>
      <c r="B4440" s="7" t="s">
        <v>783</v>
      </c>
      <c r="C4440" s="7">
        <f>6+1</f>
        <v>7</v>
      </c>
      <c r="D4440" s="7">
        <v>6.0</v>
      </c>
      <c r="E4440" s="7">
        <v>4.0</v>
      </c>
      <c r="F4440" s="7" t="s">
        <v>61</v>
      </c>
      <c r="G4440" s="7" t="s">
        <v>2747</v>
      </c>
      <c r="H4440" s="9" t="s">
        <v>2981</v>
      </c>
      <c r="I4440" t="s">
        <v>4504</v>
      </c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  <c r="AA4440" s="7"/>
      <c r="AB4440" s="7"/>
      <c r="AC4440" s="7"/>
      <c r="AD4440" s="7" t="str">
        <f t="shared" si="1"/>
        <v>Land area </v>
      </c>
      <c r="AE4440" s="7" t="str">
        <f t="shared" si="2"/>
        <v> sq. ft.</v>
      </c>
      <c r="AF4440">
        <f>IFERROR(__xludf.DUMMYFUNCTION("VALUE(REGEXREPLACE(G4440,""[^[:digit:]]"", """"))"),6878.0)</f>
        <v>6878</v>
      </c>
      <c r="AG4440" s="7"/>
      <c r="AH4440" s="7"/>
      <c r="AI4440" s="7"/>
      <c r="AJ4440" s="7"/>
      <c r="AK4440" s="7"/>
      <c r="AL4440" s="7"/>
      <c r="AM4440" s="7"/>
      <c r="AN4440" s="7"/>
      <c r="AO4440" s="7"/>
      <c r="AP4440" s="7"/>
      <c r="AQ4440" s="7"/>
      <c r="AR4440" s="7"/>
      <c r="AS4440" s="7" t="s">
        <v>27</v>
      </c>
    </row>
    <row r="4441">
      <c r="A4441" s="7" t="s">
        <v>77</v>
      </c>
      <c r="B4441" s="7" t="s">
        <v>2748</v>
      </c>
      <c r="E4441" s="9">
        <v>2.0</v>
      </c>
      <c r="F4441" s="7" t="s">
        <v>1804</v>
      </c>
      <c r="G4441" s="7" t="s">
        <v>2749</v>
      </c>
      <c r="H4441" s="9" t="s">
        <v>2981</v>
      </c>
      <c r="I4441" t="s">
        <v>4505</v>
      </c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  <c r="AA4441" s="7"/>
      <c r="AB4441" s="7"/>
      <c r="AC4441" s="7"/>
      <c r="AD4441" s="7" t="str">
        <f t="shared" si="1"/>
        <v>Land area </v>
      </c>
      <c r="AE4441" s="7" t="str">
        <f t="shared" si="2"/>
        <v> sq. ft.</v>
      </c>
      <c r="AF4441">
        <f>IFERROR(__xludf.DUMMYFUNCTION("VALUE(REGEXREPLACE(G4441,""[^[:digit:]]"", """"))"),7922.0)</f>
        <v>7922</v>
      </c>
      <c r="AG4441" s="7"/>
      <c r="AH4441" s="7"/>
      <c r="AI4441" s="7"/>
      <c r="AJ4441" s="7"/>
      <c r="AK4441" s="7"/>
      <c r="AL4441" s="7"/>
      <c r="AM4441" s="7"/>
      <c r="AN4441" s="7"/>
      <c r="AO4441" s="7"/>
      <c r="AP4441" s="7"/>
      <c r="AQ4441" s="7"/>
      <c r="AR4441" s="7"/>
      <c r="AS4441" s="7" t="s">
        <v>103</v>
      </c>
    </row>
    <row r="4442">
      <c r="A4442" s="7" t="s">
        <v>77</v>
      </c>
      <c r="B4442" s="7" t="s">
        <v>1053</v>
      </c>
      <c r="E4442" s="9">
        <v>2.0</v>
      </c>
      <c r="F4442" s="7" t="s">
        <v>1804</v>
      </c>
      <c r="G4442" s="7" t="s">
        <v>2750</v>
      </c>
      <c r="H4442" s="9" t="s">
        <v>2981</v>
      </c>
      <c r="I4442" t="s">
        <v>4506</v>
      </c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  <c r="AA4442" s="7"/>
      <c r="AB4442" s="7"/>
      <c r="AC4442" s="7"/>
      <c r="AD4442" s="7" t="str">
        <f t="shared" si="1"/>
        <v>Land area </v>
      </c>
      <c r="AE4442" s="7" t="str">
        <f t="shared" si="2"/>
        <v> sq. ft.</v>
      </c>
      <c r="AF4442">
        <f>IFERROR(__xludf.DUMMYFUNCTION("VALUE(REGEXREPLACE(G4442,""[^[:digit:]]"", """"))"),11302.0)</f>
        <v>11302</v>
      </c>
      <c r="AG4442" s="7"/>
      <c r="AH4442" s="7"/>
      <c r="AI4442" s="7"/>
      <c r="AJ4442" s="7"/>
      <c r="AK4442" s="7"/>
      <c r="AL4442" s="7"/>
      <c r="AM4442" s="7"/>
      <c r="AN4442" s="7"/>
      <c r="AO4442" s="7"/>
      <c r="AP4442" s="7"/>
      <c r="AQ4442" s="7"/>
      <c r="AR4442" s="7"/>
      <c r="AS4442" s="7" t="s">
        <v>103</v>
      </c>
    </row>
    <row r="4443">
      <c r="A4443" s="7" t="s">
        <v>77</v>
      </c>
      <c r="B4443" s="7" t="s">
        <v>2751</v>
      </c>
      <c r="E4443" s="9">
        <v>2.0</v>
      </c>
      <c r="F4443" s="7" t="s">
        <v>1204</v>
      </c>
      <c r="G4443" s="7" t="s">
        <v>2752</v>
      </c>
      <c r="H4443" s="9" t="s">
        <v>2981</v>
      </c>
      <c r="I4443" t="s">
        <v>4507</v>
      </c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  <c r="AA4443" s="7"/>
      <c r="AB4443" s="7"/>
      <c r="AC4443" s="7"/>
      <c r="AD4443" s="7" t="str">
        <f t="shared" si="1"/>
        <v>Land area </v>
      </c>
      <c r="AE4443" s="7" t="str">
        <f t="shared" si="2"/>
        <v> sq. ft.</v>
      </c>
      <c r="AF4443">
        <f>IFERROR(__xludf.DUMMYFUNCTION("VALUE(REGEXREPLACE(G4443,""[^[:digit:]]"", """"))"),9332.0)</f>
        <v>9332</v>
      </c>
      <c r="AG4443" s="7"/>
      <c r="AH4443" s="7"/>
      <c r="AI4443" s="7"/>
      <c r="AJ4443" s="7"/>
      <c r="AK4443" s="7"/>
      <c r="AL4443" s="7"/>
      <c r="AM4443" s="7"/>
      <c r="AN4443" s="7"/>
      <c r="AO4443" s="7"/>
      <c r="AP4443" s="7"/>
      <c r="AQ4443" s="7"/>
      <c r="AR4443" s="7"/>
      <c r="AS4443" s="7" t="s">
        <v>103</v>
      </c>
    </row>
    <row r="4444">
      <c r="A4444" s="7" t="s">
        <v>77</v>
      </c>
      <c r="B4444" s="7" t="s">
        <v>2753</v>
      </c>
      <c r="E4444" s="9">
        <v>2.0</v>
      </c>
      <c r="F4444" s="7" t="s">
        <v>1204</v>
      </c>
      <c r="G4444" s="7" t="s">
        <v>2754</v>
      </c>
      <c r="H4444" s="9" t="s">
        <v>2981</v>
      </c>
      <c r="I4444" t="s">
        <v>4508</v>
      </c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  <c r="AA4444" s="7"/>
      <c r="AB4444" s="7"/>
      <c r="AC4444" s="7"/>
      <c r="AD4444" s="7" t="str">
        <f t="shared" si="1"/>
        <v>Land area </v>
      </c>
      <c r="AE4444" s="7" t="str">
        <f t="shared" si="2"/>
        <v> sq. ft.</v>
      </c>
      <c r="AF4444">
        <f>IFERROR(__xludf.DUMMYFUNCTION("VALUE(REGEXREPLACE(G4444,""[^[:digit:]]"", """"))"),8923.0)</f>
        <v>8923</v>
      </c>
      <c r="AG4444" s="7"/>
      <c r="AH4444" s="7"/>
      <c r="AI4444" s="7"/>
      <c r="AJ4444" s="7"/>
      <c r="AK4444" s="7"/>
      <c r="AL4444" s="7"/>
      <c r="AM4444" s="7"/>
      <c r="AN4444" s="7"/>
      <c r="AO4444" s="7"/>
      <c r="AP4444" s="7"/>
      <c r="AQ4444" s="7"/>
      <c r="AR4444" s="7"/>
      <c r="AS4444" s="7" t="s">
        <v>103</v>
      </c>
    </row>
    <row r="4445">
      <c r="A4445" s="7" t="s">
        <v>171</v>
      </c>
      <c r="B4445" s="7" t="s">
        <v>974</v>
      </c>
      <c r="C4445" s="7">
        <f t="shared" ref="C4445:C4447" si="619">3</f>
        <v>3</v>
      </c>
      <c r="D4445" s="7">
        <v>2.0</v>
      </c>
      <c r="E4445" s="7">
        <v>2.0</v>
      </c>
      <c r="F4445" s="7" t="s">
        <v>83</v>
      </c>
      <c r="G4445" s="7" t="s">
        <v>747</v>
      </c>
      <c r="H4445" s="9" t="s">
        <v>2979</v>
      </c>
      <c r="I4445" t="s">
        <v>3318</v>
      </c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  <c r="AA4445" s="7"/>
      <c r="AB4445" s="7"/>
      <c r="AC4445" s="7"/>
      <c r="AD4445" s="7" t="str">
        <f t="shared" si="1"/>
        <v>Built-up :</v>
      </c>
      <c r="AE4445" s="7" t="str">
        <f t="shared" si="2"/>
        <v> sq. ft.</v>
      </c>
      <c r="AF4445">
        <f>IFERROR(__xludf.DUMMYFUNCTION("VALUE(REGEXREPLACE(G4445,""[^[:digit:]]"", """"))"),1000.0)</f>
        <v>1000</v>
      </c>
      <c r="AG4445" s="7"/>
      <c r="AH4445" s="7"/>
      <c r="AI4445" s="7"/>
      <c r="AJ4445" s="7"/>
      <c r="AK4445" s="7"/>
      <c r="AL4445" s="7"/>
      <c r="AM4445" s="7"/>
      <c r="AN4445" s="7"/>
      <c r="AO4445" s="7"/>
      <c r="AP4445" s="7"/>
      <c r="AQ4445" s="7"/>
      <c r="AR4445" s="7"/>
      <c r="AS4445" s="7" t="s">
        <v>27</v>
      </c>
    </row>
    <row r="4446">
      <c r="A4446" s="7" t="s">
        <v>171</v>
      </c>
      <c r="B4446" s="7" t="s">
        <v>268</v>
      </c>
      <c r="C4446" s="7">
        <f t="shared" si="619"/>
        <v>3</v>
      </c>
      <c r="D4446" s="7">
        <v>2.0</v>
      </c>
      <c r="E4446" s="7">
        <v>2.0</v>
      </c>
      <c r="F4446" s="7" t="s">
        <v>83</v>
      </c>
      <c r="G4446" s="7" t="s">
        <v>747</v>
      </c>
      <c r="H4446" s="9" t="s">
        <v>2979</v>
      </c>
      <c r="I4446" t="s">
        <v>3318</v>
      </c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  <c r="AA4446" s="7"/>
      <c r="AB4446" s="7"/>
      <c r="AC4446" s="7"/>
      <c r="AD4446" s="7" t="str">
        <f t="shared" si="1"/>
        <v>Built-up :</v>
      </c>
      <c r="AE4446" s="7" t="str">
        <f t="shared" si="2"/>
        <v> sq. ft.</v>
      </c>
      <c r="AF4446">
        <f>IFERROR(__xludf.DUMMYFUNCTION("VALUE(REGEXREPLACE(G4446,""[^[:digit:]]"", """"))"),1000.0)</f>
        <v>1000</v>
      </c>
      <c r="AG4446" s="7"/>
      <c r="AH4446" s="7"/>
      <c r="AI4446" s="7"/>
      <c r="AJ4446" s="7"/>
      <c r="AK4446" s="7"/>
      <c r="AL4446" s="7"/>
      <c r="AM4446" s="7"/>
      <c r="AN4446" s="7"/>
      <c r="AO4446" s="7"/>
      <c r="AP4446" s="7"/>
      <c r="AQ4446" s="7"/>
      <c r="AR4446" s="7"/>
    </row>
    <row r="4447">
      <c r="A4447" s="7" t="s">
        <v>371</v>
      </c>
      <c r="B4447" s="7" t="s">
        <v>168</v>
      </c>
      <c r="C4447" s="7">
        <f t="shared" si="619"/>
        <v>3</v>
      </c>
      <c r="D4447" s="7">
        <v>2.0</v>
      </c>
      <c r="E4447" s="7">
        <v>2.0</v>
      </c>
      <c r="F4447" s="7" t="s">
        <v>30</v>
      </c>
      <c r="G4447" s="7" t="s">
        <v>1878</v>
      </c>
      <c r="H4447" s="9" t="s">
        <v>2979</v>
      </c>
      <c r="I4447" t="s">
        <v>3974</v>
      </c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  <c r="AA4447" s="7"/>
      <c r="AB4447" s="7"/>
      <c r="AC4447" s="7"/>
      <c r="AD4447" s="7" t="str">
        <f t="shared" si="1"/>
        <v>Built-up :</v>
      </c>
      <c r="AE4447" s="7" t="str">
        <f t="shared" si="2"/>
        <v> sq. ft.</v>
      </c>
      <c r="AF4447">
        <f>IFERROR(__xludf.DUMMYFUNCTION("VALUE(REGEXREPLACE(G4447,""[^[:digit:]]"", """"))"),1206.0)</f>
        <v>1206</v>
      </c>
      <c r="AG4447" s="7"/>
      <c r="AH4447" s="7"/>
      <c r="AI4447" s="7"/>
      <c r="AJ4447" s="7"/>
      <c r="AK4447" s="7"/>
      <c r="AL4447" s="7"/>
      <c r="AM4447" s="7"/>
      <c r="AN4447" s="7"/>
      <c r="AO4447" s="7"/>
      <c r="AP4447" s="7"/>
      <c r="AQ4447" s="7"/>
      <c r="AR4447" s="7"/>
      <c r="AS4447" s="7" t="s">
        <v>27</v>
      </c>
    </row>
    <row r="4448">
      <c r="A4448" s="7" t="s">
        <v>77</v>
      </c>
      <c r="B4448" s="7" t="s">
        <v>1038</v>
      </c>
      <c r="C4448" s="7">
        <f>6+1</f>
        <v>7</v>
      </c>
      <c r="D4448" s="7">
        <v>5.0</v>
      </c>
      <c r="E4448" s="7">
        <v>4.0</v>
      </c>
      <c r="F4448" s="7" t="s">
        <v>61</v>
      </c>
      <c r="G4448" s="7" t="s">
        <v>2755</v>
      </c>
      <c r="H4448" s="9" t="s">
        <v>2981</v>
      </c>
      <c r="I4448" t="s">
        <v>4509</v>
      </c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  <c r="AA4448" s="7"/>
      <c r="AB4448" s="7"/>
      <c r="AC4448" s="7"/>
      <c r="AD4448" s="7" t="str">
        <f t="shared" si="1"/>
        <v>Land area </v>
      </c>
      <c r="AE4448" s="7" t="str">
        <f t="shared" si="2"/>
        <v> sq. ft.</v>
      </c>
      <c r="AF4448">
        <f>IFERROR(__xludf.DUMMYFUNCTION("VALUE(REGEXREPLACE(G4448,""[^[:digit:]]"", """"))"),7329.0)</f>
        <v>7329</v>
      </c>
      <c r="AG4448" s="7"/>
      <c r="AH4448" s="7"/>
      <c r="AI4448" s="7"/>
      <c r="AJ4448" s="7"/>
      <c r="AK4448" s="7"/>
      <c r="AL4448" s="7"/>
      <c r="AM4448" s="7"/>
      <c r="AN4448" s="7"/>
      <c r="AO4448" s="7"/>
      <c r="AP4448" s="7"/>
      <c r="AQ4448" s="7"/>
      <c r="AR4448" s="7"/>
      <c r="AS4448" s="7" t="s">
        <v>27</v>
      </c>
    </row>
    <row r="4449">
      <c r="A4449" s="7" t="s">
        <v>72</v>
      </c>
      <c r="B4449" s="7" t="s">
        <v>386</v>
      </c>
      <c r="C4449" s="7">
        <f>3+1</f>
        <v>4</v>
      </c>
      <c r="D4449" s="7">
        <v>4.0</v>
      </c>
      <c r="E4449" s="7">
        <v>3.0</v>
      </c>
      <c r="F4449" s="7" t="s">
        <v>30</v>
      </c>
      <c r="G4449" s="7" t="s">
        <v>561</v>
      </c>
      <c r="H4449" s="9" t="s">
        <v>2979</v>
      </c>
      <c r="I4449" t="s">
        <v>3226</v>
      </c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  <c r="AA4449" s="7"/>
      <c r="AB4449" s="7"/>
      <c r="AC4449" s="7"/>
      <c r="AD4449" s="7" t="str">
        <f t="shared" si="1"/>
        <v>Built-up :</v>
      </c>
      <c r="AE4449" s="7" t="str">
        <f t="shared" si="2"/>
        <v> sq. ft.</v>
      </c>
      <c r="AF4449">
        <f>IFERROR(__xludf.DUMMYFUNCTION("VALUE(REGEXREPLACE(G4449,""[^[:digit:]]"", """"))"),2535.0)</f>
        <v>2535</v>
      </c>
      <c r="AG4449" s="7"/>
      <c r="AH4449" s="7"/>
      <c r="AI4449" s="7"/>
      <c r="AJ4449" s="7"/>
      <c r="AK4449" s="7"/>
      <c r="AL4449" s="7"/>
      <c r="AM4449" s="7"/>
      <c r="AN4449" s="7"/>
      <c r="AO4449" s="7"/>
      <c r="AP4449" s="7"/>
      <c r="AQ4449" s="7"/>
      <c r="AR4449" s="7"/>
      <c r="AS4449" s="7" t="s">
        <v>27</v>
      </c>
    </row>
    <row r="4450">
      <c r="A4450" s="7" t="s">
        <v>72</v>
      </c>
      <c r="B4450" s="7" t="s">
        <v>229</v>
      </c>
      <c r="C4450" s="7">
        <f>2</f>
        <v>2</v>
      </c>
      <c r="D4450" s="7">
        <v>2.0</v>
      </c>
      <c r="E4450" s="7">
        <v>1.0</v>
      </c>
      <c r="F4450" s="7" t="s">
        <v>121</v>
      </c>
      <c r="G4450" s="7" t="s">
        <v>964</v>
      </c>
      <c r="H4450" s="9" t="s">
        <v>2979</v>
      </c>
      <c r="I4450" t="s">
        <v>3429</v>
      </c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  <c r="AA4450" s="7"/>
      <c r="AB4450" s="7"/>
      <c r="AC4450" s="7"/>
      <c r="AD4450" s="7" t="str">
        <f t="shared" si="1"/>
        <v>Built-up :</v>
      </c>
      <c r="AE4450" s="7" t="str">
        <f t="shared" si="2"/>
        <v> sq. ft.</v>
      </c>
      <c r="AF4450">
        <f>IFERROR(__xludf.DUMMYFUNCTION("VALUE(REGEXREPLACE(G4450,""[^[:digit:]]"", """"))"),926.0)</f>
        <v>926</v>
      </c>
      <c r="AG4450" s="7"/>
      <c r="AH4450" s="7"/>
      <c r="AI4450" s="7"/>
      <c r="AJ4450" s="7"/>
      <c r="AK4450" s="7"/>
      <c r="AL4450" s="7"/>
      <c r="AM4450" s="7"/>
      <c r="AN4450" s="7"/>
      <c r="AO4450" s="7"/>
      <c r="AP4450" s="7"/>
      <c r="AQ4450" s="7"/>
      <c r="AR4450" s="7"/>
      <c r="AS4450" s="7" t="s">
        <v>22</v>
      </c>
    </row>
    <row r="4451">
      <c r="A4451" s="7" t="s">
        <v>72</v>
      </c>
      <c r="B4451" s="7" t="s">
        <v>306</v>
      </c>
      <c r="C4451" s="7">
        <f>3+1</f>
        <v>4</v>
      </c>
      <c r="D4451" s="7">
        <v>4.0</v>
      </c>
      <c r="E4451" s="7">
        <v>3.0</v>
      </c>
      <c r="F4451" s="7" t="s">
        <v>30</v>
      </c>
      <c r="G4451" s="7" t="s">
        <v>561</v>
      </c>
      <c r="H4451" s="9" t="s">
        <v>2979</v>
      </c>
      <c r="I4451" t="s">
        <v>3226</v>
      </c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  <c r="AA4451" s="7"/>
      <c r="AB4451" s="7"/>
      <c r="AC4451" s="7"/>
      <c r="AD4451" s="7" t="str">
        <f t="shared" si="1"/>
        <v>Built-up :</v>
      </c>
      <c r="AE4451" s="7" t="str">
        <f t="shared" si="2"/>
        <v> sq. ft.</v>
      </c>
      <c r="AF4451">
        <f>IFERROR(__xludf.DUMMYFUNCTION("VALUE(REGEXREPLACE(G4451,""[^[:digit:]]"", """"))"),2535.0)</f>
        <v>2535</v>
      </c>
      <c r="AG4451" s="7"/>
      <c r="AH4451" s="7"/>
      <c r="AI4451" s="7"/>
      <c r="AJ4451" s="7"/>
      <c r="AK4451" s="7"/>
      <c r="AL4451" s="7"/>
      <c r="AM4451" s="7"/>
      <c r="AN4451" s="7"/>
      <c r="AO4451" s="7"/>
      <c r="AP4451" s="7"/>
      <c r="AQ4451" s="7"/>
      <c r="AR4451" s="7"/>
      <c r="AS4451" s="7" t="s">
        <v>27</v>
      </c>
    </row>
    <row r="4452">
      <c r="A4452" s="7" t="s">
        <v>180</v>
      </c>
      <c r="B4452" s="7" t="s">
        <v>399</v>
      </c>
      <c r="C4452" s="7">
        <f>2+1</f>
        <v>3</v>
      </c>
      <c r="D4452" s="7">
        <v>2.0</v>
      </c>
      <c r="E4452" s="7">
        <v>1.0</v>
      </c>
      <c r="F4452" s="7" t="s">
        <v>121</v>
      </c>
      <c r="G4452" s="7" t="s">
        <v>1078</v>
      </c>
      <c r="H4452" s="9" t="s">
        <v>2979</v>
      </c>
      <c r="I4452" t="s">
        <v>3492</v>
      </c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  <c r="AA4452" s="7"/>
      <c r="AB4452" s="7"/>
      <c r="AC4452" s="7"/>
      <c r="AD4452" s="7" t="str">
        <f t="shared" si="1"/>
        <v>Built-up :</v>
      </c>
      <c r="AE4452" s="7" t="str">
        <f t="shared" si="2"/>
        <v> sq. ft.</v>
      </c>
      <c r="AF4452">
        <f>IFERROR(__xludf.DUMMYFUNCTION("VALUE(REGEXREPLACE(G4452,""[^[:digit:]]"", """"))"),1453.0)</f>
        <v>1453</v>
      </c>
      <c r="AG4452" s="7"/>
      <c r="AH4452" s="7"/>
      <c r="AI4452" s="7"/>
      <c r="AJ4452" s="7"/>
      <c r="AK4452" s="7"/>
      <c r="AL4452" s="7"/>
      <c r="AM4452" s="7"/>
      <c r="AN4452" s="7"/>
      <c r="AO4452" s="7"/>
      <c r="AP4452" s="7"/>
      <c r="AQ4452" s="7"/>
      <c r="AR4452" s="7"/>
      <c r="AS4452" s="7" t="s">
        <v>22</v>
      </c>
    </row>
    <row r="4453">
      <c r="A4453" s="7" t="s">
        <v>188</v>
      </c>
      <c r="B4453" s="7" t="s">
        <v>475</v>
      </c>
      <c r="C4453" s="7">
        <f>2</f>
        <v>2</v>
      </c>
      <c r="D4453" s="7">
        <v>2.0</v>
      </c>
      <c r="E4453" s="7">
        <v>1.0</v>
      </c>
      <c r="F4453" s="7" t="s">
        <v>121</v>
      </c>
      <c r="G4453" s="7" t="s">
        <v>2522</v>
      </c>
      <c r="H4453" s="9" t="s">
        <v>2979</v>
      </c>
      <c r="I4453" t="s">
        <v>4373</v>
      </c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  <c r="AA4453" s="7"/>
      <c r="AB4453" s="7"/>
      <c r="AC4453" s="7"/>
      <c r="AD4453" s="7" t="str">
        <f t="shared" si="1"/>
        <v>Built-up :</v>
      </c>
      <c r="AE4453" s="7" t="str">
        <f t="shared" si="2"/>
        <v> sq. ft.</v>
      </c>
      <c r="AF4453">
        <f>IFERROR(__xludf.DUMMYFUNCTION("VALUE(REGEXREPLACE(G4453,""[^[:digit:]]"", """"))"),1234.0)</f>
        <v>1234</v>
      </c>
      <c r="AG4453" s="7"/>
      <c r="AH4453" s="7"/>
      <c r="AI4453" s="7"/>
      <c r="AJ4453" s="7"/>
      <c r="AK4453" s="7"/>
      <c r="AL4453" s="7"/>
      <c r="AM4453" s="7"/>
      <c r="AN4453" s="7"/>
      <c r="AO4453" s="7"/>
      <c r="AP4453" s="7"/>
      <c r="AQ4453" s="7"/>
      <c r="AR4453" s="7"/>
      <c r="AS4453" s="7" t="s">
        <v>22</v>
      </c>
    </row>
    <row r="4454">
      <c r="A4454" s="7" t="s">
        <v>37</v>
      </c>
      <c r="B4454" s="7" t="s">
        <v>327</v>
      </c>
      <c r="C4454" s="7">
        <f>3+1</f>
        <v>4</v>
      </c>
      <c r="D4454" s="7">
        <v>3.0</v>
      </c>
      <c r="E4454" s="7">
        <v>2.0</v>
      </c>
      <c r="F4454" s="7" t="s">
        <v>30</v>
      </c>
      <c r="G4454" s="7" t="s">
        <v>2018</v>
      </c>
      <c r="H4454" s="9" t="s">
        <v>2979</v>
      </c>
      <c r="I4454" t="s">
        <v>4059</v>
      </c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  <c r="AA4454" s="7"/>
      <c r="AB4454" s="7"/>
      <c r="AC4454" s="7"/>
      <c r="AD4454" s="7" t="str">
        <f t="shared" si="1"/>
        <v>Built-up :</v>
      </c>
      <c r="AE4454" s="7" t="str">
        <f t="shared" si="2"/>
        <v> sq. ft.</v>
      </c>
      <c r="AF4454">
        <f>IFERROR(__xludf.DUMMYFUNCTION("VALUE(REGEXREPLACE(G4454,""[^[:digit:]]"", """"))"),1894.0)</f>
        <v>1894</v>
      </c>
      <c r="AG4454" s="7"/>
      <c r="AH4454" s="7"/>
      <c r="AI4454" s="7"/>
      <c r="AJ4454" s="7"/>
      <c r="AK4454" s="7"/>
      <c r="AL4454" s="7"/>
      <c r="AM4454" s="7"/>
      <c r="AN4454" s="7"/>
      <c r="AO4454" s="7"/>
      <c r="AP4454" s="7"/>
      <c r="AQ4454" s="7"/>
      <c r="AR4454" s="7"/>
      <c r="AS4454" s="7" t="s">
        <v>103</v>
      </c>
    </row>
    <row r="4455">
      <c r="A4455" s="7" t="s">
        <v>28</v>
      </c>
      <c r="B4455" s="7" t="s">
        <v>1328</v>
      </c>
      <c r="C4455" s="7">
        <f t="shared" ref="C4455:C4456" si="620">3</f>
        <v>3</v>
      </c>
      <c r="D4455" s="7">
        <v>3.0</v>
      </c>
      <c r="E4455" s="9">
        <v>2.0</v>
      </c>
      <c r="F4455" s="7" t="s">
        <v>30</v>
      </c>
      <c r="G4455" s="7" t="s">
        <v>823</v>
      </c>
      <c r="H4455" s="9" t="s">
        <v>2979</v>
      </c>
      <c r="I4455" t="s">
        <v>3357</v>
      </c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  <c r="AA4455" s="7"/>
      <c r="AB4455" s="7"/>
      <c r="AC4455" s="7"/>
      <c r="AD4455" s="7" t="str">
        <f t="shared" si="1"/>
        <v>Built-up :</v>
      </c>
      <c r="AE4455" s="7" t="str">
        <f t="shared" si="2"/>
        <v> sq. ft.</v>
      </c>
      <c r="AF4455">
        <f>IFERROR(__xludf.DUMMYFUNCTION("VALUE(REGEXREPLACE(G4455,""[^[:digit:]]"", """"))"),1509.0)</f>
        <v>1509</v>
      </c>
      <c r="AG4455" s="7"/>
      <c r="AH4455" s="7"/>
      <c r="AI4455" s="7"/>
      <c r="AJ4455" s="7"/>
      <c r="AK4455" s="7"/>
      <c r="AL4455" s="7"/>
      <c r="AM4455" s="7"/>
      <c r="AN4455" s="7"/>
      <c r="AO4455" s="7"/>
      <c r="AP4455" s="7"/>
      <c r="AQ4455" s="7"/>
      <c r="AR4455" s="7"/>
      <c r="AS4455" s="7" t="s">
        <v>27</v>
      </c>
    </row>
    <row r="4456">
      <c r="A4456" s="7" t="s">
        <v>104</v>
      </c>
      <c r="B4456" s="7" t="s">
        <v>1258</v>
      </c>
      <c r="C4456" s="7">
        <f t="shared" si="620"/>
        <v>3</v>
      </c>
      <c r="D4456" s="7">
        <v>2.0</v>
      </c>
      <c r="E4456" s="7">
        <v>1.0</v>
      </c>
      <c r="F4456" s="7" t="s">
        <v>83</v>
      </c>
      <c r="G4456" s="7" t="s">
        <v>1178</v>
      </c>
      <c r="H4456" s="9" t="s">
        <v>2979</v>
      </c>
      <c r="I4456" t="s">
        <v>3561</v>
      </c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  <c r="AA4456" s="7"/>
      <c r="AB4456" s="7"/>
      <c r="AC4456" s="7"/>
      <c r="AD4456" s="7" t="str">
        <f t="shared" si="1"/>
        <v>Built-up :</v>
      </c>
      <c r="AE4456" s="7" t="str">
        <f t="shared" si="2"/>
        <v> sq. ft.</v>
      </c>
      <c r="AF4456">
        <f>IFERROR(__xludf.DUMMYFUNCTION("VALUE(REGEXREPLACE(G4456,""[^[:digit:]]"", """"))"),930.0)</f>
        <v>930</v>
      </c>
      <c r="AG4456" s="7"/>
      <c r="AH4456" s="7"/>
      <c r="AI4456" s="7"/>
      <c r="AJ4456" s="7"/>
      <c r="AK4456" s="7"/>
      <c r="AL4456" s="7"/>
      <c r="AM4456" s="7"/>
      <c r="AN4456" s="7"/>
      <c r="AO4456" s="7"/>
      <c r="AP4456" s="7"/>
      <c r="AQ4456" s="7"/>
      <c r="AR4456" s="7"/>
    </row>
    <row r="4457">
      <c r="A4457" s="7" t="s">
        <v>32</v>
      </c>
      <c r="B4457" s="7" t="s">
        <v>172</v>
      </c>
      <c r="C4457" s="7">
        <f>2+1</f>
        <v>3</v>
      </c>
      <c r="D4457" s="7">
        <v>2.0</v>
      </c>
      <c r="E4457" s="7">
        <v>1.0</v>
      </c>
      <c r="F4457" s="7" t="s">
        <v>20</v>
      </c>
      <c r="G4457" s="7" t="s">
        <v>976</v>
      </c>
      <c r="H4457" s="9" t="s">
        <v>2979</v>
      </c>
      <c r="I4457" t="s">
        <v>3432</v>
      </c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  <c r="AA4457" s="7"/>
      <c r="AB4457" s="7"/>
      <c r="AC4457" s="7"/>
      <c r="AD4457" s="7" t="str">
        <f t="shared" si="1"/>
        <v>Built-up :</v>
      </c>
      <c r="AE4457" s="7" t="str">
        <f t="shared" si="2"/>
        <v> sq. ft.</v>
      </c>
      <c r="AF4457">
        <f>IFERROR(__xludf.DUMMYFUNCTION("VALUE(REGEXREPLACE(G4457,""[^[:digit:]]"", """"))"),920.0)</f>
        <v>920</v>
      </c>
      <c r="AG4457" s="7"/>
      <c r="AH4457" s="7"/>
      <c r="AI4457" s="7"/>
      <c r="AJ4457" s="7"/>
      <c r="AK4457" s="7"/>
      <c r="AL4457" s="7"/>
      <c r="AM4457" s="7"/>
      <c r="AN4457" s="7"/>
      <c r="AO4457" s="7"/>
      <c r="AP4457" s="7"/>
      <c r="AQ4457" s="7"/>
      <c r="AR4457" s="7"/>
      <c r="AS4457" s="7" t="s">
        <v>27</v>
      </c>
    </row>
    <row r="4458">
      <c r="A4458" s="7" t="s">
        <v>37</v>
      </c>
      <c r="B4458" s="7" t="s">
        <v>34</v>
      </c>
      <c r="C4458" s="7">
        <f>3</f>
        <v>3</v>
      </c>
      <c r="D4458" s="7">
        <v>2.0</v>
      </c>
      <c r="E4458" s="7">
        <v>1.0</v>
      </c>
      <c r="F4458" s="7" t="s">
        <v>83</v>
      </c>
      <c r="G4458" s="7" t="s">
        <v>471</v>
      </c>
      <c r="H4458" s="9" t="s">
        <v>2979</v>
      </c>
      <c r="I4458" t="s">
        <v>3179</v>
      </c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  <c r="AA4458" s="7"/>
      <c r="AB4458" s="7"/>
      <c r="AC4458" s="7"/>
      <c r="AD4458" s="7" t="str">
        <f t="shared" si="1"/>
        <v>Built-up :</v>
      </c>
      <c r="AE4458" s="7" t="str">
        <f t="shared" si="2"/>
        <v> sq. ft.</v>
      </c>
      <c r="AF4458">
        <f>IFERROR(__xludf.DUMMYFUNCTION("VALUE(REGEXREPLACE(G4458,""[^[:digit:]]"", """"))"),1400.0)</f>
        <v>1400</v>
      </c>
      <c r="AG4458" s="7"/>
      <c r="AH4458" s="7"/>
      <c r="AI4458" s="7"/>
      <c r="AJ4458" s="7"/>
      <c r="AK4458" s="7"/>
      <c r="AL4458" s="7"/>
      <c r="AM4458" s="7"/>
      <c r="AN4458" s="7"/>
      <c r="AO4458" s="7"/>
      <c r="AP4458" s="7"/>
      <c r="AQ4458" s="7"/>
      <c r="AR4458" s="7"/>
      <c r="AS4458" s="7" t="s">
        <v>27</v>
      </c>
    </row>
    <row r="4459">
      <c r="A4459" s="7" t="s">
        <v>37</v>
      </c>
      <c r="B4459" s="7" t="s">
        <v>327</v>
      </c>
      <c r="C4459" s="7">
        <f>3+2</f>
        <v>5</v>
      </c>
      <c r="D4459" s="7">
        <v>2.0</v>
      </c>
      <c r="E4459" s="7">
        <v>1.0</v>
      </c>
      <c r="F4459" s="7" t="s">
        <v>83</v>
      </c>
      <c r="G4459" s="7" t="s">
        <v>1922</v>
      </c>
      <c r="H4459" s="9" t="s">
        <v>2979</v>
      </c>
      <c r="I4459" t="s">
        <v>4000</v>
      </c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  <c r="AA4459" s="7"/>
      <c r="AB4459" s="7"/>
      <c r="AC4459" s="7"/>
      <c r="AD4459" s="7" t="str">
        <f t="shared" si="1"/>
        <v>Built-up :</v>
      </c>
      <c r="AE4459" s="7" t="str">
        <f t="shared" si="2"/>
        <v> sq. ft.</v>
      </c>
      <c r="AF4459">
        <f>IFERROR(__xludf.DUMMYFUNCTION("VALUE(REGEXREPLACE(G4459,""[^[:digit:]]"", """"))"),1625.0)</f>
        <v>1625</v>
      </c>
      <c r="AG4459" s="7"/>
      <c r="AH4459" s="7"/>
      <c r="AI4459" s="7"/>
      <c r="AJ4459" s="7"/>
      <c r="AK4459" s="7"/>
      <c r="AL4459" s="7"/>
      <c r="AM4459" s="7"/>
      <c r="AN4459" s="7"/>
      <c r="AO4459" s="7"/>
      <c r="AP4459" s="7"/>
      <c r="AQ4459" s="7"/>
      <c r="AR4459" s="7"/>
      <c r="AS4459" s="7" t="s">
        <v>27</v>
      </c>
    </row>
    <row r="4460">
      <c r="A4460" s="7" t="s">
        <v>100</v>
      </c>
      <c r="B4460" s="7" t="s">
        <v>890</v>
      </c>
      <c r="C4460" s="7">
        <f t="shared" ref="C4460:C4461" si="621">3</f>
        <v>3</v>
      </c>
      <c r="D4460" s="7">
        <v>2.0</v>
      </c>
      <c r="E4460" s="9">
        <v>2.0</v>
      </c>
      <c r="F4460" s="7" t="s">
        <v>82</v>
      </c>
      <c r="G4460" s="7" t="s">
        <v>491</v>
      </c>
      <c r="H4460" s="9" t="s">
        <v>2979</v>
      </c>
      <c r="I4460" t="s">
        <v>3190</v>
      </c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  <c r="AA4460" s="7"/>
      <c r="AB4460" s="7"/>
      <c r="AC4460" s="7"/>
      <c r="AD4460" s="7" t="str">
        <f t="shared" si="1"/>
        <v>Built-up :</v>
      </c>
      <c r="AE4460" s="7" t="str">
        <f t="shared" si="2"/>
        <v> sq. ft.</v>
      </c>
      <c r="AF4460">
        <f>IFERROR(__xludf.DUMMYFUNCTION("VALUE(REGEXREPLACE(G4460,""[^[:digit:]]"", """"))"),950.0)</f>
        <v>950</v>
      </c>
      <c r="AG4460" s="7"/>
      <c r="AH4460" s="7"/>
      <c r="AI4460" s="7"/>
      <c r="AJ4460" s="7"/>
      <c r="AK4460" s="7"/>
      <c r="AL4460" s="7"/>
      <c r="AM4460" s="7"/>
      <c r="AN4460" s="7"/>
      <c r="AO4460" s="7"/>
      <c r="AP4460" s="7"/>
      <c r="AQ4460" s="7"/>
      <c r="AR4460" s="7"/>
      <c r="AS4460" s="7" t="s">
        <v>27</v>
      </c>
    </row>
    <row r="4461">
      <c r="A4461" s="7" t="s">
        <v>37</v>
      </c>
      <c r="B4461" s="7" t="s">
        <v>245</v>
      </c>
      <c r="C4461" s="7">
        <f t="shared" si="621"/>
        <v>3</v>
      </c>
      <c r="D4461" s="7">
        <v>2.0</v>
      </c>
      <c r="E4461" s="7">
        <v>1.0</v>
      </c>
      <c r="F4461" s="7" t="s">
        <v>83</v>
      </c>
      <c r="G4461" s="7" t="s">
        <v>287</v>
      </c>
      <c r="H4461" s="9" t="s">
        <v>2979</v>
      </c>
      <c r="I4461" t="s">
        <v>3093</v>
      </c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  <c r="AA4461" s="7"/>
      <c r="AB4461" s="7"/>
      <c r="AC4461" s="7"/>
      <c r="AD4461" s="7" t="str">
        <f t="shared" si="1"/>
        <v>Built-up :</v>
      </c>
      <c r="AE4461" s="7" t="str">
        <f t="shared" si="2"/>
        <v> sq. ft.</v>
      </c>
      <c r="AF4461">
        <f>IFERROR(__xludf.DUMMYFUNCTION("VALUE(REGEXREPLACE(G4461,""[^[:digit:]]"", """"))"),1345.0)</f>
        <v>1345</v>
      </c>
      <c r="AG4461" s="7"/>
      <c r="AH4461" s="7"/>
      <c r="AI4461" s="7"/>
      <c r="AJ4461" s="7"/>
      <c r="AK4461" s="7"/>
      <c r="AL4461" s="7"/>
      <c r="AM4461" s="7"/>
      <c r="AN4461" s="7"/>
      <c r="AO4461" s="7"/>
      <c r="AP4461" s="7"/>
      <c r="AQ4461" s="7"/>
      <c r="AR4461" s="7"/>
      <c r="AS4461" s="7" t="s">
        <v>27</v>
      </c>
    </row>
    <row r="4462">
      <c r="A4462" s="7" t="s">
        <v>32</v>
      </c>
      <c r="B4462" s="7" t="s">
        <v>1784</v>
      </c>
      <c r="C4462" s="7">
        <f>1</f>
        <v>1</v>
      </c>
      <c r="D4462" s="7">
        <v>1.0</v>
      </c>
      <c r="E4462" s="7">
        <v>1.0</v>
      </c>
      <c r="F4462" s="7" t="s">
        <v>30</v>
      </c>
      <c r="G4462" s="7" t="s">
        <v>408</v>
      </c>
      <c r="H4462" s="9" t="s">
        <v>2979</v>
      </c>
      <c r="I4462" t="s">
        <v>3149</v>
      </c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  <c r="AA4462" s="7"/>
      <c r="AB4462" s="7"/>
      <c r="AC4462" s="7"/>
      <c r="AD4462" s="7" t="str">
        <f t="shared" si="1"/>
        <v>Built-up :</v>
      </c>
      <c r="AE4462" s="7" t="str">
        <f t="shared" si="2"/>
        <v> sq. ft.</v>
      </c>
      <c r="AF4462">
        <f>IFERROR(__xludf.DUMMYFUNCTION("VALUE(REGEXREPLACE(G4462,""[^[:digit:]]"", """"))"),710.0)</f>
        <v>710</v>
      </c>
      <c r="AG4462" s="7"/>
      <c r="AH4462" s="7"/>
      <c r="AI4462" s="7"/>
      <c r="AJ4462" s="7"/>
      <c r="AK4462" s="7"/>
      <c r="AL4462" s="7"/>
      <c r="AM4462" s="7"/>
      <c r="AN4462" s="7"/>
      <c r="AO4462" s="7"/>
      <c r="AP4462" s="7"/>
      <c r="AQ4462" s="7"/>
      <c r="AR4462" s="7"/>
      <c r="AS4462" s="7" t="s">
        <v>27</v>
      </c>
    </row>
    <row r="4463">
      <c r="A4463" s="7" t="s">
        <v>37</v>
      </c>
      <c r="B4463" s="7" t="s">
        <v>81</v>
      </c>
      <c r="C4463" s="7">
        <f>4+1</f>
        <v>5</v>
      </c>
      <c r="D4463" s="7">
        <v>4.0</v>
      </c>
      <c r="E4463" s="7">
        <v>2.0</v>
      </c>
      <c r="F4463" s="7" t="s">
        <v>93</v>
      </c>
      <c r="G4463" s="7" t="s">
        <v>2756</v>
      </c>
      <c r="H4463" s="9" t="s">
        <v>2979</v>
      </c>
      <c r="I4463" t="s">
        <v>4510</v>
      </c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  <c r="AA4463" s="7"/>
      <c r="AB4463" s="7"/>
      <c r="AC4463" s="7"/>
      <c r="AD4463" s="7" t="str">
        <f t="shared" si="1"/>
        <v>Built-up :</v>
      </c>
      <c r="AE4463" s="7" t="str">
        <f t="shared" si="2"/>
        <v> sq. ft.</v>
      </c>
      <c r="AF4463">
        <f>IFERROR(__xludf.DUMMYFUNCTION("VALUE(REGEXREPLACE(G4463,""[^[:digit:]]"", """"))"),2740.0)</f>
        <v>2740</v>
      </c>
      <c r="AG4463" s="7"/>
      <c r="AH4463" s="7"/>
      <c r="AI4463" s="7"/>
      <c r="AJ4463" s="7"/>
      <c r="AK4463" s="7"/>
      <c r="AL4463" s="7"/>
      <c r="AM4463" s="7"/>
      <c r="AN4463" s="7"/>
      <c r="AO4463" s="7"/>
      <c r="AP4463" s="7"/>
      <c r="AQ4463" s="7"/>
      <c r="AR4463" s="7"/>
      <c r="AS4463" s="7" t="s">
        <v>27</v>
      </c>
    </row>
    <row r="4464">
      <c r="A4464" s="7" t="s">
        <v>37</v>
      </c>
      <c r="B4464" s="7" t="s">
        <v>151</v>
      </c>
      <c r="C4464" s="7">
        <f>3+1</f>
        <v>4</v>
      </c>
      <c r="D4464" s="7">
        <v>3.0</v>
      </c>
      <c r="E4464" s="9">
        <v>2.0</v>
      </c>
      <c r="F4464" s="7" t="s">
        <v>25</v>
      </c>
      <c r="G4464" s="7" t="s">
        <v>2757</v>
      </c>
      <c r="H4464" s="9" t="s">
        <v>2981</v>
      </c>
      <c r="I4464" t="s">
        <v>4511</v>
      </c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  <c r="AA4464" s="7"/>
      <c r="AB4464" s="7"/>
      <c r="AC4464" s="7"/>
      <c r="AD4464" s="7" t="str">
        <f t="shared" si="1"/>
        <v>Land area </v>
      </c>
      <c r="AE4464" s="7" t="str">
        <f t="shared" si="2"/>
        <v> sq. ft.</v>
      </c>
      <c r="AF4464">
        <f>IFERROR(__xludf.DUMMYFUNCTION("VALUE(REGEXREPLACE(G4464,""[^[:digit:]]"", """"))"),8350.0)</f>
        <v>8350</v>
      </c>
      <c r="AG4464" s="7"/>
      <c r="AH4464" s="7"/>
      <c r="AI4464" s="7"/>
      <c r="AJ4464" s="7"/>
      <c r="AK4464" s="7"/>
      <c r="AL4464" s="7"/>
      <c r="AM4464" s="7"/>
      <c r="AN4464" s="7"/>
      <c r="AO4464" s="7"/>
      <c r="AP4464" s="7"/>
      <c r="AQ4464" s="7"/>
      <c r="AR4464" s="7"/>
      <c r="AS4464" s="7" t="s">
        <v>103</v>
      </c>
    </row>
    <row r="4465">
      <c r="A4465" s="7" t="s">
        <v>37</v>
      </c>
      <c r="B4465" s="7" t="s">
        <v>34</v>
      </c>
      <c r="C4465" s="7">
        <f t="shared" ref="C4465:C4466" si="622">3</f>
        <v>3</v>
      </c>
      <c r="D4465" s="7">
        <v>2.0</v>
      </c>
      <c r="E4465" s="7">
        <v>1.0</v>
      </c>
      <c r="F4465" s="7" t="s">
        <v>30</v>
      </c>
      <c r="G4465" s="7" t="s">
        <v>2758</v>
      </c>
      <c r="H4465" s="9" t="s">
        <v>2979</v>
      </c>
      <c r="I4465" t="s">
        <v>4512</v>
      </c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  <c r="AA4465" s="7"/>
      <c r="AB4465" s="7"/>
      <c r="AC4465" s="7"/>
      <c r="AD4465" s="7" t="str">
        <f t="shared" si="1"/>
        <v>Built-up :</v>
      </c>
      <c r="AE4465" s="7" t="str">
        <f t="shared" si="2"/>
        <v> sq. ft.</v>
      </c>
      <c r="AF4465">
        <f>IFERROR(__xludf.DUMMYFUNCTION("VALUE(REGEXREPLACE(G4465,""[^[:digit:]]"", """"))"),1475.0)</f>
        <v>1475</v>
      </c>
      <c r="AG4465" s="7"/>
      <c r="AH4465" s="7"/>
      <c r="AI4465" s="7"/>
      <c r="AJ4465" s="7"/>
      <c r="AK4465" s="7"/>
      <c r="AL4465" s="7"/>
      <c r="AM4465" s="7"/>
      <c r="AN4465" s="7"/>
      <c r="AO4465" s="7"/>
      <c r="AP4465" s="7"/>
      <c r="AQ4465" s="7"/>
      <c r="AR4465" s="7"/>
      <c r="AS4465" s="7" t="s">
        <v>27</v>
      </c>
    </row>
    <row r="4466">
      <c r="A4466" s="7" t="s">
        <v>100</v>
      </c>
      <c r="B4466" s="7" t="s">
        <v>107</v>
      </c>
      <c r="C4466" s="7">
        <f t="shared" si="622"/>
        <v>3</v>
      </c>
      <c r="D4466" s="7">
        <v>2.0</v>
      </c>
      <c r="E4466" s="7">
        <v>2.0</v>
      </c>
      <c r="F4466" s="7" t="s">
        <v>82</v>
      </c>
      <c r="G4466" s="7" t="s">
        <v>491</v>
      </c>
      <c r="H4466" s="9" t="s">
        <v>2979</v>
      </c>
      <c r="I4466" t="s">
        <v>3190</v>
      </c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  <c r="AA4466" s="7"/>
      <c r="AB4466" s="7"/>
      <c r="AC4466" s="7"/>
      <c r="AD4466" s="7" t="str">
        <f t="shared" si="1"/>
        <v>Built-up :</v>
      </c>
      <c r="AE4466" s="7" t="str">
        <f t="shared" si="2"/>
        <v> sq. ft.</v>
      </c>
      <c r="AF4466">
        <f>IFERROR(__xludf.DUMMYFUNCTION("VALUE(REGEXREPLACE(G4466,""[^[:digit:]]"", """"))"),950.0)</f>
        <v>950</v>
      </c>
      <c r="AG4466" s="7"/>
      <c r="AH4466" s="7"/>
      <c r="AI4466" s="7"/>
      <c r="AJ4466" s="7"/>
      <c r="AK4466" s="7"/>
      <c r="AL4466" s="7"/>
      <c r="AM4466" s="7"/>
      <c r="AN4466" s="7"/>
      <c r="AO4466" s="7"/>
      <c r="AP4466" s="7"/>
      <c r="AQ4466" s="7"/>
      <c r="AR4466" s="7"/>
      <c r="AS4466" s="7" t="s">
        <v>27</v>
      </c>
    </row>
    <row r="4467">
      <c r="A4467" s="7" t="s">
        <v>37</v>
      </c>
      <c r="B4467" s="7" t="s">
        <v>78</v>
      </c>
      <c r="C4467" s="7">
        <f>4+1</f>
        <v>5</v>
      </c>
      <c r="D4467" s="7">
        <v>3.0</v>
      </c>
      <c r="E4467" s="7">
        <v>2.0</v>
      </c>
      <c r="F4467" s="7" t="s">
        <v>83</v>
      </c>
      <c r="G4467" s="7" t="s">
        <v>1863</v>
      </c>
      <c r="H4467" s="9" t="s">
        <v>2979</v>
      </c>
      <c r="I4467" t="s">
        <v>3964</v>
      </c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  <c r="AA4467" s="7"/>
      <c r="AB4467" s="7"/>
      <c r="AC4467" s="7"/>
      <c r="AD4467" s="7" t="str">
        <f t="shared" si="1"/>
        <v>Built-up :</v>
      </c>
      <c r="AE4467" s="7" t="str">
        <f t="shared" si="2"/>
        <v> sq. ft.</v>
      </c>
      <c r="AF4467">
        <f>IFERROR(__xludf.DUMMYFUNCTION("VALUE(REGEXREPLACE(G4467,""[^[:digit:]]"", """"))"),2000.0)</f>
        <v>2000</v>
      </c>
      <c r="AG4467" s="7"/>
      <c r="AH4467" s="7"/>
      <c r="AI4467" s="7"/>
      <c r="AJ4467" s="7"/>
      <c r="AK4467" s="7"/>
      <c r="AL4467" s="7"/>
      <c r="AM4467" s="7"/>
      <c r="AN4467" s="7"/>
      <c r="AO4467" s="7"/>
      <c r="AP4467" s="7"/>
      <c r="AQ4467" s="7"/>
      <c r="AR4467" s="7"/>
      <c r="AS4467" s="7" t="s">
        <v>27</v>
      </c>
    </row>
    <row r="4468">
      <c r="A4468" s="7" t="s">
        <v>37</v>
      </c>
      <c r="B4468" s="7" t="s">
        <v>193</v>
      </c>
      <c r="C4468" s="7">
        <f t="shared" ref="C4468:C4469" si="623">4</f>
        <v>4</v>
      </c>
      <c r="D4468" s="7">
        <v>3.0</v>
      </c>
      <c r="E4468" s="9">
        <v>2.0</v>
      </c>
      <c r="F4468" s="7" t="s">
        <v>169</v>
      </c>
      <c r="G4468" s="7" t="s">
        <v>558</v>
      </c>
      <c r="H4468" s="9" t="s">
        <v>2981</v>
      </c>
      <c r="I4468" t="s">
        <v>3223</v>
      </c>
      <c r="J4468" s="7"/>
      <c r="K4468" s="7"/>
      <c r="L4468" s="7"/>
      <c r="M4468" s="7"/>
      <c r="N4468" s="7"/>
      <c r="O4468" s="7"/>
      <c r="P4468" s="7"/>
      <c r="Q4468" s="7"/>
      <c r="R4468" s="7"/>
      <c r="S4468" s="7" t="s">
        <v>2990</v>
      </c>
      <c r="T4468" s="7"/>
      <c r="U4468" s="7"/>
      <c r="V4468" s="7"/>
      <c r="W4468" s="7"/>
      <c r="X4468" s="7"/>
      <c r="Y4468" s="7"/>
      <c r="Z4468" s="7"/>
      <c r="AA4468" s="7"/>
      <c r="AB4468" s="7"/>
      <c r="AC4468" s="7"/>
      <c r="AD4468" s="7" t="str">
        <f t="shared" si="1"/>
        <v>Land area </v>
      </c>
      <c r="AE4468" s="7" t="str">
        <f t="shared" si="2"/>
        <v> sq. ft.</v>
      </c>
      <c r="AF4468">
        <f>IFERROR(__xludf.DUMMYFUNCTION("VALUE(REGEXREPLACE(G4468,""[^[:digit:]]"", """"))"),2375.0)</f>
        <v>2375</v>
      </c>
      <c r="AG4468" s="7"/>
      <c r="AH4468" s="7"/>
      <c r="AI4468" s="7"/>
      <c r="AJ4468" s="7"/>
      <c r="AK4468" s="7"/>
      <c r="AL4468" s="7"/>
      <c r="AM4468" s="7"/>
      <c r="AN4468" s="7"/>
      <c r="AO4468" s="7"/>
      <c r="AP4468" s="7"/>
      <c r="AQ4468" s="7"/>
      <c r="AR4468" s="7"/>
      <c r="AS4468" s="7" t="s">
        <v>27</v>
      </c>
    </row>
    <row r="4469">
      <c r="A4469" s="7" t="s">
        <v>37</v>
      </c>
      <c r="B4469" s="7" t="s">
        <v>193</v>
      </c>
      <c r="C4469" s="7">
        <f t="shared" si="623"/>
        <v>4</v>
      </c>
      <c r="D4469" s="7">
        <v>3.0</v>
      </c>
      <c r="E4469" s="9">
        <v>2.0</v>
      </c>
      <c r="F4469" s="7" t="s">
        <v>54</v>
      </c>
      <c r="G4469" s="7" t="s">
        <v>1197</v>
      </c>
      <c r="H4469" s="9" t="s">
        <v>2981</v>
      </c>
      <c r="I4469" t="s">
        <v>3037</v>
      </c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  <c r="AA4469" s="7"/>
      <c r="AB4469" s="7"/>
      <c r="AC4469" s="7"/>
      <c r="AD4469" s="7" t="str">
        <f t="shared" si="1"/>
        <v>Land area </v>
      </c>
      <c r="AE4469" s="7" t="str">
        <f t="shared" si="2"/>
        <v> sq. ft.</v>
      </c>
      <c r="AF4469">
        <f>IFERROR(__xludf.DUMMYFUNCTION("VALUE(REGEXREPLACE(G4469,""[^[:digit:]]"", """"))"),1800.0)</f>
        <v>1800</v>
      </c>
      <c r="AG4469" s="7"/>
      <c r="AH4469" s="7"/>
      <c r="AI4469" s="7"/>
      <c r="AJ4469" s="7"/>
      <c r="AK4469" s="7"/>
      <c r="AL4469" s="7"/>
      <c r="AM4469" s="7"/>
      <c r="AN4469" s="7"/>
      <c r="AO4469" s="7"/>
      <c r="AP4469" s="7"/>
      <c r="AQ4469" s="7"/>
      <c r="AR4469" s="7"/>
      <c r="AS4469" s="7" t="s">
        <v>27</v>
      </c>
    </row>
    <row r="4470">
      <c r="A4470" s="7" t="s">
        <v>37</v>
      </c>
      <c r="B4470" s="7" t="s">
        <v>329</v>
      </c>
      <c r="C4470" s="7">
        <f t="shared" ref="C4470:C4473" si="624">3</f>
        <v>3</v>
      </c>
      <c r="D4470" s="7">
        <v>2.0</v>
      </c>
      <c r="E4470" s="7">
        <v>1.0</v>
      </c>
      <c r="F4470" s="7" t="s">
        <v>30</v>
      </c>
      <c r="G4470" s="7" t="s">
        <v>276</v>
      </c>
      <c r="H4470" s="9" t="s">
        <v>2979</v>
      </c>
      <c r="I4470" t="s">
        <v>3089</v>
      </c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  <c r="AA4470" s="7"/>
      <c r="AB4470" s="7"/>
      <c r="AC4470" s="7"/>
      <c r="AD4470" s="7" t="str">
        <f t="shared" si="1"/>
        <v>Built-up :</v>
      </c>
      <c r="AE4470" s="7" t="str">
        <f t="shared" si="2"/>
        <v> sq. ft.</v>
      </c>
      <c r="AF4470">
        <f>IFERROR(__xludf.DUMMYFUNCTION("VALUE(REGEXREPLACE(G4470,""[^[:digit:]]"", """"))"),1560.0)</f>
        <v>1560</v>
      </c>
      <c r="AG4470" s="7"/>
      <c r="AH4470" s="7"/>
      <c r="AI4470" s="7"/>
      <c r="AJ4470" s="7"/>
      <c r="AK4470" s="7"/>
      <c r="AL4470" s="7"/>
      <c r="AM4470" s="7"/>
      <c r="AN4470" s="7"/>
      <c r="AO4470" s="7"/>
      <c r="AP4470" s="7"/>
      <c r="AQ4470" s="7"/>
      <c r="AR4470" s="7"/>
      <c r="AS4470" s="7" t="s">
        <v>22</v>
      </c>
    </row>
    <row r="4471">
      <c r="A4471" s="7" t="s">
        <v>100</v>
      </c>
      <c r="B4471" s="7" t="s">
        <v>691</v>
      </c>
      <c r="C4471" s="7">
        <f t="shared" si="624"/>
        <v>3</v>
      </c>
      <c r="D4471" s="7">
        <v>2.0</v>
      </c>
      <c r="E4471" s="7">
        <v>2.0</v>
      </c>
      <c r="F4471" s="7" t="s">
        <v>20</v>
      </c>
      <c r="G4471" s="7" t="s">
        <v>491</v>
      </c>
      <c r="H4471" s="9" t="s">
        <v>2979</v>
      </c>
      <c r="I4471" t="s">
        <v>3190</v>
      </c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  <c r="AA4471" s="7"/>
      <c r="AB4471" s="7"/>
      <c r="AC4471" s="7"/>
      <c r="AD4471" s="7" t="str">
        <f t="shared" si="1"/>
        <v>Built-up :</v>
      </c>
      <c r="AE4471" s="7" t="str">
        <f t="shared" si="2"/>
        <v> sq. ft.</v>
      </c>
      <c r="AF4471">
        <f>IFERROR(__xludf.DUMMYFUNCTION("VALUE(REGEXREPLACE(G4471,""[^[:digit:]]"", """"))"),950.0)</f>
        <v>950</v>
      </c>
      <c r="AG4471" s="7"/>
      <c r="AH4471" s="7"/>
      <c r="AI4471" s="7"/>
      <c r="AJ4471" s="7"/>
      <c r="AK4471" s="7"/>
      <c r="AL4471" s="7"/>
      <c r="AM4471" s="7"/>
      <c r="AN4471" s="7"/>
      <c r="AO4471" s="7"/>
      <c r="AP4471" s="7"/>
      <c r="AQ4471" s="7"/>
      <c r="AR4471" s="7"/>
      <c r="AS4471" s="7" t="s">
        <v>27</v>
      </c>
    </row>
    <row r="4472">
      <c r="A4472" s="7" t="s">
        <v>33</v>
      </c>
      <c r="B4472" s="7" t="s">
        <v>761</v>
      </c>
      <c r="C4472" s="7">
        <f t="shared" si="624"/>
        <v>3</v>
      </c>
      <c r="D4472" s="7">
        <v>2.0</v>
      </c>
      <c r="E4472" s="7">
        <v>1.0</v>
      </c>
      <c r="F4472" s="7" t="s">
        <v>354</v>
      </c>
      <c r="G4472" s="7" t="s">
        <v>2630</v>
      </c>
      <c r="H4472" s="9" t="s">
        <v>2979</v>
      </c>
      <c r="I4472" t="s">
        <v>4439</v>
      </c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  <c r="AA4472" s="7"/>
      <c r="AB4472" s="7"/>
      <c r="AC4472" s="7"/>
      <c r="AD4472" s="7" t="str">
        <f t="shared" si="1"/>
        <v>Built-up :</v>
      </c>
      <c r="AE4472" s="7" t="str">
        <f t="shared" si="2"/>
        <v> sq. ft.</v>
      </c>
      <c r="AF4472">
        <f>IFERROR(__xludf.DUMMYFUNCTION("VALUE(REGEXREPLACE(G4472,""[^[:digit:]]"", """"))"),1116.0)</f>
        <v>1116</v>
      </c>
      <c r="AG4472" s="7"/>
      <c r="AH4472" s="7"/>
      <c r="AI4472" s="7"/>
      <c r="AJ4472" s="7"/>
      <c r="AK4472" s="7"/>
      <c r="AL4472" s="7"/>
      <c r="AM4472" s="7"/>
      <c r="AN4472" s="7"/>
      <c r="AO4472" s="7"/>
      <c r="AP4472" s="7"/>
      <c r="AQ4472" s="7"/>
      <c r="AR4472" s="7"/>
    </row>
    <row r="4473">
      <c r="A4473" s="7" t="s">
        <v>241</v>
      </c>
      <c r="B4473" s="7" t="s">
        <v>361</v>
      </c>
      <c r="C4473" s="7">
        <f t="shared" si="624"/>
        <v>3</v>
      </c>
      <c r="D4473" s="7">
        <v>2.0</v>
      </c>
      <c r="E4473" s="7">
        <v>2.0</v>
      </c>
      <c r="F4473" s="7" t="s">
        <v>30</v>
      </c>
      <c r="G4473" s="7" t="s">
        <v>2215</v>
      </c>
      <c r="H4473" s="9" t="s">
        <v>2979</v>
      </c>
      <c r="I4473" t="s">
        <v>4186</v>
      </c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  <c r="AA4473" s="7"/>
      <c r="AB4473" s="7"/>
      <c r="AC4473" s="7"/>
      <c r="AD4473" s="7" t="str">
        <f t="shared" si="1"/>
        <v>Built-up :</v>
      </c>
      <c r="AE4473" s="7" t="str">
        <f t="shared" si="2"/>
        <v> sq. ft.</v>
      </c>
      <c r="AF4473">
        <f>IFERROR(__xludf.DUMMYFUNCTION("VALUE(REGEXREPLACE(G4473,""[^[:digit:]]"", """"))"),986.0)</f>
        <v>986</v>
      </c>
      <c r="AG4473" s="7"/>
      <c r="AH4473" s="7"/>
      <c r="AI4473" s="7"/>
      <c r="AJ4473" s="7"/>
      <c r="AK4473" s="7"/>
      <c r="AL4473" s="7"/>
      <c r="AM4473" s="7"/>
      <c r="AN4473" s="7"/>
      <c r="AO4473" s="7"/>
      <c r="AP4473" s="7"/>
      <c r="AQ4473" s="7"/>
      <c r="AR4473" s="7"/>
      <c r="AS4473" s="7" t="s">
        <v>27</v>
      </c>
    </row>
    <row r="4474">
      <c r="A4474" s="7" t="s">
        <v>65</v>
      </c>
      <c r="B4474" s="7" t="s">
        <v>281</v>
      </c>
      <c r="C4474" s="7">
        <f>4+1</f>
        <v>5</v>
      </c>
      <c r="D4474" s="7">
        <v>5.0</v>
      </c>
      <c r="E4474" s="7">
        <v>5.0</v>
      </c>
      <c r="F4474" s="7" t="s">
        <v>83</v>
      </c>
      <c r="G4474" s="7" t="s">
        <v>2759</v>
      </c>
      <c r="H4474" s="9" t="s">
        <v>2979</v>
      </c>
      <c r="I4474" t="s">
        <v>4513</v>
      </c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  <c r="AA4474" s="7"/>
      <c r="AB4474" s="7"/>
      <c r="AC4474" s="7"/>
      <c r="AD4474" s="7" t="str">
        <f t="shared" si="1"/>
        <v>Built-up :</v>
      </c>
      <c r="AE4474" s="7" t="str">
        <f t="shared" si="2"/>
        <v> sq. ft.</v>
      </c>
      <c r="AF4474">
        <f>IFERROR(__xludf.DUMMYFUNCTION("VALUE(REGEXREPLACE(G4474,""[^[:digit:]]"", """"))"),2780.0)</f>
        <v>2780</v>
      </c>
      <c r="AG4474" s="7"/>
      <c r="AH4474" s="7"/>
      <c r="AI4474" s="7"/>
      <c r="AJ4474" s="7"/>
      <c r="AK4474" s="7"/>
      <c r="AL4474" s="7"/>
      <c r="AM4474" s="7"/>
      <c r="AN4474" s="7"/>
      <c r="AO4474" s="7"/>
      <c r="AP4474" s="7"/>
      <c r="AQ4474" s="7"/>
      <c r="AR4474" s="7"/>
      <c r="AS4474" s="7" t="s">
        <v>27</v>
      </c>
    </row>
    <row r="4475">
      <c r="A4475" s="7" t="s">
        <v>28</v>
      </c>
      <c r="B4475" s="7" t="s">
        <v>2760</v>
      </c>
      <c r="C4475" s="7">
        <f>3+1</f>
        <v>4</v>
      </c>
      <c r="D4475" s="7">
        <v>5.0</v>
      </c>
      <c r="E4475" s="7">
        <v>2.0</v>
      </c>
      <c r="F4475" s="7" t="s">
        <v>93</v>
      </c>
      <c r="G4475" s="7" t="s">
        <v>250</v>
      </c>
      <c r="H4475" s="9" t="s">
        <v>2979</v>
      </c>
      <c r="I4475" t="s">
        <v>3076</v>
      </c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  <c r="AA4475" s="7"/>
      <c r="AB4475" s="7"/>
      <c r="AC4475" s="7"/>
      <c r="AD4475" s="7" t="str">
        <f t="shared" si="1"/>
        <v>Built-up :</v>
      </c>
      <c r="AE4475" s="7" t="str">
        <f t="shared" si="2"/>
        <v> sq. ft.</v>
      </c>
      <c r="AF4475">
        <f>IFERROR(__xludf.DUMMYFUNCTION("VALUE(REGEXREPLACE(G4475,""[^[:digit:]]"", """"))"),1853.0)</f>
        <v>1853</v>
      </c>
      <c r="AG4475" s="7"/>
      <c r="AH4475" s="7"/>
      <c r="AI4475" s="7"/>
      <c r="AJ4475" s="7"/>
      <c r="AK4475" s="7"/>
      <c r="AL4475" s="7"/>
      <c r="AM4475" s="7"/>
      <c r="AN4475" s="7"/>
      <c r="AO4475" s="7"/>
      <c r="AP4475" s="7"/>
      <c r="AQ4475" s="7"/>
      <c r="AR4475" s="7"/>
      <c r="AS4475" s="7" t="s">
        <v>27</v>
      </c>
    </row>
    <row r="4476">
      <c r="A4476" s="7" t="s">
        <v>65</v>
      </c>
      <c r="B4476" s="7" t="s">
        <v>125</v>
      </c>
      <c r="C4476" s="7">
        <f>4+1</f>
        <v>5</v>
      </c>
      <c r="D4476" s="7">
        <v>5.0</v>
      </c>
      <c r="E4476" s="7">
        <v>4.0</v>
      </c>
      <c r="F4476" s="7" t="s">
        <v>793</v>
      </c>
      <c r="G4476" s="7" t="s">
        <v>2761</v>
      </c>
      <c r="H4476" s="9" t="s">
        <v>2979</v>
      </c>
      <c r="I4476" t="s">
        <v>4514</v>
      </c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  <c r="AA4476" s="7"/>
      <c r="AB4476" s="7"/>
      <c r="AC4476" s="7"/>
      <c r="AD4476" s="7" t="str">
        <f t="shared" si="1"/>
        <v>Built-up :</v>
      </c>
      <c r="AE4476" s="7" t="str">
        <f t="shared" si="2"/>
        <v> sq. ft.</v>
      </c>
      <c r="AF4476">
        <f>IFERROR(__xludf.DUMMYFUNCTION("VALUE(REGEXREPLACE(G4476,""[^[:digit:]]"", """"))"),4580.0)</f>
        <v>4580</v>
      </c>
      <c r="AG4476" s="7"/>
      <c r="AH4476" s="7"/>
      <c r="AI4476" s="7"/>
      <c r="AJ4476" s="7"/>
      <c r="AK4476" s="7"/>
      <c r="AL4476" s="7"/>
      <c r="AM4476" s="7"/>
      <c r="AN4476" s="7"/>
      <c r="AO4476" s="7"/>
      <c r="AP4476" s="7"/>
      <c r="AQ4476" s="7"/>
      <c r="AR4476" s="7"/>
      <c r="AS4476" s="7" t="s">
        <v>22</v>
      </c>
    </row>
    <row r="4477">
      <c r="A4477" s="7" t="s">
        <v>86</v>
      </c>
      <c r="B4477" s="7" t="s">
        <v>2174</v>
      </c>
      <c r="C4477" s="7">
        <f>2</f>
        <v>2</v>
      </c>
      <c r="D4477" s="7">
        <v>2.0</v>
      </c>
      <c r="E4477" s="7">
        <v>1.0</v>
      </c>
      <c r="F4477" s="7" t="s">
        <v>20</v>
      </c>
      <c r="G4477" s="7" t="s">
        <v>821</v>
      </c>
      <c r="H4477" s="9" t="s">
        <v>2979</v>
      </c>
      <c r="I4477" t="s">
        <v>3356</v>
      </c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  <c r="AA4477" s="7"/>
      <c r="AB4477" s="7"/>
      <c r="AC4477" s="7"/>
      <c r="AD4477" s="7" t="str">
        <f t="shared" si="1"/>
        <v>Built-up :</v>
      </c>
      <c r="AE4477" s="7" t="str">
        <f t="shared" si="2"/>
        <v> sq. ft.</v>
      </c>
      <c r="AF4477">
        <f>IFERROR(__xludf.DUMMYFUNCTION("VALUE(REGEXREPLACE(G4477,""[^[:digit:]]"", """"))"),815.0)</f>
        <v>815</v>
      </c>
      <c r="AG4477" s="7"/>
      <c r="AH4477" s="7"/>
      <c r="AI4477" s="7"/>
      <c r="AJ4477" s="7"/>
      <c r="AK4477" s="7"/>
      <c r="AL4477" s="7"/>
      <c r="AM4477" s="7"/>
      <c r="AN4477" s="7"/>
      <c r="AO4477" s="7"/>
      <c r="AP4477" s="7"/>
      <c r="AQ4477" s="7"/>
      <c r="AR4477" s="7"/>
    </row>
    <row r="4478">
      <c r="A4478" s="7" t="s">
        <v>23</v>
      </c>
      <c r="B4478" s="7" t="s">
        <v>1180</v>
      </c>
      <c r="C4478" s="7">
        <f>6+1</f>
        <v>7</v>
      </c>
      <c r="D4478" s="7">
        <v>6.0</v>
      </c>
      <c r="E4478" s="7">
        <v>3.0</v>
      </c>
      <c r="F4478" s="7" t="s">
        <v>61</v>
      </c>
      <c r="G4478" s="7" t="s">
        <v>2762</v>
      </c>
      <c r="H4478" s="9" t="s">
        <v>2981</v>
      </c>
      <c r="I4478" t="s">
        <v>3986</v>
      </c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  <c r="AA4478" s="7"/>
      <c r="AB4478" s="7"/>
      <c r="AC4478" s="7"/>
      <c r="AD4478" s="7" t="str">
        <f t="shared" si="1"/>
        <v>Land area </v>
      </c>
      <c r="AE4478" s="7" t="str">
        <f t="shared" si="2"/>
        <v> sq. ft.</v>
      </c>
      <c r="AF4478">
        <f>IFERROR(__xludf.DUMMYFUNCTION("VALUE(REGEXREPLACE(G4478,""[^[:digit:]]"", """"))"),6360.0)</f>
        <v>6360</v>
      </c>
      <c r="AG4478" s="7"/>
      <c r="AH4478" s="7"/>
      <c r="AI4478" s="7"/>
      <c r="AJ4478" s="7"/>
      <c r="AK4478" s="7"/>
      <c r="AL4478" s="7"/>
      <c r="AM4478" s="7"/>
      <c r="AN4478" s="7"/>
      <c r="AO4478" s="7"/>
      <c r="AP4478" s="7"/>
      <c r="AQ4478" s="7"/>
      <c r="AR4478" s="7"/>
      <c r="AS4478" s="7" t="s">
        <v>27</v>
      </c>
    </row>
    <row r="4479">
      <c r="A4479" s="7" t="s">
        <v>72</v>
      </c>
      <c r="B4479" s="7" t="s">
        <v>281</v>
      </c>
      <c r="C4479" s="7">
        <f>5+1</f>
        <v>6</v>
      </c>
      <c r="D4479" s="7">
        <v>6.0</v>
      </c>
      <c r="E4479" s="7">
        <v>3.0</v>
      </c>
      <c r="F4479" s="7" t="s">
        <v>30</v>
      </c>
      <c r="G4479" s="7" t="s">
        <v>498</v>
      </c>
      <c r="H4479" s="9" t="s">
        <v>2979</v>
      </c>
      <c r="I4479" t="s">
        <v>3196</v>
      </c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  <c r="AA4479" s="7"/>
      <c r="AB4479" s="7"/>
      <c r="AC4479" s="7"/>
      <c r="AD4479" s="7" t="str">
        <f t="shared" si="1"/>
        <v>Built-up :</v>
      </c>
      <c r="AE4479" s="7" t="str">
        <f t="shared" si="2"/>
        <v> sq. ft.</v>
      </c>
      <c r="AF4479">
        <f>IFERROR(__xludf.DUMMYFUNCTION("VALUE(REGEXREPLACE(G4479,""[^[:digit:]]"", """"))"),4000.0)</f>
        <v>4000</v>
      </c>
      <c r="AG4479" s="7"/>
      <c r="AH4479" s="7"/>
      <c r="AI4479" s="7"/>
      <c r="AJ4479" s="7"/>
      <c r="AK4479" s="7"/>
      <c r="AL4479" s="7"/>
      <c r="AM4479" s="7"/>
      <c r="AN4479" s="7"/>
      <c r="AO4479" s="7"/>
      <c r="AP4479" s="7"/>
      <c r="AQ4479" s="7"/>
      <c r="AR4479" s="7"/>
      <c r="AS4479" s="7" t="s">
        <v>103</v>
      </c>
    </row>
    <row r="4480">
      <c r="A4480" s="7" t="s">
        <v>72</v>
      </c>
      <c r="B4480" s="7" t="s">
        <v>193</v>
      </c>
      <c r="C4480" s="7">
        <f>3+2</f>
        <v>5</v>
      </c>
      <c r="D4480" s="7">
        <v>5.0</v>
      </c>
      <c r="E4480" s="7">
        <v>2.0</v>
      </c>
      <c r="F4480" s="7" t="s">
        <v>30</v>
      </c>
      <c r="G4480" s="7" t="s">
        <v>2763</v>
      </c>
      <c r="H4480" s="9" t="s">
        <v>2981</v>
      </c>
      <c r="I4480" t="s">
        <v>4515</v>
      </c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  <c r="AA4480" s="7"/>
      <c r="AB4480" s="7"/>
      <c r="AC4480" s="7"/>
      <c r="AD4480" s="7" t="str">
        <f t="shared" si="1"/>
        <v>Land area </v>
      </c>
      <c r="AE4480" s="7" t="str">
        <f t="shared" si="2"/>
        <v> sq. ft.</v>
      </c>
      <c r="AF4480">
        <f>IFERROR(__xludf.DUMMYFUNCTION("VALUE(REGEXREPLACE(G4480,""[^[:digit:]]"", """"))"),2572.0)</f>
        <v>2572</v>
      </c>
      <c r="AG4480" s="7"/>
      <c r="AH4480" s="7"/>
      <c r="AI4480" s="7"/>
      <c r="AJ4480" s="7"/>
      <c r="AK4480" s="7"/>
      <c r="AL4480" s="7"/>
      <c r="AM4480" s="7"/>
      <c r="AN4480" s="7"/>
      <c r="AO4480" s="7"/>
      <c r="AP4480" s="7"/>
      <c r="AQ4480" s="7"/>
      <c r="AR4480" s="7"/>
      <c r="AS4480" s="7" t="s">
        <v>22</v>
      </c>
    </row>
    <row r="4481">
      <c r="A4481" s="7" t="s">
        <v>23</v>
      </c>
      <c r="B4481" s="7" t="s">
        <v>151</v>
      </c>
      <c r="C4481" s="7">
        <f>4+1</f>
        <v>5</v>
      </c>
      <c r="D4481" s="7">
        <v>4.0</v>
      </c>
      <c r="E4481" s="9">
        <v>2.0</v>
      </c>
      <c r="F4481" s="7" t="s">
        <v>61</v>
      </c>
      <c r="G4481" s="7" t="s">
        <v>62</v>
      </c>
      <c r="H4481" s="9" t="s">
        <v>2981</v>
      </c>
      <c r="I4481" t="s">
        <v>2995</v>
      </c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  <c r="AA4481" s="7"/>
      <c r="AB4481" s="7"/>
      <c r="AC4481" s="7"/>
      <c r="AD4481" s="7" t="str">
        <f t="shared" si="1"/>
        <v>Land area </v>
      </c>
      <c r="AE4481" s="7" t="str">
        <f t="shared" si="2"/>
        <v> sq. ft.</v>
      </c>
      <c r="AF4481">
        <f>IFERROR(__xludf.DUMMYFUNCTION("VALUE(REGEXREPLACE(G4481,""[^[:digit:]]"", """"))"),6000.0)</f>
        <v>6000</v>
      </c>
      <c r="AG4481" s="7"/>
      <c r="AH4481" s="7"/>
      <c r="AI4481" s="7"/>
      <c r="AJ4481" s="7"/>
      <c r="AK4481" s="7"/>
      <c r="AL4481" s="7"/>
      <c r="AM4481" s="7"/>
      <c r="AN4481" s="7"/>
      <c r="AO4481" s="7"/>
      <c r="AP4481" s="7"/>
      <c r="AQ4481" s="7"/>
      <c r="AR4481" s="7"/>
      <c r="AS4481" s="7" t="s">
        <v>27</v>
      </c>
    </row>
    <row r="4482">
      <c r="A4482" s="7" t="s">
        <v>23</v>
      </c>
      <c r="B4482" s="7" t="s">
        <v>2297</v>
      </c>
      <c r="C4482" s="7">
        <f>5+1</f>
        <v>6</v>
      </c>
      <c r="D4482" s="7">
        <v>6.0</v>
      </c>
      <c r="E4482" s="7">
        <v>4.0</v>
      </c>
      <c r="F4482" s="7" t="s">
        <v>61</v>
      </c>
      <c r="G4482" s="7" t="s">
        <v>271</v>
      </c>
      <c r="H4482" s="9" t="s">
        <v>2981</v>
      </c>
      <c r="I4482" t="s">
        <v>3085</v>
      </c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  <c r="AA4482" s="7"/>
      <c r="AB4482" s="7"/>
      <c r="AC4482" s="7"/>
      <c r="AD4482" s="7" t="str">
        <f t="shared" si="1"/>
        <v>Land area </v>
      </c>
      <c r="AE4482" s="7" t="str">
        <f t="shared" si="2"/>
        <v> sq. ft.</v>
      </c>
      <c r="AF4482">
        <f>IFERROR(__xludf.DUMMYFUNCTION("VALUE(REGEXREPLACE(G4482,""[^[:digit:]]"", """"))"),7500.0)</f>
        <v>7500</v>
      </c>
      <c r="AG4482" s="7"/>
      <c r="AH4482" s="7"/>
      <c r="AI4482" s="7"/>
      <c r="AJ4482" s="7"/>
      <c r="AK4482" s="7"/>
      <c r="AL4482" s="7"/>
      <c r="AM4482" s="7"/>
      <c r="AN4482" s="7"/>
      <c r="AO4482" s="7"/>
      <c r="AP4482" s="7"/>
      <c r="AQ4482" s="7"/>
      <c r="AR4482" s="7"/>
      <c r="AS4482" s="7" t="s">
        <v>103</v>
      </c>
    </row>
    <row r="4483">
      <c r="A4483" s="7" t="s">
        <v>180</v>
      </c>
      <c r="B4483" s="7" t="s">
        <v>277</v>
      </c>
      <c r="C4483" s="7">
        <f>2+1</f>
        <v>3</v>
      </c>
      <c r="D4483" s="7">
        <v>4.0</v>
      </c>
      <c r="E4483" s="9">
        <v>2.0</v>
      </c>
      <c r="F4483" s="7" t="s">
        <v>93</v>
      </c>
      <c r="G4483" s="7" t="s">
        <v>2764</v>
      </c>
      <c r="H4483" s="9" t="s">
        <v>2979</v>
      </c>
      <c r="I4483" t="s">
        <v>4516</v>
      </c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  <c r="AA4483" s="7"/>
      <c r="AB4483" s="7"/>
      <c r="AC4483" s="7"/>
      <c r="AD4483" s="7" t="str">
        <f t="shared" si="1"/>
        <v>Built-up :</v>
      </c>
      <c r="AE4483" s="7" t="str">
        <f t="shared" si="2"/>
        <v> sq. ft.</v>
      </c>
      <c r="AF4483">
        <f>IFERROR(__xludf.DUMMYFUNCTION("VALUE(REGEXREPLACE(G4483,""[^[:digit:]]"", """"))"),2278.0)</f>
        <v>2278</v>
      </c>
      <c r="AG4483" s="7"/>
      <c r="AH4483" s="7"/>
      <c r="AI4483" s="7"/>
      <c r="AJ4483" s="7"/>
      <c r="AK4483" s="7"/>
      <c r="AL4483" s="7"/>
      <c r="AM4483" s="7"/>
      <c r="AN4483" s="7"/>
      <c r="AO4483" s="7"/>
      <c r="AP4483" s="7"/>
      <c r="AQ4483" s="7"/>
      <c r="AR4483" s="7"/>
      <c r="AS4483" s="7" t="s">
        <v>27</v>
      </c>
    </row>
    <row r="4484">
      <c r="A4484" s="7" t="s">
        <v>72</v>
      </c>
      <c r="B4484" s="7" t="s">
        <v>327</v>
      </c>
      <c r="C4484" s="7">
        <f>4</f>
        <v>4</v>
      </c>
      <c r="D4484" s="7">
        <v>4.0</v>
      </c>
      <c r="E4484" s="7">
        <v>3.0</v>
      </c>
      <c r="F4484" s="7" t="s">
        <v>30</v>
      </c>
      <c r="G4484" s="7" t="s">
        <v>176</v>
      </c>
      <c r="H4484" s="9" t="s">
        <v>2979</v>
      </c>
      <c r="I4484" t="s">
        <v>3039</v>
      </c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  <c r="AA4484" s="7"/>
      <c r="AB4484" s="7"/>
      <c r="AC4484" s="7"/>
      <c r="AD4484" s="7" t="str">
        <f t="shared" si="1"/>
        <v>Built-up :</v>
      </c>
      <c r="AE4484" s="7" t="str">
        <f t="shared" si="2"/>
        <v> sq. ft.</v>
      </c>
      <c r="AF4484">
        <f>IFERROR(__xludf.DUMMYFUNCTION("VALUE(REGEXREPLACE(G4484,""[^[:digit:]]"", """"))"),3000.0)</f>
        <v>3000</v>
      </c>
      <c r="AG4484" s="7"/>
      <c r="AH4484" s="7"/>
      <c r="AI4484" s="7"/>
      <c r="AJ4484" s="7"/>
      <c r="AK4484" s="7"/>
      <c r="AL4484" s="7"/>
      <c r="AM4484" s="7"/>
      <c r="AN4484" s="7"/>
      <c r="AO4484" s="7"/>
      <c r="AP4484" s="7"/>
      <c r="AQ4484" s="7"/>
      <c r="AR4484" s="7"/>
      <c r="AS4484" s="7" t="s">
        <v>27</v>
      </c>
    </row>
    <row r="4485">
      <c r="A4485" s="7" t="s">
        <v>23</v>
      </c>
      <c r="B4485" s="7" t="s">
        <v>1238</v>
      </c>
      <c r="C4485" s="7">
        <f>8+1</f>
        <v>9</v>
      </c>
      <c r="D4485" s="7">
        <v>7.0</v>
      </c>
      <c r="E4485" s="7">
        <v>6.0</v>
      </c>
      <c r="F4485" s="7" t="s">
        <v>67</v>
      </c>
      <c r="G4485" s="7" t="s">
        <v>2483</v>
      </c>
      <c r="H4485" s="9" t="s">
        <v>2981</v>
      </c>
      <c r="I4485" t="s">
        <v>4344</v>
      </c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  <c r="AA4485" s="7"/>
      <c r="AB4485" s="7"/>
      <c r="AC4485" s="7"/>
      <c r="AD4485" s="7" t="str">
        <f t="shared" si="1"/>
        <v>Land area </v>
      </c>
      <c r="AE4485" s="7" t="str">
        <f t="shared" si="2"/>
        <v> sq. ft.</v>
      </c>
      <c r="AF4485">
        <f>IFERROR(__xludf.DUMMYFUNCTION("VALUE(REGEXREPLACE(G4485,""[^[:digit:]]"", """"))"),30000.0)</f>
        <v>30000</v>
      </c>
      <c r="AG4485" s="7"/>
      <c r="AH4485" s="7"/>
      <c r="AI4485" s="7"/>
      <c r="AJ4485" s="7"/>
      <c r="AK4485" s="7"/>
      <c r="AL4485" s="7"/>
      <c r="AM4485" s="7"/>
      <c r="AN4485" s="7"/>
      <c r="AO4485" s="7"/>
      <c r="AP4485" s="7"/>
      <c r="AQ4485" s="7"/>
      <c r="AR4485" s="7"/>
      <c r="AS4485" s="7" t="s">
        <v>27</v>
      </c>
    </row>
    <row r="4486">
      <c r="A4486" s="7" t="s">
        <v>72</v>
      </c>
      <c r="B4486" s="7" t="s">
        <v>2765</v>
      </c>
      <c r="C4486" s="7">
        <f>4+1</f>
        <v>5</v>
      </c>
      <c r="D4486" s="7">
        <v>6.0</v>
      </c>
      <c r="E4486" s="9">
        <v>2.0</v>
      </c>
      <c r="F4486" s="7" t="s">
        <v>30</v>
      </c>
      <c r="G4486" s="7" t="s">
        <v>2766</v>
      </c>
      <c r="H4486" s="9" t="s">
        <v>2979</v>
      </c>
      <c r="I4486" t="s">
        <v>4517</v>
      </c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  <c r="AA4486" s="7"/>
      <c r="AB4486" s="7"/>
      <c r="AC4486" s="7"/>
      <c r="AD4486" s="7" t="str">
        <f t="shared" si="1"/>
        <v>Built-up :</v>
      </c>
      <c r="AE4486" s="7" t="str">
        <f t="shared" si="2"/>
        <v> sq. ft.</v>
      </c>
      <c r="AF4486">
        <f>IFERROR(__xludf.DUMMYFUNCTION("VALUE(REGEXREPLACE(G4486,""[^[:digit:]]"", """"))"),2496.0)</f>
        <v>2496</v>
      </c>
      <c r="AG4486" s="7"/>
      <c r="AH4486" s="7"/>
      <c r="AI4486" s="7"/>
      <c r="AJ4486" s="7"/>
      <c r="AK4486" s="7"/>
      <c r="AL4486" s="7"/>
      <c r="AM4486" s="7"/>
      <c r="AN4486" s="7"/>
      <c r="AO4486" s="7"/>
      <c r="AP4486" s="7"/>
      <c r="AQ4486" s="7"/>
      <c r="AR4486" s="7"/>
      <c r="AS4486" s="7" t="s">
        <v>22</v>
      </c>
    </row>
    <row r="4487">
      <c r="A4487" s="7" t="s">
        <v>23</v>
      </c>
      <c r="B4487" s="7" t="s">
        <v>858</v>
      </c>
      <c r="C4487" s="7">
        <f>5+1</f>
        <v>6</v>
      </c>
      <c r="D4487" s="7">
        <v>6.0</v>
      </c>
      <c r="E4487" s="7">
        <v>5.0</v>
      </c>
      <c r="F4487" s="7" t="s">
        <v>25</v>
      </c>
      <c r="G4487" s="7" t="s">
        <v>2767</v>
      </c>
      <c r="H4487" s="9" t="s">
        <v>2981</v>
      </c>
      <c r="I4487" t="s">
        <v>4518</v>
      </c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  <c r="AA4487" s="7"/>
      <c r="AB4487" s="7"/>
      <c r="AC4487" s="7"/>
      <c r="AD4487" s="7" t="str">
        <f t="shared" si="1"/>
        <v>Land area </v>
      </c>
      <c r="AE4487" s="7" t="str">
        <f t="shared" si="2"/>
        <v> sq. ft.</v>
      </c>
      <c r="AF4487">
        <f>IFERROR(__xludf.DUMMYFUNCTION("VALUE(REGEXREPLACE(G4487,""[^[:digit:]]"", """"))"),8365.0)</f>
        <v>8365</v>
      </c>
      <c r="AG4487" s="7"/>
      <c r="AH4487" s="7"/>
      <c r="AI4487" s="7"/>
      <c r="AJ4487" s="7"/>
      <c r="AK4487" s="7"/>
      <c r="AL4487" s="7"/>
      <c r="AM4487" s="7"/>
      <c r="AN4487" s="7"/>
      <c r="AO4487" s="7"/>
      <c r="AP4487" s="7"/>
      <c r="AQ4487" s="7"/>
      <c r="AR4487" s="7"/>
      <c r="AS4487" s="7" t="s">
        <v>103</v>
      </c>
    </row>
    <row r="4488">
      <c r="A4488" s="7" t="s">
        <v>177</v>
      </c>
      <c r="B4488" s="7" t="s">
        <v>779</v>
      </c>
      <c r="C4488" s="7">
        <f t="shared" ref="C4488:C4489" si="625">6+1</f>
        <v>7</v>
      </c>
      <c r="D4488" s="7">
        <v>8.0</v>
      </c>
      <c r="E4488" s="7">
        <v>5.0</v>
      </c>
      <c r="F4488" s="7" t="s">
        <v>61</v>
      </c>
      <c r="G4488" s="7" t="s">
        <v>780</v>
      </c>
      <c r="H4488" s="9" t="s">
        <v>2981</v>
      </c>
      <c r="I4488" t="s">
        <v>3335</v>
      </c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  <c r="AA4488" s="7"/>
      <c r="AB4488" s="7"/>
      <c r="AC4488" s="7"/>
      <c r="AD4488" s="7" t="str">
        <f t="shared" si="1"/>
        <v>Land area </v>
      </c>
      <c r="AE4488" s="7" t="str">
        <f t="shared" si="2"/>
        <v> sq. ft.</v>
      </c>
      <c r="AF4488">
        <f>IFERROR(__xludf.DUMMYFUNCTION("VALUE(REGEXREPLACE(G4488,""[^[:digit:]]"", """"))"),15000.0)</f>
        <v>15000</v>
      </c>
      <c r="AG4488" s="7"/>
      <c r="AH4488" s="7"/>
      <c r="AI4488" s="7"/>
      <c r="AJ4488" s="7"/>
      <c r="AK4488" s="7"/>
      <c r="AL4488" s="7"/>
      <c r="AM4488" s="7"/>
      <c r="AN4488" s="7"/>
      <c r="AO4488" s="7"/>
      <c r="AP4488" s="7"/>
      <c r="AQ4488" s="7"/>
      <c r="AR4488" s="7"/>
      <c r="AS4488" s="7" t="s">
        <v>27</v>
      </c>
    </row>
    <row r="4489">
      <c r="A4489" s="7" t="s">
        <v>177</v>
      </c>
      <c r="B4489" s="7" t="s">
        <v>2601</v>
      </c>
      <c r="C4489" s="7">
        <f t="shared" si="625"/>
        <v>7</v>
      </c>
      <c r="D4489" s="7">
        <v>7.0</v>
      </c>
      <c r="E4489" s="7">
        <v>5.0</v>
      </c>
      <c r="F4489" s="7" t="s">
        <v>25</v>
      </c>
      <c r="G4489" s="7" t="s">
        <v>2768</v>
      </c>
      <c r="H4489" s="9" t="s">
        <v>2981</v>
      </c>
      <c r="I4489" t="s">
        <v>4519</v>
      </c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  <c r="AA4489" s="7"/>
      <c r="AB4489" s="7"/>
      <c r="AC4489" s="7"/>
      <c r="AD4489" s="7" t="str">
        <f t="shared" si="1"/>
        <v>Land area </v>
      </c>
      <c r="AE4489" s="7" t="str">
        <f t="shared" si="2"/>
        <v> sq. ft.</v>
      </c>
      <c r="AF4489">
        <f>IFERROR(__xludf.DUMMYFUNCTION("VALUE(REGEXREPLACE(G4489,""[^[:digit:]]"", """"))"),14327.0)</f>
        <v>14327</v>
      </c>
      <c r="AG4489" s="7"/>
      <c r="AH4489" s="7"/>
      <c r="AI4489" s="7"/>
      <c r="AJ4489" s="7"/>
      <c r="AK4489" s="7"/>
      <c r="AL4489" s="7"/>
      <c r="AM4489" s="7"/>
      <c r="AN4489" s="7"/>
      <c r="AO4489" s="7"/>
      <c r="AP4489" s="7"/>
      <c r="AQ4489" s="7"/>
      <c r="AR4489" s="7"/>
    </row>
    <row r="4490">
      <c r="A4490" s="7" t="s">
        <v>177</v>
      </c>
      <c r="B4490" s="7" t="s">
        <v>658</v>
      </c>
      <c r="C4490" s="7">
        <f>4+2</f>
        <v>6</v>
      </c>
      <c r="D4490" s="7">
        <v>4.0</v>
      </c>
      <c r="E4490" s="7">
        <v>3.0</v>
      </c>
      <c r="F4490" s="7" t="s">
        <v>54</v>
      </c>
      <c r="G4490" s="7" t="s">
        <v>2769</v>
      </c>
      <c r="H4490" s="9" t="s">
        <v>2981</v>
      </c>
      <c r="I4490" t="s">
        <v>4520</v>
      </c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  <c r="AA4490" s="7"/>
      <c r="AB4490" s="7"/>
      <c r="AC4490" s="7"/>
      <c r="AD4490" s="7" t="str">
        <f t="shared" si="1"/>
        <v>Land area </v>
      </c>
      <c r="AE4490" s="7" t="str">
        <f t="shared" si="2"/>
        <v> sq. ft.</v>
      </c>
      <c r="AF4490">
        <f>IFERROR(__xludf.DUMMYFUNCTION("VALUE(REGEXREPLACE(G4490,""[^[:digit:]]"", """"))"),2029.0)</f>
        <v>2029</v>
      </c>
      <c r="AG4490" s="7"/>
      <c r="AH4490" s="7"/>
      <c r="AI4490" s="7"/>
      <c r="AJ4490" s="7"/>
      <c r="AK4490" s="7"/>
      <c r="AL4490" s="7"/>
      <c r="AM4490" s="7"/>
      <c r="AN4490" s="7"/>
      <c r="AO4490" s="7"/>
      <c r="AP4490" s="7"/>
      <c r="AQ4490" s="7"/>
      <c r="AR4490" s="7"/>
      <c r="AS4490" s="7" t="s">
        <v>27</v>
      </c>
    </row>
    <row r="4491">
      <c r="A4491" s="7" t="s">
        <v>65</v>
      </c>
      <c r="B4491" s="7" t="s">
        <v>2297</v>
      </c>
      <c r="C4491" s="7">
        <f>7+1</f>
        <v>8</v>
      </c>
      <c r="D4491" s="7">
        <v>8.0</v>
      </c>
      <c r="E4491" s="7">
        <v>6.0</v>
      </c>
      <c r="F4491" s="7" t="s">
        <v>25</v>
      </c>
      <c r="G4491" s="7" t="s">
        <v>593</v>
      </c>
      <c r="H4491" s="9" t="s">
        <v>2981</v>
      </c>
      <c r="I4491" t="s">
        <v>3239</v>
      </c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  <c r="AA4491" s="7"/>
      <c r="AB4491" s="7"/>
      <c r="AC4491" s="7"/>
      <c r="AD4491" s="7" t="str">
        <f t="shared" si="1"/>
        <v>Land area </v>
      </c>
      <c r="AE4491" s="7" t="str">
        <f t="shared" si="2"/>
        <v> sq. ft.</v>
      </c>
      <c r="AF4491">
        <f>IFERROR(__xludf.DUMMYFUNCTION("VALUE(REGEXREPLACE(G4491,""[^[:digit:]]"", """"))"),12000.0)</f>
        <v>12000</v>
      </c>
      <c r="AG4491" s="7"/>
      <c r="AH4491" s="7"/>
      <c r="AI4491" s="7"/>
      <c r="AJ4491" s="7"/>
      <c r="AK4491" s="7"/>
      <c r="AL4491" s="7"/>
      <c r="AM4491" s="7"/>
      <c r="AN4491" s="7"/>
      <c r="AO4491" s="7"/>
      <c r="AP4491" s="7"/>
      <c r="AQ4491" s="7"/>
      <c r="AR4491" s="7"/>
      <c r="AS4491" s="7" t="s">
        <v>103</v>
      </c>
    </row>
    <row r="4492">
      <c r="A4492" s="7" t="s">
        <v>23</v>
      </c>
      <c r="B4492" s="7" t="s">
        <v>465</v>
      </c>
      <c r="C4492" s="7">
        <f>5+1</f>
        <v>6</v>
      </c>
      <c r="D4492" s="7">
        <v>6.0</v>
      </c>
      <c r="E4492" s="9">
        <v>2.0</v>
      </c>
      <c r="F4492" s="7" t="s">
        <v>67</v>
      </c>
      <c r="G4492" s="7" t="s">
        <v>2770</v>
      </c>
      <c r="H4492" s="9" t="s">
        <v>2981</v>
      </c>
      <c r="I4492" t="s">
        <v>4521</v>
      </c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  <c r="AA4492" s="7"/>
      <c r="AB4492" s="7"/>
      <c r="AC4492" s="7"/>
      <c r="AD4492" s="7" t="str">
        <f t="shared" si="1"/>
        <v>Land area </v>
      </c>
      <c r="AE4492" s="7" t="str">
        <f t="shared" si="2"/>
        <v> sq. ft.</v>
      </c>
      <c r="AF4492">
        <f>IFERROR(__xludf.DUMMYFUNCTION("VALUE(REGEXREPLACE(G4492,""[^[:digit:]]"", """"))"),6670.0)</f>
        <v>6670</v>
      </c>
      <c r="AG4492" s="7"/>
      <c r="AH4492" s="7"/>
      <c r="AI4492" s="7"/>
      <c r="AJ4492" s="7"/>
      <c r="AK4492" s="7"/>
      <c r="AL4492" s="7"/>
      <c r="AM4492" s="7"/>
      <c r="AN4492" s="7"/>
      <c r="AO4492" s="7"/>
      <c r="AP4492" s="7"/>
      <c r="AQ4492" s="7"/>
      <c r="AR4492" s="7"/>
      <c r="AS4492" s="7" t="s">
        <v>27</v>
      </c>
    </row>
    <row r="4493">
      <c r="A4493" s="7" t="s">
        <v>72</v>
      </c>
      <c r="B4493" s="7" t="s">
        <v>1180</v>
      </c>
      <c r="C4493" s="7">
        <f>4+2</f>
        <v>6</v>
      </c>
      <c r="D4493" s="7">
        <v>6.0</v>
      </c>
      <c r="E4493" s="9">
        <v>2.0</v>
      </c>
      <c r="F4493" s="7" t="s">
        <v>300</v>
      </c>
      <c r="G4493" s="7" t="s">
        <v>2771</v>
      </c>
      <c r="H4493" s="9" t="s">
        <v>2981</v>
      </c>
      <c r="I4493" t="s">
        <v>4522</v>
      </c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  <c r="AA4493" s="7"/>
      <c r="AB4493" s="7"/>
      <c r="AC4493" s="7"/>
      <c r="AD4493" s="7" t="str">
        <f t="shared" si="1"/>
        <v>Land area </v>
      </c>
      <c r="AE4493" s="7" t="str">
        <f t="shared" si="2"/>
        <v> sq. ft.</v>
      </c>
      <c r="AF4493">
        <f>IFERROR(__xludf.DUMMYFUNCTION("VALUE(REGEXREPLACE(G4493,""[^[:digit:]]"", """"))"),1389.0)</f>
        <v>1389</v>
      </c>
      <c r="AG4493" s="7"/>
      <c r="AH4493" s="7"/>
      <c r="AI4493" s="7"/>
      <c r="AJ4493" s="7"/>
      <c r="AK4493" s="7"/>
      <c r="AL4493" s="7"/>
      <c r="AM4493" s="7"/>
      <c r="AN4493" s="7"/>
      <c r="AO4493" s="7"/>
      <c r="AP4493" s="7"/>
      <c r="AQ4493" s="7"/>
      <c r="AR4493" s="7"/>
      <c r="AS4493" s="7" t="s">
        <v>27</v>
      </c>
    </row>
    <row r="4494">
      <c r="A4494" s="7" t="s">
        <v>180</v>
      </c>
      <c r="B4494" s="7" t="s">
        <v>411</v>
      </c>
      <c r="C4494" s="7">
        <f>2+2</f>
        <v>4</v>
      </c>
      <c r="D4494" s="7">
        <v>4.0</v>
      </c>
      <c r="E4494" s="9">
        <v>2.0</v>
      </c>
      <c r="F4494" s="7" t="s">
        <v>93</v>
      </c>
      <c r="G4494" s="7" t="s">
        <v>2772</v>
      </c>
      <c r="H4494" s="9" t="s">
        <v>2979</v>
      </c>
      <c r="I4494" t="s">
        <v>4523</v>
      </c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  <c r="AA4494" s="7"/>
      <c r="AB4494" s="7"/>
      <c r="AC4494" s="7"/>
      <c r="AD4494" s="7" t="str">
        <f t="shared" si="1"/>
        <v>Built-up :</v>
      </c>
      <c r="AE4494" s="7" t="str">
        <f t="shared" si="2"/>
        <v> sq. ft.</v>
      </c>
      <c r="AF4494">
        <f>IFERROR(__xludf.DUMMYFUNCTION("VALUE(REGEXREPLACE(G4494,""[^[:digit:]]"", """"))"),2247.0)</f>
        <v>2247</v>
      </c>
      <c r="AG4494" s="7"/>
      <c r="AH4494" s="7"/>
      <c r="AI4494" s="7"/>
      <c r="AJ4494" s="7"/>
      <c r="AK4494" s="7"/>
      <c r="AL4494" s="7"/>
      <c r="AM4494" s="7"/>
      <c r="AN4494" s="7"/>
      <c r="AO4494" s="7"/>
      <c r="AP4494" s="7"/>
      <c r="AQ4494" s="7"/>
      <c r="AR4494" s="7"/>
      <c r="AS4494" s="7" t="s">
        <v>27</v>
      </c>
    </row>
    <row r="4495">
      <c r="A4495" s="7" t="s">
        <v>180</v>
      </c>
      <c r="B4495" s="7" t="s">
        <v>484</v>
      </c>
      <c r="C4495" s="7">
        <f>3+1</f>
        <v>4</v>
      </c>
      <c r="D4495" s="7">
        <v>6.0</v>
      </c>
      <c r="E4495" s="9">
        <v>2.0</v>
      </c>
      <c r="F4495" s="7" t="s">
        <v>30</v>
      </c>
      <c r="G4495" s="7" t="s">
        <v>1027</v>
      </c>
      <c r="H4495" s="9" t="s">
        <v>2979</v>
      </c>
      <c r="I4495" t="s">
        <v>3463</v>
      </c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  <c r="AA4495" s="7"/>
      <c r="AB4495" s="7"/>
      <c r="AC4495" s="7"/>
      <c r="AD4495" s="7" t="str">
        <f t="shared" si="1"/>
        <v>Built-up :</v>
      </c>
      <c r="AE4495" s="7" t="str">
        <f t="shared" si="2"/>
        <v> sq. ft.</v>
      </c>
      <c r="AF4495">
        <f>IFERROR(__xludf.DUMMYFUNCTION("VALUE(REGEXREPLACE(G4495,""[^[:digit:]]"", """"))"),3200.0)</f>
        <v>3200</v>
      </c>
      <c r="AG4495" s="7"/>
      <c r="AH4495" s="7"/>
      <c r="AI4495" s="7"/>
      <c r="AJ4495" s="7"/>
      <c r="AK4495" s="7"/>
      <c r="AL4495" s="7"/>
      <c r="AM4495" s="7"/>
      <c r="AN4495" s="7"/>
      <c r="AO4495" s="7"/>
      <c r="AP4495" s="7"/>
      <c r="AQ4495" s="7"/>
      <c r="AR4495" s="7"/>
      <c r="AS4495" s="7" t="s">
        <v>27</v>
      </c>
    </row>
    <row r="4496">
      <c r="A4496" s="7" t="s">
        <v>358</v>
      </c>
      <c r="B4496" s="7" t="s">
        <v>641</v>
      </c>
      <c r="C4496" s="7">
        <f>3</f>
        <v>3</v>
      </c>
      <c r="D4496" s="7">
        <v>2.0</v>
      </c>
      <c r="E4496" s="7">
        <v>2.0</v>
      </c>
      <c r="F4496" s="7" t="s">
        <v>93</v>
      </c>
      <c r="G4496" s="7" t="s">
        <v>2773</v>
      </c>
      <c r="H4496" s="9" t="s">
        <v>2979</v>
      </c>
      <c r="I4496" t="s">
        <v>4524</v>
      </c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  <c r="AA4496" s="7"/>
      <c r="AB4496" s="7"/>
      <c r="AC4496" s="7"/>
      <c r="AD4496" s="7" t="str">
        <f t="shared" si="1"/>
        <v>Built-up :</v>
      </c>
      <c r="AE4496" s="7" t="str">
        <f t="shared" si="2"/>
        <v> sq. ft.</v>
      </c>
      <c r="AF4496">
        <f>IFERROR(__xludf.DUMMYFUNCTION("VALUE(REGEXREPLACE(G4496,""[^[:digit:]]"", """"))"),1314.0)</f>
        <v>1314</v>
      </c>
      <c r="AG4496" s="7"/>
      <c r="AH4496" s="7"/>
      <c r="AI4496" s="7"/>
      <c r="AJ4496" s="7"/>
      <c r="AK4496" s="7"/>
      <c r="AL4496" s="7"/>
      <c r="AM4496" s="7"/>
      <c r="AN4496" s="7"/>
      <c r="AO4496" s="7"/>
      <c r="AP4496" s="7"/>
      <c r="AQ4496" s="7"/>
      <c r="AR4496" s="7"/>
      <c r="AS4496" s="7" t="s">
        <v>27</v>
      </c>
    </row>
    <row r="4497">
      <c r="A4497" s="7" t="s">
        <v>358</v>
      </c>
      <c r="B4497" s="7" t="s">
        <v>899</v>
      </c>
      <c r="C4497" s="7">
        <f t="shared" ref="C4497:C4498" si="626">3+1</f>
        <v>4</v>
      </c>
      <c r="D4497" s="7">
        <v>4.0</v>
      </c>
      <c r="E4497" s="7">
        <v>2.0</v>
      </c>
      <c r="F4497" s="7" t="s">
        <v>93</v>
      </c>
      <c r="G4497" s="7" t="s">
        <v>1411</v>
      </c>
      <c r="H4497" s="9" t="s">
        <v>2979</v>
      </c>
      <c r="I4497" t="s">
        <v>3696</v>
      </c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  <c r="AA4497" s="7"/>
      <c r="AB4497" s="7"/>
      <c r="AC4497" s="7"/>
      <c r="AD4497" s="7" t="str">
        <f t="shared" si="1"/>
        <v>Built-up :</v>
      </c>
      <c r="AE4497" s="7" t="str">
        <f t="shared" si="2"/>
        <v> sq. ft.</v>
      </c>
      <c r="AF4497">
        <f>IFERROR(__xludf.DUMMYFUNCTION("VALUE(REGEXREPLACE(G4497,""[^[:digit:]]"", """"))"),1788.0)</f>
        <v>1788</v>
      </c>
      <c r="AG4497" s="7"/>
      <c r="AH4497" s="7"/>
      <c r="AI4497" s="7"/>
      <c r="AJ4497" s="7"/>
      <c r="AK4497" s="7"/>
      <c r="AL4497" s="7"/>
      <c r="AM4497" s="7"/>
      <c r="AN4497" s="7"/>
      <c r="AO4497" s="7"/>
      <c r="AP4497" s="7"/>
      <c r="AQ4497" s="7"/>
      <c r="AR4497" s="7"/>
      <c r="AS4497" s="7" t="s">
        <v>27</v>
      </c>
    </row>
    <row r="4498">
      <c r="A4498" s="7" t="s">
        <v>358</v>
      </c>
      <c r="B4498" s="7" t="s">
        <v>329</v>
      </c>
      <c r="C4498" s="7">
        <f t="shared" si="626"/>
        <v>4</v>
      </c>
      <c r="D4498" s="7">
        <v>4.0</v>
      </c>
      <c r="E4498" s="7">
        <v>2.0</v>
      </c>
      <c r="F4498" s="7" t="s">
        <v>30</v>
      </c>
      <c r="G4498" s="7" t="s">
        <v>2036</v>
      </c>
      <c r="H4498" s="9" t="s">
        <v>2979</v>
      </c>
      <c r="I4498" t="s">
        <v>4071</v>
      </c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  <c r="AA4498" s="7"/>
      <c r="AB4498" s="7"/>
      <c r="AC4498" s="7"/>
      <c r="AD4498" s="7" t="str">
        <f t="shared" si="1"/>
        <v>Built-up :</v>
      </c>
      <c r="AE4498" s="7" t="str">
        <f t="shared" si="2"/>
        <v> sq. ft.</v>
      </c>
      <c r="AF4498">
        <f>IFERROR(__xludf.DUMMYFUNCTION("VALUE(REGEXREPLACE(G4498,""[^[:digit:]]"", """"))"),1856.0)</f>
        <v>1856</v>
      </c>
      <c r="AG4498" s="7"/>
      <c r="AH4498" s="7"/>
      <c r="AI4498" s="7"/>
      <c r="AJ4498" s="7"/>
      <c r="AK4498" s="7"/>
      <c r="AL4498" s="7"/>
      <c r="AM4498" s="7"/>
      <c r="AN4498" s="7"/>
      <c r="AO4498" s="7"/>
      <c r="AP4498" s="7"/>
      <c r="AQ4498" s="7"/>
      <c r="AR4498" s="7"/>
      <c r="AS4498" s="7" t="s">
        <v>27</v>
      </c>
    </row>
    <row r="4499">
      <c r="A4499" s="7" t="s">
        <v>28</v>
      </c>
      <c r="B4499" s="7" t="s">
        <v>2774</v>
      </c>
      <c r="C4499" s="7">
        <f>3</f>
        <v>3</v>
      </c>
      <c r="D4499" s="7">
        <v>3.0</v>
      </c>
      <c r="E4499" s="7">
        <v>1.0</v>
      </c>
      <c r="F4499" s="7" t="s">
        <v>30</v>
      </c>
      <c r="G4499" s="7" t="s">
        <v>2775</v>
      </c>
      <c r="H4499" s="9" t="s">
        <v>2979</v>
      </c>
      <c r="I4499" t="s">
        <v>4525</v>
      </c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  <c r="AA4499" s="7"/>
      <c r="AB4499" s="7"/>
      <c r="AC4499" s="7"/>
      <c r="AD4499" s="7" t="str">
        <f t="shared" si="1"/>
        <v>Built-up :</v>
      </c>
      <c r="AE4499" s="7" t="str">
        <f t="shared" si="2"/>
        <v> sq. ft.</v>
      </c>
      <c r="AF4499">
        <f>IFERROR(__xludf.DUMMYFUNCTION("VALUE(REGEXREPLACE(G4499,""[^[:digit:]]"", """"))"),1616.0)</f>
        <v>1616</v>
      </c>
      <c r="AG4499" s="7"/>
      <c r="AH4499" s="7"/>
      <c r="AI4499" s="7"/>
      <c r="AJ4499" s="7"/>
      <c r="AK4499" s="7"/>
      <c r="AL4499" s="7"/>
      <c r="AM4499" s="7"/>
      <c r="AN4499" s="7"/>
      <c r="AO4499" s="7"/>
      <c r="AP4499" s="7"/>
      <c r="AQ4499" s="7"/>
      <c r="AR4499" s="7"/>
      <c r="AS4499" s="7" t="s">
        <v>27</v>
      </c>
    </row>
    <row r="4500">
      <c r="A4500" s="7" t="s">
        <v>104</v>
      </c>
      <c r="B4500" s="7" t="s">
        <v>1786</v>
      </c>
      <c r="C4500" s="7">
        <f t="shared" ref="C4500:C4501" si="627">4</f>
        <v>4</v>
      </c>
      <c r="D4500" s="7">
        <v>3.0</v>
      </c>
      <c r="E4500" s="9">
        <v>2.0</v>
      </c>
      <c r="F4500" s="7" t="s">
        <v>169</v>
      </c>
      <c r="G4500" s="7" t="s">
        <v>2776</v>
      </c>
      <c r="H4500" s="9" t="s">
        <v>2981</v>
      </c>
      <c r="I4500" t="s">
        <v>4021</v>
      </c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  <c r="AA4500" s="7"/>
      <c r="AB4500" s="7"/>
      <c r="AC4500" s="7"/>
      <c r="AD4500" s="7" t="str">
        <f t="shared" si="1"/>
        <v>Land area </v>
      </c>
      <c r="AE4500" s="7" t="str">
        <f t="shared" si="2"/>
        <v> sq. ft.</v>
      </c>
      <c r="AF4500">
        <f>IFERROR(__xludf.DUMMYFUNCTION("VALUE(REGEXREPLACE(G4500,""[^[:digit:]]"", """"))"),2085.0)</f>
        <v>2085</v>
      </c>
      <c r="AG4500" s="7"/>
      <c r="AH4500" s="7"/>
      <c r="AI4500" s="7"/>
      <c r="AJ4500" s="7"/>
      <c r="AK4500" s="7"/>
      <c r="AL4500" s="7"/>
      <c r="AM4500" s="7"/>
      <c r="AN4500" s="7"/>
      <c r="AO4500" s="7"/>
      <c r="AP4500" s="7"/>
      <c r="AQ4500" s="7"/>
      <c r="AR4500" s="7"/>
    </row>
    <row r="4501">
      <c r="A4501" s="7" t="s">
        <v>104</v>
      </c>
      <c r="B4501" s="7" t="s">
        <v>407</v>
      </c>
      <c r="C4501" s="7">
        <f t="shared" si="627"/>
        <v>4</v>
      </c>
      <c r="D4501" s="7">
        <v>3.0</v>
      </c>
      <c r="E4501" s="9">
        <v>2.0</v>
      </c>
      <c r="F4501" s="7" t="s">
        <v>54</v>
      </c>
      <c r="G4501" s="7" t="s">
        <v>719</v>
      </c>
      <c r="H4501" s="9" t="s">
        <v>2981</v>
      </c>
      <c r="I4501" t="s">
        <v>3299</v>
      </c>
      <c r="J4501" s="7"/>
      <c r="K4501" s="7"/>
      <c r="L4501" s="7"/>
      <c r="M4501" s="7"/>
      <c r="N4501" s="7"/>
      <c r="O4501" s="7"/>
      <c r="P4501" s="7"/>
      <c r="Q4501" s="7"/>
      <c r="R4501" s="7"/>
      <c r="S4501" s="7" t="s">
        <v>3101</v>
      </c>
      <c r="T4501" s="7"/>
      <c r="U4501" s="7"/>
      <c r="V4501" s="7"/>
      <c r="W4501" s="7"/>
      <c r="X4501" s="7"/>
      <c r="Y4501" s="7"/>
      <c r="Z4501" s="7"/>
      <c r="AA4501" s="7"/>
      <c r="AB4501" s="7"/>
      <c r="AC4501" s="7"/>
      <c r="AD4501" s="7" t="str">
        <f t="shared" si="1"/>
        <v>Land area </v>
      </c>
      <c r="AE4501" s="7" t="str">
        <f t="shared" si="2"/>
        <v> sq. ft.</v>
      </c>
      <c r="AF4501">
        <f>IFERROR(__xludf.DUMMYFUNCTION("VALUE(REGEXREPLACE(G4501,""[^[:digit:]]"", """"))"),2285.0)</f>
        <v>2285</v>
      </c>
      <c r="AG4501" s="7"/>
      <c r="AH4501" s="7"/>
      <c r="AI4501" s="7"/>
      <c r="AJ4501" s="7"/>
      <c r="AK4501" s="7"/>
      <c r="AL4501" s="7"/>
      <c r="AM4501" s="7"/>
      <c r="AN4501" s="7"/>
      <c r="AO4501" s="7"/>
      <c r="AP4501" s="7"/>
      <c r="AQ4501" s="7"/>
      <c r="AR4501" s="7"/>
      <c r="AS4501" s="7" t="s">
        <v>27</v>
      </c>
    </row>
    <row r="4502">
      <c r="A4502" s="7" t="s">
        <v>2777</v>
      </c>
      <c r="B4502" s="7" t="s">
        <v>78</v>
      </c>
      <c r="C4502" s="7">
        <f>5</f>
        <v>5</v>
      </c>
      <c r="D4502" s="7">
        <v>3.0</v>
      </c>
      <c r="E4502" s="9">
        <v>2.0</v>
      </c>
      <c r="F4502" s="7" t="s">
        <v>169</v>
      </c>
      <c r="G4502" s="7" t="s">
        <v>1508</v>
      </c>
      <c r="H4502" s="9" t="s">
        <v>2981</v>
      </c>
      <c r="I4502" t="s">
        <v>3574</v>
      </c>
      <c r="J4502" s="7"/>
      <c r="K4502" s="7"/>
      <c r="L4502" s="7"/>
      <c r="M4502" s="7"/>
      <c r="N4502" s="7"/>
      <c r="O4502" s="7"/>
      <c r="P4502" s="7"/>
      <c r="Q4502" s="7"/>
      <c r="R4502" s="7"/>
      <c r="S4502" s="7" t="s">
        <v>3188</v>
      </c>
      <c r="T4502" s="7"/>
      <c r="U4502" s="7"/>
      <c r="V4502" s="7"/>
      <c r="W4502" s="7"/>
      <c r="X4502" s="7"/>
      <c r="Y4502" s="7"/>
      <c r="Z4502" s="7"/>
      <c r="AA4502" s="7"/>
      <c r="AB4502" s="7"/>
      <c r="AC4502" s="7"/>
      <c r="AD4502" s="7" t="str">
        <f t="shared" si="1"/>
        <v>Land area </v>
      </c>
      <c r="AE4502" s="7" t="str">
        <f t="shared" si="2"/>
        <v> sq. ft.</v>
      </c>
      <c r="AF4502">
        <f>IFERROR(__xludf.DUMMYFUNCTION("VALUE(REGEXREPLACE(G4502,""[^[:digit:]]"", """"))"),5090.0)</f>
        <v>5090</v>
      </c>
      <c r="AG4502" s="7"/>
      <c r="AH4502" s="7"/>
      <c r="AI4502" s="7"/>
      <c r="AJ4502" s="7"/>
      <c r="AK4502" s="7"/>
      <c r="AL4502" s="7"/>
      <c r="AM4502" s="7"/>
      <c r="AN4502" s="7"/>
      <c r="AO4502" s="7"/>
      <c r="AP4502" s="7"/>
      <c r="AQ4502" s="7"/>
      <c r="AR4502" s="7"/>
    </row>
    <row r="4503">
      <c r="A4503" s="7" t="s">
        <v>32</v>
      </c>
      <c r="B4503" s="7" t="s">
        <v>890</v>
      </c>
      <c r="C4503" s="7">
        <f t="shared" ref="C4503:C4504" si="628">4</f>
        <v>4</v>
      </c>
      <c r="D4503" s="7">
        <v>2.0</v>
      </c>
      <c r="E4503" s="7">
        <v>2.0</v>
      </c>
      <c r="F4503" s="7" t="s">
        <v>83</v>
      </c>
      <c r="G4503" s="7" t="s">
        <v>747</v>
      </c>
      <c r="H4503" s="9" t="s">
        <v>2979</v>
      </c>
      <c r="I4503" t="s">
        <v>3318</v>
      </c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  <c r="AA4503" s="7"/>
      <c r="AB4503" s="7"/>
      <c r="AC4503" s="7"/>
      <c r="AD4503" s="7" t="str">
        <f t="shared" si="1"/>
        <v>Built-up :</v>
      </c>
      <c r="AE4503" s="7" t="str">
        <f t="shared" si="2"/>
        <v> sq. ft.</v>
      </c>
      <c r="AF4503">
        <f>IFERROR(__xludf.DUMMYFUNCTION("VALUE(REGEXREPLACE(G4503,""[^[:digit:]]"", """"))"),1000.0)</f>
        <v>1000</v>
      </c>
      <c r="AG4503" s="7"/>
      <c r="AH4503" s="7"/>
      <c r="AI4503" s="7"/>
      <c r="AJ4503" s="7"/>
      <c r="AK4503" s="7"/>
      <c r="AL4503" s="7"/>
      <c r="AM4503" s="7"/>
      <c r="AN4503" s="7"/>
      <c r="AO4503" s="7"/>
      <c r="AP4503" s="7"/>
      <c r="AQ4503" s="7"/>
      <c r="AR4503" s="7"/>
      <c r="AS4503" s="7" t="s">
        <v>27</v>
      </c>
    </row>
    <row r="4504">
      <c r="A4504" s="7" t="s">
        <v>32</v>
      </c>
      <c r="B4504" s="7" t="s">
        <v>890</v>
      </c>
      <c r="C4504" s="7">
        <f t="shared" si="628"/>
        <v>4</v>
      </c>
      <c r="D4504" s="7">
        <v>2.0</v>
      </c>
      <c r="E4504" s="7">
        <v>2.0</v>
      </c>
      <c r="F4504" s="7" t="s">
        <v>83</v>
      </c>
      <c r="G4504" s="7" t="s">
        <v>747</v>
      </c>
      <c r="H4504" s="9" t="s">
        <v>2979</v>
      </c>
      <c r="I4504" t="s">
        <v>3318</v>
      </c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  <c r="AA4504" s="7"/>
      <c r="AB4504" s="7"/>
      <c r="AC4504" s="7"/>
      <c r="AD4504" s="7" t="str">
        <f t="shared" si="1"/>
        <v>Built-up :</v>
      </c>
      <c r="AE4504" s="7" t="str">
        <f t="shared" si="2"/>
        <v> sq. ft.</v>
      </c>
      <c r="AF4504">
        <f>IFERROR(__xludf.DUMMYFUNCTION("VALUE(REGEXREPLACE(G4504,""[^[:digit:]]"", """"))"),1000.0)</f>
        <v>1000</v>
      </c>
      <c r="AG4504" s="7"/>
      <c r="AH4504" s="7"/>
      <c r="AI4504" s="7"/>
      <c r="AJ4504" s="7"/>
      <c r="AK4504" s="7"/>
      <c r="AL4504" s="7"/>
      <c r="AM4504" s="7"/>
      <c r="AN4504" s="7"/>
      <c r="AO4504" s="7"/>
      <c r="AP4504" s="7"/>
      <c r="AQ4504" s="7"/>
      <c r="AR4504" s="7"/>
      <c r="AS4504" s="7" t="s">
        <v>27</v>
      </c>
    </row>
    <row r="4505">
      <c r="A4505" s="7" t="s">
        <v>2237</v>
      </c>
      <c r="B4505" s="7" t="s">
        <v>890</v>
      </c>
      <c r="C4505" s="7">
        <f>3</f>
        <v>3</v>
      </c>
      <c r="D4505" s="7">
        <v>2.0</v>
      </c>
      <c r="E4505" s="7">
        <v>2.0</v>
      </c>
      <c r="F4505" s="7" t="s">
        <v>20</v>
      </c>
      <c r="G4505" s="7" t="s">
        <v>747</v>
      </c>
      <c r="H4505" s="9" t="s">
        <v>2979</v>
      </c>
      <c r="I4505" t="s">
        <v>3318</v>
      </c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  <c r="AA4505" s="7"/>
      <c r="AB4505" s="7"/>
      <c r="AC4505" s="7"/>
      <c r="AD4505" s="7" t="str">
        <f t="shared" si="1"/>
        <v>Built-up :</v>
      </c>
      <c r="AE4505" s="7" t="str">
        <f t="shared" si="2"/>
        <v> sq. ft.</v>
      </c>
      <c r="AF4505">
        <f>IFERROR(__xludf.DUMMYFUNCTION("VALUE(REGEXREPLACE(G4505,""[^[:digit:]]"", """"))"),1000.0)</f>
        <v>1000</v>
      </c>
      <c r="AG4505" s="7"/>
      <c r="AH4505" s="7"/>
      <c r="AI4505" s="7"/>
      <c r="AJ4505" s="7"/>
      <c r="AK4505" s="7"/>
      <c r="AL4505" s="7"/>
      <c r="AM4505" s="7"/>
      <c r="AN4505" s="7"/>
      <c r="AO4505" s="7"/>
      <c r="AP4505" s="7"/>
      <c r="AQ4505" s="7"/>
      <c r="AR4505" s="7"/>
    </row>
    <row r="4506">
      <c r="A4506" s="7" t="s">
        <v>2237</v>
      </c>
      <c r="B4506" s="7" t="s">
        <v>510</v>
      </c>
      <c r="C4506" s="7">
        <f>2</f>
        <v>2</v>
      </c>
      <c r="D4506" s="7">
        <v>2.0</v>
      </c>
      <c r="E4506" s="7">
        <v>1.0</v>
      </c>
      <c r="F4506" s="7" t="s">
        <v>20</v>
      </c>
      <c r="G4506" s="7" t="s">
        <v>1273</v>
      </c>
      <c r="H4506" s="9" t="s">
        <v>2979</v>
      </c>
      <c r="I4506" t="s">
        <v>3615</v>
      </c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  <c r="AA4506" s="7"/>
      <c r="AB4506" s="7"/>
      <c r="AC4506" s="7"/>
      <c r="AD4506" s="7" t="str">
        <f t="shared" si="1"/>
        <v>Built-up :</v>
      </c>
      <c r="AE4506" s="7" t="str">
        <f t="shared" si="2"/>
        <v> sq. ft.</v>
      </c>
      <c r="AF4506">
        <f>IFERROR(__xludf.DUMMYFUNCTION("VALUE(REGEXREPLACE(G4506,""[^[:digit:]]"", """"))"),800.0)</f>
        <v>800</v>
      </c>
      <c r="AG4506" s="7"/>
      <c r="AH4506" s="7"/>
      <c r="AI4506" s="7"/>
      <c r="AJ4506" s="7"/>
      <c r="AK4506" s="7"/>
      <c r="AL4506" s="7"/>
      <c r="AM4506" s="7"/>
      <c r="AN4506" s="7"/>
      <c r="AO4506" s="7"/>
      <c r="AP4506" s="7"/>
      <c r="AQ4506" s="7"/>
      <c r="AR4506" s="7"/>
    </row>
    <row r="4507">
      <c r="A4507" s="7" t="s">
        <v>109</v>
      </c>
      <c r="B4507" s="7" t="s">
        <v>2674</v>
      </c>
      <c r="C4507" s="7">
        <f t="shared" ref="C4507:C4509" si="629">2+1</f>
        <v>3</v>
      </c>
      <c r="D4507" s="7">
        <v>2.0</v>
      </c>
      <c r="E4507" s="7">
        <v>2.0</v>
      </c>
      <c r="F4507" s="7" t="s">
        <v>20</v>
      </c>
      <c r="G4507" s="7" t="s">
        <v>2663</v>
      </c>
      <c r="H4507" s="9" t="s">
        <v>2979</v>
      </c>
      <c r="I4507" t="s">
        <v>4454</v>
      </c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  <c r="AA4507" s="7"/>
      <c r="AB4507" s="7"/>
      <c r="AC4507" s="7"/>
      <c r="AD4507" s="7" t="str">
        <f t="shared" si="1"/>
        <v>Built-up :</v>
      </c>
      <c r="AE4507" s="7" t="str">
        <f t="shared" si="2"/>
        <v> sq. ft.</v>
      </c>
      <c r="AF4507">
        <f>IFERROR(__xludf.DUMMYFUNCTION("VALUE(REGEXREPLACE(G4507,""[^[:digit:]]"", """"))"),957.0)</f>
        <v>957</v>
      </c>
      <c r="AG4507" s="7"/>
      <c r="AH4507" s="7"/>
      <c r="AI4507" s="7"/>
      <c r="AJ4507" s="7"/>
      <c r="AK4507" s="7"/>
      <c r="AL4507" s="7"/>
      <c r="AM4507" s="7"/>
      <c r="AN4507" s="7"/>
      <c r="AO4507" s="7"/>
      <c r="AP4507" s="7"/>
      <c r="AQ4507" s="7"/>
      <c r="AR4507" s="7"/>
    </row>
    <row r="4508">
      <c r="A4508" s="7" t="s">
        <v>109</v>
      </c>
      <c r="B4508" s="7" t="s">
        <v>890</v>
      </c>
      <c r="C4508" s="7">
        <f t="shared" si="629"/>
        <v>3</v>
      </c>
      <c r="D4508" s="7">
        <v>3.0</v>
      </c>
      <c r="E4508" s="7">
        <v>2.0</v>
      </c>
      <c r="F4508" s="7" t="s">
        <v>20</v>
      </c>
      <c r="G4508" s="7" t="s">
        <v>2663</v>
      </c>
      <c r="H4508" s="9" t="s">
        <v>2979</v>
      </c>
      <c r="I4508" t="s">
        <v>4454</v>
      </c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  <c r="AA4508" s="7"/>
      <c r="AB4508" s="7"/>
      <c r="AC4508" s="7"/>
      <c r="AD4508" s="7" t="str">
        <f t="shared" si="1"/>
        <v>Built-up :</v>
      </c>
      <c r="AE4508" s="7" t="str">
        <f t="shared" si="2"/>
        <v> sq. ft.</v>
      </c>
      <c r="AF4508">
        <f>IFERROR(__xludf.DUMMYFUNCTION("VALUE(REGEXREPLACE(G4508,""[^[:digit:]]"", """"))"),957.0)</f>
        <v>957</v>
      </c>
      <c r="AG4508" s="7"/>
      <c r="AH4508" s="7"/>
      <c r="AI4508" s="7"/>
      <c r="AJ4508" s="7"/>
      <c r="AK4508" s="7"/>
      <c r="AL4508" s="7"/>
      <c r="AM4508" s="7"/>
      <c r="AN4508" s="7"/>
      <c r="AO4508" s="7"/>
      <c r="AP4508" s="7"/>
      <c r="AQ4508" s="7"/>
      <c r="AR4508" s="7"/>
    </row>
    <row r="4509">
      <c r="A4509" s="7" t="s">
        <v>109</v>
      </c>
      <c r="B4509" s="7" t="s">
        <v>890</v>
      </c>
      <c r="C4509" s="7">
        <f t="shared" si="629"/>
        <v>3</v>
      </c>
      <c r="D4509" s="7">
        <v>3.0</v>
      </c>
      <c r="E4509" s="7">
        <v>2.0</v>
      </c>
      <c r="F4509" s="7" t="s">
        <v>20</v>
      </c>
      <c r="G4509" s="7" t="s">
        <v>2663</v>
      </c>
      <c r="H4509" s="9" t="s">
        <v>2979</v>
      </c>
      <c r="I4509" t="s">
        <v>4454</v>
      </c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  <c r="AA4509" s="7"/>
      <c r="AB4509" s="7"/>
      <c r="AC4509" s="7"/>
      <c r="AD4509" s="7" t="str">
        <f t="shared" si="1"/>
        <v>Built-up :</v>
      </c>
      <c r="AE4509" s="7" t="str">
        <f t="shared" si="2"/>
        <v> sq. ft.</v>
      </c>
      <c r="AF4509">
        <f>IFERROR(__xludf.DUMMYFUNCTION("VALUE(REGEXREPLACE(G4509,""[^[:digit:]]"", """"))"),957.0)</f>
        <v>957</v>
      </c>
      <c r="AG4509" s="7"/>
      <c r="AH4509" s="7"/>
      <c r="AI4509" s="7"/>
      <c r="AJ4509" s="7"/>
      <c r="AK4509" s="7"/>
      <c r="AL4509" s="7"/>
      <c r="AM4509" s="7"/>
      <c r="AN4509" s="7"/>
      <c r="AO4509" s="7"/>
      <c r="AP4509" s="7"/>
      <c r="AQ4509" s="7"/>
      <c r="AR4509" s="7"/>
    </row>
    <row r="4510">
      <c r="A4510" s="7" t="s">
        <v>72</v>
      </c>
      <c r="B4510" s="7" t="s">
        <v>134</v>
      </c>
      <c r="C4510" s="7">
        <f t="shared" ref="C4510:C4511" si="630">2</f>
        <v>2</v>
      </c>
      <c r="D4510" s="7">
        <v>3.0</v>
      </c>
      <c r="E4510" s="7">
        <v>2.0</v>
      </c>
      <c r="F4510" s="7" t="s">
        <v>121</v>
      </c>
      <c r="G4510" s="7" t="s">
        <v>1502</v>
      </c>
      <c r="H4510" s="9" t="s">
        <v>2979</v>
      </c>
      <c r="I4510" t="s">
        <v>3748</v>
      </c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  <c r="AA4510" s="7"/>
      <c r="AB4510" s="7"/>
      <c r="AC4510" s="7"/>
      <c r="AD4510" s="7" t="str">
        <f t="shared" si="1"/>
        <v>Built-up :</v>
      </c>
      <c r="AE4510" s="7" t="str">
        <f t="shared" si="2"/>
        <v> sq. ft.</v>
      </c>
      <c r="AF4510">
        <f>IFERROR(__xludf.DUMMYFUNCTION("VALUE(REGEXREPLACE(G4510,""[^[:digit:]]"", """"))"),1583.0)</f>
        <v>1583</v>
      </c>
      <c r="AG4510" s="7"/>
      <c r="AH4510" s="7"/>
      <c r="AI4510" s="7"/>
      <c r="AJ4510" s="7"/>
      <c r="AK4510" s="7"/>
      <c r="AL4510" s="7"/>
      <c r="AM4510" s="7"/>
      <c r="AN4510" s="7"/>
      <c r="AO4510" s="7"/>
      <c r="AP4510" s="7"/>
      <c r="AQ4510" s="7"/>
      <c r="AR4510" s="7"/>
      <c r="AS4510" s="7" t="s">
        <v>27</v>
      </c>
    </row>
    <row r="4511">
      <c r="A4511" s="7" t="s">
        <v>72</v>
      </c>
      <c r="B4511" s="7" t="s">
        <v>657</v>
      </c>
      <c r="C4511" s="7">
        <f t="shared" si="630"/>
        <v>2</v>
      </c>
      <c r="D4511" s="7">
        <v>3.0</v>
      </c>
      <c r="E4511" s="7">
        <v>2.0</v>
      </c>
      <c r="F4511" s="7" t="s">
        <v>121</v>
      </c>
      <c r="G4511" s="7" t="s">
        <v>1502</v>
      </c>
      <c r="H4511" s="9" t="s">
        <v>2979</v>
      </c>
      <c r="I4511" t="s">
        <v>3748</v>
      </c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  <c r="AA4511" s="7"/>
      <c r="AB4511" s="7"/>
      <c r="AC4511" s="7"/>
      <c r="AD4511" s="7" t="str">
        <f t="shared" si="1"/>
        <v>Built-up :</v>
      </c>
      <c r="AE4511" s="7" t="str">
        <f t="shared" si="2"/>
        <v> sq. ft.</v>
      </c>
      <c r="AF4511">
        <f>IFERROR(__xludf.DUMMYFUNCTION("VALUE(REGEXREPLACE(G4511,""[^[:digit:]]"", """"))"),1583.0)</f>
        <v>1583</v>
      </c>
      <c r="AG4511" s="7"/>
      <c r="AH4511" s="7"/>
      <c r="AI4511" s="7"/>
      <c r="AJ4511" s="7"/>
      <c r="AK4511" s="7"/>
      <c r="AL4511" s="7"/>
      <c r="AM4511" s="7"/>
      <c r="AN4511" s="7"/>
      <c r="AO4511" s="7"/>
      <c r="AP4511" s="7"/>
      <c r="AQ4511" s="7"/>
      <c r="AR4511" s="7"/>
      <c r="AS4511" s="7" t="s">
        <v>22</v>
      </c>
    </row>
    <row r="4512">
      <c r="A4512" s="7" t="s">
        <v>72</v>
      </c>
      <c r="B4512" s="7" t="s">
        <v>422</v>
      </c>
      <c r="C4512" s="7">
        <f>4</f>
        <v>4</v>
      </c>
      <c r="D4512" s="7">
        <v>5.0</v>
      </c>
      <c r="E4512" s="7">
        <v>3.0</v>
      </c>
      <c r="F4512" s="7" t="s">
        <v>121</v>
      </c>
      <c r="G4512" s="7" t="s">
        <v>2778</v>
      </c>
      <c r="H4512" s="9" t="s">
        <v>2979</v>
      </c>
      <c r="I4512" t="s">
        <v>4526</v>
      </c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  <c r="AA4512" s="7"/>
      <c r="AB4512" s="7"/>
      <c r="AC4512" s="7"/>
      <c r="AD4512" s="7" t="str">
        <f t="shared" si="1"/>
        <v>Built-up :</v>
      </c>
      <c r="AE4512" s="7" t="str">
        <f t="shared" si="2"/>
        <v> sq. ft.</v>
      </c>
      <c r="AF4512">
        <f>IFERROR(__xludf.DUMMYFUNCTION("VALUE(REGEXREPLACE(G4512,""[^[:digit:]]"", """"))"),3370.0)</f>
        <v>3370</v>
      </c>
      <c r="AG4512" s="7"/>
      <c r="AH4512" s="7"/>
      <c r="AI4512" s="7"/>
      <c r="AJ4512" s="7"/>
      <c r="AK4512" s="7"/>
      <c r="AL4512" s="7"/>
      <c r="AM4512" s="7"/>
      <c r="AN4512" s="7"/>
      <c r="AO4512" s="7"/>
      <c r="AP4512" s="7"/>
      <c r="AQ4512" s="7"/>
      <c r="AR4512" s="7"/>
      <c r="AS4512" s="7" t="s">
        <v>27</v>
      </c>
    </row>
    <row r="4513">
      <c r="A4513" s="7" t="s">
        <v>72</v>
      </c>
      <c r="B4513" s="7" t="s">
        <v>967</v>
      </c>
      <c r="C4513" s="7">
        <f>1</f>
        <v>1</v>
      </c>
      <c r="D4513" s="7">
        <v>1.0</v>
      </c>
      <c r="E4513" s="7">
        <v>1.0</v>
      </c>
      <c r="F4513" s="7" t="s">
        <v>82</v>
      </c>
      <c r="G4513" s="7" t="s">
        <v>753</v>
      </c>
      <c r="H4513" s="9" t="s">
        <v>2979</v>
      </c>
      <c r="I4513" t="s">
        <v>3319</v>
      </c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  <c r="AA4513" s="7"/>
      <c r="AB4513" s="7"/>
      <c r="AC4513" s="7"/>
      <c r="AD4513" s="7" t="str">
        <f t="shared" si="1"/>
        <v>Built-up :</v>
      </c>
      <c r="AE4513" s="7" t="str">
        <f t="shared" si="2"/>
        <v> sq. ft.</v>
      </c>
      <c r="AF4513">
        <f>IFERROR(__xludf.DUMMYFUNCTION("VALUE(REGEXREPLACE(G4513,""[^[:digit:]]"", """"))"),743.0)</f>
        <v>743</v>
      </c>
      <c r="AG4513" s="7"/>
      <c r="AH4513" s="7"/>
      <c r="AI4513" s="7"/>
      <c r="AJ4513" s="7"/>
      <c r="AK4513" s="7"/>
      <c r="AL4513" s="7"/>
      <c r="AM4513" s="7"/>
      <c r="AN4513" s="7"/>
      <c r="AO4513" s="7"/>
      <c r="AP4513" s="7"/>
      <c r="AQ4513" s="7"/>
      <c r="AR4513" s="7"/>
      <c r="AS4513" s="7" t="s">
        <v>22</v>
      </c>
    </row>
    <row r="4514">
      <c r="A4514" s="7" t="s">
        <v>37</v>
      </c>
      <c r="B4514" s="7" t="s">
        <v>599</v>
      </c>
      <c r="C4514" s="7">
        <f>2</f>
        <v>2</v>
      </c>
      <c r="D4514" s="7">
        <v>2.0</v>
      </c>
      <c r="E4514" s="9">
        <v>2.0</v>
      </c>
      <c r="F4514" s="7" t="s">
        <v>93</v>
      </c>
      <c r="G4514" s="7" t="s">
        <v>334</v>
      </c>
      <c r="H4514" s="9" t="s">
        <v>2979</v>
      </c>
      <c r="I4514" t="s">
        <v>3112</v>
      </c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  <c r="AA4514" s="7"/>
      <c r="AB4514" s="7"/>
      <c r="AC4514" s="7"/>
      <c r="AD4514" s="7" t="str">
        <f t="shared" si="1"/>
        <v>Built-up :</v>
      </c>
      <c r="AE4514" s="7" t="str">
        <f t="shared" si="2"/>
        <v> sq. ft.</v>
      </c>
      <c r="AF4514">
        <f>IFERROR(__xludf.DUMMYFUNCTION("VALUE(REGEXREPLACE(G4514,""[^[:digit:]]"", """"))"),1496.0)</f>
        <v>1496</v>
      </c>
      <c r="AG4514" s="7"/>
      <c r="AH4514" s="7"/>
      <c r="AI4514" s="7"/>
      <c r="AJ4514" s="7"/>
      <c r="AK4514" s="7"/>
      <c r="AL4514" s="7"/>
      <c r="AM4514" s="7"/>
      <c r="AN4514" s="7"/>
      <c r="AO4514" s="7"/>
      <c r="AP4514" s="7"/>
      <c r="AQ4514" s="7"/>
      <c r="AR4514" s="7"/>
      <c r="AS4514" s="7" t="s">
        <v>22</v>
      </c>
    </row>
    <row r="4515">
      <c r="A4515" s="7" t="s">
        <v>72</v>
      </c>
      <c r="B4515" s="7" t="s">
        <v>956</v>
      </c>
      <c r="C4515" s="7">
        <f t="shared" ref="C4515:C4518" si="631">3</f>
        <v>3</v>
      </c>
      <c r="D4515" s="7">
        <v>3.0</v>
      </c>
      <c r="E4515" s="7">
        <v>2.0</v>
      </c>
      <c r="F4515" s="7" t="s">
        <v>83</v>
      </c>
      <c r="G4515" s="7" t="s">
        <v>2779</v>
      </c>
      <c r="H4515" s="9" t="s">
        <v>2979</v>
      </c>
      <c r="I4515" t="s">
        <v>4527</v>
      </c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  <c r="AA4515" s="7"/>
      <c r="AB4515" s="7"/>
      <c r="AC4515" s="7"/>
      <c r="AD4515" s="7" t="str">
        <f t="shared" si="1"/>
        <v>Built-up :</v>
      </c>
      <c r="AE4515" s="7" t="str">
        <f t="shared" si="2"/>
        <v> sq. ft.</v>
      </c>
      <c r="AF4515">
        <f>IFERROR(__xludf.DUMMYFUNCTION("VALUE(REGEXREPLACE(G4515,""[^[:digit:]]"", """"))"),1594.0)</f>
        <v>1594</v>
      </c>
      <c r="AG4515" s="7"/>
      <c r="AH4515" s="7"/>
      <c r="AI4515" s="7"/>
      <c r="AJ4515" s="7"/>
      <c r="AK4515" s="7"/>
      <c r="AL4515" s="7"/>
      <c r="AM4515" s="7"/>
      <c r="AN4515" s="7"/>
      <c r="AO4515" s="7"/>
      <c r="AP4515" s="7"/>
      <c r="AQ4515" s="7"/>
      <c r="AR4515" s="7"/>
      <c r="AS4515" s="7" t="s">
        <v>27</v>
      </c>
    </row>
    <row r="4516">
      <c r="A4516" s="7" t="s">
        <v>1158</v>
      </c>
      <c r="B4516" s="7" t="s">
        <v>268</v>
      </c>
      <c r="C4516" s="7">
        <f t="shared" si="631"/>
        <v>3</v>
      </c>
      <c r="D4516" s="7">
        <v>2.0</v>
      </c>
      <c r="E4516" s="7">
        <v>1.0</v>
      </c>
      <c r="F4516" s="7" t="s">
        <v>83</v>
      </c>
      <c r="G4516" s="7" t="s">
        <v>1548</v>
      </c>
      <c r="H4516" s="9" t="s">
        <v>2979</v>
      </c>
      <c r="I4516" t="s">
        <v>3772</v>
      </c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  <c r="AA4516" s="7"/>
      <c r="AB4516" s="7"/>
      <c r="AC4516" s="7"/>
      <c r="AD4516" s="7" t="str">
        <f t="shared" si="1"/>
        <v>Built-up :</v>
      </c>
      <c r="AE4516" s="7" t="str">
        <f t="shared" si="2"/>
        <v> sq. ft.</v>
      </c>
      <c r="AF4516">
        <f>IFERROR(__xludf.DUMMYFUNCTION("VALUE(REGEXREPLACE(G4516,""[^[:digit:]]"", """"))"),952.0)</f>
        <v>952</v>
      </c>
      <c r="AG4516" s="7"/>
      <c r="AH4516" s="7"/>
      <c r="AI4516" s="7"/>
      <c r="AJ4516" s="7"/>
      <c r="AK4516" s="7"/>
      <c r="AL4516" s="7"/>
      <c r="AM4516" s="7"/>
      <c r="AN4516" s="7"/>
      <c r="AO4516" s="7"/>
      <c r="AP4516" s="7"/>
      <c r="AQ4516" s="7"/>
      <c r="AR4516" s="7"/>
    </row>
    <row r="4517">
      <c r="A4517" s="7" t="s">
        <v>1158</v>
      </c>
      <c r="B4517" s="7" t="s">
        <v>268</v>
      </c>
      <c r="C4517" s="7">
        <f t="shared" si="631"/>
        <v>3</v>
      </c>
      <c r="D4517" s="7">
        <v>2.0</v>
      </c>
      <c r="E4517" s="7">
        <v>1.0</v>
      </c>
      <c r="F4517" s="7" t="s">
        <v>83</v>
      </c>
      <c r="G4517" s="7" t="s">
        <v>1548</v>
      </c>
      <c r="H4517" s="9" t="s">
        <v>2979</v>
      </c>
      <c r="I4517" t="s">
        <v>3772</v>
      </c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  <c r="AA4517" s="7"/>
      <c r="AB4517" s="7"/>
      <c r="AC4517" s="7"/>
      <c r="AD4517" s="7" t="str">
        <f t="shared" si="1"/>
        <v>Built-up :</v>
      </c>
      <c r="AE4517" s="7" t="str">
        <f t="shared" si="2"/>
        <v> sq. ft.</v>
      </c>
      <c r="AF4517">
        <f>IFERROR(__xludf.DUMMYFUNCTION("VALUE(REGEXREPLACE(G4517,""[^[:digit:]]"", """"))"),952.0)</f>
        <v>952</v>
      </c>
      <c r="AG4517" s="7"/>
      <c r="AH4517" s="7"/>
      <c r="AI4517" s="7"/>
      <c r="AJ4517" s="7"/>
      <c r="AK4517" s="7"/>
      <c r="AL4517" s="7"/>
      <c r="AM4517" s="7"/>
      <c r="AN4517" s="7"/>
      <c r="AO4517" s="7"/>
      <c r="AP4517" s="7"/>
      <c r="AQ4517" s="7"/>
      <c r="AR4517" s="7"/>
      <c r="AS4517" s="7" t="s">
        <v>27</v>
      </c>
    </row>
    <row r="4518">
      <c r="A4518" s="7" t="s">
        <v>171</v>
      </c>
      <c r="B4518" s="7" t="s">
        <v>1823</v>
      </c>
      <c r="C4518" s="7">
        <f t="shared" si="631"/>
        <v>3</v>
      </c>
      <c r="D4518" s="7">
        <v>2.0</v>
      </c>
      <c r="E4518" s="7">
        <v>2.0</v>
      </c>
      <c r="F4518" s="7" t="s">
        <v>83</v>
      </c>
      <c r="G4518" s="7" t="s">
        <v>2780</v>
      </c>
      <c r="H4518" s="9" t="s">
        <v>2981</v>
      </c>
      <c r="I4518" t="s">
        <v>4528</v>
      </c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  <c r="AA4518" s="7"/>
      <c r="AB4518" s="7"/>
      <c r="AC4518" s="7"/>
      <c r="AD4518" s="7" t="str">
        <f t="shared" si="1"/>
        <v>Land area </v>
      </c>
      <c r="AE4518" s="7" t="str">
        <f t="shared" si="2"/>
        <v> sq. ft.</v>
      </c>
      <c r="AF4518">
        <f>IFERROR(__xludf.DUMMYFUNCTION("VALUE(REGEXREPLACE(G4518,""[^[:digit:]]"", """"))"),1373.0)</f>
        <v>1373</v>
      </c>
      <c r="AG4518" s="7"/>
      <c r="AH4518" s="7"/>
      <c r="AI4518" s="7"/>
      <c r="AJ4518" s="7"/>
      <c r="AK4518" s="7"/>
      <c r="AL4518" s="7"/>
      <c r="AM4518" s="7"/>
      <c r="AN4518" s="7"/>
      <c r="AO4518" s="7"/>
      <c r="AP4518" s="7"/>
      <c r="AQ4518" s="7"/>
      <c r="AR4518" s="7"/>
    </row>
    <row r="4519">
      <c r="A4519" s="7" t="s">
        <v>17</v>
      </c>
      <c r="B4519" s="7" t="s">
        <v>45</v>
      </c>
      <c r="C4519" s="7">
        <f>2+1</f>
        <v>3</v>
      </c>
      <c r="D4519" s="7">
        <v>2.0</v>
      </c>
      <c r="E4519" s="7">
        <v>1.0</v>
      </c>
      <c r="F4519" s="7" t="s">
        <v>83</v>
      </c>
      <c r="G4519" s="7" t="s">
        <v>323</v>
      </c>
      <c r="H4519" s="9" t="s">
        <v>2979</v>
      </c>
      <c r="I4519" t="s">
        <v>3108</v>
      </c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  <c r="AA4519" s="7"/>
      <c r="AB4519" s="7"/>
      <c r="AC4519" s="7"/>
      <c r="AD4519" s="7" t="str">
        <f t="shared" si="1"/>
        <v>Built-up :</v>
      </c>
      <c r="AE4519" s="7" t="str">
        <f t="shared" si="2"/>
        <v> sq. ft.</v>
      </c>
      <c r="AF4519">
        <f>IFERROR(__xludf.DUMMYFUNCTION("VALUE(REGEXREPLACE(G4519,""[^[:digit:]]"", """"))"),915.0)</f>
        <v>915</v>
      </c>
      <c r="AG4519" s="7"/>
      <c r="AH4519" s="7"/>
      <c r="AI4519" s="7"/>
      <c r="AJ4519" s="7"/>
      <c r="AK4519" s="7"/>
      <c r="AL4519" s="7"/>
      <c r="AM4519" s="7"/>
      <c r="AN4519" s="7"/>
      <c r="AO4519" s="7"/>
      <c r="AP4519" s="7"/>
      <c r="AQ4519" s="7"/>
      <c r="AR4519" s="7"/>
    </row>
    <row r="4520">
      <c r="A4520" s="7" t="s">
        <v>1014</v>
      </c>
      <c r="B4520" s="7" t="s">
        <v>236</v>
      </c>
      <c r="C4520" s="7">
        <f>5+1</f>
        <v>6</v>
      </c>
      <c r="D4520" s="7">
        <v>5.0</v>
      </c>
      <c r="E4520" s="9">
        <v>2.0</v>
      </c>
      <c r="F4520" s="7" t="s">
        <v>169</v>
      </c>
      <c r="G4520" s="7" t="s">
        <v>2781</v>
      </c>
      <c r="H4520" s="9" t="s">
        <v>2981</v>
      </c>
      <c r="I4520" t="s">
        <v>4529</v>
      </c>
      <c r="J4520" s="7"/>
      <c r="K4520" s="7"/>
      <c r="L4520" s="7"/>
      <c r="M4520" s="7"/>
      <c r="N4520" s="7"/>
      <c r="O4520" s="7"/>
      <c r="P4520" s="7"/>
      <c r="Q4520" s="7"/>
      <c r="R4520" s="7"/>
      <c r="S4520" s="7" t="s">
        <v>4530</v>
      </c>
      <c r="T4520" s="7"/>
      <c r="U4520" s="7"/>
      <c r="V4520" s="7"/>
      <c r="W4520" s="7"/>
      <c r="X4520" s="7"/>
      <c r="Y4520" s="7"/>
      <c r="Z4520" s="7"/>
      <c r="AA4520" s="7"/>
      <c r="AB4520" s="7"/>
      <c r="AC4520" s="7"/>
      <c r="AD4520" s="7" t="str">
        <f t="shared" si="1"/>
        <v>Land area </v>
      </c>
      <c r="AE4520" s="7" t="str">
        <f t="shared" si="2"/>
        <v> sq. ft.</v>
      </c>
      <c r="AF4520">
        <f>IFERROR(__xludf.DUMMYFUNCTION("VALUE(REGEXREPLACE(G4520,""[^[:digit:]]"", """"))"),24143.0)</f>
        <v>24143</v>
      </c>
      <c r="AG4520" s="7"/>
      <c r="AH4520" s="7"/>
      <c r="AI4520" s="7"/>
      <c r="AJ4520" s="7"/>
      <c r="AK4520" s="7"/>
      <c r="AL4520" s="7"/>
      <c r="AM4520" s="7"/>
      <c r="AN4520" s="7"/>
      <c r="AO4520" s="7"/>
      <c r="AP4520" s="7"/>
      <c r="AQ4520" s="7"/>
      <c r="AR4520" s="7"/>
    </row>
    <row r="4521">
      <c r="A4521" s="7" t="s">
        <v>171</v>
      </c>
      <c r="B4521" s="7" t="s">
        <v>890</v>
      </c>
      <c r="C4521" s="7">
        <f>3</f>
        <v>3</v>
      </c>
      <c r="D4521" s="7">
        <v>2.0</v>
      </c>
      <c r="E4521" s="7">
        <v>1.0</v>
      </c>
      <c r="F4521" s="7" t="s">
        <v>562</v>
      </c>
      <c r="G4521" s="7" t="s">
        <v>2081</v>
      </c>
      <c r="H4521" s="9" t="s">
        <v>2981</v>
      </c>
      <c r="I4521" t="s">
        <v>3505</v>
      </c>
      <c r="J4521" s="7"/>
      <c r="K4521" s="7"/>
      <c r="L4521" s="7"/>
      <c r="M4521" s="7"/>
      <c r="N4521" s="7"/>
      <c r="O4521" s="7"/>
      <c r="P4521" s="7"/>
      <c r="Q4521" s="7"/>
      <c r="R4521" s="7"/>
      <c r="S4521" s="7" t="s">
        <v>3009</v>
      </c>
      <c r="T4521" s="7"/>
      <c r="U4521" s="7"/>
      <c r="V4521" s="7"/>
      <c r="W4521" s="7"/>
      <c r="X4521" s="7"/>
      <c r="Y4521" s="7"/>
      <c r="Z4521" s="7"/>
      <c r="AA4521" s="7"/>
      <c r="AB4521" s="7"/>
      <c r="AC4521" s="7"/>
      <c r="AD4521" s="7" t="str">
        <f t="shared" si="1"/>
        <v>Land area </v>
      </c>
      <c r="AE4521" s="7" t="str">
        <f t="shared" si="2"/>
        <v> sq. ft.</v>
      </c>
      <c r="AF4521">
        <f>IFERROR(__xludf.DUMMYFUNCTION("VALUE(REGEXREPLACE(G4521,""[^[:digit:]]"", """"))"),1455.0)</f>
        <v>1455</v>
      </c>
      <c r="AG4521" s="7"/>
      <c r="AH4521" s="7"/>
      <c r="AI4521" s="7"/>
      <c r="AJ4521" s="7"/>
      <c r="AK4521" s="7"/>
      <c r="AL4521" s="7"/>
      <c r="AM4521" s="7"/>
      <c r="AN4521" s="7"/>
      <c r="AO4521" s="7"/>
      <c r="AP4521" s="7"/>
      <c r="AQ4521" s="7"/>
      <c r="AR4521" s="7"/>
    </row>
    <row r="4522">
      <c r="A4522" s="7" t="s">
        <v>104</v>
      </c>
      <c r="B4522" s="7" t="s">
        <v>18</v>
      </c>
      <c r="C4522" s="7">
        <f>6+1</f>
        <v>7</v>
      </c>
      <c r="D4522" s="7">
        <v>6.0</v>
      </c>
      <c r="E4522" s="9">
        <v>2.0</v>
      </c>
      <c r="F4522" s="7" t="s">
        <v>562</v>
      </c>
      <c r="G4522" s="7" t="s">
        <v>333</v>
      </c>
      <c r="H4522" s="9" t="s">
        <v>2981</v>
      </c>
      <c r="I4522" t="s">
        <v>3091</v>
      </c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  <c r="AA4522" s="7"/>
      <c r="AB4522" s="7"/>
      <c r="AC4522" s="7"/>
      <c r="AD4522" s="7" t="str">
        <f t="shared" si="1"/>
        <v>Land area </v>
      </c>
      <c r="AE4522" s="7" t="str">
        <f t="shared" si="2"/>
        <v> sq. ft.</v>
      </c>
      <c r="AF4522">
        <f>IFERROR(__xludf.DUMMYFUNCTION("VALUE(REGEXREPLACE(G4522,""[^[:digit:]]"", """"))"),1650.0)</f>
        <v>1650</v>
      </c>
      <c r="AG4522" s="7"/>
      <c r="AH4522" s="7"/>
      <c r="AI4522" s="7"/>
      <c r="AJ4522" s="7"/>
      <c r="AK4522" s="7"/>
      <c r="AL4522" s="7"/>
      <c r="AM4522" s="7"/>
      <c r="AN4522" s="7"/>
      <c r="AO4522" s="7"/>
      <c r="AP4522" s="7"/>
      <c r="AQ4522" s="7"/>
      <c r="AR4522" s="7"/>
    </row>
    <row r="4523">
      <c r="A4523" s="7" t="s">
        <v>2782</v>
      </c>
      <c r="B4523" s="7" t="s">
        <v>239</v>
      </c>
      <c r="C4523" s="7">
        <f>5</f>
        <v>5</v>
      </c>
      <c r="D4523" s="7">
        <v>4.0</v>
      </c>
      <c r="E4523" s="9">
        <v>2.0</v>
      </c>
      <c r="F4523" s="7" t="s">
        <v>562</v>
      </c>
      <c r="G4523" s="7" t="s">
        <v>1958</v>
      </c>
      <c r="H4523" s="9" t="s">
        <v>2981</v>
      </c>
      <c r="I4523" t="s">
        <v>4021</v>
      </c>
      <c r="J4523" s="7"/>
      <c r="K4523" s="7"/>
      <c r="L4523" s="7"/>
      <c r="M4523" s="7"/>
      <c r="N4523" s="7"/>
      <c r="O4523" s="7"/>
      <c r="P4523" s="7"/>
      <c r="Q4523" s="7"/>
      <c r="R4523" s="7"/>
      <c r="S4523" s="7" t="s">
        <v>3101</v>
      </c>
      <c r="T4523" s="7"/>
      <c r="U4523" s="7"/>
      <c r="V4523" s="7"/>
      <c r="W4523" s="7"/>
      <c r="X4523" s="7"/>
      <c r="Y4523" s="7"/>
      <c r="Z4523" s="7"/>
      <c r="AA4523" s="7"/>
      <c r="AB4523" s="7"/>
      <c r="AC4523" s="7"/>
      <c r="AD4523" s="7" t="str">
        <f t="shared" si="1"/>
        <v>Land area </v>
      </c>
      <c r="AE4523" s="7" t="str">
        <f t="shared" si="2"/>
        <v> sq. ft.</v>
      </c>
      <c r="AF4523">
        <f>IFERROR(__xludf.DUMMYFUNCTION("VALUE(REGEXREPLACE(G4523,""[^[:digit:]]"", """"))"),2085.0)</f>
        <v>2085</v>
      </c>
      <c r="AG4523" s="7"/>
      <c r="AH4523" s="7"/>
      <c r="AI4523" s="7"/>
      <c r="AJ4523" s="7"/>
      <c r="AK4523" s="7"/>
      <c r="AL4523" s="7"/>
      <c r="AM4523" s="7"/>
      <c r="AN4523" s="7"/>
      <c r="AO4523" s="7"/>
      <c r="AP4523" s="7"/>
      <c r="AQ4523" s="7"/>
      <c r="AR4523" s="7"/>
    </row>
    <row r="4524">
      <c r="A4524" s="7" t="s">
        <v>171</v>
      </c>
      <c r="B4524" s="7" t="s">
        <v>1011</v>
      </c>
      <c r="C4524" s="7">
        <f>2</f>
        <v>2</v>
      </c>
      <c r="D4524" s="7">
        <v>2.0</v>
      </c>
      <c r="E4524" s="7">
        <v>1.0</v>
      </c>
      <c r="F4524" s="7" t="s">
        <v>83</v>
      </c>
      <c r="G4524" s="7" t="s">
        <v>2783</v>
      </c>
      <c r="H4524" s="9" t="s">
        <v>2981</v>
      </c>
      <c r="I4524" t="s">
        <v>4531</v>
      </c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  <c r="AA4524" s="7"/>
      <c r="AB4524" s="7"/>
      <c r="AC4524" s="7"/>
      <c r="AD4524" s="7" t="str">
        <f t="shared" si="1"/>
        <v>Land area </v>
      </c>
      <c r="AE4524" s="7" t="str">
        <f t="shared" si="2"/>
        <v> sq. ft.</v>
      </c>
      <c r="AF4524">
        <f>IFERROR(__xludf.DUMMYFUNCTION("VALUE(REGEXREPLACE(G4524,""[^[:digit:]]"", """"))"),632.0)</f>
        <v>632</v>
      </c>
      <c r="AG4524" s="7"/>
      <c r="AH4524" s="7"/>
      <c r="AI4524" s="7"/>
      <c r="AJ4524" s="7"/>
      <c r="AK4524" s="7"/>
      <c r="AL4524" s="7"/>
      <c r="AM4524" s="7"/>
      <c r="AN4524" s="7"/>
      <c r="AO4524" s="7"/>
      <c r="AP4524" s="7"/>
      <c r="AQ4524" s="7"/>
      <c r="AR4524" s="7"/>
      <c r="AS4524" s="7" t="s">
        <v>22</v>
      </c>
    </row>
    <row r="4525">
      <c r="A4525" s="7" t="s">
        <v>100</v>
      </c>
      <c r="B4525" s="7" t="s">
        <v>78</v>
      </c>
      <c r="C4525" s="7">
        <f>3+1</f>
        <v>4</v>
      </c>
      <c r="D4525" s="7">
        <v>4.0</v>
      </c>
      <c r="E4525" s="9">
        <v>2.0</v>
      </c>
      <c r="F4525" s="7" t="s">
        <v>30</v>
      </c>
      <c r="G4525" s="7" t="s">
        <v>735</v>
      </c>
      <c r="H4525" s="9" t="s">
        <v>2979</v>
      </c>
      <c r="I4525" t="s">
        <v>3309</v>
      </c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  <c r="AA4525" s="7"/>
      <c r="AB4525" s="7"/>
      <c r="AC4525" s="7"/>
      <c r="AD4525" s="7" t="str">
        <f t="shared" si="1"/>
        <v>Built-up :</v>
      </c>
      <c r="AE4525" s="7" t="str">
        <f t="shared" si="2"/>
        <v> sq. ft.</v>
      </c>
      <c r="AF4525">
        <f>IFERROR(__xludf.DUMMYFUNCTION("VALUE(REGEXREPLACE(G4525,""[^[:digit:]]"", """"))"),2638.0)</f>
        <v>2638</v>
      </c>
      <c r="AG4525" s="7"/>
      <c r="AH4525" s="7"/>
      <c r="AI4525" s="7"/>
      <c r="AJ4525" s="7"/>
      <c r="AK4525" s="7"/>
      <c r="AL4525" s="7"/>
      <c r="AM4525" s="7"/>
      <c r="AN4525" s="7"/>
      <c r="AO4525" s="7"/>
      <c r="AP4525" s="7"/>
      <c r="AQ4525" s="7"/>
      <c r="AR4525" s="7"/>
      <c r="AS4525" s="7" t="s">
        <v>22</v>
      </c>
    </row>
    <row r="4526">
      <c r="A4526" s="7" t="s">
        <v>100</v>
      </c>
      <c r="B4526" s="7" t="s">
        <v>1011</v>
      </c>
      <c r="C4526" s="7">
        <f>3</f>
        <v>3</v>
      </c>
      <c r="D4526" s="7">
        <v>2.0</v>
      </c>
      <c r="E4526" s="7">
        <v>1.0</v>
      </c>
      <c r="F4526" s="7" t="s">
        <v>93</v>
      </c>
      <c r="H4526" s="9" t="s">
        <v>2984</v>
      </c>
      <c r="I4526" t="s">
        <v>2985</v>
      </c>
      <c r="AD4526" s="7" t="str">
        <f t="shared" si="1"/>
        <v/>
      </c>
      <c r="AE4526" s="7" t="str">
        <f t="shared" si="2"/>
        <v/>
      </c>
      <c r="AF4526">
        <f>IFERROR(__xludf.DUMMYFUNCTION("VALUE(REGEXREPLACE(G4526,""[^[:digit:]]"", """"))"),0.0)</f>
        <v>0</v>
      </c>
      <c r="AS4526" s="7" t="s">
        <v>27</v>
      </c>
    </row>
    <row r="4527">
      <c r="A4527" s="7" t="s">
        <v>48</v>
      </c>
      <c r="B4527" s="7" t="s">
        <v>245</v>
      </c>
      <c r="C4527" s="7">
        <f>4</f>
        <v>4</v>
      </c>
      <c r="D4527" s="7">
        <v>3.0</v>
      </c>
      <c r="E4527" s="9">
        <v>2.0</v>
      </c>
      <c r="F4527" s="7" t="s">
        <v>54</v>
      </c>
      <c r="G4527" s="7" t="s">
        <v>211</v>
      </c>
      <c r="H4527" s="9" t="s">
        <v>2981</v>
      </c>
      <c r="I4527" t="s">
        <v>2992</v>
      </c>
      <c r="J4527" s="7"/>
      <c r="K4527" s="7"/>
      <c r="L4527" s="7"/>
      <c r="M4527" s="7"/>
      <c r="N4527" s="7"/>
      <c r="O4527" s="7"/>
      <c r="P4527" s="7"/>
      <c r="Q4527" s="7"/>
      <c r="R4527" s="7"/>
      <c r="S4527" s="7" t="s">
        <v>2993</v>
      </c>
      <c r="T4527" s="7"/>
      <c r="U4527" s="7"/>
      <c r="V4527" s="7"/>
      <c r="W4527" s="7"/>
      <c r="X4527" s="7"/>
      <c r="Y4527" s="7"/>
      <c r="Z4527" s="7"/>
      <c r="AA4527" s="7"/>
      <c r="AB4527" s="7"/>
      <c r="AC4527" s="7"/>
      <c r="AD4527" s="7" t="str">
        <f t="shared" si="1"/>
        <v>Land area </v>
      </c>
      <c r="AE4527" s="7" t="str">
        <f t="shared" si="2"/>
        <v> sq. ft.</v>
      </c>
      <c r="AF4527">
        <f>IFERROR(__xludf.DUMMYFUNCTION("VALUE(REGEXREPLACE(G4527,""[^[:digit:]]"", """"))"),2280.0)</f>
        <v>2280</v>
      </c>
      <c r="AG4527" s="7"/>
      <c r="AH4527" s="7"/>
      <c r="AI4527" s="7"/>
      <c r="AJ4527" s="7"/>
      <c r="AK4527" s="7"/>
      <c r="AL4527" s="7"/>
      <c r="AM4527" s="7"/>
      <c r="AN4527" s="7"/>
      <c r="AO4527" s="7"/>
      <c r="AP4527" s="7"/>
      <c r="AQ4527" s="7"/>
      <c r="AR4527" s="7"/>
      <c r="AS4527" s="7" t="s">
        <v>27</v>
      </c>
    </row>
    <row r="4528">
      <c r="A4528" s="7" t="s">
        <v>32</v>
      </c>
      <c r="B4528" s="7" t="s">
        <v>2784</v>
      </c>
      <c r="C4528" s="7">
        <f>3</f>
        <v>3</v>
      </c>
      <c r="D4528" s="7">
        <v>2.0</v>
      </c>
      <c r="E4528" s="7">
        <v>2.0</v>
      </c>
      <c r="F4528" s="7" t="s">
        <v>20</v>
      </c>
      <c r="G4528" s="7" t="s">
        <v>1681</v>
      </c>
      <c r="H4528" s="9" t="s">
        <v>2979</v>
      </c>
      <c r="I4528" t="s">
        <v>3852</v>
      </c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  <c r="AA4528" s="7"/>
      <c r="AB4528" s="7"/>
      <c r="AC4528" s="7"/>
      <c r="AD4528" s="7" t="str">
        <f t="shared" si="1"/>
        <v>Built-up :</v>
      </c>
      <c r="AE4528" s="7" t="str">
        <f t="shared" si="2"/>
        <v> sq. ft.</v>
      </c>
      <c r="AF4528">
        <f>IFERROR(__xludf.DUMMYFUNCTION("VALUE(REGEXREPLACE(G4528,""[^[:digit:]]"", """"))"),1272.0)</f>
        <v>1272</v>
      </c>
      <c r="AG4528" s="7"/>
      <c r="AH4528" s="7"/>
      <c r="AI4528" s="7"/>
      <c r="AJ4528" s="7"/>
      <c r="AK4528" s="7"/>
      <c r="AL4528" s="7"/>
      <c r="AM4528" s="7"/>
      <c r="AN4528" s="7"/>
      <c r="AO4528" s="7"/>
      <c r="AP4528" s="7"/>
      <c r="AQ4528" s="7"/>
      <c r="AR4528" s="7"/>
    </row>
    <row r="4529">
      <c r="A4529" s="7" t="s">
        <v>72</v>
      </c>
      <c r="B4529" s="7" t="s">
        <v>2785</v>
      </c>
      <c r="C4529" s="7">
        <f>5+1</f>
        <v>6</v>
      </c>
      <c r="D4529" s="7">
        <v>6.0</v>
      </c>
      <c r="E4529" s="9">
        <v>2.0</v>
      </c>
      <c r="F4529" s="7" t="s">
        <v>25</v>
      </c>
      <c r="G4529" s="7" t="s">
        <v>2786</v>
      </c>
      <c r="H4529" s="9" t="s">
        <v>2981</v>
      </c>
      <c r="I4529" t="s">
        <v>4532</v>
      </c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  <c r="AA4529" s="7"/>
      <c r="AB4529" s="7"/>
      <c r="AC4529" s="7"/>
      <c r="AD4529" s="7" t="str">
        <f t="shared" si="1"/>
        <v>Land area </v>
      </c>
      <c r="AE4529" s="7" t="str">
        <f t="shared" si="2"/>
        <v> sq. ft.</v>
      </c>
      <c r="AF4529">
        <f>IFERROR(__xludf.DUMMYFUNCTION("VALUE(REGEXREPLACE(G4529,""[^[:digit:]]"", """"))"),9619.0)</f>
        <v>9619</v>
      </c>
      <c r="AG4529" s="7"/>
      <c r="AH4529" s="7"/>
      <c r="AI4529" s="7"/>
      <c r="AJ4529" s="7"/>
      <c r="AK4529" s="7"/>
      <c r="AL4529" s="7"/>
      <c r="AM4529" s="7"/>
      <c r="AN4529" s="7"/>
      <c r="AO4529" s="7"/>
      <c r="AP4529" s="7"/>
      <c r="AQ4529" s="7"/>
      <c r="AR4529" s="7"/>
      <c r="AS4529" s="7" t="s">
        <v>27</v>
      </c>
    </row>
    <row r="4530">
      <c r="A4530" s="7" t="s">
        <v>23</v>
      </c>
      <c r="B4530" s="7" t="s">
        <v>1240</v>
      </c>
      <c r="E4530" s="9">
        <v>2.0</v>
      </c>
      <c r="F4530" s="7" t="s">
        <v>25</v>
      </c>
      <c r="G4530" s="7" t="s">
        <v>696</v>
      </c>
      <c r="H4530" s="9" t="s">
        <v>2981</v>
      </c>
      <c r="I4530" t="s">
        <v>3288</v>
      </c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  <c r="AA4530" s="7"/>
      <c r="AB4530" s="7"/>
      <c r="AC4530" s="7"/>
      <c r="AD4530" s="7" t="str">
        <f t="shared" si="1"/>
        <v>Land area </v>
      </c>
      <c r="AE4530" s="7" t="str">
        <f t="shared" si="2"/>
        <v> sq. ft.</v>
      </c>
      <c r="AF4530">
        <f>IFERROR(__xludf.DUMMYFUNCTION("VALUE(REGEXREPLACE(G4530,""[^[:digit:]]"", """"))"),8000.0)</f>
        <v>8000</v>
      </c>
      <c r="AG4530" s="7"/>
      <c r="AH4530" s="7"/>
      <c r="AI4530" s="7"/>
      <c r="AJ4530" s="7"/>
      <c r="AK4530" s="7"/>
      <c r="AL4530" s="7"/>
      <c r="AM4530" s="7"/>
      <c r="AN4530" s="7"/>
      <c r="AO4530" s="7"/>
      <c r="AP4530" s="7"/>
      <c r="AQ4530" s="7"/>
      <c r="AR4530" s="7"/>
    </row>
    <row r="4531">
      <c r="A4531" s="7" t="s">
        <v>72</v>
      </c>
      <c r="B4531" s="7" t="s">
        <v>2787</v>
      </c>
      <c r="E4531" s="9">
        <v>2.0</v>
      </c>
      <c r="F4531" s="7" t="s">
        <v>1453</v>
      </c>
      <c r="G4531" s="7" t="s">
        <v>2685</v>
      </c>
      <c r="H4531" s="9" t="s">
        <v>2981</v>
      </c>
      <c r="I4531" t="s">
        <v>4468</v>
      </c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  <c r="AA4531" s="7"/>
      <c r="AB4531" s="7"/>
      <c r="AC4531" s="7"/>
      <c r="AD4531" s="7" t="str">
        <f t="shared" si="1"/>
        <v>Land area </v>
      </c>
      <c r="AE4531" s="7" t="str">
        <f t="shared" si="2"/>
        <v> sq. ft.</v>
      </c>
      <c r="AF4531">
        <f>IFERROR(__xludf.DUMMYFUNCTION("VALUE(REGEXREPLACE(G4531,""[^[:digit:]]"", """"))"),8848.0)</f>
        <v>8848</v>
      </c>
      <c r="AG4531" s="7"/>
      <c r="AH4531" s="7"/>
      <c r="AI4531" s="7"/>
      <c r="AJ4531" s="7"/>
      <c r="AK4531" s="7"/>
      <c r="AL4531" s="7"/>
      <c r="AM4531" s="7"/>
      <c r="AN4531" s="7"/>
      <c r="AO4531" s="7"/>
      <c r="AP4531" s="7"/>
      <c r="AQ4531" s="7"/>
      <c r="AR4531" s="7"/>
      <c r="AS4531" s="7" t="s">
        <v>251</v>
      </c>
    </row>
    <row r="4532">
      <c r="A4532" s="7" t="s">
        <v>72</v>
      </c>
      <c r="B4532" s="7" t="s">
        <v>1452</v>
      </c>
      <c r="E4532" s="9">
        <v>2.0</v>
      </c>
      <c r="F4532" s="7" t="s">
        <v>1453</v>
      </c>
      <c r="G4532" s="7" t="s">
        <v>1120</v>
      </c>
      <c r="H4532" s="9" t="s">
        <v>2981</v>
      </c>
      <c r="I4532" t="s">
        <v>3517</v>
      </c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  <c r="AA4532" s="7"/>
      <c r="AB4532" s="7"/>
      <c r="AC4532" s="7"/>
      <c r="AD4532" s="7" t="str">
        <f t="shared" si="1"/>
        <v>Land area </v>
      </c>
      <c r="AE4532" s="7" t="str">
        <f t="shared" si="2"/>
        <v> sq. ft.</v>
      </c>
      <c r="AF4532">
        <f>IFERROR(__xludf.DUMMYFUNCTION("VALUE(REGEXREPLACE(G4532,""[^[:digit:]]"", """"))"),6200.0)</f>
        <v>6200</v>
      </c>
      <c r="AG4532" s="7"/>
      <c r="AH4532" s="7"/>
      <c r="AI4532" s="7"/>
      <c r="AJ4532" s="7"/>
      <c r="AK4532" s="7"/>
      <c r="AL4532" s="7"/>
      <c r="AM4532" s="7"/>
      <c r="AN4532" s="7"/>
      <c r="AO4532" s="7"/>
      <c r="AP4532" s="7"/>
      <c r="AQ4532" s="7"/>
      <c r="AR4532" s="7"/>
      <c r="AS4532" s="7" t="s">
        <v>251</v>
      </c>
    </row>
    <row r="4533">
      <c r="A4533" s="7" t="s">
        <v>48</v>
      </c>
      <c r="B4533" s="7" t="s">
        <v>648</v>
      </c>
      <c r="C4533" s="7">
        <f>3</f>
        <v>3</v>
      </c>
      <c r="D4533" s="7">
        <v>2.0</v>
      </c>
      <c r="E4533" s="7">
        <v>2.0</v>
      </c>
      <c r="F4533" s="7" t="s">
        <v>83</v>
      </c>
      <c r="G4533" s="7" t="s">
        <v>2788</v>
      </c>
      <c r="H4533" s="9" t="s">
        <v>2979</v>
      </c>
      <c r="I4533" t="s">
        <v>4533</v>
      </c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  <c r="AA4533" s="7"/>
      <c r="AB4533" s="7"/>
      <c r="AC4533" s="7"/>
      <c r="AD4533" s="7" t="str">
        <f t="shared" si="1"/>
        <v>Built-up :</v>
      </c>
      <c r="AE4533" s="7" t="str">
        <f t="shared" si="2"/>
        <v> sq. ft.</v>
      </c>
      <c r="AF4533">
        <f>IFERROR(__xludf.DUMMYFUNCTION("VALUE(REGEXREPLACE(G4533,""[^[:digit:]]"", """"))"),1257.0)</f>
        <v>1257</v>
      </c>
      <c r="AG4533" s="7"/>
      <c r="AH4533" s="7"/>
      <c r="AI4533" s="7"/>
      <c r="AJ4533" s="7"/>
      <c r="AK4533" s="7"/>
      <c r="AL4533" s="7"/>
      <c r="AM4533" s="7"/>
      <c r="AN4533" s="7"/>
      <c r="AO4533" s="7"/>
      <c r="AP4533" s="7"/>
      <c r="AQ4533" s="7"/>
      <c r="AR4533" s="7"/>
      <c r="AS4533" s="7" t="s">
        <v>27</v>
      </c>
    </row>
    <row r="4534">
      <c r="A4534" s="7" t="s">
        <v>72</v>
      </c>
      <c r="B4534" s="7" t="s">
        <v>329</v>
      </c>
      <c r="C4534" s="7">
        <f>3+1</f>
        <v>4</v>
      </c>
      <c r="D4534" s="7">
        <v>3.0</v>
      </c>
      <c r="E4534" s="9">
        <v>2.0</v>
      </c>
      <c r="F4534" s="7" t="s">
        <v>83</v>
      </c>
      <c r="G4534" s="7" t="s">
        <v>2227</v>
      </c>
      <c r="H4534" s="9" t="s">
        <v>2979</v>
      </c>
      <c r="I4534" t="s">
        <v>4195</v>
      </c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  <c r="AA4534" s="7"/>
      <c r="AB4534" s="7"/>
      <c r="AC4534" s="7"/>
      <c r="AD4534" s="7" t="str">
        <f t="shared" si="1"/>
        <v>Built-up :</v>
      </c>
      <c r="AE4534" s="7" t="str">
        <f t="shared" si="2"/>
        <v> sq. ft.</v>
      </c>
      <c r="AF4534">
        <f>IFERROR(__xludf.DUMMYFUNCTION("VALUE(REGEXREPLACE(G4534,""[^[:digit:]]"", """"))"),1997.0)</f>
        <v>1997</v>
      </c>
      <c r="AG4534" s="7"/>
      <c r="AH4534" s="7"/>
      <c r="AI4534" s="7"/>
      <c r="AJ4534" s="7"/>
      <c r="AK4534" s="7"/>
      <c r="AL4534" s="7"/>
      <c r="AM4534" s="7"/>
      <c r="AN4534" s="7"/>
      <c r="AO4534" s="7"/>
      <c r="AP4534" s="7"/>
      <c r="AQ4534" s="7"/>
      <c r="AR4534" s="7"/>
      <c r="AS4534" s="7" t="s">
        <v>27</v>
      </c>
    </row>
    <row r="4535">
      <c r="A4535" s="7" t="s">
        <v>89</v>
      </c>
      <c r="B4535" s="7" t="s">
        <v>87</v>
      </c>
      <c r="C4535" s="7">
        <f>3</f>
        <v>3</v>
      </c>
      <c r="D4535" s="7">
        <v>2.0</v>
      </c>
      <c r="E4535" s="7">
        <v>2.0</v>
      </c>
      <c r="F4535" s="7" t="s">
        <v>83</v>
      </c>
      <c r="G4535" s="7" t="s">
        <v>1271</v>
      </c>
      <c r="H4535" s="9" t="s">
        <v>2979</v>
      </c>
      <c r="I4535" t="s">
        <v>3614</v>
      </c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  <c r="AA4535" s="7"/>
      <c r="AB4535" s="7"/>
      <c r="AC4535" s="7"/>
      <c r="AD4535" s="7" t="str">
        <f t="shared" si="1"/>
        <v>Built-up :</v>
      </c>
      <c r="AE4535" s="7" t="str">
        <f t="shared" si="2"/>
        <v> sq. ft.</v>
      </c>
      <c r="AF4535">
        <f>IFERROR(__xludf.DUMMYFUNCTION("VALUE(REGEXREPLACE(G4535,""[^[:digit:]]"", """"))"),1074.0)</f>
        <v>1074</v>
      </c>
      <c r="AG4535" s="7"/>
      <c r="AH4535" s="7"/>
      <c r="AI4535" s="7"/>
      <c r="AJ4535" s="7"/>
      <c r="AK4535" s="7"/>
      <c r="AL4535" s="7"/>
      <c r="AM4535" s="7"/>
      <c r="AN4535" s="7"/>
      <c r="AO4535" s="7"/>
      <c r="AP4535" s="7"/>
      <c r="AQ4535" s="7"/>
      <c r="AR4535" s="7"/>
      <c r="AS4535" s="7" t="s">
        <v>27</v>
      </c>
    </row>
    <row r="4536">
      <c r="A4536" s="7" t="s">
        <v>72</v>
      </c>
      <c r="B4536" s="7" t="s">
        <v>18</v>
      </c>
      <c r="C4536" s="7">
        <f t="shared" ref="C4536:C4539" si="632">3+1</f>
        <v>4</v>
      </c>
      <c r="D4536" s="7">
        <v>3.0</v>
      </c>
      <c r="E4536" s="9">
        <v>2.0</v>
      </c>
      <c r="F4536" s="7" t="s">
        <v>83</v>
      </c>
      <c r="G4536" s="7" t="s">
        <v>2789</v>
      </c>
      <c r="H4536" s="9" t="s">
        <v>2979</v>
      </c>
      <c r="I4536" t="s">
        <v>4534</v>
      </c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  <c r="AA4536" s="7"/>
      <c r="AB4536" s="7"/>
      <c r="AC4536" s="7"/>
      <c r="AD4536" s="7" t="str">
        <f t="shared" si="1"/>
        <v>Built-up :</v>
      </c>
      <c r="AE4536" s="7" t="str">
        <f t="shared" si="2"/>
        <v> sq. ft.</v>
      </c>
      <c r="AF4536">
        <f>IFERROR(__xludf.DUMMYFUNCTION("VALUE(REGEXREPLACE(G4536,""[^[:digit:]]"", """"))"),2037.0)</f>
        <v>2037</v>
      </c>
      <c r="AG4536" s="7"/>
      <c r="AH4536" s="7"/>
      <c r="AI4536" s="7"/>
      <c r="AJ4536" s="7"/>
      <c r="AK4536" s="7"/>
      <c r="AL4536" s="7"/>
      <c r="AM4536" s="7"/>
      <c r="AN4536" s="7"/>
      <c r="AO4536" s="7"/>
      <c r="AP4536" s="7"/>
      <c r="AQ4536" s="7"/>
      <c r="AR4536" s="7"/>
      <c r="AS4536" s="7" t="s">
        <v>22</v>
      </c>
    </row>
    <row r="4537">
      <c r="A4537" s="7" t="s">
        <v>72</v>
      </c>
      <c r="B4537" s="7" t="s">
        <v>85</v>
      </c>
      <c r="C4537" s="7">
        <f t="shared" si="632"/>
        <v>4</v>
      </c>
      <c r="D4537" s="7">
        <v>4.0</v>
      </c>
      <c r="E4537" s="7">
        <v>2.0</v>
      </c>
      <c r="F4537" s="7" t="s">
        <v>30</v>
      </c>
      <c r="G4537" s="7" t="s">
        <v>1027</v>
      </c>
      <c r="H4537" s="9" t="s">
        <v>2979</v>
      </c>
      <c r="I4537" t="s">
        <v>3463</v>
      </c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  <c r="AA4537" s="7"/>
      <c r="AB4537" s="7"/>
      <c r="AC4537" s="7"/>
      <c r="AD4537" s="7" t="str">
        <f t="shared" si="1"/>
        <v>Built-up :</v>
      </c>
      <c r="AE4537" s="7" t="str">
        <f t="shared" si="2"/>
        <v> sq. ft.</v>
      </c>
      <c r="AF4537">
        <f>IFERROR(__xludf.DUMMYFUNCTION("VALUE(REGEXREPLACE(G4537,""[^[:digit:]]"", """"))"),3200.0)</f>
        <v>3200</v>
      </c>
      <c r="AG4537" s="7"/>
      <c r="AH4537" s="7"/>
      <c r="AI4537" s="7"/>
      <c r="AJ4537" s="7"/>
      <c r="AK4537" s="7"/>
      <c r="AL4537" s="7"/>
      <c r="AM4537" s="7"/>
      <c r="AN4537" s="7"/>
      <c r="AO4537" s="7"/>
      <c r="AP4537" s="7"/>
      <c r="AQ4537" s="7"/>
      <c r="AR4537" s="7"/>
      <c r="AS4537" s="7" t="s">
        <v>27</v>
      </c>
    </row>
    <row r="4538">
      <c r="A4538" s="7" t="s">
        <v>72</v>
      </c>
      <c r="B4538" s="7" t="s">
        <v>81</v>
      </c>
      <c r="C4538" s="7">
        <f t="shared" si="632"/>
        <v>4</v>
      </c>
      <c r="D4538" s="7">
        <v>3.0</v>
      </c>
      <c r="E4538" s="7">
        <v>2.0</v>
      </c>
      <c r="F4538" s="7" t="s">
        <v>83</v>
      </c>
      <c r="G4538" s="7" t="s">
        <v>2790</v>
      </c>
      <c r="H4538" s="9" t="s">
        <v>2979</v>
      </c>
      <c r="I4538" t="s">
        <v>4535</v>
      </c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  <c r="AA4538" s="7"/>
      <c r="AB4538" s="7"/>
      <c r="AC4538" s="7"/>
      <c r="AD4538" s="7" t="str">
        <f t="shared" si="1"/>
        <v>Built-up :</v>
      </c>
      <c r="AE4538" s="7" t="str">
        <f t="shared" si="2"/>
        <v> sq. ft.</v>
      </c>
      <c r="AF4538">
        <f>IFERROR(__xludf.DUMMYFUNCTION("VALUE(REGEXREPLACE(G4538,""[^[:digit:]]"", """"))"),2092.0)</f>
        <v>2092</v>
      </c>
      <c r="AG4538" s="7"/>
      <c r="AH4538" s="7"/>
      <c r="AI4538" s="7"/>
      <c r="AJ4538" s="7"/>
      <c r="AK4538" s="7"/>
      <c r="AL4538" s="7"/>
      <c r="AM4538" s="7"/>
      <c r="AN4538" s="7"/>
      <c r="AO4538" s="7"/>
      <c r="AP4538" s="7"/>
      <c r="AQ4538" s="7"/>
      <c r="AR4538" s="7"/>
      <c r="AS4538" s="7" t="s">
        <v>27</v>
      </c>
    </row>
    <row r="4539">
      <c r="A4539" s="7" t="s">
        <v>72</v>
      </c>
      <c r="B4539" s="7" t="s">
        <v>311</v>
      </c>
      <c r="C4539" s="7">
        <f t="shared" si="632"/>
        <v>4</v>
      </c>
      <c r="D4539" s="7">
        <v>4.0</v>
      </c>
      <c r="E4539" s="9">
        <v>2.0</v>
      </c>
      <c r="F4539" s="7" t="s">
        <v>83</v>
      </c>
      <c r="G4539" s="7" t="s">
        <v>2226</v>
      </c>
      <c r="H4539" s="9" t="s">
        <v>2979</v>
      </c>
      <c r="I4539" t="s">
        <v>4194</v>
      </c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  <c r="AA4539" s="7"/>
      <c r="AB4539" s="7"/>
      <c r="AC4539" s="7"/>
      <c r="AD4539" s="7" t="str">
        <f t="shared" si="1"/>
        <v>Built-up :</v>
      </c>
      <c r="AE4539" s="7" t="str">
        <f t="shared" si="2"/>
        <v> sq. ft.</v>
      </c>
      <c r="AF4539">
        <f>IFERROR(__xludf.DUMMYFUNCTION("VALUE(REGEXREPLACE(G4539,""[^[:digit:]]"", """"))"),2036.0)</f>
        <v>2036</v>
      </c>
      <c r="AG4539" s="7"/>
      <c r="AH4539" s="7"/>
      <c r="AI4539" s="7"/>
      <c r="AJ4539" s="7"/>
      <c r="AK4539" s="7"/>
      <c r="AL4539" s="7"/>
      <c r="AM4539" s="7"/>
      <c r="AN4539" s="7"/>
      <c r="AO4539" s="7"/>
      <c r="AP4539" s="7"/>
      <c r="AQ4539" s="7"/>
      <c r="AR4539" s="7"/>
      <c r="AS4539" s="7" t="s">
        <v>22</v>
      </c>
    </row>
    <row r="4540">
      <c r="A4540" s="7" t="s">
        <v>188</v>
      </c>
      <c r="B4540" s="7" t="s">
        <v>85</v>
      </c>
      <c r="C4540" s="7">
        <f>2</f>
        <v>2</v>
      </c>
      <c r="D4540" s="7">
        <v>2.0</v>
      </c>
      <c r="E4540" s="7">
        <v>1.0</v>
      </c>
      <c r="F4540" s="7" t="s">
        <v>30</v>
      </c>
      <c r="G4540" s="7" t="s">
        <v>2668</v>
      </c>
      <c r="H4540" s="9" t="s">
        <v>2979</v>
      </c>
      <c r="I4540" t="s">
        <v>4457</v>
      </c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  <c r="AA4540" s="7"/>
      <c r="AB4540" s="7"/>
      <c r="AC4540" s="7"/>
      <c r="AD4540" s="7" t="str">
        <f t="shared" si="1"/>
        <v>Built-up :</v>
      </c>
      <c r="AE4540" s="7" t="str">
        <f t="shared" si="2"/>
        <v> sq. ft.</v>
      </c>
      <c r="AF4540">
        <f>IFERROR(__xludf.DUMMYFUNCTION("VALUE(REGEXREPLACE(G4540,""[^[:digit:]]"", """"))"),946.0)</f>
        <v>946</v>
      </c>
      <c r="AG4540" s="7"/>
      <c r="AH4540" s="7"/>
      <c r="AI4540" s="7"/>
      <c r="AJ4540" s="7"/>
      <c r="AK4540" s="7"/>
      <c r="AL4540" s="7"/>
      <c r="AM4540" s="7"/>
      <c r="AN4540" s="7"/>
      <c r="AO4540" s="7"/>
      <c r="AP4540" s="7"/>
      <c r="AQ4540" s="7"/>
      <c r="AR4540" s="7"/>
      <c r="AS4540" s="7" t="s">
        <v>22</v>
      </c>
    </row>
    <row r="4541">
      <c r="A4541" s="7" t="s">
        <v>48</v>
      </c>
      <c r="B4541" s="7" t="s">
        <v>1869</v>
      </c>
      <c r="C4541" s="7">
        <f>3</f>
        <v>3</v>
      </c>
      <c r="D4541" s="7">
        <v>2.0</v>
      </c>
      <c r="E4541" s="9">
        <v>2.0</v>
      </c>
      <c r="F4541" s="7" t="s">
        <v>169</v>
      </c>
      <c r="G4541" s="7" t="s">
        <v>1103</v>
      </c>
      <c r="H4541" s="9" t="s">
        <v>2981</v>
      </c>
      <c r="I4541" t="s">
        <v>3505</v>
      </c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  <c r="AA4541" s="7"/>
      <c r="AB4541" s="7"/>
      <c r="AC4541" s="7"/>
      <c r="AD4541" s="7" t="str">
        <f t="shared" si="1"/>
        <v>Land area </v>
      </c>
      <c r="AE4541" s="7" t="str">
        <f t="shared" si="2"/>
        <v> sq. ft.</v>
      </c>
      <c r="AF4541">
        <f>IFERROR(__xludf.DUMMYFUNCTION("VALUE(REGEXREPLACE(G4541,""[^[:digit:]]"", """"))"),770.0)</f>
        <v>770</v>
      </c>
      <c r="AG4541" s="7"/>
      <c r="AH4541" s="7"/>
      <c r="AI4541" s="7"/>
      <c r="AJ4541" s="7"/>
      <c r="AK4541" s="7"/>
      <c r="AL4541" s="7"/>
      <c r="AM4541" s="7"/>
      <c r="AN4541" s="7"/>
      <c r="AO4541" s="7"/>
      <c r="AP4541" s="7"/>
      <c r="AQ4541" s="7"/>
      <c r="AR4541" s="7"/>
      <c r="AS4541" s="7" t="s">
        <v>103</v>
      </c>
    </row>
    <row r="4542">
      <c r="A4542" s="7" t="s">
        <v>48</v>
      </c>
      <c r="B4542" s="7" t="s">
        <v>329</v>
      </c>
      <c r="C4542" s="7">
        <f t="shared" ref="C4542:C4543" si="633">4</f>
        <v>4</v>
      </c>
      <c r="D4542" s="7">
        <v>4.0</v>
      </c>
      <c r="E4542" s="9">
        <v>2.0</v>
      </c>
      <c r="F4542" s="7" t="s">
        <v>681</v>
      </c>
      <c r="G4542" s="7" t="s">
        <v>719</v>
      </c>
      <c r="H4542" s="9" t="s">
        <v>2981</v>
      </c>
      <c r="I4542" t="s">
        <v>3299</v>
      </c>
      <c r="J4542" s="7"/>
      <c r="K4542" s="7"/>
      <c r="L4542" s="7"/>
      <c r="M4542" s="7"/>
      <c r="N4542" s="7"/>
      <c r="O4542" s="7"/>
      <c r="P4542" s="7"/>
      <c r="Q4542" s="7"/>
      <c r="R4542" s="7"/>
      <c r="S4542" s="7" t="s">
        <v>3101</v>
      </c>
      <c r="T4542" s="7"/>
      <c r="U4542" s="7"/>
      <c r="V4542" s="7"/>
      <c r="W4542" s="7"/>
      <c r="X4542" s="7"/>
      <c r="Y4542" s="7"/>
      <c r="Z4542" s="7"/>
      <c r="AA4542" s="7"/>
      <c r="AB4542" s="7"/>
      <c r="AC4542" s="7"/>
      <c r="AD4542" s="7" t="str">
        <f t="shared" si="1"/>
        <v>Land area </v>
      </c>
      <c r="AE4542" s="7" t="str">
        <f t="shared" si="2"/>
        <v> sq. ft.</v>
      </c>
      <c r="AF4542">
        <f>IFERROR(__xludf.DUMMYFUNCTION("VALUE(REGEXREPLACE(G4542,""[^[:digit:]]"", """"))"),2285.0)</f>
        <v>2285</v>
      </c>
      <c r="AG4542" s="7"/>
      <c r="AH4542" s="7"/>
      <c r="AI4542" s="7"/>
      <c r="AJ4542" s="7"/>
      <c r="AK4542" s="7"/>
      <c r="AL4542" s="7"/>
      <c r="AM4542" s="7"/>
      <c r="AN4542" s="7"/>
      <c r="AO4542" s="7"/>
      <c r="AP4542" s="7"/>
      <c r="AQ4542" s="7"/>
      <c r="AR4542" s="7"/>
    </row>
    <row r="4543">
      <c r="A4543" s="7" t="s">
        <v>1456</v>
      </c>
      <c r="B4543" s="7" t="s">
        <v>1679</v>
      </c>
      <c r="C4543" s="7">
        <f t="shared" si="633"/>
        <v>4</v>
      </c>
      <c r="D4543" s="7">
        <v>2.0</v>
      </c>
      <c r="E4543" s="9">
        <v>2.0</v>
      </c>
      <c r="F4543" s="7" t="s">
        <v>169</v>
      </c>
      <c r="G4543" s="7" t="s">
        <v>1839</v>
      </c>
      <c r="H4543" s="9" t="s">
        <v>2981</v>
      </c>
      <c r="I4543" t="s">
        <v>3949</v>
      </c>
      <c r="J4543" s="7"/>
      <c r="K4543" s="7"/>
      <c r="L4543" s="7"/>
      <c r="M4543" s="7"/>
      <c r="N4543" s="7"/>
      <c r="O4543" s="7"/>
      <c r="P4543" s="7"/>
      <c r="Q4543" s="7"/>
      <c r="R4543" s="7"/>
      <c r="S4543" s="7" t="s">
        <v>3298</v>
      </c>
      <c r="T4543" s="7"/>
      <c r="U4543" s="7"/>
      <c r="V4543" s="7"/>
      <c r="W4543" s="7"/>
      <c r="X4543" s="7"/>
      <c r="Y4543" s="7"/>
      <c r="Z4543" s="7"/>
      <c r="AA4543" s="7"/>
      <c r="AB4543" s="7"/>
      <c r="AC4543" s="7"/>
      <c r="AD4543" s="7" t="str">
        <f t="shared" si="1"/>
        <v>Land area </v>
      </c>
      <c r="AE4543" s="7" t="str">
        <f t="shared" si="2"/>
        <v> sq. ft.</v>
      </c>
      <c r="AF4543">
        <f>IFERROR(__xludf.DUMMYFUNCTION("VALUE(REGEXREPLACE(G4543,""[^[:digit:]]"", """"))"),1865.0)</f>
        <v>1865</v>
      </c>
      <c r="AG4543" s="7"/>
      <c r="AH4543" s="7"/>
      <c r="AI4543" s="7"/>
      <c r="AJ4543" s="7"/>
      <c r="AK4543" s="7"/>
      <c r="AL4543" s="7"/>
      <c r="AM4543" s="7"/>
      <c r="AN4543" s="7"/>
      <c r="AO4543" s="7"/>
      <c r="AP4543" s="7"/>
      <c r="AQ4543" s="7"/>
      <c r="AR4543" s="7"/>
      <c r="AS4543" s="7" t="s">
        <v>27</v>
      </c>
    </row>
    <row r="4544">
      <c r="A4544" s="7" t="s">
        <v>89</v>
      </c>
      <c r="B4544" s="7" t="s">
        <v>229</v>
      </c>
      <c r="C4544" s="7">
        <f>5</f>
        <v>5</v>
      </c>
      <c r="D4544" s="7">
        <v>4.0</v>
      </c>
      <c r="E4544" s="9">
        <v>2.0</v>
      </c>
      <c r="F4544" s="7" t="s">
        <v>562</v>
      </c>
      <c r="G4544" s="7" t="s">
        <v>91</v>
      </c>
      <c r="H4544" s="9" t="s">
        <v>2981</v>
      </c>
      <c r="I4544" t="s">
        <v>3003</v>
      </c>
      <c r="J4544" s="7"/>
      <c r="K4544" s="7"/>
      <c r="L4544" s="7"/>
      <c r="M4544" s="7"/>
      <c r="N4544" s="7"/>
      <c r="O4544" s="7"/>
      <c r="P4544" s="7"/>
      <c r="Q4544" s="7"/>
      <c r="R4544" s="7"/>
      <c r="S4544" s="7" t="s">
        <v>2990</v>
      </c>
      <c r="T4544" s="7"/>
      <c r="U4544" s="7"/>
      <c r="V4544" s="7"/>
      <c r="W4544" s="7"/>
      <c r="X4544" s="7"/>
      <c r="Y4544" s="7"/>
      <c r="Z4544" s="7"/>
      <c r="AA4544" s="7"/>
      <c r="AB4544" s="7"/>
      <c r="AC4544" s="7"/>
      <c r="AD4544" s="7" t="str">
        <f t="shared" si="1"/>
        <v>Land area </v>
      </c>
      <c r="AE4544" s="7" t="str">
        <f t="shared" si="2"/>
        <v> sq. ft.</v>
      </c>
      <c r="AF4544">
        <f>IFERROR(__xludf.DUMMYFUNCTION("VALUE(REGEXREPLACE(G4544,""[^[:digit:]]"", """"))"),2075.0)</f>
        <v>2075</v>
      </c>
      <c r="AG4544" s="7"/>
      <c r="AH4544" s="7"/>
      <c r="AI4544" s="7"/>
      <c r="AJ4544" s="7"/>
      <c r="AK4544" s="7"/>
      <c r="AL4544" s="7"/>
      <c r="AM4544" s="7"/>
      <c r="AN4544" s="7"/>
      <c r="AO4544" s="7"/>
      <c r="AP4544" s="7"/>
      <c r="AQ4544" s="7"/>
      <c r="AR4544" s="7"/>
    </row>
    <row r="4545">
      <c r="A4545" s="7" t="s">
        <v>72</v>
      </c>
      <c r="B4545" s="7" t="s">
        <v>127</v>
      </c>
      <c r="C4545" s="7">
        <f>5+1</f>
        <v>6</v>
      </c>
      <c r="D4545" s="7">
        <v>5.0</v>
      </c>
      <c r="E4545" s="7">
        <v>2.0</v>
      </c>
      <c r="F4545" s="7" t="s">
        <v>43</v>
      </c>
      <c r="G4545" s="7" t="s">
        <v>1935</v>
      </c>
      <c r="H4545" s="9" t="s">
        <v>2979</v>
      </c>
      <c r="I4545" t="s">
        <v>4007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  <c r="AA4545" s="7"/>
      <c r="AB4545" s="7"/>
      <c r="AC4545" s="7"/>
      <c r="AD4545" s="7" t="str">
        <f t="shared" si="1"/>
        <v>Built-up :</v>
      </c>
      <c r="AE4545" s="7" t="str">
        <f t="shared" si="2"/>
        <v> sq. ft.</v>
      </c>
      <c r="AF4545">
        <f>IFERROR(__xludf.DUMMYFUNCTION("VALUE(REGEXREPLACE(G4545,""[^[:digit:]]"", """"))"),4600.0)</f>
        <v>4600</v>
      </c>
      <c r="AG4545" s="7"/>
      <c r="AH4545" s="7"/>
      <c r="AI4545" s="7"/>
      <c r="AJ4545" s="7"/>
      <c r="AK4545" s="7"/>
      <c r="AL4545" s="7"/>
      <c r="AM4545" s="7"/>
      <c r="AN4545" s="7"/>
      <c r="AO4545" s="7"/>
      <c r="AP4545" s="7"/>
      <c r="AQ4545" s="7"/>
      <c r="AR4545" s="7"/>
      <c r="AS4545" s="7" t="s">
        <v>27</v>
      </c>
    </row>
    <row r="4546">
      <c r="A4546" s="7" t="s">
        <v>100</v>
      </c>
      <c r="B4546" s="7" t="s">
        <v>641</v>
      </c>
      <c r="C4546" s="7">
        <f t="shared" ref="C4546:C4548" si="634">3</f>
        <v>3</v>
      </c>
      <c r="D4546" s="7">
        <v>2.0</v>
      </c>
      <c r="E4546" s="7">
        <v>2.0</v>
      </c>
      <c r="F4546" s="7" t="s">
        <v>20</v>
      </c>
      <c r="G4546" s="7" t="s">
        <v>1657</v>
      </c>
      <c r="H4546" s="9" t="s">
        <v>2979</v>
      </c>
      <c r="I4546" t="s">
        <v>3841</v>
      </c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  <c r="AA4546" s="7"/>
      <c r="AB4546" s="7"/>
      <c r="AC4546" s="7"/>
      <c r="AD4546" s="7" t="str">
        <f t="shared" si="1"/>
        <v>Built-up :</v>
      </c>
      <c r="AE4546" s="7" t="str">
        <f t="shared" si="2"/>
        <v> sq. ft.</v>
      </c>
      <c r="AF4546">
        <f>IFERROR(__xludf.DUMMYFUNCTION("VALUE(REGEXREPLACE(G4546,""[^[:digit:]]"", """"))"),1110.0)</f>
        <v>1110</v>
      </c>
      <c r="AG4546" s="7"/>
      <c r="AH4546" s="7"/>
      <c r="AI4546" s="7"/>
      <c r="AJ4546" s="7"/>
      <c r="AK4546" s="7"/>
      <c r="AL4546" s="7"/>
      <c r="AM4546" s="7"/>
      <c r="AN4546" s="7"/>
      <c r="AO4546" s="7"/>
      <c r="AP4546" s="7"/>
      <c r="AQ4546" s="7"/>
      <c r="AR4546" s="7"/>
      <c r="AS4546" s="7" t="s">
        <v>22</v>
      </c>
    </row>
    <row r="4547">
      <c r="A4547" s="7" t="s">
        <v>1476</v>
      </c>
      <c r="B4547" s="7" t="s">
        <v>2791</v>
      </c>
      <c r="C4547" s="7">
        <f t="shared" si="634"/>
        <v>3</v>
      </c>
      <c r="D4547" s="7">
        <v>2.0</v>
      </c>
      <c r="E4547" s="7">
        <v>1.0</v>
      </c>
      <c r="F4547" s="7" t="s">
        <v>83</v>
      </c>
      <c r="G4547" s="7" t="s">
        <v>2667</v>
      </c>
      <c r="H4547" s="9" t="s">
        <v>2979</v>
      </c>
      <c r="I4547" t="s">
        <v>4456</v>
      </c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  <c r="AA4547" s="7"/>
      <c r="AB4547" s="7"/>
      <c r="AC4547" s="7"/>
      <c r="AD4547" s="7" t="str">
        <f t="shared" si="1"/>
        <v>Built-up :</v>
      </c>
      <c r="AE4547" s="7" t="str">
        <f t="shared" si="2"/>
        <v> sq. ft.</v>
      </c>
      <c r="AF4547">
        <f>IFERROR(__xludf.DUMMYFUNCTION("VALUE(REGEXREPLACE(G4547,""[^[:digit:]]"", """"))"),956.0)</f>
        <v>956</v>
      </c>
      <c r="AG4547" s="7"/>
      <c r="AH4547" s="7"/>
      <c r="AI4547" s="7"/>
      <c r="AJ4547" s="7"/>
      <c r="AK4547" s="7"/>
      <c r="AL4547" s="7"/>
      <c r="AM4547" s="7"/>
      <c r="AN4547" s="7"/>
      <c r="AO4547" s="7"/>
      <c r="AP4547" s="7"/>
      <c r="AQ4547" s="7"/>
      <c r="AR4547" s="7"/>
      <c r="AS4547" s="7" t="s">
        <v>27</v>
      </c>
    </row>
    <row r="4548">
      <c r="A4548" s="7" t="s">
        <v>1476</v>
      </c>
      <c r="B4548" s="7" t="s">
        <v>1426</v>
      </c>
      <c r="C4548" s="7">
        <f t="shared" si="634"/>
        <v>3</v>
      </c>
      <c r="D4548" s="7">
        <v>2.0</v>
      </c>
      <c r="E4548" s="7">
        <v>1.0</v>
      </c>
      <c r="F4548" s="7" t="s">
        <v>83</v>
      </c>
      <c r="G4548" s="7" t="s">
        <v>1319</v>
      </c>
      <c r="H4548" s="9" t="s">
        <v>2979</v>
      </c>
      <c r="I4548" t="s">
        <v>3642</v>
      </c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  <c r="AA4548" s="7"/>
      <c r="AB4548" s="7"/>
      <c r="AC4548" s="7"/>
      <c r="AD4548" s="7" t="str">
        <f t="shared" si="1"/>
        <v>Built-up :</v>
      </c>
      <c r="AE4548" s="7" t="str">
        <f t="shared" si="2"/>
        <v> sq. ft.</v>
      </c>
      <c r="AF4548">
        <f>IFERROR(__xludf.DUMMYFUNCTION("VALUE(REGEXREPLACE(G4548,""[^[:digit:]]"", """"))"),1009.0)</f>
        <v>1009</v>
      </c>
      <c r="AG4548" s="7"/>
      <c r="AH4548" s="7"/>
      <c r="AI4548" s="7"/>
      <c r="AJ4548" s="7"/>
      <c r="AK4548" s="7"/>
      <c r="AL4548" s="7"/>
      <c r="AM4548" s="7"/>
      <c r="AN4548" s="7"/>
      <c r="AO4548" s="7"/>
      <c r="AP4548" s="7"/>
      <c r="AQ4548" s="7"/>
      <c r="AR4548" s="7"/>
      <c r="AS4548" s="7" t="s">
        <v>27</v>
      </c>
    </row>
    <row r="4549">
      <c r="A4549" s="7" t="s">
        <v>2237</v>
      </c>
      <c r="B4549" s="7" t="s">
        <v>1318</v>
      </c>
      <c r="C4549" s="7">
        <f>2</f>
        <v>2</v>
      </c>
      <c r="D4549" s="7">
        <v>2.0</v>
      </c>
      <c r="E4549" s="7">
        <v>2.0</v>
      </c>
      <c r="F4549" s="7" t="s">
        <v>20</v>
      </c>
      <c r="G4549" s="7" t="s">
        <v>31</v>
      </c>
      <c r="H4549" s="9" t="s">
        <v>2979</v>
      </c>
      <c r="I4549" t="s">
        <v>2983</v>
      </c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  <c r="AA4549" s="7"/>
      <c r="AB4549" s="7"/>
      <c r="AC4549" s="7"/>
      <c r="AD4549" s="7" t="str">
        <f t="shared" si="1"/>
        <v>Built-up :</v>
      </c>
      <c r="AE4549" s="7" t="str">
        <f t="shared" si="2"/>
        <v> sq. ft.</v>
      </c>
      <c r="AF4549">
        <f>IFERROR(__xludf.DUMMYFUNCTION("VALUE(REGEXREPLACE(G4549,""[^[:digit:]]"", """"))"),1875.0)</f>
        <v>1875</v>
      </c>
      <c r="AG4549" s="7"/>
      <c r="AH4549" s="7"/>
      <c r="AI4549" s="7"/>
      <c r="AJ4549" s="7"/>
      <c r="AK4549" s="7"/>
      <c r="AL4549" s="7"/>
      <c r="AM4549" s="7"/>
      <c r="AN4549" s="7"/>
      <c r="AO4549" s="7"/>
      <c r="AP4549" s="7"/>
      <c r="AQ4549" s="7"/>
      <c r="AR4549" s="7"/>
      <c r="AS4549" s="7" t="s">
        <v>27</v>
      </c>
    </row>
    <row r="4550">
      <c r="A4550" s="7" t="s">
        <v>48</v>
      </c>
      <c r="B4550" s="7" t="s">
        <v>353</v>
      </c>
      <c r="C4550" s="7">
        <f t="shared" ref="C4550:C4551" si="635">3</f>
        <v>3</v>
      </c>
      <c r="D4550" s="7">
        <v>2.0</v>
      </c>
      <c r="E4550" s="7">
        <v>1.0</v>
      </c>
      <c r="F4550" s="7" t="s">
        <v>169</v>
      </c>
      <c r="G4550" s="7" t="s">
        <v>2081</v>
      </c>
      <c r="H4550" s="9" t="s">
        <v>2981</v>
      </c>
      <c r="I4550" t="s">
        <v>3505</v>
      </c>
      <c r="J4550" s="7"/>
      <c r="K4550" s="7"/>
      <c r="L4550" s="7"/>
      <c r="M4550" s="7"/>
      <c r="N4550" s="7"/>
      <c r="O4550" s="7"/>
      <c r="P4550" s="7"/>
      <c r="Q4550" s="7"/>
      <c r="R4550" s="7"/>
      <c r="S4550" s="7" t="s">
        <v>3009</v>
      </c>
      <c r="T4550" s="7"/>
      <c r="U4550" s="7"/>
      <c r="V4550" s="7"/>
      <c r="W4550" s="7"/>
      <c r="X4550" s="7"/>
      <c r="Y4550" s="7"/>
      <c r="Z4550" s="7"/>
      <c r="AA4550" s="7"/>
      <c r="AB4550" s="7"/>
      <c r="AC4550" s="7"/>
      <c r="AD4550" s="7" t="str">
        <f t="shared" si="1"/>
        <v>Land area </v>
      </c>
      <c r="AE4550" s="7" t="str">
        <f t="shared" si="2"/>
        <v> sq. ft.</v>
      </c>
      <c r="AF4550">
        <f>IFERROR(__xludf.DUMMYFUNCTION("VALUE(REGEXREPLACE(G4550,""[^[:digit:]]"", """"))"),1455.0)</f>
        <v>1455</v>
      </c>
      <c r="AG4550" s="7"/>
      <c r="AH4550" s="7"/>
      <c r="AI4550" s="7"/>
      <c r="AJ4550" s="7"/>
      <c r="AK4550" s="7"/>
      <c r="AL4550" s="7"/>
      <c r="AM4550" s="7"/>
      <c r="AN4550" s="7"/>
      <c r="AO4550" s="7"/>
      <c r="AP4550" s="7"/>
      <c r="AQ4550" s="7"/>
      <c r="AR4550" s="7"/>
      <c r="AS4550" s="7" t="s">
        <v>27</v>
      </c>
    </row>
    <row r="4551">
      <c r="A4551" s="7" t="s">
        <v>1476</v>
      </c>
      <c r="B4551" s="7" t="s">
        <v>702</v>
      </c>
      <c r="C4551" s="7">
        <f t="shared" si="635"/>
        <v>3</v>
      </c>
      <c r="D4551" s="7">
        <v>2.0</v>
      </c>
      <c r="E4551" s="7">
        <v>1.0</v>
      </c>
      <c r="F4551" s="7" t="s">
        <v>83</v>
      </c>
      <c r="G4551" s="7" t="s">
        <v>1684</v>
      </c>
      <c r="H4551" s="9" t="s">
        <v>2979</v>
      </c>
      <c r="I4551" t="s">
        <v>3855</v>
      </c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  <c r="AA4551" s="7"/>
      <c r="AB4551" s="7"/>
      <c r="AC4551" s="7"/>
      <c r="AD4551" s="7" t="str">
        <f t="shared" si="1"/>
        <v>Built-up :</v>
      </c>
      <c r="AE4551" s="7" t="str">
        <f t="shared" si="2"/>
        <v> sq. ft.</v>
      </c>
      <c r="AF4551">
        <f>IFERROR(__xludf.DUMMYFUNCTION("VALUE(REGEXREPLACE(G4551,""[^[:digit:]]"", """"))"),1166.0)</f>
        <v>1166</v>
      </c>
      <c r="AG4551" s="7"/>
      <c r="AH4551" s="7"/>
      <c r="AI4551" s="7"/>
      <c r="AJ4551" s="7"/>
      <c r="AK4551" s="7"/>
      <c r="AL4551" s="7"/>
      <c r="AM4551" s="7"/>
      <c r="AN4551" s="7"/>
      <c r="AO4551" s="7"/>
      <c r="AP4551" s="7"/>
      <c r="AQ4551" s="7"/>
      <c r="AR4551" s="7"/>
      <c r="AS4551" s="7" t="s">
        <v>27</v>
      </c>
    </row>
    <row r="4552">
      <c r="A4552" s="7" t="s">
        <v>1476</v>
      </c>
      <c r="B4552" s="7" t="s">
        <v>1673</v>
      </c>
      <c r="C4552" s="7">
        <f>1+1</f>
        <v>2</v>
      </c>
      <c r="D4552" s="7">
        <v>2.0</v>
      </c>
      <c r="E4552" s="7">
        <v>1.0</v>
      </c>
      <c r="F4552" s="7" t="s">
        <v>83</v>
      </c>
      <c r="G4552" s="7" t="s">
        <v>226</v>
      </c>
      <c r="H4552" s="9" t="s">
        <v>2979</v>
      </c>
      <c r="I4552" t="s">
        <v>3063</v>
      </c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  <c r="AA4552" s="7"/>
      <c r="AB4552" s="7"/>
      <c r="AC4552" s="7"/>
      <c r="AD4552" s="7" t="str">
        <f t="shared" si="1"/>
        <v>Built-up :</v>
      </c>
      <c r="AE4552" s="7" t="str">
        <f t="shared" si="2"/>
        <v> sq. ft.</v>
      </c>
      <c r="AF4552">
        <f>IFERROR(__xludf.DUMMYFUNCTION("VALUE(REGEXREPLACE(G4552,""[^[:digit:]]"", """"))"),728.0)</f>
        <v>728</v>
      </c>
      <c r="AG4552" s="7"/>
      <c r="AH4552" s="7"/>
      <c r="AI4552" s="7"/>
      <c r="AJ4552" s="7"/>
      <c r="AK4552" s="7"/>
      <c r="AL4552" s="7"/>
      <c r="AM4552" s="7"/>
      <c r="AN4552" s="7"/>
      <c r="AO4552" s="7"/>
      <c r="AP4552" s="7"/>
      <c r="AQ4552" s="7"/>
      <c r="AR4552" s="7"/>
      <c r="AS4552" s="7" t="s">
        <v>27</v>
      </c>
    </row>
    <row r="4553">
      <c r="A4553" s="7" t="s">
        <v>1476</v>
      </c>
      <c r="B4553" s="7" t="s">
        <v>2792</v>
      </c>
      <c r="C4553" s="7">
        <f>3</f>
        <v>3</v>
      </c>
      <c r="D4553" s="7">
        <v>2.0</v>
      </c>
      <c r="E4553" s="7">
        <v>1.0</v>
      </c>
      <c r="F4553" s="7" t="s">
        <v>354</v>
      </c>
      <c r="G4553" s="7" t="s">
        <v>2662</v>
      </c>
      <c r="H4553" s="9" t="s">
        <v>2979</v>
      </c>
      <c r="I4553" t="s">
        <v>4453</v>
      </c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  <c r="AA4553" s="7"/>
      <c r="AB4553" s="7"/>
      <c r="AC4553" s="7"/>
      <c r="AD4553" s="7" t="str">
        <f t="shared" si="1"/>
        <v>Built-up :</v>
      </c>
      <c r="AE4553" s="7" t="str">
        <f t="shared" si="2"/>
        <v> sq. ft.</v>
      </c>
      <c r="AF4553">
        <f>IFERROR(__xludf.DUMMYFUNCTION("VALUE(REGEXREPLACE(G4553,""[^[:digit:]]"", """"))"),886.0)</f>
        <v>886</v>
      </c>
      <c r="AG4553" s="7"/>
      <c r="AH4553" s="7"/>
      <c r="AI4553" s="7"/>
      <c r="AJ4553" s="7"/>
      <c r="AK4553" s="7"/>
      <c r="AL4553" s="7"/>
      <c r="AM4553" s="7"/>
      <c r="AN4553" s="7"/>
      <c r="AO4553" s="7"/>
      <c r="AP4553" s="7"/>
      <c r="AQ4553" s="7"/>
      <c r="AR4553" s="7"/>
      <c r="AS4553" s="7" t="s">
        <v>27</v>
      </c>
    </row>
    <row r="4554">
      <c r="A4554" s="7" t="s">
        <v>32</v>
      </c>
      <c r="B4554" s="7" t="s">
        <v>311</v>
      </c>
      <c r="C4554" s="7">
        <f>4+1</f>
        <v>5</v>
      </c>
      <c r="D4554" s="7">
        <v>4.0</v>
      </c>
      <c r="E4554" s="7">
        <v>2.0</v>
      </c>
      <c r="F4554" s="7" t="s">
        <v>83</v>
      </c>
      <c r="G4554" s="7" t="s">
        <v>2793</v>
      </c>
      <c r="H4554" s="9" t="s">
        <v>2979</v>
      </c>
      <c r="I4554" t="s">
        <v>4536</v>
      </c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  <c r="AA4554" s="7"/>
      <c r="AB4554" s="7"/>
      <c r="AC4554" s="7"/>
      <c r="AD4554" s="7" t="str">
        <f t="shared" si="1"/>
        <v>Built-up :</v>
      </c>
      <c r="AE4554" s="7" t="str">
        <f t="shared" si="2"/>
        <v> sq. ft.</v>
      </c>
      <c r="AF4554">
        <f>IFERROR(__xludf.DUMMYFUNCTION("VALUE(REGEXREPLACE(G4554,""[^[:digit:]]"", """"))"),1675.0)</f>
        <v>1675</v>
      </c>
      <c r="AG4554" s="7"/>
      <c r="AH4554" s="7"/>
      <c r="AI4554" s="7"/>
      <c r="AJ4554" s="7"/>
      <c r="AK4554" s="7"/>
      <c r="AL4554" s="7"/>
      <c r="AM4554" s="7"/>
      <c r="AN4554" s="7"/>
      <c r="AO4554" s="7"/>
      <c r="AP4554" s="7"/>
      <c r="AQ4554" s="7"/>
      <c r="AR4554" s="7"/>
      <c r="AS4554" s="7" t="s">
        <v>27</v>
      </c>
    </row>
    <row r="4555">
      <c r="A4555" s="7" t="s">
        <v>1476</v>
      </c>
      <c r="B4555" s="7" t="s">
        <v>2794</v>
      </c>
      <c r="C4555" s="7">
        <f>2</f>
        <v>2</v>
      </c>
      <c r="D4555" s="7">
        <v>1.0</v>
      </c>
      <c r="E4555" s="9">
        <v>2.0</v>
      </c>
      <c r="F4555" s="7" t="s">
        <v>2473</v>
      </c>
      <c r="G4555" s="7" t="s">
        <v>2795</v>
      </c>
      <c r="H4555" s="9" t="s">
        <v>2979</v>
      </c>
      <c r="I4555" t="s">
        <v>4537</v>
      </c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  <c r="AA4555" s="7"/>
      <c r="AB4555" s="7"/>
      <c r="AC4555" s="7"/>
      <c r="AD4555" s="7" t="str">
        <f t="shared" si="1"/>
        <v>Built-up :</v>
      </c>
      <c r="AE4555" s="7" t="str">
        <f t="shared" si="2"/>
        <v> sq. ft.</v>
      </c>
      <c r="AF4555">
        <f>IFERROR(__xludf.DUMMYFUNCTION("VALUE(REGEXREPLACE(G4555,""[^[:digit:]]"", """"))"),540.0)</f>
        <v>540</v>
      </c>
      <c r="AG4555" s="7"/>
      <c r="AH4555" s="7"/>
      <c r="AI4555" s="7"/>
      <c r="AJ4555" s="7"/>
      <c r="AK4555" s="7"/>
      <c r="AL4555" s="7"/>
      <c r="AM4555" s="7"/>
      <c r="AN4555" s="7"/>
      <c r="AO4555" s="7"/>
      <c r="AP4555" s="7"/>
      <c r="AQ4555" s="7"/>
      <c r="AR4555" s="7"/>
      <c r="AS4555" s="7" t="s">
        <v>27</v>
      </c>
    </row>
    <row r="4556">
      <c r="A4556" s="7" t="s">
        <v>72</v>
      </c>
      <c r="B4556" s="7" t="s">
        <v>1135</v>
      </c>
      <c r="C4556" s="7">
        <f>3+1</f>
        <v>4</v>
      </c>
      <c r="D4556" s="7">
        <v>3.0</v>
      </c>
      <c r="E4556" s="7">
        <v>2.0</v>
      </c>
      <c r="F4556" s="7" t="s">
        <v>83</v>
      </c>
      <c r="G4556" s="7" t="s">
        <v>1830</v>
      </c>
      <c r="H4556" s="9" t="s">
        <v>2979</v>
      </c>
      <c r="I4556" t="s">
        <v>3944</v>
      </c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  <c r="AA4556" s="7"/>
      <c r="AB4556" s="7"/>
      <c r="AC4556" s="7"/>
      <c r="AD4556" s="7" t="str">
        <f t="shared" si="1"/>
        <v>Built-up :</v>
      </c>
      <c r="AE4556" s="7" t="str">
        <f t="shared" si="2"/>
        <v> sq. ft.</v>
      </c>
      <c r="AF4556">
        <f>IFERROR(__xludf.DUMMYFUNCTION("VALUE(REGEXREPLACE(G4556,""[^[:digit:]]"", """"))"),1840.0)</f>
        <v>1840</v>
      </c>
      <c r="AG4556" s="7"/>
      <c r="AH4556" s="7"/>
      <c r="AI4556" s="7"/>
      <c r="AJ4556" s="7"/>
      <c r="AK4556" s="7"/>
      <c r="AL4556" s="7"/>
      <c r="AM4556" s="7"/>
      <c r="AN4556" s="7"/>
      <c r="AO4556" s="7"/>
      <c r="AP4556" s="7"/>
      <c r="AQ4556" s="7"/>
      <c r="AR4556" s="7"/>
      <c r="AS4556" s="7" t="s">
        <v>22</v>
      </c>
    </row>
    <row r="4557">
      <c r="A4557" s="7" t="s">
        <v>72</v>
      </c>
      <c r="B4557" s="7" t="s">
        <v>69</v>
      </c>
      <c r="C4557" s="7">
        <f>5+1</f>
        <v>6</v>
      </c>
      <c r="D4557" s="7">
        <v>5.0</v>
      </c>
      <c r="E4557" s="7">
        <v>2.0</v>
      </c>
      <c r="F4557" s="7" t="s">
        <v>43</v>
      </c>
      <c r="G4557" s="7" t="s">
        <v>1935</v>
      </c>
      <c r="H4557" s="9" t="s">
        <v>2979</v>
      </c>
      <c r="I4557" t="s">
        <v>4007</v>
      </c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  <c r="AA4557" s="7"/>
      <c r="AB4557" s="7"/>
      <c r="AC4557" s="7"/>
      <c r="AD4557" s="7" t="str">
        <f t="shared" si="1"/>
        <v>Built-up :</v>
      </c>
      <c r="AE4557" s="7" t="str">
        <f t="shared" si="2"/>
        <v> sq. ft.</v>
      </c>
      <c r="AF4557">
        <f>IFERROR(__xludf.DUMMYFUNCTION("VALUE(REGEXREPLACE(G4557,""[^[:digit:]]"", """"))"),4600.0)</f>
        <v>4600</v>
      </c>
      <c r="AG4557" s="7"/>
      <c r="AH4557" s="7"/>
      <c r="AI4557" s="7"/>
      <c r="AJ4557" s="7"/>
      <c r="AK4557" s="7"/>
      <c r="AL4557" s="7"/>
      <c r="AM4557" s="7"/>
      <c r="AN4557" s="7"/>
      <c r="AO4557" s="7"/>
      <c r="AP4557" s="7"/>
      <c r="AQ4557" s="7"/>
      <c r="AR4557" s="7"/>
      <c r="AS4557" s="7" t="s">
        <v>27</v>
      </c>
    </row>
    <row r="4558">
      <c r="A4558" s="7" t="s">
        <v>177</v>
      </c>
      <c r="B4558" s="7" t="s">
        <v>525</v>
      </c>
      <c r="C4558" s="7">
        <f t="shared" ref="C4558:C4559" si="636">3</f>
        <v>3</v>
      </c>
      <c r="D4558" s="7">
        <v>3.0</v>
      </c>
      <c r="E4558" s="7">
        <v>1.0</v>
      </c>
      <c r="F4558" s="7" t="s">
        <v>83</v>
      </c>
      <c r="G4558" s="7" t="s">
        <v>1863</v>
      </c>
      <c r="H4558" s="9" t="s">
        <v>2979</v>
      </c>
      <c r="I4558" t="s">
        <v>3964</v>
      </c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  <c r="AA4558" s="7"/>
      <c r="AB4558" s="7"/>
      <c r="AC4558" s="7"/>
      <c r="AD4558" s="7" t="str">
        <f t="shared" si="1"/>
        <v>Built-up :</v>
      </c>
      <c r="AE4558" s="7" t="str">
        <f t="shared" si="2"/>
        <v> sq. ft.</v>
      </c>
      <c r="AF4558">
        <f>IFERROR(__xludf.DUMMYFUNCTION("VALUE(REGEXREPLACE(G4558,""[^[:digit:]]"", """"))"),2000.0)</f>
        <v>2000</v>
      </c>
      <c r="AG4558" s="7"/>
      <c r="AH4558" s="7"/>
      <c r="AI4558" s="7"/>
      <c r="AJ4558" s="7"/>
      <c r="AK4558" s="7"/>
      <c r="AL4558" s="7"/>
      <c r="AM4558" s="7"/>
      <c r="AN4558" s="7"/>
      <c r="AO4558" s="7"/>
      <c r="AP4558" s="7"/>
      <c r="AQ4558" s="7"/>
      <c r="AR4558" s="7"/>
      <c r="AS4558" s="7" t="s">
        <v>22</v>
      </c>
    </row>
    <row r="4559">
      <c r="A4559" s="7" t="s">
        <v>358</v>
      </c>
      <c r="B4559" s="7" t="s">
        <v>599</v>
      </c>
      <c r="C4559" s="7">
        <f t="shared" si="636"/>
        <v>3</v>
      </c>
      <c r="D4559" s="7">
        <v>2.0</v>
      </c>
      <c r="E4559" s="7">
        <v>2.0</v>
      </c>
      <c r="F4559" s="7" t="s">
        <v>83</v>
      </c>
      <c r="G4559" s="7" t="s">
        <v>394</v>
      </c>
      <c r="H4559" s="9" t="s">
        <v>2979</v>
      </c>
      <c r="I4559" t="s">
        <v>3143</v>
      </c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  <c r="AA4559" s="7"/>
      <c r="AB4559" s="7"/>
      <c r="AC4559" s="7"/>
      <c r="AD4559" s="7" t="str">
        <f t="shared" si="1"/>
        <v>Built-up :</v>
      </c>
      <c r="AE4559" s="7" t="str">
        <f t="shared" si="2"/>
        <v> sq. ft.</v>
      </c>
      <c r="AF4559">
        <f>IFERROR(__xludf.DUMMYFUNCTION("VALUE(REGEXREPLACE(G4559,""[^[:digit:]]"", """"))"),1350.0)</f>
        <v>1350</v>
      </c>
      <c r="AG4559" s="7"/>
      <c r="AH4559" s="7"/>
      <c r="AI4559" s="7"/>
      <c r="AJ4559" s="7"/>
      <c r="AK4559" s="7"/>
      <c r="AL4559" s="7"/>
      <c r="AM4559" s="7"/>
      <c r="AN4559" s="7"/>
      <c r="AO4559" s="7"/>
      <c r="AP4559" s="7"/>
      <c r="AQ4559" s="7"/>
      <c r="AR4559" s="7"/>
      <c r="AS4559" s="7" t="s">
        <v>27</v>
      </c>
    </row>
    <row r="4560">
      <c r="A4560" s="7" t="s">
        <v>104</v>
      </c>
      <c r="B4560" s="7" t="s">
        <v>1625</v>
      </c>
      <c r="C4560" s="7">
        <f>6</f>
        <v>6</v>
      </c>
      <c r="D4560" s="7">
        <v>3.0</v>
      </c>
      <c r="E4560" s="9">
        <v>2.0</v>
      </c>
      <c r="F4560" s="7" t="s">
        <v>562</v>
      </c>
      <c r="G4560" s="7" t="s">
        <v>2796</v>
      </c>
      <c r="H4560" s="9" t="s">
        <v>2981</v>
      </c>
      <c r="I4560" t="s">
        <v>3297</v>
      </c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  <c r="AA4560" s="7"/>
      <c r="AB4560" s="7"/>
      <c r="AC4560" s="7"/>
      <c r="AD4560" s="7" t="str">
        <f t="shared" si="1"/>
        <v>Land area </v>
      </c>
      <c r="AE4560" s="7" t="str">
        <f t="shared" si="2"/>
        <v> sq. ft.</v>
      </c>
      <c r="AF4560">
        <f>IFERROR(__xludf.DUMMYFUNCTION("VALUE(REGEXREPLACE(G4560,""[^[:digit:]]"", """"))"),2065.0)</f>
        <v>2065</v>
      </c>
      <c r="AG4560" s="7"/>
      <c r="AH4560" s="7"/>
      <c r="AI4560" s="7"/>
      <c r="AJ4560" s="7"/>
      <c r="AK4560" s="7"/>
      <c r="AL4560" s="7"/>
      <c r="AM4560" s="7"/>
      <c r="AN4560" s="7"/>
      <c r="AO4560" s="7"/>
      <c r="AP4560" s="7"/>
      <c r="AQ4560" s="7"/>
      <c r="AR4560" s="7"/>
    </row>
    <row r="4561">
      <c r="A4561" s="7" t="s">
        <v>72</v>
      </c>
      <c r="B4561" s="7" t="s">
        <v>329</v>
      </c>
      <c r="C4561" s="7">
        <f>3+1</f>
        <v>4</v>
      </c>
      <c r="D4561" s="7">
        <v>3.0</v>
      </c>
      <c r="E4561" s="9">
        <v>2.0</v>
      </c>
      <c r="F4561" s="7" t="s">
        <v>83</v>
      </c>
      <c r="G4561" s="7" t="s">
        <v>1885</v>
      </c>
      <c r="H4561" s="9" t="s">
        <v>2979</v>
      </c>
      <c r="I4561" t="s">
        <v>3980</v>
      </c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  <c r="AA4561" s="7"/>
      <c r="AB4561" s="7"/>
      <c r="AC4561" s="7"/>
      <c r="AD4561" s="7" t="str">
        <f t="shared" si="1"/>
        <v>Built-up :</v>
      </c>
      <c r="AE4561" s="7" t="str">
        <f t="shared" si="2"/>
        <v> sq. ft.</v>
      </c>
      <c r="AF4561">
        <f>IFERROR(__xludf.DUMMYFUNCTION("VALUE(REGEXREPLACE(G4561,""[^[:digit:]]"", """"))"),1975.0)</f>
        <v>1975</v>
      </c>
      <c r="AG4561" s="7"/>
      <c r="AH4561" s="7"/>
      <c r="AI4561" s="7"/>
      <c r="AJ4561" s="7"/>
      <c r="AK4561" s="7"/>
      <c r="AL4561" s="7"/>
      <c r="AM4561" s="7"/>
      <c r="AN4561" s="7"/>
      <c r="AO4561" s="7"/>
      <c r="AP4561" s="7"/>
      <c r="AQ4561" s="7"/>
      <c r="AR4561" s="7"/>
      <c r="AS4561" s="7" t="s">
        <v>22</v>
      </c>
    </row>
    <row r="4562">
      <c r="A4562" s="7" t="s">
        <v>72</v>
      </c>
      <c r="B4562" s="7" t="s">
        <v>255</v>
      </c>
      <c r="C4562" s="7">
        <f>5+1</f>
        <v>6</v>
      </c>
      <c r="D4562" s="7">
        <v>6.0</v>
      </c>
      <c r="E4562" s="7">
        <v>4.0</v>
      </c>
      <c r="F4562" s="7" t="s">
        <v>20</v>
      </c>
      <c r="G4562" s="7" t="s">
        <v>2797</v>
      </c>
      <c r="H4562" s="9" t="s">
        <v>2979</v>
      </c>
      <c r="I4562" t="s">
        <v>4538</v>
      </c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  <c r="AA4562" s="7"/>
      <c r="AB4562" s="7"/>
      <c r="AC4562" s="7"/>
      <c r="AD4562" s="7" t="str">
        <f t="shared" si="1"/>
        <v>Built-up :</v>
      </c>
      <c r="AE4562" s="7" t="str">
        <f t="shared" si="2"/>
        <v> sq. ft.</v>
      </c>
      <c r="AF4562">
        <f>IFERROR(__xludf.DUMMYFUNCTION("VALUE(REGEXREPLACE(G4562,""[^[:digit:]]"", """"))"),5400.0)</f>
        <v>5400</v>
      </c>
      <c r="AG4562" s="7"/>
      <c r="AH4562" s="7"/>
      <c r="AI4562" s="7"/>
      <c r="AJ4562" s="7"/>
      <c r="AK4562" s="7"/>
      <c r="AL4562" s="7"/>
      <c r="AM4562" s="7"/>
      <c r="AN4562" s="7"/>
      <c r="AO4562" s="7"/>
      <c r="AP4562" s="7"/>
      <c r="AQ4562" s="7"/>
      <c r="AR4562" s="7"/>
      <c r="AS4562" s="7" t="s">
        <v>22</v>
      </c>
    </row>
    <row r="4563">
      <c r="A4563" s="7" t="s">
        <v>72</v>
      </c>
      <c r="B4563" s="7" t="s">
        <v>81</v>
      </c>
      <c r="C4563" s="7">
        <f>3+1</f>
        <v>4</v>
      </c>
      <c r="D4563" s="7">
        <v>4.0</v>
      </c>
      <c r="E4563" s="7">
        <v>2.0</v>
      </c>
      <c r="F4563" s="7" t="s">
        <v>83</v>
      </c>
      <c r="G4563" s="7" t="s">
        <v>2798</v>
      </c>
      <c r="H4563" s="9" t="s">
        <v>2979</v>
      </c>
      <c r="I4563" t="s">
        <v>4539</v>
      </c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  <c r="AA4563" s="7"/>
      <c r="AB4563" s="7"/>
      <c r="AC4563" s="7"/>
      <c r="AD4563" s="7" t="str">
        <f t="shared" si="1"/>
        <v>Built-up :</v>
      </c>
      <c r="AE4563" s="7" t="str">
        <f t="shared" si="2"/>
        <v> sq. ft.</v>
      </c>
      <c r="AF4563">
        <f>IFERROR(__xludf.DUMMYFUNCTION("VALUE(REGEXREPLACE(G4563,""[^[:digit:]]"", """"))"),3139.0)</f>
        <v>3139</v>
      </c>
      <c r="AG4563" s="7"/>
      <c r="AH4563" s="7"/>
      <c r="AI4563" s="7"/>
      <c r="AJ4563" s="7"/>
      <c r="AK4563" s="7"/>
      <c r="AL4563" s="7"/>
      <c r="AM4563" s="7"/>
      <c r="AN4563" s="7"/>
      <c r="AO4563" s="7"/>
      <c r="AP4563" s="7"/>
      <c r="AQ4563" s="7"/>
      <c r="AR4563" s="7"/>
      <c r="AS4563" s="7" t="s">
        <v>22</v>
      </c>
    </row>
    <row r="4564">
      <c r="A4564" s="7" t="s">
        <v>72</v>
      </c>
      <c r="B4564" s="7" t="s">
        <v>462</v>
      </c>
      <c r="C4564" s="7">
        <f>3+2</f>
        <v>5</v>
      </c>
      <c r="D4564" s="7">
        <v>4.0</v>
      </c>
      <c r="E4564" s="7">
        <v>2.0</v>
      </c>
      <c r="F4564" s="7" t="s">
        <v>83</v>
      </c>
      <c r="G4564" s="7" t="s">
        <v>2709</v>
      </c>
      <c r="H4564" s="9" t="s">
        <v>2979</v>
      </c>
      <c r="I4564" t="s">
        <v>4484</v>
      </c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  <c r="AA4564" s="7"/>
      <c r="AB4564" s="7"/>
      <c r="AC4564" s="7"/>
      <c r="AD4564" s="7" t="str">
        <f t="shared" si="1"/>
        <v>Built-up :</v>
      </c>
      <c r="AE4564" s="7" t="str">
        <f t="shared" si="2"/>
        <v> sq. ft.</v>
      </c>
      <c r="AF4564">
        <f>IFERROR(__xludf.DUMMYFUNCTION("VALUE(REGEXREPLACE(G4564,""[^[:digit:]]"", """"))"),2487.0)</f>
        <v>2487</v>
      </c>
      <c r="AG4564" s="7"/>
      <c r="AH4564" s="7"/>
      <c r="AI4564" s="7"/>
      <c r="AJ4564" s="7"/>
      <c r="AK4564" s="7"/>
      <c r="AL4564" s="7"/>
      <c r="AM4564" s="7"/>
      <c r="AN4564" s="7"/>
      <c r="AO4564" s="7"/>
      <c r="AP4564" s="7"/>
      <c r="AQ4564" s="7"/>
      <c r="AR4564" s="7"/>
      <c r="AS4564" s="7" t="s">
        <v>27</v>
      </c>
    </row>
    <row r="4565">
      <c r="A4565" s="7" t="s">
        <v>72</v>
      </c>
      <c r="B4565" s="7" t="s">
        <v>18</v>
      </c>
      <c r="C4565" s="7">
        <f>3+1</f>
        <v>4</v>
      </c>
      <c r="D4565" s="7">
        <v>3.0</v>
      </c>
      <c r="E4565" s="7">
        <v>2.0</v>
      </c>
      <c r="F4565" s="7" t="s">
        <v>83</v>
      </c>
      <c r="G4565" s="7" t="s">
        <v>1830</v>
      </c>
      <c r="H4565" s="9" t="s">
        <v>2979</v>
      </c>
      <c r="I4565" t="s">
        <v>3944</v>
      </c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  <c r="AA4565" s="7"/>
      <c r="AB4565" s="7"/>
      <c r="AC4565" s="7"/>
      <c r="AD4565" s="7" t="str">
        <f t="shared" si="1"/>
        <v>Built-up :</v>
      </c>
      <c r="AE4565" s="7" t="str">
        <f t="shared" si="2"/>
        <v> sq. ft.</v>
      </c>
      <c r="AF4565">
        <f>IFERROR(__xludf.DUMMYFUNCTION("VALUE(REGEXREPLACE(G4565,""[^[:digit:]]"", """"))"),1840.0)</f>
        <v>1840</v>
      </c>
      <c r="AG4565" s="7"/>
      <c r="AH4565" s="7"/>
      <c r="AI4565" s="7"/>
      <c r="AJ4565" s="7"/>
      <c r="AK4565" s="7"/>
      <c r="AL4565" s="7"/>
      <c r="AM4565" s="7"/>
      <c r="AN4565" s="7"/>
      <c r="AO4565" s="7"/>
      <c r="AP4565" s="7"/>
      <c r="AQ4565" s="7"/>
      <c r="AR4565" s="7"/>
      <c r="AS4565" s="7" t="s">
        <v>27</v>
      </c>
    </row>
    <row r="4566">
      <c r="A4566" s="7" t="s">
        <v>17</v>
      </c>
      <c r="B4566" s="7" t="s">
        <v>81</v>
      </c>
      <c r="C4566" s="7">
        <f>2</f>
        <v>2</v>
      </c>
      <c r="D4566" s="7">
        <v>2.0</v>
      </c>
      <c r="E4566" s="7">
        <v>1.0</v>
      </c>
      <c r="F4566" s="7" t="s">
        <v>93</v>
      </c>
      <c r="G4566" s="7" t="s">
        <v>2799</v>
      </c>
      <c r="H4566" s="9" t="s">
        <v>2979</v>
      </c>
      <c r="I4566" t="s">
        <v>4540</v>
      </c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  <c r="AA4566" s="7"/>
      <c r="AB4566" s="7"/>
      <c r="AC4566" s="7"/>
      <c r="AD4566" s="7" t="str">
        <f t="shared" si="1"/>
        <v>Built-up :</v>
      </c>
      <c r="AE4566" s="7" t="str">
        <f t="shared" si="2"/>
        <v> sq. ft.</v>
      </c>
      <c r="AF4566">
        <f>IFERROR(__xludf.DUMMYFUNCTION("VALUE(REGEXREPLACE(G4566,""[^[:digit:]]"", """"))"),1766.0)</f>
        <v>1766</v>
      </c>
      <c r="AG4566" s="7"/>
      <c r="AH4566" s="7"/>
      <c r="AI4566" s="7"/>
      <c r="AJ4566" s="7"/>
      <c r="AK4566" s="7"/>
      <c r="AL4566" s="7"/>
      <c r="AM4566" s="7"/>
      <c r="AN4566" s="7"/>
      <c r="AO4566" s="7"/>
      <c r="AP4566" s="7"/>
      <c r="AQ4566" s="7"/>
      <c r="AR4566" s="7"/>
      <c r="AS4566" s="7" t="s">
        <v>22</v>
      </c>
    </row>
    <row r="4567">
      <c r="A4567" s="7" t="s">
        <v>32</v>
      </c>
      <c r="B4567" s="7" t="s">
        <v>898</v>
      </c>
      <c r="C4567" s="7">
        <f t="shared" ref="C4567:C4568" si="637">3+1</f>
        <v>4</v>
      </c>
      <c r="D4567" s="7">
        <v>2.0</v>
      </c>
      <c r="E4567" s="7">
        <v>1.0</v>
      </c>
      <c r="F4567" s="7" t="s">
        <v>83</v>
      </c>
      <c r="G4567" s="7" t="s">
        <v>1687</v>
      </c>
      <c r="H4567" s="9" t="s">
        <v>2979</v>
      </c>
      <c r="I4567" t="s">
        <v>3857</v>
      </c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  <c r="AA4567" s="7"/>
      <c r="AB4567" s="7"/>
      <c r="AC4567" s="7"/>
      <c r="AD4567" s="7" t="str">
        <f t="shared" si="1"/>
        <v>Built-up :</v>
      </c>
      <c r="AE4567" s="7" t="str">
        <f t="shared" si="2"/>
        <v> sq. ft.</v>
      </c>
      <c r="AF4567">
        <f>IFERROR(__xludf.DUMMYFUNCTION("VALUE(REGEXREPLACE(G4567,""[^[:digit:]]"", """"))"),1207.0)</f>
        <v>1207</v>
      </c>
      <c r="AG4567" s="7"/>
      <c r="AH4567" s="7"/>
      <c r="AI4567" s="7"/>
      <c r="AJ4567" s="7"/>
      <c r="AK4567" s="7"/>
      <c r="AL4567" s="7"/>
      <c r="AM4567" s="7"/>
      <c r="AN4567" s="7"/>
      <c r="AO4567" s="7"/>
      <c r="AP4567" s="7"/>
      <c r="AQ4567" s="7"/>
      <c r="AR4567" s="7"/>
      <c r="AS4567" s="7" t="s">
        <v>22</v>
      </c>
    </row>
    <row r="4568">
      <c r="A4568" s="7" t="s">
        <v>104</v>
      </c>
      <c r="B4568" s="7" t="s">
        <v>510</v>
      </c>
      <c r="C4568" s="7">
        <f t="shared" si="637"/>
        <v>4</v>
      </c>
      <c r="D4568" s="7">
        <v>2.0</v>
      </c>
      <c r="E4568" s="7">
        <v>1.0</v>
      </c>
      <c r="F4568" s="7" t="s">
        <v>83</v>
      </c>
      <c r="G4568" s="7" t="s">
        <v>1548</v>
      </c>
      <c r="H4568" s="9" t="s">
        <v>2979</v>
      </c>
      <c r="I4568" t="s">
        <v>3772</v>
      </c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  <c r="AA4568" s="7"/>
      <c r="AB4568" s="7"/>
      <c r="AC4568" s="7"/>
      <c r="AD4568" s="7" t="str">
        <f t="shared" si="1"/>
        <v>Built-up :</v>
      </c>
      <c r="AE4568" s="7" t="str">
        <f t="shared" si="2"/>
        <v> sq. ft.</v>
      </c>
      <c r="AF4568">
        <f>IFERROR(__xludf.DUMMYFUNCTION("VALUE(REGEXREPLACE(G4568,""[^[:digit:]]"", """"))"),952.0)</f>
        <v>952</v>
      </c>
      <c r="AG4568" s="7"/>
      <c r="AH4568" s="7"/>
      <c r="AI4568" s="7"/>
      <c r="AJ4568" s="7"/>
      <c r="AK4568" s="7"/>
      <c r="AL4568" s="7"/>
      <c r="AM4568" s="7"/>
      <c r="AN4568" s="7"/>
      <c r="AO4568" s="7"/>
      <c r="AP4568" s="7"/>
      <c r="AQ4568" s="7"/>
      <c r="AR4568" s="7"/>
    </row>
    <row r="4569">
      <c r="A4569" s="7" t="s">
        <v>33</v>
      </c>
      <c r="B4569" s="7" t="s">
        <v>1836</v>
      </c>
      <c r="C4569" s="7">
        <f>3</f>
        <v>3</v>
      </c>
      <c r="D4569" s="7">
        <v>2.0</v>
      </c>
      <c r="E4569" s="7">
        <v>3.0</v>
      </c>
      <c r="F4569" s="7" t="s">
        <v>83</v>
      </c>
      <c r="G4569" s="7" t="s">
        <v>1196</v>
      </c>
      <c r="H4569" s="9" t="s">
        <v>2979</v>
      </c>
      <c r="I4569" t="s">
        <v>3572</v>
      </c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  <c r="AA4569" s="7"/>
      <c r="AB4569" s="7"/>
      <c r="AC4569" s="7"/>
      <c r="AD4569" s="7" t="str">
        <f t="shared" si="1"/>
        <v>Built-up :</v>
      </c>
      <c r="AE4569" s="7" t="str">
        <f t="shared" si="2"/>
        <v> sq. ft.</v>
      </c>
      <c r="AF4569">
        <f>IFERROR(__xludf.DUMMYFUNCTION("VALUE(REGEXREPLACE(G4569,""[^[:digit:]]"", """"))"),1212.0)</f>
        <v>1212</v>
      </c>
      <c r="AG4569" s="7"/>
      <c r="AH4569" s="7"/>
      <c r="AI4569" s="7"/>
      <c r="AJ4569" s="7"/>
      <c r="AK4569" s="7"/>
      <c r="AL4569" s="7"/>
      <c r="AM4569" s="7"/>
      <c r="AN4569" s="7"/>
      <c r="AO4569" s="7"/>
      <c r="AP4569" s="7"/>
      <c r="AQ4569" s="7"/>
      <c r="AR4569" s="7"/>
      <c r="AS4569" s="7" t="s">
        <v>22</v>
      </c>
    </row>
    <row r="4570">
      <c r="A4570" s="7" t="s">
        <v>77</v>
      </c>
      <c r="B4570" s="7" t="s">
        <v>73</v>
      </c>
      <c r="C4570" s="7">
        <f>3+1</f>
        <v>4</v>
      </c>
      <c r="D4570" s="7">
        <v>3.0</v>
      </c>
      <c r="E4570" s="7">
        <v>2.0</v>
      </c>
      <c r="F4570" s="7" t="s">
        <v>54</v>
      </c>
      <c r="G4570" s="7" t="s">
        <v>400</v>
      </c>
      <c r="H4570" s="9" t="s">
        <v>2979</v>
      </c>
      <c r="I4570" t="s">
        <v>3145</v>
      </c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  <c r="AA4570" s="7"/>
      <c r="AB4570" s="7"/>
      <c r="AC4570" s="7"/>
      <c r="AD4570" s="7" t="str">
        <f t="shared" si="1"/>
        <v>Built-up :</v>
      </c>
      <c r="AE4570" s="7" t="str">
        <f t="shared" si="2"/>
        <v> sq. ft.</v>
      </c>
      <c r="AF4570">
        <f>IFERROR(__xludf.DUMMYFUNCTION("VALUE(REGEXREPLACE(G4570,""[^[:digit:]]"", """"))"),2400.0)</f>
        <v>2400</v>
      </c>
      <c r="AG4570" s="7"/>
      <c r="AH4570" s="7"/>
      <c r="AI4570" s="7"/>
      <c r="AJ4570" s="7"/>
      <c r="AK4570" s="7"/>
      <c r="AL4570" s="7"/>
      <c r="AM4570" s="7"/>
      <c r="AN4570" s="7"/>
      <c r="AO4570" s="7"/>
      <c r="AP4570" s="7"/>
      <c r="AQ4570" s="7"/>
      <c r="AR4570" s="7"/>
      <c r="AS4570" s="7" t="s">
        <v>27</v>
      </c>
    </row>
    <row r="4571">
      <c r="A4571" s="7" t="s">
        <v>432</v>
      </c>
      <c r="B4571" s="7" t="s">
        <v>56</v>
      </c>
      <c r="C4571" s="7">
        <f>4</f>
        <v>4</v>
      </c>
      <c r="D4571" s="7">
        <v>3.0</v>
      </c>
      <c r="E4571" s="7">
        <v>2.0</v>
      </c>
      <c r="F4571" s="7" t="s">
        <v>54</v>
      </c>
      <c r="G4571" s="7" t="s">
        <v>2250</v>
      </c>
      <c r="H4571" s="9" t="s">
        <v>2981</v>
      </c>
      <c r="I4571" t="s">
        <v>3091</v>
      </c>
      <c r="J4571" s="7"/>
      <c r="K4571" s="7"/>
      <c r="L4571" s="7"/>
      <c r="M4571" s="7"/>
      <c r="N4571" s="7"/>
      <c r="O4571" s="7"/>
      <c r="P4571" s="7"/>
      <c r="Q4571" s="7"/>
      <c r="R4571" s="7"/>
      <c r="S4571" s="7" t="s">
        <v>2990</v>
      </c>
      <c r="T4571" s="7"/>
      <c r="U4571" s="7"/>
      <c r="V4571" s="7"/>
      <c r="W4571" s="7"/>
      <c r="X4571" s="7"/>
      <c r="Y4571" s="7"/>
      <c r="Z4571" s="7"/>
      <c r="AA4571" s="7"/>
      <c r="AB4571" s="7"/>
      <c r="AC4571" s="7"/>
      <c r="AD4571" s="7" t="str">
        <f t="shared" si="1"/>
        <v>Land area </v>
      </c>
      <c r="AE4571" s="7" t="str">
        <f t="shared" si="2"/>
        <v> sq. ft.</v>
      </c>
      <c r="AF4571" s="7">
        <v>1650.0</v>
      </c>
      <c r="AG4571" s="7"/>
      <c r="AH4571" s="7"/>
      <c r="AI4571" s="7"/>
      <c r="AJ4571" s="7"/>
      <c r="AK4571" s="7"/>
      <c r="AL4571" s="7"/>
      <c r="AM4571" s="7"/>
      <c r="AN4571" s="7"/>
      <c r="AO4571" s="7"/>
      <c r="AP4571" s="7"/>
      <c r="AQ4571" s="7"/>
      <c r="AR4571" s="7"/>
      <c r="AS4571" s="7" t="s">
        <v>27</v>
      </c>
    </row>
    <row r="4572">
      <c r="A4572" s="7" t="s">
        <v>72</v>
      </c>
      <c r="B4572" s="7" t="s">
        <v>281</v>
      </c>
      <c r="C4572" s="7">
        <f>5+1</f>
        <v>6</v>
      </c>
      <c r="E4572" s="7">
        <v>3.0</v>
      </c>
      <c r="F4572" s="7" t="s">
        <v>793</v>
      </c>
      <c r="G4572" s="7" t="s">
        <v>498</v>
      </c>
      <c r="H4572" s="9" t="s">
        <v>2979</v>
      </c>
      <c r="I4572" t="s">
        <v>3196</v>
      </c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  <c r="AA4572" s="7"/>
      <c r="AB4572" s="7"/>
      <c r="AC4572" s="7"/>
      <c r="AD4572" s="7" t="str">
        <f t="shared" si="1"/>
        <v>Built-up :</v>
      </c>
      <c r="AE4572" s="7" t="str">
        <f t="shared" si="2"/>
        <v> sq. ft.</v>
      </c>
      <c r="AF4572">
        <f>IFERROR(__xludf.DUMMYFUNCTION("VALUE(REGEXREPLACE(G4572,""[^[:digit:]]"", """"))"),4000.0)</f>
        <v>4000</v>
      </c>
      <c r="AG4572" s="7"/>
      <c r="AH4572" s="7"/>
      <c r="AI4572" s="7"/>
      <c r="AJ4572" s="7"/>
      <c r="AK4572" s="7"/>
      <c r="AL4572" s="7"/>
      <c r="AM4572" s="7"/>
      <c r="AN4572" s="7"/>
      <c r="AO4572" s="7"/>
      <c r="AP4572" s="7"/>
      <c r="AQ4572" s="7"/>
      <c r="AR4572" s="7"/>
    </row>
    <row r="4573">
      <c r="A4573" s="7" t="s">
        <v>72</v>
      </c>
      <c r="B4573" s="7" t="s">
        <v>329</v>
      </c>
      <c r="C4573" s="7">
        <f>4</f>
        <v>4</v>
      </c>
      <c r="D4573" s="7">
        <v>4.0</v>
      </c>
      <c r="E4573" s="7">
        <v>2.0</v>
      </c>
      <c r="F4573" s="7" t="s">
        <v>83</v>
      </c>
      <c r="G4573" s="7" t="s">
        <v>2800</v>
      </c>
      <c r="H4573" s="9" t="s">
        <v>2979</v>
      </c>
      <c r="I4573" t="s">
        <v>4541</v>
      </c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  <c r="AA4573" s="7"/>
      <c r="AB4573" s="7"/>
      <c r="AC4573" s="7"/>
      <c r="AD4573" s="7" t="str">
        <f t="shared" si="1"/>
        <v>Built-up :</v>
      </c>
      <c r="AE4573" s="7" t="str">
        <f t="shared" si="2"/>
        <v> sq. ft.</v>
      </c>
      <c r="AF4573">
        <f>IFERROR(__xludf.DUMMYFUNCTION("VALUE(REGEXREPLACE(G4573,""[^[:digit:]]"", """"))"),2035.0)</f>
        <v>2035</v>
      </c>
      <c r="AG4573" s="7"/>
      <c r="AH4573" s="7"/>
      <c r="AI4573" s="7"/>
      <c r="AJ4573" s="7"/>
      <c r="AK4573" s="7"/>
      <c r="AL4573" s="7"/>
      <c r="AM4573" s="7"/>
      <c r="AN4573" s="7"/>
      <c r="AO4573" s="7"/>
      <c r="AP4573" s="7"/>
      <c r="AQ4573" s="7"/>
      <c r="AR4573" s="7"/>
    </row>
    <row r="4574">
      <c r="A4574" s="7" t="s">
        <v>72</v>
      </c>
      <c r="B4574" s="7" t="s">
        <v>132</v>
      </c>
      <c r="C4574" s="7">
        <f>2</f>
        <v>2</v>
      </c>
      <c r="D4574" s="7">
        <v>2.0</v>
      </c>
      <c r="E4574" s="9">
        <v>2.0</v>
      </c>
      <c r="F4574" s="7" t="s">
        <v>20</v>
      </c>
      <c r="G4574" s="7" t="s">
        <v>964</v>
      </c>
      <c r="H4574" s="9" t="s">
        <v>2979</v>
      </c>
      <c r="I4574" t="s">
        <v>3429</v>
      </c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  <c r="AA4574" s="7"/>
      <c r="AB4574" s="7"/>
      <c r="AC4574" s="7"/>
      <c r="AD4574" s="7" t="str">
        <f t="shared" si="1"/>
        <v>Built-up :</v>
      </c>
      <c r="AE4574" s="7" t="str">
        <f t="shared" si="2"/>
        <v> sq. ft.</v>
      </c>
      <c r="AF4574">
        <f>IFERROR(__xludf.DUMMYFUNCTION("VALUE(REGEXREPLACE(G4574,""[^[:digit:]]"", """"))"),926.0)</f>
        <v>926</v>
      </c>
      <c r="AG4574" s="7"/>
      <c r="AH4574" s="7"/>
      <c r="AI4574" s="7"/>
      <c r="AJ4574" s="7"/>
      <c r="AK4574" s="7"/>
      <c r="AL4574" s="7"/>
      <c r="AM4574" s="7"/>
      <c r="AN4574" s="7"/>
      <c r="AO4574" s="7"/>
      <c r="AP4574" s="7"/>
      <c r="AQ4574" s="7"/>
      <c r="AR4574" s="7"/>
    </row>
    <row r="4575">
      <c r="A4575" s="7" t="s">
        <v>72</v>
      </c>
      <c r="B4575" s="7" t="s">
        <v>98</v>
      </c>
      <c r="C4575" s="7">
        <f>4+1</f>
        <v>5</v>
      </c>
      <c r="D4575" s="7">
        <v>4.0</v>
      </c>
      <c r="E4575" s="7">
        <v>2.0</v>
      </c>
      <c r="F4575" s="7" t="s">
        <v>83</v>
      </c>
      <c r="G4575" s="7" t="s">
        <v>74</v>
      </c>
      <c r="H4575" s="9" t="s">
        <v>2979</v>
      </c>
      <c r="I4575" t="s">
        <v>2998</v>
      </c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  <c r="AA4575" s="7"/>
      <c r="AB4575" s="7"/>
      <c r="AC4575" s="7"/>
      <c r="AD4575" s="7" t="str">
        <f t="shared" si="1"/>
        <v>Built-up :</v>
      </c>
      <c r="AE4575" s="7" t="str">
        <f t="shared" si="2"/>
        <v> sq. ft.</v>
      </c>
      <c r="AF4575">
        <f>IFERROR(__xludf.DUMMYFUNCTION("VALUE(REGEXREPLACE(G4575,""[^[:digit:]]"", """"))"),1830.0)</f>
        <v>1830</v>
      </c>
      <c r="AG4575" s="7"/>
      <c r="AH4575" s="7"/>
      <c r="AI4575" s="7"/>
      <c r="AJ4575" s="7"/>
      <c r="AK4575" s="7"/>
      <c r="AL4575" s="7"/>
      <c r="AM4575" s="7"/>
      <c r="AN4575" s="7"/>
      <c r="AO4575" s="7"/>
      <c r="AP4575" s="7"/>
      <c r="AQ4575" s="7"/>
      <c r="AR4575" s="7"/>
      <c r="AS4575" s="7" t="s">
        <v>27</v>
      </c>
    </row>
    <row r="4576">
      <c r="A4576" s="7" t="s">
        <v>72</v>
      </c>
      <c r="B4576" s="7" t="s">
        <v>243</v>
      </c>
      <c r="C4576" s="7">
        <f t="shared" ref="C4576:C4577" si="638">3+1</f>
        <v>4</v>
      </c>
      <c r="D4576" s="7">
        <v>4.0</v>
      </c>
      <c r="E4576" s="7">
        <v>2.0</v>
      </c>
      <c r="F4576" s="7" t="s">
        <v>30</v>
      </c>
      <c r="G4576" s="7" t="s">
        <v>1691</v>
      </c>
      <c r="H4576" s="9" t="s">
        <v>2979</v>
      </c>
      <c r="I4576" t="s">
        <v>3861</v>
      </c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  <c r="AA4576" s="7"/>
      <c r="AB4576" s="7"/>
      <c r="AC4576" s="7"/>
      <c r="AD4576" s="7" t="str">
        <f t="shared" si="1"/>
        <v>Built-up :</v>
      </c>
      <c r="AE4576" s="7" t="str">
        <f t="shared" si="2"/>
        <v> sq. ft.</v>
      </c>
      <c r="AF4576">
        <f>IFERROR(__xludf.DUMMYFUNCTION("VALUE(REGEXREPLACE(G4576,""[^[:digit:]]"", """"))"),2002.0)</f>
        <v>2002</v>
      </c>
      <c r="AG4576" s="7"/>
      <c r="AH4576" s="7"/>
      <c r="AI4576" s="7"/>
      <c r="AJ4576" s="7"/>
      <c r="AK4576" s="7"/>
      <c r="AL4576" s="7"/>
      <c r="AM4576" s="7"/>
      <c r="AN4576" s="7"/>
      <c r="AO4576" s="7"/>
      <c r="AP4576" s="7"/>
      <c r="AQ4576" s="7"/>
      <c r="AR4576" s="7"/>
      <c r="AS4576" s="7" t="s">
        <v>22</v>
      </c>
    </row>
    <row r="4577">
      <c r="A4577" s="7" t="s">
        <v>432</v>
      </c>
      <c r="B4577" s="7" t="s">
        <v>411</v>
      </c>
      <c r="C4577" s="7">
        <f t="shared" si="638"/>
        <v>4</v>
      </c>
      <c r="D4577" s="7">
        <v>5.0</v>
      </c>
      <c r="E4577" s="9">
        <v>2.0</v>
      </c>
      <c r="F4577" s="7" t="s">
        <v>83</v>
      </c>
      <c r="G4577" s="7" t="s">
        <v>307</v>
      </c>
      <c r="H4577" s="9" t="s">
        <v>2979</v>
      </c>
      <c r="I4577" t="s">
        <v>3102</v>
      </c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  <c r="AA4577" s="7"/>
      <c r="AB4577" s="7"/>
      <c r="AC4577" s="7"/>
      <c r="AD4577" s="7" t="str">
        <f t="shared" si="1"/>
        <v>Built-up :</v>
      </c>
      <c r="AE4577" s="7" t="str">
        <f t="shared" si="2"/>
        <v> sq. ft.</v>
      </c>
      <c r="AF4577">
        <f>IFERROR(__xludf.DUMMYFUNCTION("VALUE(REGEXREPLACE(G4577,""[^[:digit:]]"", """"))"),2500.0)</f>
        <v>2500</v>
      </c>
      <c r="AG4577" s="7"/>
      <c r="AH4577" s="7"/>
      <c r="AI4577" s="7"/>
      <c r="AJ4577" s="7"/>
      <c r="AK4577" s="7"/>
      <c r="AL4577" s="7"/>
      <c r="AM4577" s="7"/>
      <c r="AN4577" s="7"/>
      <c r="AO4577" s="7"/>
      <c r="AP4577" s="7"/>
      <c r="AQ4577" s="7"/>
      <c r="AR4577" s="7"/>
      <c r="AS4577" s="7" t="s">
        <v>22</v>
      </c>
    </row>
    <row r="4578">
      <c r="A4578" s="7" t="s">
        <v>100</v>
      </c>
      <c r="B4578" s="7" t="s">
        <v>2801</v>
      </c>
      <c r="C4578" s="7">
        <f>2</f>
        <v>2</v>
      </c>
      <c r="D4578" s="7">
        <v>2.0</v>
      </c>
      <c r="E4578" s="7">
        <v>1.0</v>
      </c>
      <c r="F4578" s="7" t="s">
        <v>121</v>
      </c>
      <c r="G4578" s="7" t="s">
        <v>2802</v>
      </c>
      <c r="H4578" s="9" t="s">
        <v>2979</v>
      </c>
      <c r="I4578" t="s">
        <v>4542</v>
      </c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  <c r="AA4578" s="7"/>
      <c r="AB4578" s="7"/>
      <c r="AC4578" s="7"/>
      <c r="AD4578" s="7" t="str">
        <f t="shared" si="1"/>
        <v>Built-up :</v>
      </c>
      <c r="AE4578" s="7" t="str">
        <f t="shared" si="2"/>
        <v> sq. ft.</v>
      </c>
      <c r="AF4578">
        <f>IFERROR(__xludf.DUMMYFUNCTION("VALUE(REGEXREPLACE(G4578,""[^[:digit:]]"", """"))"),785.0)</f>
        <v>785</v>
      </c>
      <c r="AG4578" s="7"/>
      <c r="AH4578" s="7"/>
      <c r="AI4578" s="7"/>
      <c r="AJ4578" s="7"/>
      <c r="AK4578" s="7"/>
      <c r="AL4578" s="7"/>
      <c r="AM4578" s="7"/>
      <c r="AN4578" s="7"/>
      <c r="AO4578" s="7"/>
      <c r="AP4578" s="7"/>
      <c r="AQ4578" s="7"/>
      <c r="AR4578" s="7"/>
      <c r="AS4578" s="7" t="s">
        <v>27</v>
      </c>
    </row>
    <row r="4579">
      <c r="A4579" s="7" t="s">
        <v>100</v>
      </c>
      <c r="B4579" s="7" t="s">
        <v>1328</v>
      </c>
      <c r="E4579" s="9">
        <v>2.0</v>
      </c>
      <c r="F4579" s="7" t="s">
        <v>83</v>
      </c>
      <c r="G4579" s="7" t="s">
        <v>1004</v>
      </c>
      <c r="H4579" s="9" t="s">
        <v>2979</v>
      </c>
      <c r="I4579" t="s">
        <v>3449</v>
      </c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  <c r="AA4579" s="7"/>
      <c r="AB4579" s="7"/>
      <c r="AC4579" s="7"/>
      <c r="AD4579" s="7" t="str">
        <f t="shared" si="1"/>
        <v>Built-up :</v>
      </c>
      <c r="AE4579" s="7" t="str">
        <f t="shared" si="2"/>
        <v> sq. ft.</v>
      </c>
      <c r="AF4579">
        <f>IFERROR(__xludf.DUMMYFUNCTION("VALUE(REGEXREPLACE(G4579,""[^[:digit:]]"", """"))"),1300.0)</f>
        <v>1300</v>
      </c>
      <c r="AG4579" s="7"/>
      <c r="AH4579" s="7"/>
      <c r="AI4579" s="7"/>
      <c r="AJ4579" s="7"/>
      <c r="AK4579" s="7"/>
      <c r="AL4579" s="7"/>
      <c r="AM4579" s="7"/>
      <c r="AN4579" s="7"/>
      <c r="AO4579" s="7"/>
      <c r="AP4579" s="7"/>
      <c r="AQ4579" s="7"/>
      <c r="AR4579" s="7"/>
    </row>
    <row r="4580">
      <c r="A4580" s="7" t="s">
        <v>148</v>
      </c>
      <c r="B4580" s="7" t="s">
        <v>759</v>
      </c>
      <c r="C4580" s="7">
        <f t="shared" ref="C4580:C4581" si="639">3</f>
        <v>3</v>
      </c>
      <c r="D4580" s="7">
        <v>2.0</v>
      </c>
      <c r="E4580" s="7">
        <v>1.0</v>
      </c>
      <c r="F4580" s="7" t="s">
        <v>54</v>
      </c>
      <c r="G4580" s="7" t="s">
        <v>2076</v>
      </c>
      <c r="H4580" s="9" t="s">
        <v>2981</v>
      </c>
      <c r="I4580" t="s">
        <v>3505</v>
      </c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  <c r="AA4580" s="7"/>
      <c r="AB4580" s="7"/>
      <c r="AC4580" s="7"/>
      <c r="AD4580" s="7" t="str">
        <f t="shared" si="1"/>
        <v>Land area </v>
      </c>
      <c r="AE4580" s="7" t="str">
        <f t="shared" si="2"/>
        <v> sq. ft.</v>
      </c>
      <c r="AF4580">
        <f>IFERROR(__xludf.DUMMYFUNCTION("VALUE(REGEXREPLACE(G4580,""[^[:digit:]]"", """"))"),1455.0)</f>
        <v>1455</v>
      </c>
      <c r="AG4580" s="7"/>
      <c r="AH4580" s="7"/>
      <c r="AI4580" s="7"/>
      <c r="AJ4580" s="7"/>
      <c r="AK4580" s="7"/>
      <c r="AL4580" s="7"/>
      <c r="AM4580" s="7"/>
      <c r="AN4580" s="7"/>
      <c r="AO4580" s="7"/>
      <c r="AP4580" s="7"/>
      <c r="AQ4580" s="7"/>
      <c r="AR4580" s="7"/>
      <c r="AS4580" s="7" t="s">
        <v>103</v>
      </c>
    </row>
    <row r="4581">
      <c r="A4581" s="7" t="s">
        <v>368</v>
      </c>
      <c r="B4581" s="7" t="s">
        <v>2803</v>
      </c>
      <c r="C4581" s="7">
        <f t="shared" si="639"/>
        <v>3</v>
      </c>
      <c r="D4581" s="7">
        <v>2.0</v>
      </c>
      <c r="E4581" s="9">
        <v>2.0</v>
      </c>
      <c r="F4581" s="7" t="s">
        <v>20</v>
      </c>
      <c r="G4581" s="7" t="s">
        <v>2403</v>
      </c>
      <c r="H4581" s="9" t="s">
        <v>2979</v>
      </c>
      <c r="I4581" t="s">
        <v>4294</v>
      </c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  <c r="AA4581" s="7"/>
      <c r="AB4581" s="7"/>
      <c r="AC4581" s="7"/>
      <c r="AD4581" s="7" t="str">
        <f t="shared" si="1"/>
        <v>Built-up :</v>
      </c>
      <c r="AE4581" s="7" t="str">
        <f t="shared" si="2"/>
        <v> sq. ft.</v>
      </c>
      <c r="AF4581">
        <f>IFERROR(__xludf.DUMMYFUNCTION("VALUE(REGEXREPLACE(G4581,""[^[:digit:]]"", """"))"),1125.0)</f>
        <v>1125</v>
      </c>
      <c r="AG4581" s="7"/>
      <c r="AH4581" s="7"/>
      <c r="AI4581" s="7"/>
      <c r="AJ4581" s="7"/>
      <c r="AK4581" s="7"/>
      <c r="AL4581" s="7"/>
      <c r="AM4581" s="7"/>
      <c r="AN4581" s="7"/>
      <c r="AO4581" s="7"/>
      <c r="AP4581" s="7"/>
      <c r="AQ4581" s="7"/>
      <c r="AR4581" s="7"/>
      <c r="AS4581" s="7" t="s">
        <v>22</v>
      </c>
    </row>
    <row r="4582">
      <c r="A4582" s="7" t="s">
        <v>171</v>
      </c>
      <c r="B4582" s="7" t="s">
        <v>257</v>
      </c>
      <c r="C4582" s="7">
        <f>7+1</f>
        <v>8</v>
      </c>
      <c r="D4582" s="7">
        <v>7.0</v>
      </c>
      <c r="E4582" s="7">
        <v>6.0</v>
      </c>
      <c r="F4582" s="7" t="s">
        <v>83</v>
      </c>
      <c r="G4582" s="7" t="s">
        <v>2804</v>
      </c>
      <c r="H4582" s="9" t="s">
        <v>2979</v>
      </c>
      <c r="I4582" t="s">
        <v>4543</v>
      </c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  <c r="AA4582" s="7"/>
      <c r="AB4582" s="7"/>
      <c r="AC4582" s="7"/>
      <c r="AD4582" s="7" t="str">
        <f t="shared" si="1"/>
        <v>Built-up :</v>
      </c>
      <c r="AE4582" s="7" t="str">
        <f t="shared" si="2"/>
        <v> sq. ft.</v>
      </c>
      <c r="AF4582">
        <f>IFERROR(__xludf.DUMMYFUNCTION("VALUE(REGEXREPLACE(G4582,""[^[:digit:]]"", """"))"),5147.0)</f>
        <v>5147</v>
      </c>
      <c r="AG4582" s="7"/>
      <c r="AH4582" s="7"/>
      <c r="AI4582" s="7"/>
      <c r="AJ4582" s="7"/>
      <c r="AK4582" s="7"/>
      <c r="AL4582" s="7"/>
      <c r="AM4582" s="7"/>
      <c r="AN4582" s="7"/>
      <c r="AO4582" s="7"/>
      <c r="AP4582" s="7"/>
      <c r="AQ4582" s="7"/>
      <c r="AR4582" s="7"/>
    </row>
    <row r="4583">
      <c r="A4583" s="7" t="s">
        <v>171</v>
      </c>
      <c r="B4583" s="7" t="s">
        <v>2805</v>
      </c>
      <c r="C4583" s="7">
        <f>4+1</f>
        <v>5</v>
      </c>
      <c r="D4583" s="7">
        <v>5.0</v>
      </c>
      <c r="E4583" s="7">
        <v>4.0</v>
      </c>
      <c r="F4583" s="7" t="s">
        <v>83</v>
      </c>
      <c r="G4583" s="7" t="s">
        <v>1762</v>
      </c>
      <c r="H4583" s="9" t="s">
        <v>2979</v>
      </c>
      <c r="I4583" t="s">
        <v>3910</v>
      </c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  <c r="AA4583" s="7"/>
      <c r="AB4583" s="7"/>
      <c r="AC4583" s="7"/>
      <c r="AD4583" s="7" t="str">
        <f t="shared" si="1"/>
        <v>Built-up :</v>
      </c>
      <c r="AE4583" s="7" t="str">
        <f t="shared" si="2"/>
        <v> sq. ft.</v>
      </c>
      <c r="AF4583">
        <f>IFERROR(__xludf.DUMMYFUNCTION("VALUE(REGEXREPLACE(G4583,""[^[:digit:]]"", """"))"),4142.0)</f>
        <v>4142</v>
      </c>
      <c r="AG4583" s="7"/>
      <c r="AH4583" s="7"/>
      <c r="AI4583" s="7"/>
      <c r="AJ4583" s="7"/>
      <c r="AK4583" s="7"/>
      <c r="AL4583" s="7"/>
      <c r="AM4583" s="7"/>
      <c r="AN4583" s="7"/>
      <c r="AO4583" s="7"/>
      <c r="AP4583" s="7"/>
      <c r="AQ4583" s="7"/>
      <c r="AR4583" s="7"/>
    </row>
    <row r="4584">
      <c r="A4584" s="7" t="s">
        <v>171</v>
      </c>
      <c r="B4584" s="7" t="s">
        <v>2806</v>
      </c>
      <c r="C4584" s="7">
        <f>5+1</f>
        <v>6</v>
      </c>
      <c r="D4584" s="7">
        <v>6.0</v>
      </c>
      <c r="E4584" s="7">
        <v>3.0</v>
      </c>
      <c r="F4584" s="7" t="s">
        <v>83</v>
      </c>
      <c r="G4584" s="7" t="s">
        <v>1373</v>
      </c>
      <c r="H4584" s="9" t="s">
        <v>2979</v>
      </c>
      <c r="I4584" t="s">
        <v>3679</v>
      </c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  <c r="AA4584" s="7"/>
      <c r="AB4584" s="7"/>
      <c r="AC4584" s="7"/>
      <c r="AD4584" s="7" t="str">
        <f t="shared" si="1"/>
        <v>Built-up :</v>
      </c>
      <c r="AE4584" s="7" t="str">
        <f t="shared" si="2"/>
        <v> sq. ft.</v>
      </c>
      <c r="AF4584">
        <f>IFERROR(__xludf.DUMMYFUNCTION("VALUE(REGEXREPLACE(G4584,""[^[:digit:]]"", """"))"),2685.0)</f>
        <v>2685</v>
      </c>
      <c r="AG4584" s="7"/>
      <c r="AH4584" s="7"/>
      <c r="AI4584" s="7"/>
      <c r="AJ4584" s="7"/>
      <c r="AK4584" s="7"/>
      <c r="AL4584" s="7"/>
      <c r="AM4584" s="7"/>
      <c r="AN4584" s="7"/>
      <c r="AO4584" s="7"/>
      <c r="AP4584" s="7"/>
      <c r="AQ4584" s="7"/>
      <c r="AR4584" s="7"/>
      <c r="AS4584" s="7" t="s">
        <v>103</v>
      </c>
    </row>
    <row r="4585">
      <c r="A4585" s="7" t="s">
        <v>368</v>
      </c>
      <c r="B4585" s="7" t="s">
        <v>2807</v>
      </c>
      <c r="C4585" s="7">
        <f>3+1</f>
        <v>4</v>
      </c>
      <c r="D4585" s="7">
        <v>3.0</v>
      </c>
      <c r="E4585" s="7">
        <v>3.0</v>
      </c>
      <c r="F4585" s="7" t="s">
        <v>20</v>
      </c>
      <c r="G4585" s="7" t="s">
        <v>1242</v>
      </c>
      <c r="H4585" s="9" t="s">
        <v>2979</v>
      </c>
      <c r="I4585" t="s">
        <v>3600</v>
      </c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  <c r="AA4585" s="7"/>
      <c r="AB4585" s="7"/>
      <c r="AC4585" s="7"/>
      <c r="AD4585" s="7" t="str">
        <f t="shared" si="1"/>
        <v>Built-up :</v>
      </c>
      <c r="AE4585" s="7" t="str">
        <f t="shared" si="2"/>
        <v> sq. ft.</v>
      </c>
      <c r="AF4585">
        <f>IFERROR(__xludf.DUMMYFUNCTION("VALUE(REGEXREPLACE(G4585,""[^[:digit:]]"", """"))"),1538.0)</f>
        <v>1538</v>
      </c>
      <c r="AG4585" s="7"/>
      <c r="AH4585" s="7"/>
      <c r="AI4585" s="7"/>
      <c r="AJ4585" s="7"/>
      <c r="AK4585" s="7"/>
      <c r="AL4585" s="7"/>
      <c r="AM4585" s="7"/>
      <c r="AN4585" s="7"/>
      <c r="AO4585" s="7"/>
      <c r="AP4585" s="7"/>
      <c r="AQ4585" s="7"/>
      <c r="AR4585" s="7"/>
      <c r="AS4585" s="7" t="s">
        <v>27</v>
      </c>
    </row>
    <row r="4586">
      <c r="A4586" s="7" t="s">
        <v>171</v>
      </c>
      <c r="B4586" s="7" t="s">
        <v>2808</v>
      </c>
      <c r="C4586" s="7">
        <f>4+1</f>
        <v>5</v>
      </c>
      <c r="D4586" s="7">
        <v>5.0</v>
      </c>
      <c r="E4586" s="7">
        <v>3.0</v>
      </c>
      <c r="F4586" s="7" t="s">
        <v>83</v>
      </c>
      <c r="G4586" s="7" t="s">
        <v>1375</v>
      </c>
      <c r="H4586" s="9" t="s">
        <v>2979</v>
      </c>
      <c r="I4586" t="s">
        <v>3680</v>
      </c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  <c r="AA4586" s="7"/>
      <c r="AB4586" s="7"/>
      <c r="AC4586" s="7"/>
      <c r="AD4586" s="7" t="str">
        <f t="shared" si="1"/>
        <v>Built-up :</v>
      </c>
      <c r="AE4586" s="7" t="str">
        <f t="shared" si="2"/>
        <v> sq. ft.</v>
      </c>
      <c r="AF4586">
        <f>IFERROR(__xludf.DUMMYFUNCTION("VALUE(REGEXREPLACE(G4586,""[^[:digit:]]"", """"))"),2646.0)</f>
        <v>2646</v>
      </c>
      <c r="AG4586" s="7"/>
      <c r="AH4586" s="7"/>
      <c r="AI4586" s="7"/>
      <c r="AJ4586" s="7"/>
      <c r="AK4586" s="7"/>
      <c r="AL4586" s="7"/>
      <c r="AM4586" s="7"/>
      <c r="AN4586" s="7"/>
      <c r="AO4586" s="7"/>
      <c r="AP4586" s="7"/>
      <c r="AQ4586" s="7"/>
      <c r="AR4586" s="7"/>
      <c r="AS4586" s="7" t="s">
        <v>103</v>
      </c>
    </row>
    <row r="4587">
      <c r="A4587" s="7" t="s">
        <v>368</v>
      </c>
      <c r="B4587" s="7" t="s">
        <v>396</v>
      </c>
      <c r="C4587" s="7">
        <f t="shared" ref="C4587:C4588" si="640">3+1</f>
        <v>4</v>
      </c>
      <c r="D4587" s="7">
        <v>3.0</v>
      </c>
      <c r="E4587" s="7">
        <v>2.0</v>
      </c>
      <c r="F4587" s="7" t="s">
        <v>20</v>
      </c>
      <c r="G4587" s="7" t="s">
        <v>397</v>
      </c>
      <c r="H4587" s="9" t="s">
        <v>2979</v>
      </c>
      <c r="I4587" t="s">
        <v>3144</v>
      </c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  <c r="AA4587" s="7"/>
      <c r="AB4587" s="7"/>
      <c r="AC4587" s="7"/>
      <c r="AD4587" s="7" t="str">
        <f t="shared" si="1"/>
        <v>Built-up :</v>
      </c>
      <c r="AE4587" s="7" t="str">
        <f t="shared" si="2"/>
        <v> sq. ft.</v>
      </c>
      <c r="AF4587">
        <f>IFERROR(__xludf.DUMMYFUNCTION("VALUE(REGEXREPLACE(G4587,""[^[:digit:]]"", """"))"),1265.0)</f>
        <v>1265</v>
      </c>
      <c r="AG4587" s="7"/>
      <c r="AH4587" s="7"/>
      <c r="AI4587" s="7"/>
      <c r="AJ4587" s="7"/>
      <c r="AK4587" s="7"/>
      <c r="AL4587" s="7"/>
      <c r="AM4587" s="7"/>
      <c r="AN4587" s="7"/>
      <c r="AO4587" s="7"/>
      <c r="AP4587" s="7"/>
      <c r="AQ4587" s="7"/>
      <c r="AR4587" s="7"/>
    </row>
    <row r="4588">
      <c r="A4588" s="7" t="s">
        <v>171</v>
      </c>
      <c r="B4588" s="7" t="s">
        <v>2809</v>
      </c>
      <c r="C4588" s="7">
        <f t="shared" si="640"/>
        <v>4</v>
      </c>
      <c r="D4588" s="7">
        <v>3.0</v>
      </c>
      <c r="E4588" s="7">
        <v>3.0</v>
      </c>
      <c r="F4588" s="7" t="s">
        <v>83</v>
      </c>
      <c r="G4588" s="7" t="s">
        <v>2810</v>
      </c>
      <c r="H4588" s="9" t="s">
        <v>2979</v>
      </c>
      <c r="I4588" t="s">
        <v>4544</v>
      </c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  <c r="AA4588" s="7"/>
      <c r="AB4588" s="7"/>
      <c r="AC4588" s="7"/>
      <c r="AD4588" s="7" t="str">
        <f t="shared" si="1"/>
        <v>Built-up :</v>
      </c>
      <c r="AE4588" s="7" t="str">
        <f t="shared" si="2"/>
        <v> sq. ft.</v>
      </c>
      <c r="AF4588">
        <f>IFERROR(__xludf.DUMMYFUNCTION("VALUE(REGEXREPLACE(G4588,""[^[:digit:]]"", """"))"),1923.0)</f>
        <v>1923</v>
      </c>
      <c r="AG4588" s="7"/>
      <c r="AH4588" s="7"/>
      <c r="AI4588" s="7"/>
      <c r="AJ4588" s="7"/>
      <c r="AK4588" s="7"/>
      <c r="AL4588" s="7"/>
      <c r="AM4588" s="7"/>
      <c r="AN4588" s="7"/>
      <c r="AO4588" s="7"/>
      <c r="AP4588" s="7"/>
      <c r="AQ4588" s="7"/>
      <c r="AR4588" s="7"/>
      <c r="AS4588" s="7" t="s">
        <v>103</v>
      </c>
    </row>
    <row r="4589">
      <c r="A4589" s="7" t="s">
        <v>37</v>
      </c>
      <c r="B4589" s="7" t="s">
        <v>616</v>
      </c>
      <c r="C4589" s="7">
        <f>7+1</f>
        <v>8</v>
      </c>
      <c r="D4589" s="7">
        <v>6.0</v>
      </c>
      <c r="E4589" s="7">
        <v>5.0</v>
      </c>
      <c r="F4589" s="7" t="s">
        <v>61</v>
      </c>
      <c r="G4589" s="7" t="s">
        <v>2610</v>
      </c>
      <c r="H4589" s="9" t="s">
        <v>2981</v>
      </c>
      <c r="I4589" t="s">
        <v>4429</v>
      </c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  <c r="AA4589" s="7"/>
      <c r="AB4589" s="7"/>
      <c r="AC4589" s="7"/>
      <c r="AD4589" s="7" t="str">
        <f t="shared" si="1"/>
        <v>Land area </v>
      </c>
      <c r="AE4589" s="7" t="str">
        <f t="shared" si="2"/>
        <v> sq. ft.</v>
      </c>
      <c r="AF4589">
        <f>IFERROR(__xludf.DUMMYFUNCTION("VALUE(REGEXREPLACE(G4589,""[^[:digit:]]"", """"))"),8966.0)</f>
        <v>8966</v>
      </c>
      <c r="AG4589" s="7"/>
      <c r="AH4589" s="7"/>
      <c r="AI4589" s="7"/>
      <c r="AJ4589" s="7"/>
      <c r="AK4589" s="7"/>
      <c r="AL4589" s="7"/>
      <c r="AM4589" s="7"/>
      <c r="AN4589" s="7"/>
      <c r="AO4589" s="7"/>
      <c r="AP4589" s="7"/>
      <c r="AQ4589" s="7"/>
      <c r="AR4589" s="7"/>
      <c r="AS4589" s="7" t="s">
        <v>27</v>
      </c>
    </row>
    <row r="4590">
      <c r="A4590" s="7" t="s">
        <v>32</v>
      </c>
      <c r="B4590" s="7" t="s">
        <v>2665</v>
      </c>
      <c r="C4590" s="7">
        <f>2</f>
        <v>2</v>
      </c>
      <c r="D4590" s="7">
        <v>1.0</v>
      </c>
      <c r="E4590" s="9">
        <v>2.0</v>
      </c>
      <c r="F4590" s="7" t="s">
        <v>1566</v>
      </c>
      <c r="G4590" s="7" t="s">
        <v>537</v>
      </c>
      <c r="H4590" s="9" t="s">
        <v>2979</v>
      </c>
      <c r="I4590" t="s">
        <v>3212</v>
      </c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  <c r="AA4590" s="7"/>
      <c r="AB4590" s="7"/>
      <c r="AC4590" s="7"/>
      <c r="AD4590" s="7" t="str">
        <f t="shared" si="1"/>
        <v>Built-up :</v>
      </c>
      <c r="AE4590" s="7" t="str">
        <f t="shared" si="2"/>
        <v> sq. ft.</v>
      </c>
      <c r="AF4590">
        <f>IFERROR(__xludf.DUMMYFUNCTION("VALUE(REGEXREPLACE(G4590,""[^[:digit:]]"", """"))"),560.0)</f>
        <v>560</v>
      </c>
      <c r="AG4590" s="7"/>
      <c r="AH4590" s="7"/>
      <c r="AI4590" s="7"/>
      <c r="AJ4590" s="7"/>
      <c r="AK4590" s="7"/>
      <c r="AL4590" s="7"/>
      <c r="AM4590" s="7"/>
      <c r="AN4590" s="7"/>
      <c r="AO4590" s="7"/>
      <c r="AP4590" s="7"/>
      <c r="AQ4590" s="7"/>
      <c r="AR4590" s="7"/>
      <c r="AS4590" s="7" t="s">
        <v>27</v>
      </c>
    </row>
    <row r="4591">
      <c r="A4591" s="7" t="s">
        <v>180</v>
      </c>
      <c r="B4591" s="7" t="s">
        <v>657</v>
      </c>
      <c r="C4591" s="7">
        <f>4+1</f>
        <v>5</v>
      </c>
      <c r="D4591" s="7">
        <v>5.0</v>
      </c>
      <c r="E4591" s="7">
        <v>1.0</v>
      </c>
      <c r="F4591" s="7" t="s">
        <v>30</v>
      </c>
      <c r="G4591" s="7" t="s">
        <v>74</v>
      </c>
      <c r="H4591" s="9" t="s">
        <v>2979</v>
      </c>
      <c r="I4591" t="s">
        <v>2998</v>
      </c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  <c r="AA4591" s="7"/>
      <c r="AB4591" s="7"/>
      <c r="AC4591" s="7"/>
      <c r="AD4591" s="7" t="str">
        <f t="shared" si="1"/>
        <v>Built-up :</v>
      </c>
      <c r="AE4591" s="7" t="str">
        <f t="shared" si="2"/>
        <v> sq. ft.</v>
      </c>
      <c r="AF4591">
        <f>IFERROR(__xludf.DUMMYFUNCTION("VALUE(REGEXREPLACE(G4591,""[^[:digit:]]"", """"))"),1830.0)</f>
        <v>1830</v>
      </c>
      <c r="AG4591" s="7"/>
      <c r="AH4591" s="7"/>
      <c r="AI4591" s="7"/>
      <c r="AJ4591" s="7"/>
      <c r="AK4591" s="7"/>
      <c r="AL4591" s="7"/>
      <c r="AM4591" s="7"/>
      <c r="AN4591" s="7"/>
      <c r="AO4591" s="7"/>
      <c r="AP4591" s="7"/>
      <c r="AQ4591" s="7"/>
      <c r="AR4591" s="7"/>
      <c r="AS4591" s="7" t="s">
        <v>27</v>
      </c>
    </row>
    <row r="4592">
      <c r="A4592" s="7" t="s">
        <v>180</v>
      </c>
      <c r="B4592" s="7" t="s">
        <v>191</v>
      </c>
      <c r="C4592" s="7">
        <f t="shared" ref="C4592:C4593" si="641">5</f>
        <v>5</v>
      </c>
      <c r="D4592" s="7">
        <v>6.0</v>
      </c>
      <c r="E4592" s="7">
        <v>1.0</v>
      </c>
      <c r="F4592" s="7" t="s">
        <v>83</v>
      </c>
      <c r="G4592" s="7" t="s">
        <v>74</v>
      </c>
      <c r="H4592" s="9" t="s">
        <v>2979</v>
      </c>
      <c r="I4592" t="s">
        <v>2998</v>
      </c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  <c r="AA4592" s="7"/>
      <c r="AB4592" s="7"/>
      <c r="AC4592" s="7"/>
      <c r="AD4592" s="7" t="str">
        <f t="shared" si="1"/>
        <v>Built-up :</v>
      </c>
      <c r="AE4592" s="7" t="str">
        <f t="shared" si="2"/>
        <v> sq. ft.</v>
      </c>
      <c r="AF4592">
        <f>IFERROR(__xludf.DUMMYFUNCTION("VALUE(REGEXREPLACE(G4592,""[^[:digit:]]"", """"))"),1830.0)</f>
        <v>1830</v>
      </c>
      <c r="AG4592" s="7"/>
      <c r="AH4592" s="7"/>
      <c r="AI4592" s="7"/>
      <c r="AJ4592" s="7"/>
      <c r="AK4592" s="7"/>
      <c r="AL4592" s="7"/>
      <c r="AM4592" s="7"/>
      <c r="AN4592" s="7"/>
      <c r="AO4592" s="7"/>
      <c r="AP4592" s="7"/>
      <c r="AQ4592" s="7"/>
      <c r="AR4592" s="7"/>
      <c r="AS4592" s="7" t="s">
        <v>27</v>
      </c>
    </row>
    <row r="4593">
      <c r="A4593" s="7" t="s">
        <v>180</v>
      </c>
      <c r="B4593" s="7" t="s">
        <v>327</v>
      </c>
      <c r="C4593" s="7">
        <f t="shared" si="641"/>
        <v>5</v>
      </c>
      <c r="D4593" s="7">
        <v>3.0</v>
      </c>
      <c r="E4593" s="9">
        <v>2.0</v>
      </c>
      <c r="F4593" s="7" t="s">
        <v>83</v>
      </c>
      <c r="G4593" s="7" t="s">
        <v>2811</v>
      </c>
      <c r="H4593" s="9" t="s">
        <v>2979</v>
      </c>
      <c r="I4593" t="s">
        <v>4545</v>
      </c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  <c r="AA4593" s="7"/>
      <c r="AB4593" s="7"/>
      <c r="AC4593" s="7"/>
      <c r="AD4593" s="7" t="str">
        <f t="shared" si="1"/>
        <v>Built-up :</v>
      </c>
      <c r="AE4593" s="7" t="str">
        <f t="shared" si="2"/>
        <v> sq. ft.</v>
      </c>
      <c r="AF4593">
        <f>IFERROR(__xludf.DUMMYFUNCTION("VALUE(REGEXREPLACE(G4593,""[^[:digit:]]"", """"))"),1895.0)</f>
        <v>1895</v>
      </c>
      <c r="AG4593" s="7"/>
      <c r="AH4593" s="7"/>
      <c r="AI4593" s="7"/>
      <c r="AJ4593" s="7"/>
      <c r="AK4593" s="7"/>
      <c r="AL4593" s="7"/>
      <c r="AM4593" s="7"/>
      <c r="AN4593" s="7"/>
      <c r="AO4593" s="7"/>
      <c r="AP4593" s="7"/>
      <c r="AQ4593" s="7"/>
      <c r="AR4593" s="7"/>
    </row>
    <row r="4594">
      <c r="A4594" s="7" t="s">
        <v>17</v>
      </c>
      <c r="B4594" s="7" t="s">
        <v>18</v>
      </c>
      <c r="C4594" s="7">
        <f>2</f>
        <v>2</v>
      </c>
      <c r="D4594" s="7">
        <v>2.0</v>
      </c>
      <c r="E4594" s="9">
        <v>2.0</v>
      </c>
      <c r="F4594" s="7" t="s">
        <v>20</v>
      </c>
      <c r="G4594" s="7" t="s">
        <v>738</v>
      </c>
      <c r="H4594" s="9" t="s">
        <v>2979</v>
      </c>
      <c r="I4594" t="s">
        <v>3311</v>
      </c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  <c r="AA4594" s="7"/>
      <c r="AB4594" s="7"/>
      <c r="AC4594" s="7"/>
      <c r="AD4594" s="7" t="str">
        <f t="shared" si="1"/>
        <v>Built-up :</v>
      </c>
      <c r="AE4594" s="7" t="str">
        <f t="shared" si="2"/>
        <v> sq. ft.</v>
      </c>
      <c r="AF4594">
        <f>IFERROR(__xludf.DUMMYFUNCTION("VALUE(REGEXREPLACE(G4594,""[^[:digit:]]"", """"))"),907.0)</f>
        <v>907</v>
      </c>
      <c r="AG4594" s="7"/>
      <c r="AH4594" s="7"/>
      <c r="AI4594" s="7"/>
      <c r="AJ4594" s="7"/>
      <c r="AK4594" s="7"/>
      <c r="AL4594" s="7"/>
      <c r="AM4594" s="7"/>
      <c r="AN4594" s="7"/>
      <c r="AO4594" s="7"/>
      <c r="AP4594" s="7"/>
      <c r="AQ4594" s="7"/>
      <c r="AR4594" s="7"/>
      <c r="AS4594" s="7" t="s">
        <v>22</v>
      </c>
    </row>
    <row r="4595">
      <c r="A4595" s="7" t="s">
        <v>32</v>
      </c>
      <c r="B4595" s="7" t="s">
        <v>715</v>
      </c>
      <c r="C4595" s="7">
        <f>3</f>
        <v>3</v>
      </c>
      <c r="D4595" s="7">
        <v>3.0</v>
      </c>
      <c r="E4595" s="7">
        <v>2.0</v>
      </c>
      <c r="F4595" s="7" t="s">
        <v>30</v>
      </c>
      <c r="G4595" s="7" t="s">
        <v>1657</v>
      </c>
      <c r="H4595" s="9" t="s">
        <v>2979</v>
      </c>
      <c r="I4595" t="s">
        <v>3841</v>
      </c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  <c r="AA4595" s="7"/>
      <c r="AB4595" s="7"/>
      <c r="AC4595" s="7"/>
      <c r="AD4595" s="7" t="str">
        <f t="shared" si="1"/>
        <v>Built-up :</v>
      </c>
      <c r="AE4595" s="7" t="str">
        <f t="shared" si="2"/>
        <v> sq. ft.</v>
      </c>
      <c r="AF4595">
        <f>IFERROR(__xludf.DUMMYFUNCTION("VALUE(REGEXREPLACE(G4595,""[^[:digit:]]"", """"))"),1110.0)</f>
        <v>1110</v>
      </c>
      <c r="AG4595" s="7"/>
      <c r="AH4595" s="7"/>
      <c r="AI4595" s="7"/>
      <c r="AJ4595" s="7"/>
      <c r="AK4595" s="7"/>
      <c r="AL4595" s="7"/>
      <c r="AM4595" s="7"/>
      <c r="AN4595" s="7"/>
      <c r="AO4595" s="7"/>
      <c r="AP4595" s="7"/>
      <c r="AQ4595" s="7"/>
      <c r="AR4595" s="7"/>
      <c r="AS4595" s="7" t="s">
        <v>103</v>
      </c>
    </row>
    <row r="4596">
      <c r="A4596" s="7" t="s">
        <v>32</v>
      </c>
      <c r="B4596" s="7" t="s">
        <v>710</v>
      </c>
      <c r="C4596" s="7">
        <f>2</f>
        <v>2</v>
      </c>
      <c r="D4596" s="7">
        <v>1.0</v>
      </c>
      <c r="E4596" s="9">
        <v>2.0</v>
      </c>
      <c r="F4596" s="7" t="s">
        <v>184</v>
      </c>
      <c r="G4596" s="7" t="s">
        <v>2812</v>
      </c>
      <c r="H4596" s="9" t="s">
        <v>2981</v>
      </c>
      <c r="I4596" t="s">
        <v>4546</v>
      </c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  <c r="AA4596" s="7"/>
      <c r="AB4596" s="7"/>
      <c r="AC4596" s="7"/>
      <c r="AD4596" s="7" t="str">
        <f t="shared" si="1"/>
        <v>Land area </v>
      </c>
      <c r="AE4596" s="7" t="str">
        <f t="shared" si="2"/>
        <v> sq. ft.</v>
      </c>
      <c r="AF4596">
        <f>IFERROR(__xludf.DUMMYFUNCTION("VALUE(REGEXREPLACE(G4596,""[^[:digit:]]"", """"))"),2378.0)</f>
        <v>2378</v>
      </c>
      <c r="AG4596" s="7"/>
      <c r="AH4596" s="7"/>
      <c r="AI4596" s="7"/>
      <c r="AJ4596" s="7"/>
      <c r="AK4596" s="7"/>
      <c r="AL4596" s="7"/>
      <c r="AM4596" s="7"/>
      <c r="AN4596" s="7"/>
      <c r="AO4596" s="7"/>
      <c r="AP4596" s="7"/>
      <c r="AQ4596" s="7"/>
      <c r="AR4596" s="7"/>
      <c r="AS4596" s="7" t="s">
        <v>27</v>
      </c>
    </row>
    <row r="4597">
      <c r="A4597" s="7" t="s">
        <v>17</v>
      </c>
      <c r="B4597" s="7" t="s">
        <v>42</v>
      </c>
      <c r="C4597" s="7">
        <f>4+1</f>
        <v>5</v>
      </c>
      <c r="D4597" s="7">
        <v>6.0</v>
      </c>
      <c r="E4597" s="9">
        <v>2.0</v>
      </c>
      <c r="F4597" s="7" t="s">
        <v>378</v>
      </c>
      <c r="G4597" s="7" t="s">
        <v>2634</v>
      </c>
      <c r="H4597" s="9" t="s">
        <v>2979</v>
      </c>
      <c r="I4597" t="s">
        <v>4443</v>
      </c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  <c r="AA4597" s="7"/>
      <c r="AB4597" s="7"/>
      <c r="AC4597" s="7"/>
      <c r="AD4597" s="7" t="str">
        <f t="shared" si="1"/>
        <v>Built-up :</v>
      </c>
      <c r="AE4597" s="7" t="str">
        <f t="shared" si="2"/>
        <v> sq. ft.</v>
      </c>
      <c r="AF4597">
        <f>IFERROR(__xludf.DUMMYFUNCTION("VALUE(REGEXREPLACE(G4597,""[^[:digit:]]"", """"))"),3502.0)</f>
        <v>3502</v>
      </c>
      <c r="AG4597" s="7"/>
      <c r="AH4597" s="7"/>
      <c r="AI4597" s="7"/>
      <c r="AJ4597" s="7"/>
      <c r="AK4597" s="7"/>
      <c r="AL4597" s="7"/>
      <c r="AM4597" s="7"/>
      <c r="AN4597" s="7"/>
      <c r="AO4597" s="7"/>
      <c r="AP4597" s="7"/>
      <c r="AQ4597" s="7"/>
      <c r="AR4597" s="7"/>
      <c r="AS4597" s="7" t="s">
        <v>27</v>
      </c>
    </row>
    <row r="4598">
      <c r="A4598" s="7" t="s">
        <v>17</v>
      </c>
      <c r="B4598" s="7" t="s">
        <v>970</v>
      </c>
      <c r="C4598" s="7">
        <f>4</f>
        <v>4</v>
      </c>
      <c r="D4598" s="7">
        <v>4.0</v>
      </c>
      <c r="E4598" s="9">
        <v>2.0</v>
      </c>
      <c r="F4598" s="7" t="s">
        <v>82</v>
      </c>
      <c r="G4598" s="7" t="s">
        <v>122</v>
      </c>
      <c r="H4598" s="9" t="s">
        <v>2979</v>
      </c>
      <c r="I4598" t="s">
        <v>3016</v>
      </c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  <c r="AA4598" s="7"/>
      <c r="AB4598" s="7"/>
      <c r="AC4598" s="7"/>
      <c r="AD4598" s="7" t="str">
        <f t="shared" si="1"/>
        <v>Built-up :</v>
      </c>
      <c r="AE4598" s="7" t="str">
        <f t="shared" si="2"/>
        <v> sq. ft.</v>
      </c>
      <c r="AF4598">
        <f>IFERROR(__xludf.DUMMYFUNCTION("VALUE(REGEXREPLACE(G4598,""[^[:digit:]]"", """"))"),3897.0)</f>
        <v>3897</v>
      </c>
      <c r="AG4598" s="7"/>
      <c r="AH4598" s="7"/>
      <c r="AI4598" s="7"/>
      <c r="AJ4598" s="7"/>
      <c r="AK4598" s="7"/>
      <c r="AL4598" s="7"/>
      <c r="AM4598" s="7"/>
      <c r="AN4598" s="7"/>
      <c r="AO4598" s="7"/>
      <c r="AP4598" s="7"/>
      <c r="AQ4598" s="7"/>
      <c r="AR4598" s="7"/>
      <c r="AS4598" s="7" t="s">
        <v>22</v>
      </c>
    </row>
    <row r="4599">
      <c r="A4599" s="7" t="s">
        <v>17</v>
      </c>
      <c r="B4599" s="7" t="s">
        <v>296</v>
      </c>
      <c r="C4599" s="7">
        <f>3+1</f>
        <v>4</v>
      </c>
      <c r="D4599" s="7">
        <v>5.0</v>
      </c>
      <c r="E4599" s="9">
        <v>2.0</v>
      </c>
      <c r="F4599" s="7" t="s">
        <v>20</v>
      </c>
      <c r="G4599" s="7" t="s">
        <v>205</v>
      </c>
      <c r="H4599" s="9" t="s">
        <v>2979</v>
      </c>
      <c r="I4599" t="s">
        <v>3052</v>
      </c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  <c r="AA4599" s="7"/>
      <c r="AB4599" s="7"/>
      <c r="AC4599" s="7"/>
      <c r="AD4599" s="7" t="str">
        <f t="shared" si="1"/>
        <v>Built-up :</v>
      </c>
      <c r="AE4599" s="7" t="str">
        <f t="shared" si="2"/>
        <v> sq. ft.</v>
      </c>
      <c r="AF4599">
        <f>IFERROR(__xludf.DUMMYFUNCTION("VALUE(REGEXREPLACE(G4599,""[^[:digit:]]"", """"))"),3282.0)</f>
        <v>3282</v>
      </c>
      <c r="AG4599" s="7"/>
      <c r="AH4599" s="7"/>
      <c r="AI4599" s="7"/>
      <c r="AJ4599" s="7"/>
      <c r="AK4599" s="7"/>
      <c r="AL4599" s="7"/>
      <c r="AM4599" s="7"/>
      <c r="AN4599" s="7"/>
      <c r="AO4599" s="7"/>
      <c r="AP4599" s="7"/>
      <c r="AQ4599" s="7"/>
      <c r="AR4599" s="7"/>
      <c r="AS4599" s="7" t="s">
        <v>27</v>
      </c>
    </row>
    <row r="4600">
      <c r="A4600" s="7" t="s">
        <v>180</v>
      </c>
      <c r="B4600" s="7" t="s">
        <v>279</v>
      </c>
      <c r="C4600" s="7">
        <f>1</f>
        <v>1</v>
      </c>
      <c r="D4600" s="7">
        <v>1.0</v>
      </c>
      <c r="E4600" s="7">
        <v>1.0</v>
      </c>
      <c r="F4600" s="7" t="s">
        <v>82</v>
      </c>
      <c r="G4600" s="7" t="s">
        <v>1113</v>
      </c>
      <c r="H4600" s="9" t="s">
        <v>2979</v>
      </c>
      <c r="I4600" t="s">
        <v>3511</v>
      </c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  <c r="AA4600" s="7"/>
      <c r="AB4600" s="7"/>
      <c r="AC4600" s="7"/>
      <c r="AD4600" s="7" t="str">
        <f t="shared" si="1"/>
        <v>Built-up :</v>
      </c>
      <c r="AE4600" s="7" t="str">
        <f t="shared" si="2"/>
        <v> sq. ft.</v>
      </c>
      <c r="AF4600">
        <f>IFERROR(__xludf.DUMMYFUNCTION("VALUE(REGEXREPLACE(G4600,""[^[:digit:]]"", """"))"),1131.0)</f>
        <v>1131</v>
      </c>
      <c r="AG4600" s="7"/>
      <c r="AH4600" s="7"/>
      <c r="AI4600" s="7"/>
      <c r="AJ4600" s="7"/>
      <c r="AK4600" s="7"/>
      <c r="AL4600" s="7"/>
      <c r="AM4600" s="7"/>
      <c r="AN4600" s="7"/>
      <c r="AO4600" s="7"/>
      <c r="AP4600" s="7"/>
      <c r="AQ4600" s="7"/>
      <c r="AR4600" s="7"/>
      <c r="AS4600" s="7" t="s">
        <v>22</v>
      </c>
    </row>
    <row r="4601">
      <c r="A4601" s="7" t="s">
        <v>17</v>
      </c>
      <c r="B4601" s="7" t="s">
        <v>2813</v>
      </c>
      <c r="C4601" s="7">
        <f>4+1</f>
        <v>5</v>
      </c>
      <c r="D4601" s="7">
        <v>5.0</v>
      </c>
      <c r="E4601" s="7">
        <v>3.0</v>
      </c>
      <c r="F4601" s="7" t="s">
        <v>30</v>
      </c>
      <c r="G4601" s="7" t="s">
        <v>2814</v>
      </c>
      <c r="H4601" s="9" t="s">
        <v>2979</v>
      </c>
      <c r="I4601" t="s">
        <v>4547</v>
      </c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  <c r="AA4601" s="7"/>
      <c r="AB4601" s="7"/>
      <c r="AC4601" s="7"/>
      <c r="AD4601" s="7" t="str">
        <f t="shared" si="1"/>
        <v>Built-up :</v>
      </c>
      <c r="AE4601" s="7" t="str">
        <f t="shared" si="2"/>
        <v> sq. ft.</v>
      </c>
      <c r="AF4601">
        <f>IFERROR(__xludf.DUMMYFUNCTION("VALUE(REGEXREPLACE(G4601,""[^[:digit:]]"", """"))"),3843.0)</f>
        <v>3843</v>
      </c>
      <c r="AG4601" s="7"/>
      <c r="AH4601" s="7"/>
      <c r="AI4601" s="7"/>
      <c r="AJ4601" s="7"/>
      <c r="AK4601" s="7"/>
      <c r="AL4601" s="7"/>
      <c r="AM4601" s="7"/>
      <c r="AN4601" s="7"/>
      <c r="AO4601" s="7"/>
      <c r="AP4601" s="7"/>
      <c r="AQ4601" s="7"/>
      <c r="AR4601" s="7"/>
      <c r="AS4601" s="7" t="s">
        <v>27</v>
      </c>
    </row>
    <row r="4602">
      <c r="A4602" s="7" t="s">
        <v>17</v>
      </c>
      <c r="B4602" s="7" t="s">
        <v>701</v>
      </c>
      <c r="C4602" s="7">
        <f>3+2</f>
        <v>5</v>
      </c>
      <c r="D4602" s="7">
        <v>5.0</v>
      </c>
      <c r="E4602" s="7">
        <v>2.0</v>
      </c>
      <c r="F4602" s="7" t="s">
        <v>30</v>
      </c>
      <c r="G4602" s="7" t="s">
        <v>2815</v>
      </c>
      <c r="H4602" s="9" t="s">
        <v>2979</v>
      </c>
      <c r="I4602" t="s">
        <v>4548</v>
      </c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  <c r="AA4602" s="7"/>
      <c r="AB4602" s="7"/>
      <c r="AC4602" s="7"/>
      <c r="AD4602" s="7" t="str">
        <f t="shared" si="1"/>
        <v>Built-up :</v>
      </c>
      <c r="AE4602" s="7" t="str">
        <f t="shared" si="2"/>
        <v> sq. ft.</v>
      </c>
      <c r="AF4602">
        <f>IFERROR(__xludf.DUMMYFUNCTION("VALUE(REGEXREPLACE(G4602,""[^[:digit:]]"", """"))"),2885.0)</f>
        <v>2885</v>
      </c>
      <c r="AG4602" s="7"/>
      <c r="AH4602" s="7"/>
      <c r="AI4602" s="7"/>
      <c r="AJ4602" s="7"/>
      <c r="AK4602" s="7"/>
      <c r="AL4602" s="7"/>
      <c r="AM4602" s="7"/>
      <c r="AN4602" s="7"/>
      <c r="AO4602" s="7"/>
      <c r="AP4602" s="7"/>
      <c r="AQ4602" s="7"/>
      <c r="AR4602" s="7"/>
      <c r="AS4602" s="7" t="s">
        <v>27</v>
      </c>
    </row>
    <row r="4603">
      <c r="A4603" s="7" t="s">
        <v>17</v>
      </c>
      <c r="B4603" s="7" t="s">
        <v>390</v>
      </c>
      <c r="C4603" s="7">
        <f t="shared" ref="C4603:C4604" si="642">3+1</f>
        <v>4</v>
      </c>
      <c r="D4603" s="7">
        <v>4.0</v>
      </c>
      <c r="E4603" s="7">
        <v>2.0</v>
      </c>
      <c r="F4603" s="7" t="s">
        <v>93</v>
      </c>
      <c r="G4603" s="7" t="s">
        <v>2816</v>
      </c>
      <c r="H4603" s="9" t="s">
        <v>2979</v>
      </c>
      <c r="I4603" t="s">
        <v>4549</v>
      </c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  <c r="AA4603" s="7"/>
      <c r="AB4603" s="7"/>
      <c r="AC4603" s="7"/>
      <c r="AD4603" s="7" t="str">
        <f t="shared" si="1"/>
        <v>Built-up :</v>
      </c>
      <c r="AE4603" s="7" t="str">
        <f t="shared" si="2"/>
        <v> sq. ft.</v>
      </c>
      <c r="AF4603">
        <f>IFERROR(__xludf.DUMMYFUNCTION("VALUE(REGEXREPLACE(G4603,""[^[:digit:]]"", """"))"),2271.0)</f>
        <v>2271</v>
      </c>
      <c r="AG4603" s="7"/>
      <c r="AH4603" s="7"/>
      <c r="AI4603" s="7"/>
      <c r="AJ4603" s="7"/>
      <c r="AK4603" s="7"/>
      <c r="AL4603" s="7"/>
      <c r="AM4603" s="7"/>
      <c r="AN4603" s="7"/>
      <c r="AO4603" s="7"/>
      <c r="AP4603" s="7"/>
      <c r="AQ4603" s="7"/>
      <c r="AR4603" s="7"/>
      <c r="AS4603" s="7" t="s">
        <v>27</v>
      </c>
    </row>
    <row r="4604">
      <c r="A4604" s="7" t="s">
        <v>17</v>
      </c>
      <c r="B4604" s="7" t="s">
        <v>350</v>
      </c>
      <c r="C4604" s="7">
        <f t="shared" si="642"/>
        <v>4</v>
      </c>
      <c r="D4604" s="7">
        <v>4.0</v>
      </c>
      <c r="E4604" s="7">
        <v>2.0</v>
      </c>
      <c r="F4604" s="7" t="s">
        <v>30</v>
      </c>
      <c r="G4604" s="7" t="s">
        <v>680</v>
      </c>
      <c r="H4604" s="9" t="s">
        <v>2979</v>
      </c>
      <c r="I4604" t="s">
        <v>3281</v>
      </c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  <c r="AA4604" s="7"/>
      <c r="AB4604" s="7"/>
      <c r="AC4604" s="7"/>
      <c r="AD4604" s="7" t="str">
        <f t="shared" si="1"/>
        <v>Built-up :</v>
      </c>
      <c r="AE4604" s="7" t="str">
        <f t="shared" si="2"/>
        <v> sq. ft.</v>
      </c>
      <c r="AF4604">
        <f>IFERROR(__xludf.DUMMYFUNCTION("VALUE(REGEXREPLACE(G4604,""[^[:digit:]]"", """"))"),2013.0)</f>
        <v>2013</v>
      </c>
      <c r="AG4604" s="7"/>
      <c r="AH4604" s="7"/>
      <c r="AI4604" s="7"/>
      <c r="AJ4604" s="7"/>
      <c r="AK4604" s="7"/>
      <c r="AL4604" s="7"/>
      <c r="AM4604" s="7"/>
      <c r="AN4604" s="7"/>
      <c r="AO4604" s="7"/>
      <c r="AP4604" s="7"/>
      <c r="AQ4604" s="7"/>
      <c r="AR4604" s="7"/>
      <c r="AS4604" s="7" t="s">
        <v>27</v>
      </c>
    </row>
    <row r="4605">
      <c r="A4605" s="7" t="s">
        <v>52</v>
      </c>
      <c r="B4605" s="7" t="s">
        <v>842</v>
      </c>
      <c r="C4605" s="7">
        <f>4+2</f>
        <v>6</v>
      </c>
      <c r="D4605" s="7">
        <v>5.0</v>
      </c>
      <c r="E4605" s="7">
        <v>3.0</v>
      </c>
      <c r="F4605" s="7" t="s">
        <v>30</v>
      </c>
      <c r="G4605" s="7" t="s">
        <v>2744</v>
      </c>
      <c r="H4605" s="9" t="s">
        <v>2979</v>
      </c>
      <c r="I4605" t="s">
        <v>4502</v>
      </c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  <c r="AA4605" s="7"/>
      <c r="AB4605" s="7"/>
      <c r="AC4605" s="7"/>
      <c r="AD4605" s="7" t="str">
        <f t="shared" si="1"/>
        <v>Built-up :</v>
      </c>
      <c r="AE4605" s="7" t="str">
        <f t="shared" si="2"/>
        <v> sq. ft.</v>
      </c>
      <c r="AF4605">
        <f>IFERROR(__xludf.DUMMYFUNCTION("VALUE(REGEXREPLACE(G4605,""[^[:digit:]]"", """"))"),3950.0)</f>
        <v>3950</v>
      </c>
      <c r="AG4605" s="7"/>
      <c r="AH4605" s="7"/>
      <c r="AI4605" s="7"/>
      <c r="AJ4605" s="7"/>
      <c r="AK4605" s="7"/>
      <c r="AL4605" s="7"/>
      <c r="AM4605" s="7"/>
      <c r="AN4605" s="7"/>
      <c r="AO4605" s="7"/>
      <c r="AP4605" s="7"/>
      <c r="AQ4605" s="7"/>
      <c r="AR4605" s="7"/>
      <c r="AS4605" s="7" t="s">
        <v>22</v>
      </c>
    </row>
    <row r="4606">
      <c r="A4606" s="7" t="s">
        <v>17</v>
      </c>
      <c r="B4606" s="7" t="s">
        <v>475</v>
      </c>
      <c r="C4606" s="7">
        <f>4+1</f>
        <v>5</v>
      </c>
      <c r="D4606" s="7">
        <v>5.0</v>
      </c>
      <c r="E4606" s="7">
        <v>2.0</v>
      </c>
      <c r="F4606" s="7" t="s">
        <v>30</v>
      </c>
      <c r="G4606" s="7" t="s">
        <v>295</v>
      </c>
      <c r="H4606" s="9" t="s">
        <v>2979</v>
      </c>
      <c r="I4606" t="s">
        <v>3096</v>
      </c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  <c r="AA4606" s="7"/>
      <c r="AB4606" s="7"/>
      <c r="AC4606" s="7"/>
      <c r="AD4606" s="7" t="str">
        <f t="shared" si="1"/>
        <v>Built-up :</v>
      </c>
      <c r="AE4606" s="7" t="str">
        <f t="shared" si="2"/>
        <v> sq. ft.</v>
      </c>
      <c r="AF4606">
        <f>IFERROR(__xludf.DUMMYFUNCTION("VALUE(REGEXREPLACE(G4606,""[^[:digit:]]"", """"))"),3218.0)</f>
        <v>3218</v>
      </c>
      <c r="AG4606" s="7"/>
      <c r="AH4606" s="7"/>
      <c r="AI4606" s="7"/>
      <c r="AJ4606" s="7"/>
      <c r="AK4606" s="7"/>
      <c r="AL4606" s="7"/>
      <c r="AM4606" s="7"/>
      <c r="AN4606" s="7"/>
      <c r="AO4606" s="7"/>
      <c r="AP4606" s="7"/>
      <c r="AQ4606" s="7"/>
      <c r="AR4606" s="7"/>
      <c r="AS4606" s="7" t="s">
        <v>27</v>
      </c>
    </row>
    <row r="4607">
      <c r="A4607" s="7" t="s">
        <v>17</v>
      </c>
      <c r="B4607" s="7" t="s">
        <v>309</v>
      </c>
      <c r="C4607" s="7">
        <f>3+1</f>
        <v>4</v>
      </c>
      <c r="D4607" s="7">
        <v>4.0</v>
      </c>
      <c r="E4607" s="7">
        <v>2.0</v>
      </c>
      <c r="F4607" s="7" t="s">
        <v>30</v>
      </c>
      <c r="G4607" s="7" t="s">
        <v>387</v>
      </c>
      <c r="H4607" s="9" t="s">
        <v>2979</v>
      </c>
      <c r="I4607" t="s">
        <v>3139</v>
      </c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  <c r="AA4607" s="7"/>
      <c r="AB4607" s="7"/>
      <c r="AC4607" s="7"/>
      <c r="AD4607" s="7" t="str">
        <f t="shared" si="1"/>
        <v>Built-up :</v>
      </c>
      <c r="AE4607" s="7" t="str">
        <f t="shared" si="2"/>
        <v> sq. ft.</v>
      </c>
      <c r="AF4607">
        <f>IFERROR(__xludf.DUMMYFUNCTION("VALUE(REGEXREPLACE(G4607,""[^[:digit:]]"", """"))"),2315.0)</f>
        <v>2315</v>
      </c>
      <c r="AG4607" s="7"/>
      <c r="AH4607" s="7"/>
      <c r="AI4607" s="7"/>
      <c r="AJ4607" s="7"/>
      <c r="AK4607" s="7"/>
      <c r="AL4607" s="7"/>
      <c r="AM4607" s="7"/>
      <c r="AN4607" s="7"/>
      <c r="AO4607" s="7"/>
      <c r="AP4607" s="7"/>
      <c r="AQ4607" s="7"/>
      <c r="AR4607" s="7"/>
      <c r="AS4607" s="7" t="s">
        <v>27</v>
      </c>
    </row>
    <row r="4608">
      <c r="A4608" s="7" t="s">
        <v>17</v>
      </c>
      <c r="B4608" s="7" t="s">
        <v>263</v>
      </c>
      <c r="C4608" s="7">
        <f t="shared" ref="C4608:C4609" si="643">5+1</f>
        <v>6</v>
      </c>
      <c r="D4608" s="7">
        <v>7.0</v>
      </c>
      <c r="E4608" s="7">
        <v>4.0</v>
      </c>
      <c r="F4608" s="7" t="s">
        <v>312</v>
      </c>
      <c r="G4608" s="7" t="s">
        <v>2817</v>
      </c>
      <c r="H4608" s="9" t="s">
        <v>2979</v>
      </c>
      <c r="I4608" t="s">
        <v>4550</v>
      </c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  <c r="AA4608" s="7"/>
      <c r="AB4608" s="7"/>
      <c r="AC4608" s="7"/>
      <c r="AD4608" s="7" t="str">
        <f t="shared" si="1"/>
        <v>Built-up :</v>
      </c>
      <c r="AE4608" s="7" t="str">
        <f t="shared" si="2"/>
        <v> sq. ft.</v>
      </c>
      <c r="AF4608">
        <f>IFERROR(__xludf.DUMMYFUNCTION("VALUE(REGEXREPLACE(G4608,""[^[:digit:]]"", """"))"),7793.0)</f>
        <v>7793</v>
      </c>
      <c r="AG4608" s="7"/>
      <c r="AH4608" s="7"/>
      <c r="AI4608" s="7"/>
      <c r="AJ4608" s="7"/>
      <c r="AK4608" s="7"/>
      <c r="AL4608" s="7"/>
      <c r="AM4608" s="7"/>
      <c r="AN4608" s="7"/>
      <c r="AO4608" s="7"/>
      <c r="AP4608" s="7"/>
      <c r="AQ4608" s="7"/>
      <c r="AR4608" s="7"/>
      <c r="AS4608" s="7" t="s">
        <v>22</v>
      </c>
    </row>
    <row r="4609">
      <c r="A4609" s="7" t="s">
        <v>17</v>
      </c>
      <c r="B4609" s="7" t="s">
        <v>1254</v>
      </c>
      <c r="C4609" s="7">
        <f t="shared" si="643"/>
        <v>6</v>
      </c>
      <c r="D4609" s="7">
        <v>6.0</v>
      </c>
      <c r="E4609" s="7">
        <v>3.0</v>
      </c>
      <c r="F4609" s="7" t="s">
        <v>793</v>
      </c>
      <c r="G4609" s="7" t="s">
        <v>2818</v>
      </c>
      <c r="H4609" s="9" t="s">
        <v>2979</v>
      </c>
      <c r="I4609" t="s">
        <v>4551</v>
      </c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  <c r="AA4609" s="7"/>
      <c r="AB4609" s="7"/>
      <c r="AC4609" s="7"/>
      <c r="AD4609" s="7" t="str">
        <f t="shared" si="1"/>
        <v>Built-up :</v>
      </c>
      <c r="AE4609" s="7" t="str">
        <f t="shared" si="2"/>
        <v> sq. ft.</v>
      </c>
      <c r="AF4609">
        <f>IFERROR(__xludf.DUMMYFUNCTION("VALUE(REGEXREPLACE(G4609,""[^[:digit:]]"", """"))"),6600.0)</f>
        <v>6600</v>
      </c>
      <c r="AG4609" s="7"/>
      <c r="AH4609" s="7"/>
      <c r="AI4609" s="7"/>
      <c r="AJ4609" s="7"/>
      <c r="AK4609" s="7"/>
      <c r="AL4609" s="7"/>
      <c r="AM4609" s="7"/>
      <c r="AN4609" s="7"/>
      <c r="AO4609" s="7"/>
      <c r="AP4609" s="7"/>
      <c r="AQ4609" s="7"/>
      <c r="AR4609" s="7"/>
      <c r="AS4609" s="7" t="s">
        <v>27</v>
      </c>
    </row>
    <row r="4610">
      <c r="A4610" s="7" t="s">
        <v>180</v>
      </c>
      <c r="B4610" s="7" t="s">
        <v>1553</v>
      </c>
      <c r="C4610" s="7">
        <f>3+2</f>
        <v>5</v>
      </c>
      <c r="D4610" s="7">
        <v>5.0</v>
      </c>
      <c r="E4610" s="7">
        <v>2.0</v>
      </c>
      <c r="F4610" s="7" t="s">
        <v>793</v>
      </c>
      <c r="G4610" s="7" t="s">
        <v>2818</v>
      </c>
      <c r="H4610" s="9" t="s">
        <v>2979</v>
      </c>
      <c r="I4610" t="s">
        <v>4551</v>
      </c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  <c r="AA4610" s="7"/>
      <c r="AB4610" s="7"/>
      <c r="AC4610" s="7"/>
      <c r="AD4610" s="7" t="str">
        <f t="shared" si="1"/>
        <v>Built-up :</v>
      </c>
      <c r="AE4610" s="7" t="str">
        <f t="shared" si="2"/>
        <v> sq. ft.</v>
      </c>
      <c r="AF4610">
        <f>IFERROR(__xludf.DUMMYFUNCTION("VALUE(REGEXREPLACE(G4610,""[^[:digit:]]"", """"))"),6600.0)</f>
        <v>6600</v>
      </c>
      <c r="AG4610" s="7"/>
      <c r="AH4610" s="7"/>
      <c r="AI4610" s="7"/>
      <c r="AJ4610" s="7"/>
      <c r="AK4610" s="7"/>
      <c r="AL4610" s="7"/>
      <c r="AM4610" s="7"/>
      <c r="AN4610" s="7"/>
      <c r="AO4610" s="7"/>
      <c r="AP4610" s="7"/>
      <c r="AQ4610" s="7"/>
      <c r="AR4610" s="7"/>
      <c r="AS4610" s="7" t="s">
        <v>27</v>
      </c>
    </row>
    <row r="4611">
      <c r="A4611" s="7" t="s">
        <v>180</v>
      </c>
      <c r="B4611" s="7" t="s">
        <v>920</v>
      </c>
      <c r="C4611" s="7">
        <f t="shared" ref="C4611:C4612" si="644">3+1</f>
        <v>4</v>
      </c>
      <c r="D4611" s="7">
        <v>5.0</v>
      </c>
      <c r="E4611" s="7">
        <v>2.0</v>
      </c>
      <c r="F4611" s="7" t="s">
        <v>378</v>
      </c>
      <c r="G4611" s="7" t="s">
        <v>1280</v>
      </c>
      <c r="H4611" s="9" t="s">
        <v>2979</v>
      </c>
      <c r="I4611" t="s">
        <v>3619</v>
      </c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  <c r="AA4611" s="7"/>
      <c r="AB4611" s="7"/>
      <c r="AC4611" s="7"/>
      <c r="AD4611" s="7" t="str">
        <f t="shared" si="1"/>
        <v>Built-up :</v>
      </c>
      <c r="AE4611" s="7" t="str">
        <f t="shared" si="2"/>
        <v> sq. ft.</v>
      </c>
      <c r="AF4611">
        <f>IFERROR(__xludf.DUMMYFUNCTION("VALUE(REGEXREPLACE(G4611,""[^[:digit:]]"", """"))"),3285.0)</f>
        <v>3285</v>
      </c>
      <c r="AG4611" s="7"/>
      <c r="AH4611" s="7"/>
      <c r="AI4611" s="7"/>
      <c r="AJ4611" s="7"/>
      <c r="AK4611" s="7"/>
      <c r="AL4611" s="7"/>
      <c r="AM4611" s="7"/>
      <c r="AN4611" s="7"/>
      <c r="AO4611" s="7"/>
      <c r="AP4611" s="7"/>
      <c r="AQ4611" s="7"/>
      <c r="AR4611" s="7"/>
      <c r="AS4611" s="7" t="s">
        <v>27</v>
      </c>
    </row>
    <row r="4612">
      <c r="A4612" s="7" t="s">
        <v>180</v>
      </c>
      <c r="B4612" s="7" t="s">
        <v>151</v>
      </c>
      <c r="C4612" s="7">
        <f t="shared" si="644"/>
        <v>4</v>
      </c>
      <c r="D4612" s="7">
        <v>5.0</v>
      </c>
      <c r="E4612" s="7">
        <v>2.0</v>
      </c>
      <c r="F4612" s="7" t="s">
        <v>378</v>
      </c>
      <c r="G4612" s="7" t="s">
        <v>1280</v>
      </c>
      <c r="H4612" s="9" t="s">
        <v>2979</v>
      </c>
      <c r="I4612" t="s">
        <v>3619</v>
      </c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  <c r="AA4612" s="7"/>
      <c r="AB4612" s="7"/>
      <c r="AC4612" s="7"/>
      <c r="AD4612" s="7" t="str">
        <f t="shared" si="1"/>
        <v>Built-up :</v>
      </c>
      <c r="AE4612" s="7" t="str">
        <f t="shared" si="2"/>
        <v> sq. ft.</v>
      </c>
      <c r="AF4612">
        <f>IFERROR(__xludf.DUMMYFUNCTION("VALUE(REGEXREPLACE(G4612,""[^[:digit:]]"", """"))"),3285.0)</f>
        <v>3285</v>
      </c>
      <c r="AG4612" s="7"/>
      <c r="AH4612" s="7"/>
      <c r="AI4612" s="7"/>
      <c r="AJ4612" s="7"/>
      <c r="AK4612" s="7"/>
      <c r="AL4612" s="7"/>
      <c r="AM4612" s="7"/>
      <c r="AN4612" s="7"/>
      <c r="AO4612" s="7"/>
      <c r="AP4612" s="7"/>
      <c r="AQ4612" s="7"/>
      <c r="AR4612" s="7"/>
      <c r="AS4612" s="7" t="s">
        <v>27</v>
      </c>
    </row>
    <row r="4613">
      <c r="A4613" s="7" t="s">
        <v>180</v>
      </c>
      <c r="B4613" s="7" t="s">
        <v>277</v>
      </c>
      <c r="C4613" s="7">
        <f>3</f>
        <v>3</v>
      </c>
      <c r="D4613" s="7">
        <v>2.0</v>
      </c>
      <c r="E4613" s="7">
        <v>2.0</v>
      </c>
      <c r="F4613" s="7" t="s">
        <v>82</v>
      </c>
      <c r="G4613" s="7" t="s">
        <v>1078</v>
      </c>
      <c r="H4613" s="9" t="s">
        <v>2979</v>
      </c>
      <c r="I4613" t="s">
        <v>3492</v>
      </c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  <c r="AA4613" s="7"/>
      <c r="AB4613" s="7"/>
      <c r="AC4613" s="7"/>
      <c r="AD4613" s="7" t="str">
        <f t="shared" si="1"/>
        <v>Built-up :</v>
      </c>
      <c r="AE4613" s="7" t="str">
        <f t="shared" si="2"/>
        <v> sq. ft.</v>
      </c>
      <c r="AF4613">
        <f>IFERROR(__xludf.DUMMYFUNCTION("VALUE(REGEXREPLACE(G4613,""[^[:digit:]]"", """"))"),1453.0)</f>
        <v>1453</v>
      </c>
      <c r="AG4613" s="7"/>
      <c r="AH4613" s="7"/>
      <c r="AI4613" s="7"/>
      <c r="AJ4613" s="7"/>
      <c r="AK4613" s="7"/>
      <c r="AL4613" s="7"/>
      <c r="AM4613" s="7"/>
      <c r="AN4613" s="7"/>
      <c r="AO4613" s="7"/>
      <c r="AP4613" s="7"/>
      <c r="AQ4613" s="7"/>
      <c r="AR4613" s="7"/>
      <c r="AS4613" s="7" t="s">
        <v>22</v>
      </c>
    </row>
    <row r="4614">
      <c r="A4614" s="7" t="s">
        <v>17</v>
      </c>
      <c r="B4614" s="7" t="s">
        <v>351</v>
      </c>
      <c r="C4614" s="7">
        <f>4+1</f>
        <v>5</v>
      </c>
      <c r="D4614" s="7">
        <v>5.0</v>
      </c>
      <c r="E4614" s="7">
        <v>2.0</v>
      </c>
      <c r="F4614" s="7" t="s">
        <v>30</v>
      </c>
      <c r="G4614" s="7" t="s">
        <v>1652</v>
      </c>
      <c r="H4614" s="9" t="s">
        <v>2979</v>
      </c>
      <c r="I4614" t="s">
        <v>3836</v>
      </c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  <c r="AA4614" s="7"/>
      <c r="AB4614" s="7"/>
      <c r="AC4614" s="7"/>
      <c r="AD4614" s="7" t="str">
        <f t="shared" si="1"/>
        <v>Built-up :</v>
      </c>
      <c r="AE4614" s="7" t="str">
        <f t="shared" si="2"/>
        <v> sq. ft.</v>
      </c>
      <c r="AF4614">
        <f>IFERROR(__xludf.DUMMYFUNCTION("VALUE(REGEXREPLACE(G4614,""[^[:digit:]]"", """"))"),3358.0)</f>
        <v>3358</v>
      </c>
      <c r="AG4614" s="7"/>
      <c r="AH4614" s="7"/>
      <c r="AI4614" s="7"/>
      <c r="AJ4614" s="7"/>
      <c r="AK4614" s="7"/>
      <c r="AL4614" s="7"/>
      <c r="AM4614" s="7"/>
      <c r="AN4614" s="7"/>
      <c r="AO4614" s="7"/>
      <c r="AP4614" s="7"/>
      <c r="AQ4614" s="7"/>
      <c r="AR4614" s="7"/>
      <c r="AS4614" s="7" t="s">
        <v>27</v>
      </c>
    </row>
    <row r="4615">
      <c r="A4615" s="7" t="s">
        <v>17</v>
      </c>
      <c r="B4615" s="7" t="s">
        <v>530</v>
      </c>
      <c r="C4615" s="7">
        <f t="shared" ref="C4615:C4616" si="645">4</f>
        <v>4</v>
      </c>
      <c r="D4615" s="7">
        <v>4.0</v>
      </c>
      <c r="E4615" s="9">
        <v>2.0</v>
      </c>
      <c r="F4615" s="7" t="s">
        <v>121</v>
      </c>
      <c r="G4615" s="7" t="s">
        <v>122</v>
      </c>
      <c r="H4615" s="9" t="s">
        <v>2979</v>
      </c>
      <c r="I4615" t="s">
        <v>3016</v>
      </c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  <c r="AA4615" s="7"/>
      <c r="AB4615" s="7"/>
      <c r="AC4615" s="7"/>
      <c r="AD4615" s="7" t="str">
        <f t="shared" si="1"/>
        <v>Built-up :</v>
      </c>
      <c r="AE4615" s="7" t="str">
        <f t="shared" si="2"/>
        <v> sq. ft.</v>
      </c>
      <c r="AF4615">
        <f>IFERROR(__xludf.DUMMYFUNCTION("VALUE(REGEXREPLACE(G4615,""[^[:digit:]]"", """"))"),3897.0)</f>
        <v>3897</v>
      </c>
      <c r="AG4615" s="7"/>
      <c r="AH4615" s="7"/>
      <c r="AI4615" s="7"/>
      <c r="AJ4615" s="7"/>
      <c r="AK4615" s="7"/>
      <c r="AL4615" s="7"/>
      <c r="AM4615" s="7"/>
      <c r="AN4615" s="7"/>
      <c r="AO4615" s="7"/>
      <c r="AP4615" s="7"/>
      <c r="AQ4615" s="7"/>
      <c r="AR4615" s="7"/>
      <c r="AS4615" s="7" t="s">
        <v>22</v>
      </c>
    </row>
    <row r="4616">
      <c r="A4616" s="7" t="s">
        <v>17</v>
      </c>
      <c r="B4616" s="7" t="s">
        <v>920</v>
      </c>
      <c r="C4616" s="7">
        <f t="shared" si="645"/>
        <v>4</v>
      </c>
      <c r="D4616" s="7">
        <v>4.0</v>
      </c>
      <c r="E4616" s="7">
        <v>2.0</v>
      </c>
      <c r="F4616" s="7" t="s">
        <v>121</v>
      </c>
      <c r="G4616" s="7" t="s">
        <v>122</v>
      </c>
      <c r="H4616" s="9" t="s">
        <v>2979</v>
      </c>
      <c r="I4616" t="s">
        <v>3016</v>
      </c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  <c r="AA4616" s="7"/>
      <c r="AB4616" s="7"/>
      <c r="AC4616" s="7"/>
      <c r="AD4616" s="7" t="str">
        <f t="shared" si="1"/>
        <v>Built-up :</v>
      </c>
      <c r="AE4616" s="7" t="str">
        <f t="shared" si="2"/>
        <v> sq. ft.</v>
      </c>
      <c r="AF4616">
        <f>IFERROR(__xludf.DUMMYFUNCTION("VALUE(REGEXREPLACE(G4616,""[^[:digit:]]"", """"))"),3897.0)</f>
        <v>3897</v>
      </c>
      <c r="AG4616" s="7"/>
      <c r="AH4616" s="7"/>
      <c r="AI4616" s="7"/>
      <c r="AJ4616" s="7"/>
      <c r="AK4616" s="7"/>
      <c r="AL4616" s="7"/>
      <c r="AM4616" s="7"/>
      <c r="AN4616" s="7"/>
      <c r="AO4616" s="7"/>
      <c r="AP4616" s="7"/>
      <c r="AQ4616" s="7"/>
      <c r="AR4616" s="7"/>
      <c r="AS4616" s="7" t="s">
        <v>27</v>
      </c>
    </row>
    <row r="4617">
      <c r="A4617" s="7" t="s">
        <v>52</v>
      </c>
      <c r="B4617" s="7" t="s">
        <v>2819</v>
      </c>
      <c r="C4617" s="7">
        <f t="shared" ref="C4617:C4618" si="646">4+1</f>
        <v>5</v>
      </c>
      <c r="D4617" s="7">
        <v>6.0</v>
      </c>
      <c r="E4617" s="9">
        <v>2.0</v>
      </c>
      <c r="F4617" s="7" t="s">
        <v>793</v>
      </c>
      <c r="G4617" s="7" t="s">
        <v>2820</v>
      </c>
      <c r="H4617" s="9" t="s">
        <v>2979</v>
      </c>
      <c r="I4617" t="s">
        <v>4552</v>
      </c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  <c r="AA4617" s="7"/>
      <c r="AB4617" s="7"/>
      <c r="AC4617" s="7"/>
      <c r="AD4617" s="7" t="str">
        <f t="shared" si="1"/>
        <v>Built-up :</v>
      </c>
      <c r="AE4617" s="7" t="str">
        <f t="shared" si="2"/>
        <v> sq. ft.</v>
      </c>
      <c r="AF4617">
        <f>IFERROR(__xludf.DUMMYFUNCTION("VALUE(REGEXREPLACE(G4617,""[^[:digit:]]"", """"))"),7901.0)</f>
        <v>7901</v>
      </c>
      <c r="AG4617" s="7"/>
      <c r="AH4617" s="7"/>
      <c r="AI4617" s="7"/>
      <c r="AJ4617" s="7"/>
      <c r="AK4617" s="7"/>
      <c r="AL4617" s="7"/>
      <c r="AM4617" s="7"/>
      <c r="AN4617" s="7"/>
      <c r="AO4617" s="7"/>
      <c r="AP4617" s="7"/>
      <c r="AQ4617" s="7"/>
      <c r="AR4617" s="7"/>
      <c r="AS4617" s="7" t="s">
        <v>27</v>
      </c>
    </row>
    <row r="4618">
      <c r="A4618" s="7" t="s">
        <v>52</v>
      </c>
      <c r="B4618" s="7" t="s">
        <v>1222</v>
      </c>
      <c r="C4618" s="7">
        <f t="shared" si="646"/>
        <v>5</v>
      </c>
      <c r="D4618" s="7">
        <v>6.0</v>
      </c>
      <c r="E4618" s="9">
        <v>2.0</v>
      </c>
      <c r="F4618" s="7" t="s">
        <v>83</v>
      </c>
      <c r="G4618" s="7" t="s">
        <v>663</v>
      </c>
      <c r="H4618" s="9" t="s">
        <v>2979</v>
      </c>
      <c r="I4618" t="s">
        <v>3272</v>
      </c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  <c r="AA4618" s="7"/>
      <c r="AB4618" s="7"/>
      <c r="AC4618" s="7"/>
      <c r="AD4618" s="7" t="str">
        <f t="shared" si="1"/>
        <v>Built-up :</v>
      </c>
      <c r="AE4618" s="7" t="str">
        <f t="shared" si="2"/>
        <v> sq. ft.</v>
      </c>
      <c r="AF4618">
        <f>IFERROR(__xludf.DUMMYFUNCTION("VALUE(REGEXREPLACE(G4618,""[^[:digit:]]"", """"))"),4327.0)</f>
        <v>4327</v>
      </c>
      <c r="AG4618" s="7"/>
      <c r="AH4618" s="7"/>
      <c r="AI4618" s="7"/>
      <c r="AJ4618" s="7"/>
      <c r="AK4618" s="7"/>
      <c r="AL4618" s="7"/>
      <c r="AM4618" s="7"/>
      <c r="AN4618" s="7"/>
      <c r="AO4618" s="7"/>
      <c r="AP4618" s="7"/>
      <c r="AQ4618" s="7"/>
      <c r="AR4618" s="7"/>
      <c r="AS4618" s="7" t="s">
        <v>22</v>
      </c>
    </row>
    <row r="4619">
      <c r="A4619" s="7" t="s">
        <v>52</v>
      </c>
      <c r="B4619" s="7" t="s">
        <v>2821</v>
      </c>
      <c r="C4619" s="7">
        <f>6</f>
        <v>6</v>
      </c>
      <c r="D4619" s="7">
        <v>6.0</v>
      </c>
      <c r="E4619" s="9">
        <v>2.0</v>
      </c>
      <c r="F4619" s="7" t="s">
        <v>793</v>
      </c>
      <c r="G4619" s="7" t="s">
        <v>2742</v>
      </c>
      <c r="H4619" s="9" t="s">
        <v>2979</v>
      </c>
      <c r="I4619" t="s">
        <v>4501</v>
      </c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  <c r="AA4619" s="7"/>
      <c r="AB4619" s="7"/>
      <c r="AC4619" s="7"/>
      <c r="AD4619" s="7" t="str">
        <f t="shared" si="1"/>
        <v>Built-up :</v>
      </c>
      <c r="AE4619" s="7" t="str">
        <f t="shared" si="2"/>
        <v> sq. ft.</v>
      </c>
      <c r="AF4619">
        <f>IFERROR(__xludf.DUMMYFUNCTION("VALUE(REGEXREPLACE(G4619,""[^[:digit:]]"", """"))"),7287.0)</f>
        <v>7287</v>
      </c>
      <c r="AG4619" s="7"/>
      <c r="AH4619" s="7"/>
      <c r="AI4619" s="7"/>
      <c r="AJ4619" s="7"/>
      <c r="AK4619" s="7"/>
      <c r="AL4619" s="7"/>
      <c r="AM4619" s="7"/>
      <c r="AN4619" s="7"/>
      <c r="AO4619" s="7"/>
      <c r="AP4619" s="7"/>
      <c r="AQ4619" s="7"/>
      <c r="AR4619" s="7"/>
      <c r="AS4619" s="7" t="s">
        <v>27</v>
      </c>
    </row>
    <row r="4620">
      <c r="A4620" s="7" t="s">
        <v>52</v>
      </c>
      <c r="B4620" s="7" t="s">
        <v>530</v>
      </c>
      <c r="C4620" s="7">
        <f>4+1</f>
        <v>5</v>
      </c>
      <c r="D4620" s="7">
        <v>5.0</v>
      </c>
      <c r="E4620" s="9">
        <v>2.0</v>
      </c>
      <c r="F4620" s="7" t="s">
        <v>83</v>
      </c>
      <c r="G4620" s="7" t="s">
        <v>2744</v>
      </c>
      <c r="H4620" s="9" t="s">
        <v>2979</v>
      </c>
      <c r="I4620" t="s">
        <v>4502</v>
      </c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  <c r="AA4620" s="7"/>
      <c r="AB4620" s="7"/>
      <c r="AC4620" s="7"/>
      <c r="AD4620" s="7" t="str">
        <f t="shared" si="1"/>
        <v>Built-up :</v>
      </c>
      <c r="AE4620" s="7" t="str">
        <f t="shared" si="2"/>
        <v> sq. ft.</v>
      </c>
      <c r="AF4620">
        <f>IFERROR(__xludf.DUMMYFUNCTION("VALUE(REGEXREPLACE(G4620,""[^[:digit:]]"", """"))"),3950.0)</f>
        <v>3950</v>
      </c>
      <c r="AG4620" s="7"/>
      <c r="AH4620" s="7"/>
      <c r="AI4620" s="7"/>
      <c r="AJ4620" s="7"/>
      <c r="AK4620" s="7"/>
      <c r="AL4620" s="7"/>
      <c r="AM4620" s="7"/>
      <c r="AN4620" s="7"/>
      <c r="AO4620" s="7"/>
      <c r="AP4620" s="7"/>
      <c r="AQ4620" s="7"/>
      <c r="AR4620" s="7"/>
      <c r="AS4620" s="7" t="s">
        <v>27</v>
      </c>
    </row>
    <row r="4621">
      <c r="A4621" s="7" t="s">
        <v>17</v>
      </c>
      <c r="B4621" s="7" t="s">
        <v>545</v>
      </c>
      <c r="C4621" s="7">
        <f>5+1</f>
        <v>6</v>
      </c>
      <c r="D4621" s="7">
        <v>7.0</v>
      </c>
      <c r="E4621" s="9">
        <v>2.0</v>
      </c>
      <c r="F4621" s="7" t="s">
        <v>378</v>
      </c>
      <c r="G4621" s="7" t="s">
        <v>2822</v>
      </c>
      <c r="H4621" s="9" t="s">
        <v>2979</v>
      </c>
      <c r="I4621" t="s">
        <v>4553</v>
      </c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  <c r="AA4621" s="7"/>
      <c r="AB4621" s="7"/>
      <c r="AC4621" s="7"/>
      <c r="AD4621" s="7" t="str">
        <f t="shared" si="1"/>
        <v>Built-up :</v>
      </c>
      <c r="AE4621" s="7" t="str">
        <f t="shared" si="2"/>
        <v> sq. ft.</v>
      </c>
      <c r="AF4621">
        <f>IFERROR(__xludf.DUMMYFUNCTION("VALUE(REGEXREPLACE(G4621,""[^[:digit:]]"", """"))"),5640.0)</f>
        <v>5640</v>
      </c>
      <c r="AG4621" s="7"/>
      <c r="AH4621" s="7"/>
      <c r="AI4621" s="7"/>
      <c r="AJ4621" s="7"/>
      <c r="AK4621" s="7"/>
      <c r="AL4621" s="7"/>
      <c r="AM4621" s="7"/>
      <c r="AN4621" s="7"/>
      <c r="AO4621" s="7"/>
      <c r="AP4621" s="7"/>
      <c r="AQ4621" s="7"/>
      <c r="AR4621" s="7"/>
      <c r="AS4621" s="7" t="s">
        <v>27</v>
      </c>
    </row>
    <row r="4622">
      <c r="A4622" s="7" t="s">
        <v>17</v>
      </c>
      <c r="B4622" s="7" t="s">
        <v>1512</v>
      </c>
      <c r="C4622" s="7">
        <f>7</f>
        <v>7</v>
      </c>
      <c r="D4622" s="7">
        <v>7.0</v>
      </c>
      <c r="E4622" s="7">
        <v>3.0</v>
      </c>
      <c r="F4622" s="7" t="s">
        <v>83</v>
      </c>
      <c r="G4622" s="7" t="s">
        <v>2823</v>
      </c>
      <c r="H4622" s="9" t="s">
        <v>2979</v>
      </c>
      <c r="I4622" t="s">
        <v>4554</v>
      </c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  <c r="AA4622" s="7"/>
      <c r="AB4622" s="7"/>
      <c r="AC4622" s="7"/>
      <c r="AD4622" s="7" t="str">
        <f t="shared" si="1"/>
        <v>Built-up :</v>
      </c>
      <c r="AE4622" s="7" t="str">
        <f t="shared" si="2"/>
        <v> sq. ft.</v>
      </c>
      <c r="AF4622">
        <f>IFERROR(__xludf.DUMMYFUNCTION("VALUE(REGEXREPLACE(G4622,""[^[:digit:]]"", """"))"),6500.0)</f>
        <v>6500</v>
      </c>
      <c r="AG4622" s="7"/>
      <c r="AH4622" s="7"/>
      <c r="AI4622" s="7"/>
      <c r="AJ4622" s="7"/>
      <c r="AK4622" s="7"/>
      <c r="AL4622" s="7"/>
      <c r="AM4622" s="7"/>
      <c r="AN4622" s="7"/>
      <c r="AO4622" s="7"/>
      <c r="AP4622" s="7"/>
      <c r="AQ4622" s="7"/>
      <c r="AR4622" s="7"/>
      <c r="AS4622" s="7" t="s">
        <v>27</v>
      </c>
    </row>
    <row r="4623">
      <c r="A4623" s="7" t="s">
        <v>17</v>
      </c>
      <c r="B4623" s="7" t="s">
        <v>101</v>
      </c>
      <c r="C4623" s="7">
        <f>4</f>
        <v>4</v>
      </c>
      <c r="D4623" s="7">
        <v>5.0</v>
      </c>
      <c r="E4623" s="7">
        <v>3.0</v>
      </c>
      <c r="F4623" s="7" t="s">
        <v>83</v>
      </c>
      <c r="G4623" s="7" t="s">
        <v>1174</v>
      </c>
      <c r="H4623" s="9" t="s">
        <v>2979</v>
      </c>
      <c r="I4623" t="s">
        <v>3559</v>
      </c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  <c r="AA4623" s="7"/>
      <c r="AB4623" s="7"/>
      <c r="AC4623" s="7"/>
      <c r="AD4623" s="7" t="str">
        <f t="shared" si="1"/>
        <v>Built-up :</v>
      </c>
      <c r="AE4623" s="7" t="str">
        <f t="shared" si="2"/>
        <v> sq. ft.</v>
      </c>
      <c r="AF4623">
        <f>IFERROR(__xludf.DUMMYFUNCTION("VALUE(REGEXREPLACE(G4623,""[^[:digit:]]"", """"))"),3800.0)</f>
        <v>3800</v>
      </c>
      <c r="AG4623" s="7"/>
      <c r="AH4623" s="7"/>
      <c r="AI4623" s="7"/>
      <c r="AJ4623" s="7"/>
      <c r="AK4623" s="7"/>
      <c r="AL4623" s="7"/>
      <c r="AM4623" s="7"/>
      <c r="AN4623" s="7"/>
      <c r="AO4623" s="7"/>
      <c r="AP4623" s="7"/>
      <c r="AQ4623" s="7"/>
      <c r="AR4623" s="7"/>
      <c r="AS4623" s="7" t="s">
        <v>27</v>
      </c>
    </row>
    <row r="4624">
      <c r="A4624" s="7" t="s">
        <v>17</v>
      </c>
      <c r="B4624" s="7" t="s">
        <v>2441</v>
      </c>
      <c r="C4624" s="7">
        <f>6+1</f>
        <v>7</v>
      </c>
      <c r="D4624" s="7">
        <v>7.0</v>
      </c>
      <c r="E4624" s="7">
        <v>5.0</v>
      </c>
      <c r="F4624" s="7" t="s">
        <v>2824</v>
      </c>
      <c r="G4624" s="7" t="s">
        <v>1689</v>
      </c>
      <c r="H4624" s="9" t="s">
        <v>2979</v>
      </c>
      <c r="I4624" t="s">
        <v>3859</v>
      </c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  <c r="AA4624" s="7"/>
      <c r="AB4624" s="7"/>
      <c r="AC4624" s="7"/>
      <c r="AD4624" s="7" t="str">
        <f t="shared" si="1"/>
        <v>Built-up :</v>
      </c>
      <c r="AE4624" s="7" t="str">
        <f t="shared" si="2"/>
        <v> sq. ft.</v>
      </c>
      <c r="AF4624">
        <f>IFERROR(__xludf.DUMMYFUNCTION("VALUE(REGEXREPLACE(G4624,""[^[:digit:]]"", """"))"),9332.0)</f>
        <v>9332</v>
      </c>
      <c r="AG4624" s="7"/>
      <c r="AH4624" s="7"/>
      <c r="AI4624" s="7"/>
      <c r="AJ4624" s="7"/>
      <c r="AK4624" s="7"/>
      <c r="AL4624" s="7"/>
      <c r="AM4624" s="7"/>
      <c r="AN4624" s="7"/>
      <c r="AO4624" s="7"/>
      <c r="AP4624" s="7"/>
      <c r="AQ4624" s="7"/>
      <c r="AR4624" s="7"/>
      <c r="AS4624" s="7" t="s">
        <v>22</v>
      </c>
    </row>
    <row r="4625">
      <c r="A4625" s="7" t="s">
        <v>17</v>
      </c>
      <c r="B4625" s="7" t="s">
        <v>339</v>
      </c>
      <c r="C4625" s="7">
        <f>3+1</f>
        <v>4</v>
      </c>
      <c r="D4625" s="7">
        <v>3.0</v>
      </c>
      <c r="E4625" s="9">
        <v>2.0</v>
      </c>
      <c r="F4625" s="7" t="s">
        <v>20</v>
      </c>
      <c r="G4625" s="7" t="s">
        <v>205</v>
      </c>
      <c r="H4625" s="9" t="s">
        <v>2979</v>
      </c>
      <c r="I4625" t="s">
        <v>3052</v>
      </c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  <c r="AA4625" s="7"/>
      <c r="AB4625" s="7"/>
      <c r="AC4625" s="7"/>
      <c r="AD4625" s="7" t="str">
        <f t="shared" si="1"/>
        <v>Built-up :</v>
      </c>
      <c r="AE4625" s="7" t="str">
        <f t="shared" si="2"/>
        <v> sq. ft.</v>
      </c>
      <c r="AF4625">
        <f>IFERROR(__xludf.DUMMYFUNCTION("VALUE(REGEXREPLACE(G4625,""[^[:digit:]]"", """"))"),3282.0)</f>
        <v>3282</v>
      </c>
      <c r="AG4625" s="7"/>
      <c r="AH4625" s="7"/>
      <c r="AI4625" s="7"/>
      <c r="AJ4625" s="7"/>
      <c r="AK4625" s="7"/>
      <c r="AL4625" s="7"/>
      <c r="AM4625" s="7"/>
      <c r="AN4625" s="7"/>
      <c r="AO4625" s="7"/>
      <c r="AP4625" s="7"/>
      <c r="AQ4625" s="7"/>
      <c r="AR4625" s="7"/>
      <c r="AS4625" s="7" t="s">
        <v>27</v>
      </c>
    </row>
    <row r="4626">
      <c r="A4626" s="7" t="s">
        <v>17</v>
      </c>
      <c r="B4626" s="7" t="s">
        <v>298</v>
      </c>
      <c r="C4626" s="7">
        <f>5+1</f>
        <v>6</v>
      </c>
      <c r="D4626" s="7">
        <v>6.0</v>
      </c>
      <c r="E4626" s="9">
        <v>2.0</v>
      </c>
      <c r="F4626" s="7" t="s">
        <v>145</v>
      </c>
      <c r="G4626" s="7" t="s">
        <v>2825</v>
      </c>
      <c r="H4626" s="9" t="s">
        <v>2979</v>
      </c>
      <c r="I4626" t="s">
        <v>4555</v>
      </c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  <c r="AA4626" s="7"/>
      <c r="AB4626" s="7"/>
      <c r="AC4626" s="7"/>
      <c r="AD4626" s="7" t="str">
        <f t="shared" si="1"/>
        <v>Built-up :</v>
      </c>
      <c r="AE4626" s="7" t="str">
        <f t="shared" si="2"/>
        <v> sq. ft.</v>
      </c>
      <c r="AF4626">
        <f>IFERROR(__xludf.DUMMYFUNCTION("VALUE(REGEXREPLACE(G4626,""[^[:digit:]]"", """"))"),5402.0)</f>
        <v>5402</v>
      </c>
      <c r="AG4626" s="7"/>
      <c r="AH4626" s="7"/>
      <c r="AI4626" s="7"/>
      <c r="AJ4626" s="7"/>
      <c r="AK4626" s="7"/>
      <c r="AL4626" s="7"/>
      <c r="AM4626" s="7"/>
      <c r="AN4626" s="7"/>
      <c r="AO4626" s="7"/>
      <c r="AP4626" s="7"/>
      <c r="AQ4626" s="7"/>
      <c r="AR4626" s="7"/>
      <c r="AS4626" s="7" t="s">
        <v>22</v>
      </c>
    </row>
    <row r="4627">
      <c r="A4627" s="7" t="s">
        <v>52</v>
      </c>
      <c r="B4627" s="7" t="s">
        <v>149</v>
      </c>
      <c r="C4627" s="7">
        <f t="shared" ref="C4627:C4628" si="647">4+1</f>
        <v>5</v>
      </c>
      <c r="D4627" s="7">
        <v>5.0</v>
      </c>
      <c r="E4627" s="9">
        <v>2.0</v>
      </c>
      <c r="F4627" s="7" t="s">
        <v>30</v>
      </c>
      <c r="G4627" s="7" t="s">
        <v>2826</v>
      </c>
      <c r="H4627" s="9" t="s">
        <v>2979</v>
      </c>
      <c r="I4627" t="s">
        <v>4556</v>
      </c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  <c r="AA4627" s="7"/>
      <c r="AB4627" s="7"/>
      <c r="AC4627" s="7"/>
      <c r="AD4627" s="7" t="str">
        <f t="shared" si="1"/>
        <v>Built-up :</v>
      </c>
      <c r="AE4627" s="7" t="str">
        <f t="shared" si="2"/>
        <v> sq. ft.</v>
      </c>
      <c r="AF4627">
        <f>IFERROR(__xludf.DUMMYFUNCTION("VALUE(REGEXREPLACE(G4627,""[^[:digit:]]"", """"))"),3563.0)</f>
        <v>3563</v>
      </c>
      <c r="AG4627" s="7"/>
      <c r="AH4627" s="7"/>
      <c r="AI4627" s="7"/>
      <c r="AJ4627" s="7"/>
      <c r="AK4627" s="7"/>
      <c r="AL4627" s="7"/>
      <c r="AM4627" s="7"/>
      <c r="AN4627" s="7"/>
      <c r="AO4627" s="7"/>
      <c r="AP4627" s="7"/>
      <c r="AQ4627" s="7"/>
      <c r="AR4627" s="7"/>
      <c r="AS4627" s="7" t="s">
        <v>27</v>
      </c>
    </row>
    <row r="4628">
      <c r="A4628" s="7" t="s">
        <v>52</v>
      </c>
      <c r="B4628" s="7" t="s">
        <v>2827</v>
      </c>
      <c r="C4628" s="7">
        <f t="shared" si="647"/>
        <v>5</v>
      </c>
      <c r="D4628" s="7">
        <v>5.0</v>
      </c>
      <c r="E4628" s="9">
        <v>2.0</v>
      </c>
      <c r="F4628" s="7" t="s">
        <v>793</v>
      </c>
      <c r="G4628" s="7" t="s">
        <v>2828</v>
      </c>
      <c r="H4628" s="9" t="s">
        <v>2979</v>
      </c>
      <c r="I4628" t="s">
        <v>4557</v>
      </c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  <c r="AA4628" s="7"/>
      <c r="AB4628" s="7"/>
      <c r="AC4628" s="7"/>
      <c r="AD4628" s="7" t="str">
        <f t="shared" si="1"/>
        <v>Built-up :</v>
      </c>
      <c r="AE4628" s="7" t="str">
        <f t="shared" si="2"/>
        <v> sq. ft.</v>
      </c>
      <c r="AF4628">
        <f>IFERROR(__xludf.DUMMYFUNCTION("VALUE(REGEXREPLACE(G4628,""[^[:digit:]]"", """"))"),5834.0)</f>
        <v>5834</v>
      </c>
      <c r="AG4628" s="7"/>
      <c r="AH4628" s="7"/>
      <c r="AI4628" s="7"/>
      <c r="AJ4628" s="7"/>
      <c r="AK4628" s="7"/>
      <c r="AL4628" s="7"/>
      <c r="AM4628" s="7"/>
      <c r="AN4628" s="7"/>
      <c r="AO4628" s="7"/>
      <c r="AP4628" s="7"/>
      <c r="AQ4628" s="7"/>
      <c r="AR4628" s="7"/>
      <c r="AS4628" s="7" t="s">
        <v>27</v>
      </c>
    </row>
    <row r="4629">
      <c r="A4629" s="7" t="s">
        <v>17</v>
      </c>
      <c r="B4629" s="7" t="s">
        <v>69</v>
      </c>
      <c r="C4629" s="7">
        <f>5+1</f>
        <v>6</v>
      </c>
      <c r="D4629" s="7">
        <v>6.0</v>
      </c>
      <c r="E4629" s="9">
        <v>2.0</v>
      </c>
      <c r="F4629" s="7" t="s">
        <v>30</v>
      </c>
      <c r="G4629" s="7" t="s">
        <v>2829</v>
      </c>
      <c r="H4629" s="9" t="s">
        <v>2979</v>
      </c>
      <c r="I4629" t="s">
        <v>4558</v>
      </c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  <c r="AA4629" s="7"/>
      <c r="AB4629" s="7"/>
      <c r="AC4629" s="7"/>
      <c r="AD4629" s="7" t="str">
        <f t="shared" si="1"/>
        <v>Built-up :</v>
      </c>
      <c r="AE4629" s="7" t="str">
        <f t="shared" si="2"/>
        <v> sq. ft.</v>
      </c>
      <c r="AF4629">
        <f>IFERROR(__xludf.DUMMYFUNCTION("VALUE(REGEXREPLACE(G4629,""[^[:digit:]]"", """"))"),5427.0)</f>
        <v>5427</v>
      </c>
      <c r="AG4629" s="7"/>
      <c r="AH4629" s="7"/>
      <c r="AI4629" s="7"/>
      <c r="AJ4629" s="7"/>
      <c r="AK4629" s="7"/>
      <c r="AL4629" s="7"/>
      <c r="AM4629" s="7"/>
      <c r="AN4629" s="7"/>
      <c r="AO4629" s="7"/>
      <c r="AP4629" s="7"/>
      <c r="AQ4629" s="7"/>
      <c r="AR4629" s="7"/>
      <c r="AS4629" s="7" t="s">
        <v>27</v>
      </c>
    </row>
    <row r="4630">
      <c r="A4630" s="7" t="s">
        <v>17</v>
      </c>
      <c r="B4630" s="7" t="s">
        <v>98</v>
      </c>
      <c r="C4630" s="7">
        <f>4+1</f>
        <v>5</v>
      </c>
      <c r="D4630" s="7">
        <v>5.0</v>
      </c>
      <c r="E4630" s="7">
        <v>2.0</v>
      </c>
      <c r="F4630" s="7" t="s">
        <v>83</v>
      </c>
      <c r="G4630" s="7" t="s">
        <v>387</v>
      </c>
      <c r="H4630" s="9" t="s">
        <v>2979</v>
      </c>
      <c r="I4630" t="s">
        <v>3139</v>
      </c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  <c r="AA4630" s="7"/>
      <c r="AB4630" s="7"/>
      <c r="AC4630" s="7"/>
      <c r="AD4630" s="7" t="str">
        <f t="shared" si="1"/>
        <v>Built-up :</v>
      </c>
      <c r="AE4630" s="7" t="str">
        <f t="shared" si="2"/>
        <v> sq. ft.</v>
      </c>
      <c r="AF4630">
        <f>IFERROR(__xludf.DUMMYFUNCTION("VALUE(REGEXREPLACE(G4630,""[^[:digit:]]"", """"))"),2315.0)</f>
        <v>2315</v>
      </c>
      <c r="AG4630" s="7"/>
      <c r="AH4630" s="7"/>
      <c r="AI4630" s="7"/>
      <c r="AJ4630" s="7"/>
      <c r="AK4630" s="7"/>
      <c r="AL4630" s="7"/>
      <c r="AM4630" s="7"/>
      <c r="AN4630" s="7"/>
      <c r="AO4630" s="7"/>
      <c r="AP4630" s="7"/>
      <c r="AQ4630" s="7"/>
      <c r="AR4630" s="7"/>
      <c r="AS4630" s="7" t="s">
        <v>27</v>
      </c>
    </row>
    <row r="4631">
      <c r="A4631" s="7" t="s">
        <v>1315</v>
      </c>
      <c r="B4631" s="7" t="s">
        <v>329</v>
      </c>
      <c r="C4631" s="7">
        <f>3+1</f>
        <v>4</v>
      </c>
      <c r="D4631" s="7">
        <v>4.0</v>
      </c>
      <c r="E4631" s="7">
        <v>2.0</v>
      </c>
      <c r="F4631" s="7" t="s">
        <v>30</v>
      </c>
      <c r="G4631" s="7" t="s">
        <v>74</v>
      </c>
      <c r="H4631" s="9" t="s">
        <v>2979</v>
      </c>
      <c r="I4631" t="s">
        <v>2998</v>
      </c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  <c r="AA4631" s="7"/>
      <c r="AB4631" s="7"/>
      <c r="AC4631" s="7"/>
      <c r="AD4631" s="7" t="str">
        <f t="shared" si="1"/>
        <v>Built-up :</v>
      </c>
      <c r="AE4631" s="7" t="str">
        <f t="shared" si="2"/>
        <v> sq. ft.</v>
      </c>
      <c r="AF4631">
        <f>IFERROR(__xludf.DUMMYFUNCTION("VALUE(REGEXREPLACE(G4631,""[^[:digit:]]"", """"))"),1830.0)</f>
        <v>1830</v>
      </c>
      <c r="AG4631" s="7"/>
      <c r="AH4631" s="7"/>
      <c r="AI4631" s="7"/>
      <c r="AJ4631" s="7"/>
      <c r="AK4631" s="7"/>
      <c r="AL4631" s="7"/>
      <c r="AM4631" s="7"/>
      <c r="AN4631" s="7"/>
      <c r="AO4631" s="7"/>
      <c r="AP4631" s="7"/>
      <c r="AQ4631" s="7"/>
      <c r="AR4631" s="7"/>
      <c r="AS4631" s="7" t="s">
        <v>103</v>
      </c>
    </row>
    <row r="4632">
      <c r="A4632" s="7" t="s">
        <v>72</v>
      </c>
      <c r="B4632" s="7" t="s">
        <v>534</v>
      </c>
      <c r="C4632" s="7">
        <f>4+1</f>
        <v>5</v>
      </c>
      <c r="D4632" s="7">
        <v>5.0</v>
      </c>
      <c r="E4632" s="7">
        <v>3.0</v>
      </c>
      <c r="F4632" s="7" t="s">
        <v>83</v>
      </c>
      <c r="G4632" s="7" t="s">
        <v>2713</v>
      </c>
      <c r="H4632" s="9" t="s">
        <v>2979</v>
      </c>
      <c r="I4632" t="s">
        <v>4487</v>
      </c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  <c r="AA4632" s="7"/>
      <c r="AB4632" s="7"/>
      <c r="AC4632" s="7"/>
      <c r="AD4632" s="7" t="str">
        <f t="shared" si="1"/>
        <v>Built-up :</v>
      </c>
      <c r="AE4632" s="7" t="str">
        <f t="shared" si="2"/>
        <v> sq. ft.</v>
      </c>
      <c r="AF4632">
        <f>IFERROR(__xludf.DUMMYFUNCTION("VALUE(REGEXREPLACE(G4632,""[^[:digit:]]"", """"))"),3316.0)</f>
        <v>3316</v>
      </c>
      <c r="AG4632" s="7"/>
      <c r="AH4632" s="7"/>
      <c r="AI4632" s="7"/>
      <c r="AJ4632" s="7"/>
      <c r="AK4632" s="7"/>
      <c r="AL4632" s="7"/>
      <c r="AM4632" s="7"/>
      <c r="AN4632" s="7"/>
      <c r="AO4632" s="7"/>
      <c r="AP4632" s="7"/>
      <c r="AQ4632" s="7"/>
      <c r="AR4632" s="7"/>
      <c r="AS4632" s="7" t="s">
        <v>27</v>
      </c>
    </row>
    <row r="4633">
      <c r="A4633" s="7" t="s">
        <v>77</v>
      </c>
      <c r="B4633" s="7" t="s">
        <v>73</v>
      </c>
      <c r="C4633" s="7">
        <f>3+1</f>
        <v>4</v>
      </c>
      <c r="D4633" s="7">
        <v>4.0</v>
      </c>
      <c r="E4633" s="9">
        <v>2.0</v>
      </c>
      <c r="F4633" s="7" t="s">
        <v>169</v>
      </c>
      <c r="G4633" s="7" t="s">
        <v>91</v>
      </c>
      <c r="H4633" s="9" t="s">
        <v>2981</v>
      </c>
      <c r="I4633" t="s">
        <v>3003</v>
      </c>
      <c r="J4633" s="7"/>
      <c r="K4633" s="7"/>
      <c r="L4633" s="7"/>
      <c r="M4633" s="7"/>
      <c r="N4633" s="7"/>
      <c r="O4633" s="7"/>
      <c r="P4633" s="7"/>
      <c r="Q4633" s="7"/>
      <c r="R4633" s="7"/>
      <c r="S4633" s="7" t="s">
        <v>2990</v>
      </c>
      <c r="T4633" s="7"/>
      <c r="U4633" s="7"/>
      <c r="V4633" s="7"/>
      <c r="W4633" s="7"/>
      <c r="X4633" s="7"/>
      <c r="Y4633" s="7"/>
      <c r="Z4633" s="7"/>
      <c r="AA4633" s="7"/>
      <c r="AB4633" s="7"/>
      <c r="AC4633" s="7"/>
      <c r="AD4633" s="7" t="str">
        <f t="shared" si="1"/>
        <v>Land area </v>
      </c>
      <c r="AE4633" s="7" t="str">
        <f t="shared" si="2"/>
        <v> sq. ft.</v>
      </c>
      <c r="AF4633">
        <f>IFERROR(__xludf.DUMMYFUNCTION("VALUE(REGEXREPLACE(G4633,""[^[:digit:]]"", """"))"),2075.0)</f>
        <v>2075</v>
      </c>
      <c r="AG4633" s="7"/>
      <c r="AH4633" s="7"/>
      <c r="AI4633" s="7"/>
      <c r="AJ4633" s="7"/>
      <c r="AK4633" s="7"/>
      <c r="AL4633" s="7"/>
      <c r="AM4633" s="7"/>
      <c r="AN4633" s="7"/>
      <c r="AO4633" s="7"/>
      <c r="AP4633" s="7"/>
      <c r="AQ4633" s="7"/>
      <c r="AR4633" s="7"/>
    </row>
    <row r="4634">
      <c r="A4634" s="7" t="s">
        <v>180</v>
      </c>
      <c r="B4634" s="7" t="s">
        <v>465</v>
      </c>
      <c r="C4634" s="7">
        <f t="shared" ref="C4634:C4635" si="648">5</f>
        <v>5</v>
      </c>
      <c r="D4634" s="7">
        <v>5.0</v>
      </c>
      <c r="E4634" s="7">
        <v>2.0</v>
      </c>
      <c r="F4634" s="7" t="s">
        <v>61</v>
      </c>
      <c r="G4634" s="7" t="s">
        <v>466</v>
      </c>
      <c r="H4634" s="9" t="s">
        <v>2981</v>
      </c>
      <c r="I4634" t="s">
        <v>3175</v>
      </c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  <c r="AA4634" s="7"/>
      <c r="AB4634" s="7"/>
      <c r="AC4634" s="7"/>
      <c r="AD4634" s="7" t="str">
        <f t="shared" si="1"/>
        <v>Land area </v>
      </c>
      <c r="AE4634" s="7" t="str">
        <f t="shared" si="2"/>
        <v> sq. ft.</v>
      </c>
      <c r="AF4634">
        <f>IFERROR(__xludf.DUMMYFUNCTION("VALUE(REGEXREPLACE(G4634,""[^[:digit:]]"", """"))"),10600.0)</f>
        <v>10600</v>
      </c>
      <c r="AG4634" s="7"/>
      <c r="AH4634" s="7"/>
      <c r="AI4634" s="7"/>
      <c r="AJ4634" s="7"/>
      <c r="AK4634" s="7"/>
      <c r="AL4634" s="7"/>
      <c r="AM4634" s="7"/>
      <c r="AN4634" s="7"/>
      <c r="AO4634" s="7"/>
      <c r="AP4634" s="7"/>
      <c r="AQ4634" s="7"/>
      <c r="AR4634" s="7"/>
      <c r="AS4634" s="7" t="s">
        <v>251</v>
      </c>
    </row>
    <row r="4635">
      <c r="A4635" s="7" t="s">
        <v>37</v>
      </c>
      <c r="B4635" s="7" t="s">
        <v>458</v>
      </c>
      <c r="C4635" s="7">
        <f t="shared" si="648"/>
        <v>5</v>
      </c>
      <c r="D4635" s="7">
        <v>3.0</v>
      </c>
      <c r="E4635" s="9">
        <v>2.0</v>
      </c>
      <c r="F4635" s="7" t="s">
        <v>43</v>
      </c>
      <c r="G4635" s="7" t="s">
        <v>672</v>
      </c>
      <c r="H4635" s="9" t="s">
        <v>2981</v>
      </c>
      <c r="I4635" t="s">
        <v>2988</v>
      </c>
      <c r="J4635" s="7"/>
      <c r="K4635" s="7"/>
      <c r="L4635" s="7"/>
      <c r="M4635" s="7"/>
      <c r="N4635" s="7"/>
      <c r="O4635" s="7"/>
      <c r="P4635" s="7"/>
      <c r="Q4635" s="7"/>
      <c r="R4635" s="7"/>
      <c r="S4635" s="7" t="s">
        <v>2993</v>
      </c>
      <c r="T4635" s="7"/>
      <c r="U4635" s="7"/>
      <c r="V4635" s="7"/>
      <c r="W4635" s="7"/>
      <c r="X4635" s="7"/>
      <c r="Y4635" s="7"/>
      <c r="Z4635" s="7"/>
      <c r="AA4635" s="7"/>
      <c r="AB4635" s="7"/>
      <c r="AC4635" s="7"/>
      <c r="AD4635" s="7" t="str">
        <f t="shared" si="1"/>
        <v>Land area </v>
      </c>
      <c r="AE4635" s="7" t="str">
        <f t="shared" si="2"/>
        <v> sq. ft.</v>
      </c>
      <c r="AF4635">
        <f>IFERROR(__xludf.DUMMYFUNCTION("VALUE(REGEXREPLACE(G4635,""[^[:digit:]]"", """"))"),4580.0)</f>
        <v>4580</v>
      </c>
      <c r="AG4635" s="7"/>
      <c r="AH4635" s="7"/>
      <c r="AI4635" s="7"/>
      <c r="AJ4635" s="7"/>
      <c r="AK4635" s="7"/>
      <c r="AL4635" s="7"/>
      <c r="AM4635" s="7"/>
      <c r="AN4635" s="7"/>
      <c r="AO4635" s="7"/>
      <c r="AP4635" s="7"/>
      <c r="AQ4635" s="7"/>
      <c r="AR4635" s="7"/>
      <c r="AS4635" s="7" t="s">
        <v>27</v>
      </c>
    </row>
    <row r="4636">
      <c r="A4636" s="7" t="s">
        <v>72</v>
      </c>
      <c r="B4636" s="7" t="s">
        <v>530</v>
      </c>
      <c r="C4636" s="7">
        <f>5+1</f>
        <v>6</v>
      </c>
      <c r="D4636" s="7">
        <v>5.0</v>
      </c>
      <c r="E4636" s="7">
        <v>2.0</v>
      </c>
      <c r="F4636" s="7" t="s">
        <v>93</v>
      </c>
      <c r="G4636" s="7" t="s">
        <v>2744</v>
      </c>
      <c r="H4636" s="9" t="s">
        <v>2979</v>
      </c>
      <c r="I4636" t="s">
        <v>4502</v>
      </c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  <c r="AA4636" s="7"/>
      <c r="AB4636" s="7"/>
      <c r="AC4636" s="7"/>
      <c r="AD4636" s="7" t="str">
        <f t="shared" si="1"/>
        <v>Built-up :</v>
      </c>
      <c r="AE4636" s="7" t="str">
        <f t="shared" si="2"/>
        <v> sq. ft.</v>
      </c>
      <c r="AF4636">
        <f>IFERROR(__xludf.DUMMYFUNCTION("VALUE(REGEXREPLACE(G4636,""[^[:digit:]]"", """"))"),3950.0)</f>
        <v>3950</v>
      </c>
      <c r="AG4636" s="7"/>
      <c r="AH4636" s="7"/>
      <c r="AI4636" s="7"/>
      <c r="AJ4636" s="7"/>
      <c r="AK4636" s="7"/>
      <c r="AL4636" s="7"/>
      <c r="AM4636" s="7"/>
      <c r="AN4636" s="7"/>
      <c r="AO4636" s="7"/>
      <c r="AP4636" s="7"/>
      <c r="AQ4636" s="7"/>
      <c r="AR4636" s="7"/>
      <c r="AS4636" s="7" t="s">
        <v>22</v>
      </c>
    </row>
    <row r="4637">
      <c r="A4637" s="7" t="s">
        <v>52</v>
      </c>
      <c r="B4637" s="7" t="s">
        <v>309</v>
      </c>
      <c r="C4637" s="7">
        <f>3+1</f>
        <v>4</v>
      </c>
      <c r="D4637" s="7">
        <v>4.0</v>
      </c>
      <c r="E4637" s="9">
        <v>2.0</v>
      </c>
      <c r="F4637" s="7" t="s">
        <v>83</v>
      </c>
      <c r="G4637" s="7" t="s">
        <v>2830</v>
      </c>
      <c r="H4637" s="9" t="s">
        <v>2979</v>
      </c>
      <c r="I4637" t="s">
        <v>4559</v>
      </c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  <c r="AA4637" s="7"/>
      <c r="AB4637" s="7"/>
      <c r="AC4637" s="7"/>
      <c r="AD4637" s="7" t="str">
        <f t="shared" si="1"/>
        <v>Built-up :</v>
      </c>
      <c r="AE4637" s="7" t="str">
        <f t="shared" si="2"/>
        <v> sq. ft.</v>
      </c>
      <c r="AF4637">
        <f>IFERROR(__xludf.DUMMYFUNCTION("VALUE(REGEXREPLACE(G4637,""[^[:digit:]]"", """"))"),2240.0)</f>
        <v>2240</v>
      </c>
      <c r="AG4637" s="7"/>
      <c r="AH4637" s="7"/>
      <c r="AI4637" s="7"/>
      <c r="AJ4637" s="7"/>
      <c r="AK4637" s="7"/>
      <c r="AL4637" s="7"/>
      <c r="AM4637" s="7"/>
      <c r="AN4637" s="7"/>
      <c r="AO4637" s="7"/>
      <c r="AP4637" s="7"/>
      <c r="AQ4637" s="7"/>
      <c r="AR4637" s="7"/>
      <c r="AS4637" s="7" t="s">
        <v>27</v>
      </c>
    </row>
    <row r="4638">
      <c r="A4638" s="7" t="s">
        <v>17</v>
      </c>
      <c r="B4638" s="7" t="s">
        <v>149</v>
      </c>
      <c r="C4638" s="7">
        <f>4+1</f>
        <v>5</v>
      </c>
      <c r="D4638" s="7">
        <v>5.0</v>
      </c>
      <c r="E4638" s="9">
        <v>2.0</v>
      </c>
      <c r="F4638" s="7" t="s">
        <v>83</v>
      </c>
      <c r="G4638" s="7" t="s">
        <v>1174</v>
      </c>
      <c r="H4638" s="9" t="s">
        <v>2979</v>
      </c>
      <c r="I4638" t="s">
        <v>3559</v>
      </c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  <c r="AA4638" s="7"/>
      <c r="AB4638" s="7"/>
      <c r="AC4638" s="7"/>
      <c r="AD4638" s="7" t="str">
        <f t="shared" si="1"/>
        <v>Built-up :</v>
      </c>
      <c r="AE4638" s="7" t="str">
        <f t="shared" si="2"/>
        <v> sq. ft.</v>
      </c>
      <c r="AF4638">
        <f>IFERROR(__xludf.DUMMYFUNCTION("VALUE(REGEXREPLACE(G4638,""[^[:digit:]]"", """"))"),3800.0)</f>
        <v>3800</v>
      </c>
      <c r="AG4638" s="7"/>
      <c r="AH4638" s="7"/>
      <c r="AI4638" s="7"/>
      <c r="AJ4638" s="7"/>
      <c r="AK4638" s="7"/>
      <c r="AL4638" s="7"/>
      <c r="AM4638" s="7"/>
      <c r="AN4638" s="7"/>
      <c r="AO4638" s="7"/>
      <c r="AP4638" s="7"/>
      <c r="AQ4638" s="7"/>
      <c r="AR4638" s="7"/>
      <c r="AS4638" s="7" t="s">
        <v>27</v>
      </c>
    </row>
    <row r="4639">
      <c r="A4639" s="7" t="s">
        <v>17</v>
      </c>
      <c r="B4639" s="7" t="s">
        <v>309</v>
      </c>
      <c r="C4639" s="7">
        <f>2</f>
        <v>2</v>
      </c>
      <c r="D4639" s="7">
        <v>2.0</v>
      </c>
      <c r="E4639" s="9">
        <v>2.0</v>
      </c>
      <c r="F4639" s="7" t="s">
        <v>20</v>
      </c>
      <c r="G4639" s="7" t="s">
        <v>237</v>
      </c>
      <c r="H4639" s="9" t="s">
        <v>2979</v>
      </c>
      <c r="I4639" t="s">
        <v>3069</v>
      </c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  <c r="AA4639" s="7"/>
      <c r="AB4639" s="7"/>
      <c r="AC4639" s="7"/>
      <c r="AD4639" s="7" t="str">
        <f t="shared" si="1"/>
        <v>Built-up :</v>
      </c>
      <c r="AE4639" s="7" t="str">
        <f t="shared" si="2"/>
        <v> sq. ft.</v>
      </c>
      <c r="AF4639">
        <f>IFERROR(__xludf.DUMMYFUNCTION("VALUE(REGEXREPLACE(G4639,""[^[:digit:]]"", """"))"),1087.0)</f>
        <v>1087</v>
      </c>
      <c r="AG4639" s="7"/>
      <c r="AH4639" s="7"/>
      <c r="AI4639" s="7"/>
      <c r="AJ4639" s="7"/>
      <c r="AK4639" s="7"/>
      <c r="AL4639" s="7"/>
      <c r="AM4639" s="7"/>
      <c r="AN4639" s="7"/>
      <c r="AO4639" s="7"/>
      <c r="AP4639" s="7"/>
      <c r="AQ4639" s="7"/>
      <c r="AR4639" s="7"/>
      <c r="AS4639" s="7" t="s">
        <v>22</v>
      </c>
    </row>
    <row r="4640">
      <c r="A4640" s="7" t="s">
        <v>17</v>
      </c>
      <c r="B4640" s="7" t="s">
        <v>257</v>
      </c>
      <c r="C4640" s="7">
        <f t="shared" ref="C4640:C4641" si="649">1+1</f>
        <v>2</v>
      </c>
      <c r="D4640" s="7">
        <v>2.0</v>
      </c>
      <c r="E4640" s="9">
        <v>2.0</v>
      </c>
      <c r="F4640" s="7" t="s">
        <v>20</v>
      </c>
      <c r="G4640" s="7" t="s">
        <v>342</v>
      </c>
      <c r="H4640" s="9" t="s">
        <v>2979</v>
      </c>
      <c r="I4640" t="s">
        <v>3117</v>
      </c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  <c r="AA4640" s="7"/>
      <c r="AB4640" s="7"/>
      <c r="AC4640" s="7"/>
      <c r="AD4640" s="7" t="str">
        <f t="shared" si="1"/>
        <v>Built-up :</v>
      </c>
      <c r="AE4640" s="7" t="str">
        <f t="shared" si="2"/>
        <v> sq. ft.</v>
      </c>
      <c r="AF4640">
        <f>IFERROR(__xludf.DUMMYFUNCTION("VALUE(REGEXREPLACE(G4640,""[^[:digit:]]"", """"))"),1076.0)</f>
        <v>1076</v>
      </c>
      <c r="AG4640" s="7"/>
      <c r="AH4640" s="7"/>
      <c r="AI4640" s="7"/>
      <c r="AJ4640" s="7"/>
      <c r="AK4640" s="7"/>
      <c r="AL4640" s="7"/>
      <c r="AM4640" s="7"/>
      <c r="AN4640" s="7"/>
      <c r="AO4640" s="7"/>
      <c r="AP4640" s="7"/>
      <c r="AQ4640" s="7"/>
      <c r="AR4640" s="7"/>
      <c r="AS4640" s="7" t="s">
        <v>22</v>
      </c>
    </row>
    <row r="4641">
      <c r="A4641" s="7" t="s">
        <v>17</v>
      </c>
      <c r="B4641" s="7" t="s">
        <v>475</v>
      </c>
      <c r="C4641" s="7">
        <f t="shared" si="649"/>
        <v>2</v>
      </c>
      <c r="D4641" s="7">
        <v>2.0</v>
      </c>
      <c r="E4641" s="9">
        <v>2.0</v>
      </c>
      <c r="F4641" s="7" t="s">
        <v>20</v>
      </c>
      <c r="G4641" s="7" t="s">
        <v>237</v>
      </c>
      <c r="H4641" s="9" t="s">
        <v>2979</v>
      </c>
      <c r="I4641" t="s">
        <v>3069</v>
      </c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  <c r="AA4641" s="7"/>
      <c r="AB4641" s="7"/>
      <c r="AC4641" s="7"/>
      <c r="AD4641" s="7" t="str">
        <f t="shared" si="1"/>
        <v>Built-up :</v>
      </c>
      <c r="AE4641" s="7" t="str">
        <f t="shared" si="2"/>
        <v> sq. ft.</v>
      </c>
      <c r="AF4641">
        <f>IFERROR(__xludf.DUMMYFUNCTION("VALUE(REGEXREPLACE(G4641,""[^[:digit:]]"", """"))"),1087.0)</f>
        <v>1087</v>
      </c>
      <c r="AG4641" s="7"/>
      <c r="AH4641" s="7"/>
      <c r="AI4641" s="7"/>
      <c r="AJ4641" s="7"/>
      <c r="AK4641" s="7"/>
      <c r="AL4641" s="7"/>
      <c r="AM4641" s="7"/>
      <c r="AN4641" s="7"/>
      <c r="AO4641" s="7"/>
      <c r="AP4641" s="7"/>
      <c r="AQ4641" s="7"/>
      <c r="AR4641" s="7"/>
      <c r="AS4641" s="7" t="s">
        <v>22</v>
      </c>
    </row>
    <row r="4642">
      <c r="A4642" s="7" t="s">
        <v>52</v>
      </c>
      <c r="B4642" s="7" t="s">
        <v>940</v>
      </c>
      <c r="C4642" s="7">
        <f>4+1</f>
        <v>5</v>
      </c>
      <c r="D4642" s="7">
        <v>4.0</v>
      </c>
      <c r="E4642" s="9">
        <v>2.0</v>
      </c>
      <c r="F4642" s="7" t="s">
        <v>83</v>
      </c>
      <c r="G4642" s="7" t="s">
        <v>2831</v>
      </c>
      <c r="H4642" s="9" t="s">
        <v>2979</v>
      </c>
      <c r="I4642" t="s">
        <v>4560</v>
      </c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  <c r="AA4642" s="7"/>
      <c r="AB4642" s="7"/>
      <c r="AC4642" s="7"/>
      <c r="AD4642" s="7" t="str">
        <f t="shared" si="1"/>
        <v>Built-up :</v>
      </c>
      <c r="AE4642" s="7" t="str">
        <f t="shared" si="2"/>
        <v> sq. ft.</v>
      </c>
      <c r="AF4642">
        <f>IFERROR(__xludf.DUMMYFUNCTION("VALUE(REGEXREPLACE(G4642,""[^[:digit:]]"", """"))"),3575.0)</f>
        <v>3575</v>
      </c>
      <c r="AG4642" s="7"/>
      <c r="AH4642" s="7"/>
      <c r="AI4642" s="7"/>
      <c r="AJ4642" s="7"/>
      <c r="AK4642" s="7"/>
      <c r="AL4642" s="7"/>
      <c r="AM4642" s="7"/>
      <c r="AN4642" s="7"/>
      <c r="AO4642" s="7"/>
      <c r="AP4642" s="7"/>
      <c r="AQ4642" s="7"/>
      <c r="AR4642" s="7"/>
      <c r="AS4642" s="7" t="s">
        <v>22</v>
      </c>
    </row>
    <row r="4643">
      <c r="A4643" s="7" t="s">
        <v>52</v>
      </c>
      <c r="B4643" s="7" t="s">
        <v>281</v>
      </c>
      <c r="C4643" s="7">
        <f>3+1</f>
        <v>4</v>
      </c>
      <c r="D4643" s="7">
        <v>3.0</v>
      </c>
      <c r="E4643" s="9">
        <v>2.0</v>
      </c>
      <c r="F4643" s="7" t="s">
        <v>83</v>
      </c>
      <c r="G4643" s="7" t="s">
        <v>2832</v>
      </c>
      <c r="H4643" s="9" t="s">
        <v>2979</v>
      </c>
      <c r="I4643" t="s">
        <v>4561</v>
      </c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  <c r="AA4643" s="7"/>
      <c r="AB4643" s="7"/>
      <c r="AC4643" s="7"/>
      <c r="AD4643" s="7" t="str">
        <f t="shared" si="1"/>
        <v>Built-up :</v>
      </c>
      <c r="AE4643" s="7" t="str">
        <f t="shared" si="2"/>
        <v> sq. ft.</v>
      </c>
      <c r="AF4643">
        <f>IFERROR(__xludf.DUMMYFUNCTION("VALUE(REGEXREPLACE(G4643,""[^[:digit:]]"", """"))"),2265.0)</f>
        <v>2265</v>
      </c>
      <c r="AG4643" s="7"/>
      <c r="AH4643" s="7"/>
      <c r="AI4643" s="7"/>
      <c r="AJ4643" s="7"/>
      <c r="AK4643" s="7"/>
      <c r="AL4643" s="7"/>
      <c r="AM4643" s="7"/>
      <c r="AN4643" s="7"/>
      <c r="AO4643" s="7"/>
      <c r="AP4643" s="7"/>
      <c r="AQ4643" s="7"/>
      <c r="AR4643" s="7"/>
      <c r="AS4643" s="7" t="s">
        <v>27</v>
      </c>
    </row>
    <row r="4644">
      <c r="A4644" s="7" t="s">
        <v>86</v>
      </c>
      <c r="B4644" s="7" t="s">
        <v>172</v>
      </c>
      <c r="C4644" s="7">
        <f>1</f>
        <v>1</v>
      </c>
      <c r="D4644" s="7">
        <v>1.0</v>
      </c>
      <c r="E4644" s="9">
        <v>2.0</v>
      </c>
      <c r="F4644" s="7" t="s">
        <v>20</v>
      </c>
      <c r="G4644" s="7" t="s">
        <v>673</v>
      </c>
      <c r="H4644" s="9" t="s">
        <v>2979</v>
      </c>
      <c r="I4644" t="s">
        <v>3278</v>
      </c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  <c r="AA4644" s="7"/>
      <c r="AB4644" s="7"/>
      <c r="AC4644" s="7"/>
      <c r="AD4644" s="7" t="str">
        <f t="shared" si="1"/>
        <v>Built-up :</v>
      </c>
      <c r="AE4644" s="7" t="str">
        <f t="shared" si="2"/>
        <v> sq. ft.</v>
      </c>
      <c r="AF4644">
        <f>IFERROR(__xludf.DUMMYFUNCTION("VALUE(REGEXREPLACE(G4644,""[^[:digit:]]"", """"))"),638.0)</f>
        <v>638</v>
      </c>
      <c r="AG4644" s="7"/>
      <c r="AH4644" s="7"/>
      <c r="AI4644" s="7"/>
      <c r="AJ4644" s="7"/>
      <c r="AK4644" s="7"/>
      <c r="AL4644" s="7"/>
      <c r="AM4644" s="7"/>
      <c r="AN4644" s="7"/>
      <c r="AO4644" s="7"/>
      <c r="AP4644" s="7"/>
      <c r="AQ4644" s="7"/>
      <c r="AR4644" s="7"/>
      <c r="AS4644" s="7" t="s">
        <v>22</v>
      </c>
    </row>
    <row r="4645">
      <c r="A4645" s="7" t="s">
        <v>52</v>
      </c>
      <c r="B4645" s="7" t="s">
        <v>530</v>
      </c>
      <c r="C4645" s="7">
        <f t="shared" ref="C4645:C4650" si="650">4+1</f>
        <v>5</v>
      </c>
      <c r="D4645" s="7">
        <v>5.0</v>
      </c>
      <c r="E4645" s="9">
        <v>2.0</v>
      </c>
      <c r="F4645" s="7" t="s">
        <v>83</v>
      </c>
      <c r="G4645" s="7" t="s">
        <v>2744</v>
      </c>
      <c r="H4645" s="9" t="s">
        <v>2979</v>
      </c>
      <c r="I4645" t="s">
        <v>4502</v>
      </c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  <c r="AA4645" s="7"/>
      <c r="AB4645" s="7"/>
      <c r="AC4645" s="7"/>
      <c r="AD4645" s="7" t="str">
        <f t="shared" si="1"/>
        <v>Built-up :</v>
      </c>
      <c r="AE4645" s="7" t="str">
        <f t="shared" si="2"/>
        <v> sq. ft.</v>
      </c>
      <c r="AF4645">
        <f>IFERROR(__xludf.DUMMYFUNCTION("VALUE(REGEXREPLACE(G4645,""[^[:digit:]]"", """"))"),3950.0)</f>
        <v>3950</v>
      </c>
      <c r="AG4645" s="7"/>
      <c r="AH4645" s="7"/>
      <c r="AI4645" s="7"/>
      <c r="AJ4645" s="7"/>
      <c r="AK4645" s="7"/>
      <c r="AL4645" s="7"/>
      <c r="AM4645" s="7"/>
      <c r="AN4645" s="7"/>
      <c r="AO4645" s="7"/>
      <c r="AP4645" s="7"/>
      <c r="AQ4645" s="7"/>
      <c r="AR4645" s="7"/>
      <c r="AS4645" s="7" t="s">
        <v>27</v>
      </c>
    </row>
    <row r="4646">
      <c r="A4646" s="7" t="s">
        <v>52</v>
      </c>
      <c r="B4646" s="7" t="s">
        <v>395</v>
      </c>
      <c r="C4646" s="7">
        <f t="shared" si="650"/>
        <v>5</v>
      </c>
      <c r="D4646" s="7">
        <v>5.0</v>
      </c>
      <c r="E4646" s="9">
        <v>2.0</v>
      </c>
      <c r="F4646" s="7" t="s">
        <v>83</v>
      </c>
      <c r="G4646" s="7" t="s">
        <v>2833</v>
      </c>
      <c r="H4646" s="9" t="s">
        <v>2979</v>
      </c>
      <c r="I4646" t="s">
        <v>4562</v>
      </c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  <c r="AA4646" s="7"/>
      <c r="AB4646" s="7"/>
      <c r="AC4646" s="7"/>
      <c r="AD4646" s="7" t="str">
        <f t="shared" si="1"/>
        <v>Built-up :</v>
      </c>
      <c r="AE4646" s="7" t="str">
        <f t="shared" si="2"/>
        <v> sq. ft.</v>
      </c>
      <c r="AF4646">
        <f>IFERROR(__xludf.DUMMYFUNCTION("VALUE(REGEXREPLACE(G4646,""[^[:digit:]]"", """"))"),4919.0)</f>
        <v>4919</v>
      </c>
      <c r="AG4646" s="7"/>
      <c r="AH4646" s="7"/>
      <c r="AI4646" s="7"/>
      <c r="AJ4646" s="7"/>
      <c r="AK4646" s="7"/>
      <c r="AL4646" s="7"/>
      <c r="AM4646" s="7"/>
      <c r="AN4646" s="7"/>
      <c r="AO4646" s="7"/>
      <c r="AP4646" s="7"/>
      <c r="AQ4646" s="7"/>
      <c r="AR4646" s="7"/>
      <c r="AS4646" s="7" t="s">
        <v>27</v>
      </c>
    </row>
    <row r="4647">
      <c r="A4647" s="7" t="s">
        <v>52</v>
      </c>
      <c r="B4647" s="7" t="s">
        <v>2834</v>
      </c>
      <c r="C4647" s="7">
        <f t="shared" si="650"/>
        <v>5</v>
      </c>
      <c r="D4647" s="7">
        <v>5.0</v>
      </c>
      <c r="E4647" s="9">
        <v>2.0</v>
      </c>
      <c r="F4647" s="7" t="s">
        <v>83</v>
      </c>
      <c r="G4647" s="7" t="s">
        <v>291</v>
      </c>
      <c r="H4647" s="9" t="s">
        <v>2979</v>
      </c>
      <c r="I4647" t="s">
        <v>3094</v>
      </c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  <c r="AA4647" s="7"/>
      <c r="AB4647" s="7"/>
      <c r="AC4647" s="7"/>
      <c r="AD4647" s="7" t="str">
        <f t="shared" si="1"/>
        <v>Built-up :</v>
      </c>
      <c r="AE4647" s="7" t="str">
        <f t="shared" si="2"/>
        <v> sq. ft.</v>
      </c>
      <c r="AF4647">
        <f>IFERROR(__xludf.DUMMYFUNCTION("VALUE(REGEXREPLACE(G4647,""[^[:digit:]]"", """"))"),4306.0)</f>
        <v>4306</v>
      </c>
      <c r="AG4647" s="7"/>
      <c r="AH4647" s="7"/>
      <c r="AI4647" s="7"/>
      <c r="AJ4647" s="7"/>
      <c r="AK4647" s="7"/>
      <c r="AL4647" s="7"/>
      <c r="AM4647" s="7"/>
      <c r="AN4647" s="7"/>
      <c r="AO4647" s="7"/>
      <c r="AP4647" s="7"/>
      <c r="AQ4647" s="7"/>
      <c r="AR4647" s="7"/>
      <c r="AS4647" s="7" t="s">
        <v>27</v>
      </c>
    </row>
    <row r="4648">
      <c r="A4648" s="7" t="s">
        <v>52</v>
      </c>
      <c r="B4648" s="7" t="s">
        <v>263</v>
      </c>
      <c r="C4648" s="7">
        <f t="shared" si="650"/>
        <v>5</v>
      </c>
      <c r="D4648" s="7">
        <v>5.0</v>
      </c>
      <c r="E4648" s="9">
        <v>2.0</v>
      </c>
      <c r="F4648" s="7" t="s">
        <v>83</v>
      </c>
      <c r="G4648" s="7" t="s">
        <v>2742</v>
      </c>
      <c r="H4648" s="9" t="s">
        <v>2979</v>
      </c>
      <c r="I4648" t="s">
        <v>4501</v>
      </c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  <c r="AA4648" s="7"/>
      <c r="AB4648" s="7"/>
      <c r="AC4648" s="7"/>
      <c r="AD4648" s="7" t="str">
        <f t="shared" si="1"/>
        <v>Built-up :</v>
      </c>
      <c r="AE4648" s="7" t="str">
        <f t="shared" si="2"/>
        <v> sq. ft.</v>
      </c>
      <c r="AF4648">
        <f>IFERROR(__xludf.DUMMYFUNCTION("VALUE(REGEXREPLACE(G4648,""[^[:digit:]]"", """"))"),7287.0)</f>
        <v>7287</v>
      </c>
      <c r="AG4648" s="7"/>
      <c r="AH4648" s="7"/>
      <c r="AI4648" s="7"/>
      <c r="AJ4648" s="7"/>
      <c r="AK4648" s="7"/>
      <c r="AL4648" s="7"/>
      <c r="AM4648" s="7"/>
      <c r="AN4648" s="7"/>
      <c r="AO4648" s="7"/>
      <c r="AP4648" s="7"/>
      <c r="AQ4648" s="7"/>
      <c r="AR4648" s="7"/>
      <c r="AS4648" s="7" t="s">
        <v>103</v>
      </c>
    </row>
    <row r="4649">
      <c r="A4649" s="7" t="s">
        <v>52</v>
      </c>
      <c r="B4649" s="7" t="s">
        <v>545</v>
      </c>
      <c r="C4649" s="7">
        <f t="shared" si="650"/>
        <v>5</v>
      </c>
      <c r="D4649" s="7">
        <v>6.0</v>
      </c>
      <c r="E4649" s="9">
        <v>2.0</v>
      </c>
      <c r="F4649" s="7" t="s">
        <v>793</v>
      </c>
      <c r="G4649" s="7" t="s">
        <v>1713</v>
      </c>
      <c r="H4649" s="9" t="s">
        <v>2979</v>
      </c>
      <c r="I4649" t="s">
        <v>3873</v>
      </c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  <c r="AA4649" s="7"/>
      <c r="AB4649" s="7"/>
      <c r="AC4649" s="7"/>
      <c r="AD4649" s="7" t="str">
        <f t="shared" si="1"/>
        <v>Built-up :</v>
      </c>
      <c r="AE4649" s="7" t="str">
        <f t="shared" si="2"/>
        <v> sq. ft.</v>
      </c>
      <c r="AF4649">
        <f>IFERROR(__xludf.DUMMYFUNCTION("VALUE(REGEXREPLACE(G4649,""[^[:digit:]]"", """"))"),7825.0)</f>
        <v>7825</v>
      </c>
      <c r="AG4649" s="7"/>
      <c r="AH4649" s="7"/>
      <c r="AI4649" s="7"/>
      <c r="AJ4649" s="7"/>
      <c r="AK4649" s="7"/>
      <c r="AL4649" s="7"/>
      <c r="AM4649" s="7"/>
      <c r="AN4649" s="7"/>
      <c r="AO4649" s="7"/>
      <c r="AP4649" s="7"/>
      <c r="AQ4649" s="7"/>
      <c r="AR4649" s="7"/>
      <c r="AS4649" s="7" t="s">
        <v>27</v>
      </c>
    </row>
    <row r="4650">
      <c r="A4650" s="7" t="s">
        <v>17</v>
      </c>
      <c r="B4650" s="7" t="s">
        <v>351</v>
      </c>
      <c r="C4650" s="7">
        <f t="shared" si="650"/>
        <v>5</v>
      </c>
      <c r="D4650" s="7">
        <v>5.0</v>
      </c>
      <c r="E4650" s="9">
        <v>2.0</v>
      </c>
      <c r="F4650" s="7" t="s">
        <v>83</v>
      </c>
      <c r="G4650" s="7" t="s">
        <v>1652</v>
      </c>
      <c r="H4650" s="9" t="s">
        <v>2979</v>
      </c>
      <c r="I4650" t="s">
        <v>3836</v>
      </c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  <c r="AA4650" s="7"/>
      <c r="AB4650" s="7"/>
      <c r="AC4650" s="7"/>
      <c r="AD4650" s="7" t="str">
        <f t="shared" si="1"/>
        <v>Built-up :</v>
      </c>
      <c r="AE4650" s="7" t="str">
        <f t="shared" si="2"/>
        <v> sq. ft.</v>
      </c>
      <c r="AF4650">
        <f>IFERROR(__xludf.DUMMYFUNCTION("VALUE(REGEXREPLACE(G4650,""[^[:digit:]]"", """"))"),3358.0)</f>
        <v>3358</v>
      </c>
      <c r="AG4650" s="7"/>
      <c r="AH4650" s="7"/>
      <c r="AI4650" s="7"/>
      <c r="AJ4650" s="7"/>
      <c r="AK4650" s="7"/>
      <c r="AL4650" s="7"/>
      <c r="AM4650" s="7"/>
      <c r="AN4650" s="7"/>
      <c r="AO4650" s="7"/>
      <c r="AP4650" s="7"/>
      <c r="AQ4650" s="7"/>
      <c r="AR4650" s="7"/>
      <c r="AS4650" s="7" t="s">
        <v>27</v>
      </c>
    </row>
    <row r="4651">
      <c r="A4651" s="7" t="s">
        <v>17</v>
      </c>
      <c r="B4651" s="7" t="s">
        <v>475</v>
      </c>
      <c r="C4651" s="7">
        <f t="shared" ref="C4651:C4652" si="651">3+1</f>
        <v>4</v>
      </c>
      <c r="D4651" s="7">
        <v>4.0</v>
      </c>
      <c r="E4651" s="9">
        <v>2.0</v>
      </c>
      <c r="F4651" s="7" t="s">
        <v>20</v>
      </c>
      <c r="G4651" s="7" t="s">
        <v>2835</v>
      </c>
      <c r="H4651" s="9" t="s">
        <v>2979</v>
      </c>
      <c r="I4651" t="s">
        <v>4563</v>
      </c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  <c r="AA4651" s="7"/>
      <c r="AB4651" s="7"/>
      <c r="AC4651" s="7"/>
      <c r="AD4651" s="7" t="str">
        <f t="shared" si="1"/>
        <v>Built-up :</v>
      </c>
      <c r="AE4651" s="7" t="str">
        <f t="shared" si="2"/>
        <v> sq. ft.</v>
      </c>
      <c r="AF4651">
        <f>IFERROR(__xludf.DUMMYFUNCTION("VALUE(REGEXREPLACE(G4651,""[^[:digit:]]"", """"))"),3311.0)</f>
        <v>3311</v>
      </c>
      <c r="AG4651" s="7"/>
      <c r="AH4651" s="7"/>
      <c r="AI4651" s="7"/>
      <c r="AJ4651" s="7"/>
      <c r="AK4651" s="7"/>
      <c r="AL4651" s="7"/>
      <c r="AM4651" s="7"/>
      <c r="AN4651" s="7"/>
      <c r="AO4651" s="7"/>
      <c r="AP4651" s="7"/>
      <c r="AQ4651" s="7"/>
      <c r="AR4651" s="7"/>
      <c r="AS4651" s="7" t="s">
        <v>22</v>
      </c>
    </row>
    <row r="4652">
      <c r="A4652" s="7" t="s">
        <v>52</v>
      </c>
      <c r="B4652" s="7" t="s">
        <v>2836</v>
      </c>
      <c r="C4652" s="7">
        <f t="shared" si="651"/>
        <v>4</v>
      </c>
      <c r="D4652" s="7">
        <v>3.0</v>
      </c>
      <c r="E4652" s="9">
        <v>2.0</v>
      </c>
      <c r="F4652" s="7" t="s">
        <v>83</v>
      </c>
      <c r="G4652" s="7" t="s">
        <v>2837</v>
      </c>
      <c r="H4652" s="9" t="s">
        <v>2979</v>
      </c>
      <c r="I4652" t="s">
        <v>4564</v>
      </c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  <c r="AA4652" s="7"/>
      <c r="AB4652" s="7"/>
      <c r="AC4652" s="7"/>
      <c r="AD4652" s="7" t="str">
        <f t="shared" si="1"/>
        <v>Built-up :</v>
      </c>
      <c r="AE4652" s="7" t="str">
        <f t="shared" si="2"/>
        <v> sq. ft.</v>
      </c>
      <c r="AF4652">
        <f>IFERROR(__xludf.DUMMYFUNCTION("VALUE(REGEXREPLACE(G4652,""[^[:digit:]]"", """"))"),2230.0)</f>
        <v>2230</v>
      </c>
      <c r="AG4652" s="7"/>
      <c r="AH4652" s="7"/>
      <c r="AI4652" s="7"/>
      <c r="AJ4652" s="7"/>
      <c r="AK4652" s="7"/>
      <c r="AL4652" s="7"/>
      <c r="AM4652" s="7"/>
      <c r="AN4652" s="7"/>
      <c r="AO4652" s="7"/>
      <c r="AP4652" s="7"/>
      <c r="AQ4652" s="7"/>
      <c r="AR4652" s="7"/>
      <c r="AS4652" s="7" t="s">
        <v>27</v>
      </c>
    </row>
    <row r="4653">
      <c r="A4653" s="7" t="s">
        <v>52</v>
      </c>
      <c r="B4653" s="7" t="s">
        <v>1222</v>
      </c>
      <c r="C4653" s="7">
        <f t="shared" ref="C4653:C4654" si="652">4+1</f>
        <v>5</v>
      </c>
      <c r="D4653" s="7">
        <v>6.0</v>
      </c>
      <c r="E4653" s="7">
        <v>3.0</v>
      </c>
      <c r="F4653" s="7" t="s">
        <v>83</v>
      </c>
      <c r="G4653" s="7" t="s">
        <v>663</v>
      </c>
      <c r="H4653" s="9" t="s">
        <v>2979</v>
      </c>
      <c r="I4653" t="s">
        <v>3272</v>
      </c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  <c r="AA4653" s="7"/>
      <c r="AB4653" s="7"/>
      <c r="AC4653" s="7"/>
      <c r="AD4653" s="7" t="str">
        <f t="shared" si="1"/>
        <v>Built-up :</v>
      </c>
      <c r="AE4653" s="7" t="str">
        <f t="shared" si="2"/>
        <v> sq. ft.</v>
      </c>
      <c r="AF4653">
        <f>IFERROR(__xludf.DUMMYFUNCTION("VALUE(REGEXREPLACE(G4653,""[^[:digit:]]"", """"))"),4327.0)</f>
        <v>4327</v>
      </c>
      <c r="AG4653" s="7"/>
      <c r="AH4653" s="7"/>
      <c r="AI4653" s="7"/>
      <c r="AJ4653" s="7"/>
      <c r="AK4653" s="7"/>
      <c r="AL4653" s="7"/>
      <c r="AM4653" s="7"/>
      <c r="AN4653" s="7"/>
      <c r="AO4653" s="7"/>
      <c r="AP4653" s="7"/>
      <c r="AQ4653" s="7"/>
      <c r="AR4653" s="7"/>
      <c r="AS4653" s="7" t="s">
        <v>22</v>
      </c>
    </row>
    <row r="4654">
      <c r="A4654" s="7" t="s">
        <v>52</v>
      </c>
      <c r="B4654" s="7" t="s">
        <v>2838</v>
      </c>
      <c r="C4654" s="7">
        <f t="shared" si="652"/>
        <v>5</v>
      </c>
      <c r="D4654" s="7">
        <v>6.0</v>
      </c>
      <c r="E4654" s="7">
        <v>6.0</v>
      </c>
      <c r="F4654" s="7" t="s">
        <v>793</v>
      </c>
      <c r="G4654" s="7" t="s">
        <v>2820</v>
      </c>
      <c r="H4654" s="9" t="s">
        <v>2979</v>
      </c>
      <c r="I4654" t="s">
        <v>4552</v>
      </c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  <c r="AA4654" s="7"/>
      <c r="AB4654" s="7"/>
      <c r="AC4654" s="7"/>
      <c r="AD4654" s="7" t="str">
        <f t="shared" si="1"/>
        <v>Built-up :</v>
      </c>
      <c r="AE4654" s="7" t="str">
        <f t="shared" si="2"/>
        <v> sq. ft.</v>
      </c>
      <c r="AF4654">
        <f>IFERROR(__xludf.DUMMYFUNCTION("VALUE(REGEXREPLACE(G4654,""[^[:digit:]]"", """"))"),7901.0)</f>
        <v>7901</v>
      </c>
      <c r="AG4654" s="7"/>
      <c r="AH4654" s="7"/>
      <c r="AI4654" s="7"/>
      <c r="AJ4654" s="7"/>
      <c r="AK4654" s="7"/>
      <c r="AL4654" s="7"/>
      <c r="AM4654" s="7"/>
      <c r="AN4654" s="7"/>
      <c r="AO4654" s="7"/>
      <c r="AP4654" s="7"/>
      <c r="AQ4654" s="7"/>
      <c r="AR4654" s="7"/>
      <c r="AS4654" s="7" t="s">
        <v>27</v>
      </c>
    </row>
    <row r="4655">
      <c r="A4655" s="7" t="s">
        <v>17</v>
      </c>
      <c r="B4655" s="7" t="s">
        <v>281</v>
      </c>
      <c r="C4655" s="7">
        <f>1+1</f>
        <v>2</v>
      </c>
      <c r="D4655" s="7">
        <v>2.0</v>
      </c>
      <c r="E4655" s="9">
        <v>2.0</v>
      </c>
      <c r="F4655" s="7" t="s">
        <v>20</v>
      </c>
      <c r="G4655" s="7" t="s">
        <v>342</v>
      </c>
      <c r="H4655" s="9" t="s">
        <v>2979</v>
      </c>
      <c r="I4655" t="s">
        <v>3117</v>
      </c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  <c r="AA4655" s="7"/>
      <c r="AB4655" s="7"/>
      <c r="AC4655" s="7"/>
      <c r="AD4655" s="7" t="str">
        <f t="shared" si="1"/>
        <v>Built-up :</v>
      </c>
      <c r="AE4655" s="7" t="str">
        <f t="shared" si="2"/>
        <v> sq. ft.</v>
      </c>
      <c r="AF4655">
        <f>IFERROR(__xludf.DUMMYFUNCTION("VALUE(REGEXREPLACE(G4655,""[^[:digit:]]"", """"))"),1076.0)</f>
        <v>1076</v>
      </c>
      <c r="AG4655" s="7"/>
      <c r="AH4655" s="7"/>
      <c r="AI4655" s="7"/>
      <c r="AJ4655" s="7"/>
      <c r="AK4655" s="7"/>
      <c r="AL4655" s="7"/>
      <c r="AM4655" s="7"/>
      <c r="AN4655" s="7"/>
      <c r="AO4655" s="7"/>
      <c r="AP4655" s="7"/>
      <c r="AQ4655" s="7"/>
      <c r="AR4655" s="7"/>
      <c r="AS4655" s="7" t="s">
        <v>27</v>
      </c>
    </row>
    <row r="4656">
      <c r="A4656" s="7" t="s">
        <v>17</v>
      </c>
      <c r="B4656" s="7" t="s">
        <v>350</v>
      </c>
      <c r="C4656" s="7">
        <f>3+1</f>
        <v>4</v>
      </c>
      <c r="D4656" s="7">
        <v>3.0</v>
      </c>
      <c r="E4656" s="9">
        <v>2.0</v>
      </c>
      <c r="F4656" s="7" t="s">
        <v>20</v>
      </c>
      <c r="G4656" s="7" t="s">
        <v>124</v>
      </c>
      <c r="H4656" s="9" t="s">
        <v>2979</v>
      </c>
      <c r="I4656" t="s">
        <v>3017</v>
      </c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  <c r="AA4656" s="7"/>
      <c r="AB4656" s="7"/>
      <c r="AC4656" s="7"/>
      <c r="AD4656" s="7" t="str">
        <f t="shared" si="1"/>
        <v>Built-up :</v>
      </c>
      <c r="AE4656" s="7" t="str">
        <f t="shared" si="2"/>
        <v> sq. ft.</v>
      </c>
      <c r="AF4656">
        <f>IFERROR(__xludf.DUMMYFUNCTION("VALUE(REGEXREPLACE(G4656,""[^[:digit:]]"", """"))"),2195.0)</f>
        <v>2195</v>
      </c>
      <c r="AG4656" s="7"/>
      <c r="AH4656" s="7"/>
      <c r="AI4656" s="7"/>
      <c r="AJ4656" s="7"/>
      <c r="AK4656" s="7"/>
      <c r="AL4656" s="7"/>
      <c r="AM4656" s="7"/>
      <c r="AN4656" s="7"/>
      <c r="AO4656" s="7"/>
      <c r="AP4656" s="7"/>
      <c r="AQ4656" s="7"/>
      <c r="AR4656" s="7"/>
      <c r="AS4656" s="7" t="s">
        <v>27</v>
      </c>
    </row>
    <row r="4657">
      <c r="A4657" s="7" t="s">
        <v>17</v>
      </c>
      <c r="B4657" s="7" t="s">
        <v>313</v>
      </c>
      <c r="C4657" s="7">
        <f t="shared" ref="C4657:C4658" si="653">4+1</f>
        <v>5</v>
      </c>
      <c r="D4657" s="7">
        <v>5.0</v>
      </c>
      <c r="E4657" s="9">
        <v>2.0</v>
      </c>
      <c r="F4657" s="7" t="s">
        <v>83</v>
      </c>
      <c r="G4657" s="7" t="s">
        <v>1174</v>
      </c>
      <c r="H4657" s="9" t="s">
        <v>2979</v>
      </c>
      <c r="I4657" t="s">
        <v>3559</v>
      </c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  <c r="AA4657" s="7"/>
      <c r="AB4657" s="7"/>
      <c r="AC4657" s="7"/>
      <c r="AD4657" s="7" t="str">
        <f t="shared" si="1"/>
        <v>Built-up :</v>
      </c>
      <c r="AE4657" s="7" t="str">
        <f t="shared" si="2"/>
        <v> sq. ft.</v>
      </c>
      <c r="AF4657">
        <f>IFERROR(__xludf.DUMMYFUNCTION("VALUE(REGEXREPLACE(G4657,""[^[:digit:]]"", """"))"),3800.0)</f>
        <v>3800</v>
      </c>
      <c r="AG4657" s="7"/>
      <c r="AH4657" s="7"/>
      <c r="AI4657" s="7"/>
      <c r="AJ4657" s="7"/>
      <c r="AK4657" s="7"/>
      <c r="AL4657" s="7"/>
      <c r="AM4657" s="7"/>
      <c r="AN4657" s="7"/>
      <c r="AO4657" s="7"/>
      <c r="AP4657" s="7"/>
      <c r="AQ4657" s="7"/>
      <c r="AR4657" s="7"/>
      <c r="AS4657" s="7" t="s">
        <v>27</v>
      </c>
    </row>
    <row r="4658">
      <c r="A4658" s="7" t="s">
        <v>17</v>
      </c>
      <c r="B4658" s="7" t="s">
        <v>2839</v>
      </c>
      <c r="C4658" s="7">
        <f t="shared" si="653"/>
        <v>5</v>
      </c>
      <c r="D4658" s="7">
        <v>6.0</v>
      </c>
      <c r="E4658" s="9">
        <v>2.0</v>
      </c>
      <c r="F4658" s="7" t="s">
        <v>20</v>
      </c>
      <c r="G4658" s="7" t="s">
        <v>2840</v>
      </c>
      <c r="H4658" s="9" t="s">
        <v>2979</v>
      </c>
      <c r="I4658" t="s">
        <v>4565</v>
      </c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  <c r="AA4658" s="7"/>
      <c r="AB4658" s="7"/>
      <c r="AC4658" s="7"/>
      <c r="AD4658" s="7" t="str">
        <f t="shared" si="1"/>
        <v>Built-up :</v>
      </c>
      <c r="AE4658" s="7" t="str">
        <f t="shared" si="2"/>
        <v> sq. ft.</v>
      </c>
      <c r="AF4658">
        <f>IFERROR(__xludf.DUMMYFUNCTION("VALUE(REGEXREPLACE(G4658,""[^[:digit:]]"", """"))"),3063.0)</f>
        <v>3063</v>
      </c>
      <c r="AG4658" s="7"/>
      <c r="AH4658" s="7"/>
      <c r="AI4658" s="7"/>
      <c r="AJ4658" s="7"/>
      <c r="AK4658" s="7"/>
      <c r="AL4658" s="7"/>
      <c r="AM4658" s="7"/>
      <c r="AN4658" s="7"/>
      <c r="AO4658" s="7"/>
      <c r="AP4658" s="7"/>
      <c r="AQ4658" s="7"/>
      <c r="AR4658" s="7"/>
      <c r="AS4658" s="7" t="s">
        <v>22</v>
      </c>
    </row>
    <row r="4659">
      <c r="A4659" s="7" t="s">
        <v>17</v>
      </c>
      <c r="B4659" s="7" t="s">
        <v>2841</v>
      </c>
      <c r="C4659" s="7">
        <f t="shared" ref="C4659:C4662" si="654">3</f>
        <v>3</v>
      </c>
      <c r="D4659" s="7">
        <v>3.0</v>
      </c>
      <c r="E4659" s="9">
        <v>2.0</v>
      </c>
      <c r="F4659" s="7" t="s">
        <v>20</v>
      </c>
      <c r="G4659" s="7" t="s">
        <v>276</v>
      </c>
      <c r="H4659" s="9" t="s">
        <v>2979</v>
      </c>
      <c r="I4659" t="s">
        <v>3089</v>
      </c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  <c r="AA4659" s="7"/>
      <c r="AB4659" s="7"/>
      <c r="AC4659" s="7"/>
      <c r="AD4659" s="7" t="str">
        <f t="shared" si="1"/>
        <v>Built-up :</v>
      </c>
      <c r="AE4659" s="7" t="str">
        <f t="shared" si="2"/>
        <v> sq. ft.</v>
      </c>
      <c r="AF4659">
        <f>IFERROR(__xludf.DUMMYFUNCTION("VALUE(REGEXREPLACE(G4659,""[^[:digit:]]"", """"))"),1560.0)</f>
        <v>1560</v>
      </c>
      <c r="AG4659" s="7"/>
      <c r="AH4659" s="7"/>
      <c r="AI4659" s="7"/>
      <c r="AJ4659" s="7"/>
      <c r="AK4659" s="7"/>
      <c r="AL4659" s="7"/>
      <c r="AM4659" s="7"/>
      <c r="AN4659" s="7"/>
      <c r="AO4659" s="7"/>
      <c r="AP4659" s="7"/>
      <c r="AQ4659" s="7"/>
      <c r="AR4659" s="7"/>
      <c r="AS4659" s="7" t="s">
        <v>22</v>
      </c>
    </row>
    <row r="4660">
      <c r="A4660" s="7" t="s">
        <v>17</v>
      </c>
      <c r="B4660" s="7" t="s">
        <v>2842</v>
      </c>
      <c r="C4660" s="7">
        <f t="shared" si="654"/>
        <v>3</v>
      </c>
      <c r="D4660" s="7">
        <v>3.0</v>
      </c>
      <c r="E4660" s="9">
        <v>2.0</v>
      </c>
      <c r="F4660" s="7" t="s">
        <v>20</v>
      </c>
      <c r="G4660" s="7" t="s">
        <v>2843</v>
      </c>
      <c r="H4660" s="9" t="s">
        <v>2979</v>
      </c>
      <c r="I4660" t="s">
        <v>4566</v>
      </c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  <c r="AA4660" s="7"/>
      <c r="AB4660" s="7"/>
      <c r="AC4660" s="7"/>
      <c r="AD4660" s="7" t="str">
        <f t="shared" si="1"/>
        <v>Built-up :</v>
      </c>
      <c r="AE4660" s="7" t="str">
        <f t="shared" si="2"/>
        <v> sq. ft.</v>
      </c>
      <c r="AF4660">
        <f>IFERROR(__xludf.DUMMYFUNCTION("VALUE(REGEXREPLACE(G4660,""[^[:digit:]]"", """"))"),1743.0)</f>
        <v>1743</v>
      </c>
      <c r="AG4660" s="7"/>
      <c r="AH4660" s="7"/>
      <c r="AI4660" s="7"/>
      <c r="AJ4660" s="7"/>
      <c r="AK4660" s="7"/>
      <c r="AL4660" s="7"/>
      <c r="AM4660" s="7"/>
      <c r="AN4660" s="7"/>
      <c r="AO4660" s="7"/>
      <c r="AP4660" s="7"/>
      <c r="AQ4660" s="7"/>
      <c r="AR4660" s="7"/>
      <c r="AS4660" s="7" t="s">
        <v>22</v>
      </c>
    </row>
    <row r="4661">
      <c r="A4661" s="7" t="s">
        <v>17</v>
      </c>
      <c r="B4661" s="7" t="s">
        <v>2844</v>
      </c>
      <c r="C4661" s="7">
        <f t="shared" si="654"/>
        <v>3</v>
      </c>
      <c r="D4661" s="7">
        <v>3.0</v>
      </c>
      <c r="E4661" s="9">
        <v>2.0</v>
      </c>
      <c r="F4661" s="7" t="s">
        <v>20</v>
      </c>
      <c r="G4661" s="7" t="s">
        <v>276</v>
      </c>
      <c r="H4661" s="9" t="s">
        <v>2979</v>
      </c>
      <c r="I4661" t="s">
        <v>3089</v>
      </c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  <c r="AA4661" s="7"/>
      <c r="AB4661" s="7"/>
      <c r="AC4661" s="7"/>
      <c r="AD4661" s="7" t="str">
        <f t="shared" si="1"/>
        <v>Built-up :</v>
      </c>
      <c r="AE4661" s="7" t="str">
        <f t="shared" si="2"/>
        <v> sq. ft.</v>
      </c>
      <c r="AF4661">
        <f>IFERROR(__xludf.DUMMYFUNCTION("VALUE(REGEXREPLACE(G4661,""[^[:digit:]]"", """"))"),1560.0)</f>
        <v>1560</v>
      </c>
      <c r="AG4661" s="7"/>
      <c r="AH4661" s="7"/>
      <c r="AI4661" s="7"/>
      <c r="AJ4661" s="7"/>
      <c r="AK4661" s="7"/>
      <c r="AL4661" s="7"/>
      <c r="AM4661" s="7"/>
      <c r="AN4661" s="7"/>
      <c r="AO4661" s="7"/>
      <c r="AP4661" s="7"/>
      <c r="AQ4661" s="7"/>
      <c r="AR4661" s="7"/>
      <c r="AS4661" s="7" t="s">
        <v>22</v>
      </c>
    </row>
    <row r="4662">
      <c r="A4662" s="7" t="s">
        <v>17</v>
      </c>
      <c r="B4662" s="7" t="s">
        <v>2845</v>
      </c>
      <c r="C4662" s="7">
        <f t="shared" si="654"/>
        <v>3</v>
      </c>
      <c r="D4662" s="7">
        <v>3.0</v>
      </c>
      <c r="E4662" s="9">
        <v>2.0</v>
      </c>
      <c r="F4662" s="7" t="s">
        <v>20</v>
      </c>
      <c r="G4662" s="7" t="s">
        <v>1007</v>
      </c>
      <c r="H4662" s="9" t="s">
        <v>2979</v>
      </c>
      <c r="I4662" t="s">
        <v>3451</v>
      </c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  <c r="AA4662" s="7"/>
      <c r="AB4662" s="7"/>
      <c r="AC4662" s="7"/>
      <c r="AD4662" s="7" t="str">
        <f t="shared" si="1"/>
        <v>Built-up :</v>
      </c>
      <c r="AE4662" s="7" t="str">
        <f t="shared" si="2"/>
        <v> sq. ft.</v>
      </c>
      <c r="AF4662">
        <f>IFERROR(__xludf.DUMMYFUNCTION("VALUE(REGEXREPLACE(G4662,""[^[:digit:]]"", """"))"),1680.0)</f>
        <v>1680</v>
      </c>
      <c r="AG4662" s="7"/>
      <c r="AH4662" s="7"/>
      <c r="AI4662" s="7"/>
      <c r="AJ4662" s="7"/>
      <c r="AK4662" s="7"/>
      <c r="AL4662" s="7"/>
      <c r="AM4662" s="7"/>
      <c r="AN4662" s="7"/>
      <c r="AO4662" s="7"/>
      <c r="AP4662" s="7"/>
      <c r="AQ4662" s="7"/>
      <c r="AR4662" s="7"/>
      <c r="AS4662" s="7" t="s">
        <v>22</v>
      </c>
    </row>
    <row r="4663">
      <c r="A4663" s="7" t="s">
        <v>17</v>
      </c>
      <c r="B4663" s="7" t="s">
        <v>2846</v>
      </c>
      <c r="C4663" s="7">
        <f>2</f>
        <v>2</v>
      </c>
      <c r="D4663" s="7">
        <v>2.0</v>
      </c>
      <c r="E4663" s="9">
        <v>2.0</v>
      </c>
      <c r="F4663" s="7" t="s">
        <v>20</v>
      </c>
      <c r="G4663" s="7" t="s">
        <v>595</v>
      </c>
      <c r="H4663" s="9" t="s">
        <v>2979</v>
      </c>
      <c r="I4663" t="s">
        <v>3241</v>
      </c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  <c r="AA4663" s="7"/>
      <c r="AB4663" s="7"/>
      <c r="AC4663" s="7"/>
      <c r="AD4663" s="7" t="str">
        <f t="shared" si="1"/>
        <v>Built-up :</v>
      </c>
      <c r="AE4663" s="7" t="str">
        <f t="shared" si="2"/>
        <v> sq. ft.</v>
      </c>
      <c r="AF4663">
        <f>IFERROR(__xludf.DUMMYFUNCTION("VALUE(REGEXREPLACE(G4663,""[^[:digit:]]"", """"))"),1103.0)</f>
        <v>1103</v>
      </c>
      <c r="AG4663" s="7"/>
      <c r="AH4663" s="7"/>
      <c r="AI4663" s="7"/>
      <c r="AJ4663" s="7"/>
      <c r="AK4663" s="7"/>
      <c r="AL4663" s="7"/>
      <c r="AM4663" s="7"/>
      <c r="AN4663" s="7"/>
      <c r="AO4663" s="7"/>
      <c r="AP4663" s="7"/>
      <c r="AQ4663" s="7"/>
      <c r="AR4663" s="7"/>
      <c r="AS4663" s="7" t="s">
        <v>22</v>
      </c>
    </row>
    <row r="4664">
      <c r="A4664" s="7" t="s">
        <v>17</v>
      </c>
      <c r="B4664" s="7" t="s">
        <v>2847</v>
      </c>
      <c r="C4664" s="7">
        <f>3</f>
        <v>3</v>
      </c>
      <c r="D4664" s="7">
        <v>3.0</v>
      </c>
      <c r="E4664" s="9">
        <v>2.0</v>
      </c>
      <c r="F4664" s="7" t="s">
        <v>20</v>
      </c>
      <c r="G4664" s="7" t="s">
        <v>2848</v>
      </c>
      <c r="H4664" s="9" t="s">
        <v>2979</v>
      </c>
      <c r="I4664" t="s">
        <v>4567</v>
      </c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  <c r="AA4664" s="7"/>
      <c r="AB4664" s="7"/>
      <c r="AC4664" s="7"/>
      <c r="AD4664" s="7" t="str">
        <f t="shared" si="1"/>
        <v>Built-up :</v>
      </c>
      <c r="AE4664" s="7" t="str">
        <f t="shared" si="2"/>
        <v> sq. ft.</v>
      </c>
      <c r="AF4664">
        <f>IFERROR(__xludf.DUMMYFUNCTION("VALUE(REGEXREPLACE(G4664,""[^[:digit:]]"", """"))"),1604.0)</f>
        <v>1604</v>
      </c>
      <c r="AG4664" s="7"/>
      <c r="AH4664" s="7"/>
      <c r="AI4664" s="7"/>
      <c r="AJ4664" s="7"/>
      <c r="AK4664" s="7"/>
      <c r="AL4664" s="7"/>
      <c r="AM4664" s="7"/>
      <c r="AN4664" s="7"/>
      <c r="AO4664" s="7"/>
      <c r="AP4664" s="7"/>
      <c r="AQ4664" s="7"/>
      <c r="AR4664" s="7"/>
      <c r="AS4664" s="7" t="s">
        <v>22</v>
      </c>
    </row>
    <row r="4665">
      <c r="A4665" s="7" t="s">
        <v>17</v>
      </c>
      <c r="B4665" s="7" t="s">
        <v>2849</v>
      </c>
      <c r="C4665" s="7">
        <f>2+1</f>
        <v>3</v>
      </c>
      <c r="D4665" s="7">
        <v>2.0</v>
      </c>
      <c r="E4665" s="9">
        <v>2.0</v>
      </c>
      <c r="F4665" s="7" t="s">
        <v>20</v>
      </c>
      <c r="G4665" s="7" t="s">
        <v>234</v>
      </c>
      <c r="H4665" s="9" t="s">
        <v>2979</v>
      </c>
      <c r="I4665" t="s">
        <v>3068</v>
      </c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  <c r="AA4665" s="7"/>
      <c r="AB4665" s="7"/>
      <c r="AC4665" s="7"/>
      <c r="AD4665" s="7" t="str">
        <f t="shared" si="1"/>
        <v>Built-up :</v>
      </c>
      <c r="AE4665" s="7" t="str">
        <f t="shared" si="2"/>
        <v> sq. ft.</v>
      </c>
      <c r="AF4665">
        <f>IFERROR(__xludf.DUMMYFUNCTION("VALUE(REGEXREPLACE(G4665,""[^[:digit:]]"", """"))"),1399.0)</f>
        <v>1399</v>
      </c>
      <c r="AG4665" s="7"/>
      <c r="AH4665" s="7"/>
      <c r="AI4665" s="7"/>
      <c r="AJ4665" s="7"/>
      <c r="AK4665" s="7"/>
      <c r="AL4665" s="7"/>
      <c r="AM4665" s="7"/>
      <c r="AN4665" s="7"/>
      <c r="AO4665" s="7"/>
      <c r="AP4665" s="7"/>
      <c r="AQ4665" s="7"/>
      <c r="AR4665" s="7"/>
      <c r="AS4665" s="7" t="s">
        <v>22</v>
      </c>
    </row>
    <row r="4666">
      <c r="A4666" s="7" t="s">
        <v>17</v>
      </c>
      <c r="B4666" s="7" t="s">
        <v>2850</v>
      </c>
      <c r="C4666" s="7">
        <f t="shared" ref="C4666:C4667" si="655">2</f>
        <v>2</v>
      </c>
      <c r="D4666" s="7">
        <v>2.0</v>
      </c>
      <c r="E4666" s="9">
        <v>2.0</v>
      </c>
      <c r="F4666" s="7" t="s">
        <v>20</v>
      </c>
      <c r="G4666" s="7" t="s">
        <v>459</v>
      </c>
      <c r="H4666" s="9" t="s">
        <v>2979</v>
      </c>
      <c r="I4666" t="s">
        <v>3171</v>
      </c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  <c r="AA4666" s="7"/>
      <c r="AB4666" s="7"/>
      <c r="AC4666" s="7"/>
      <c r="AD4666" s="7" t="str">
        <f t="shared" si="1"/>
        <v>Built-up :</v>
      </c>
      <c r="AE4666" s="7" t="str">
        <f t="shared" si="2"/>
        <v> sq. ft.</v>
      </c>
      <c r="AF4666">
        <f>IFERROR(__xludf.DUMMYFUNCTION("VALUE(REGEXREPLACE(G4666,""[^[:digit:]]"", """"))"),1114.0)</f>
        <v>1114</v>
      </c>
      <c r="AG4666" s="7"/>
      <c r="AH4666" s="7"/>
      <c r="AI4666" s="7"/>
      <c r="AJ4666" s="7"/>
      <c r="AK4666" s="7"/>
      <c r="AL4666" s="7"/>
      <c r="AM4666" s="7"/>
      <c r="AN4666" s="7"/>
      <c r="AO4666" s="7"/>
      <c r="AP4666" s="7"/>
      <c r="AQ4666" s="7"/>
      <c r="AR4666" s="7"/>
      <c r="AS4666" s="7" t="s">
        <v>22</v>
      </c>
    </row>
    <row r="4667">
      <c r="A4667" s="7" t="s">
        <v>17</v>
      </c>
      <c r="B4667" s="7" t="s">
        <v>2851</v>
      </c>
      <c r="C4667" s="7">
        <f t="shared" si="655"/>
        <v>2</v>
      </c>
      <c r="D4667" s="7">
        <v>2.0</v>
      </c>
      <c r="E4667" s="9">
        <v>2.0</v>
      </c>
      <c r="F4667" s="7" t="s">
        <v>20</v>
      </c>
      <c r="G4667" s="7" t="s">
        <v>459</v>
      </c>
      <c r="H4667" s="9" t="s">
        <v>2979</v>
      </c>
      <c r="I4667" t="s">
        <v>3171</v>
      </c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  <c r="AA4667" s="7"/>
      <c r="AB4667" s="7"/>
      <c r="AC4667" s="7"/>
      <c r="AD4667" s="7" t="str">
        <f t="shared" si="1"/>
        <v>Built-up :</v>
      </c>
      <c r="AE4667" s="7" t="str">
        <f t="shared" si="2"/>
        <v> sq. ft.</v>
      </c>
      <c r="AF4667">
        <f>IFERROR(__xludf.DUMMYFUNCTION("VALUE(REGEXREPLACE(G4667,""[^[:digit:]]"", """"))"),1114.0)</f>
        <v>1114</v>
      </c>
      <c r="AG4667" s="7"/>
      <c r="AH4667" s="7"/>
      <c r="AI4667" s="7"/>
      <c r="AJ4667" s="7"/>
      <c r="AK4667" s="7"/>
      <c r="AL4667" s="7"/>
      <c r="AM4667" s="7"/>
      <c r="AN4667" s="7"/>
      <c r="AO4667" s="7"/>
      <c r="AP4667" s="7"/>
      <c r="AQ4667" s="7"/>
      <c r="AR4667" s="7"/>
      <c r="AS4667" s="7" t="s">
        <v>22</v>
      </c>
    </row>
    <row r="4668">
      <c r="A4668" s="7" t="s">
        <v>17</v>
      </c>
      <c r="B4668" s="7" t="s">
        <v>174</v>
      </c>
      <c r="C4668" s="7">
        <f>4+2</f>
        <v>6</v>
      </c>
      <c r="D4668" s="7">
        <v>5.0</v>
      </c>
      <c r="E4668" s="9">
        <v>2.0</v>
      </c>
      <c r="F4668" s="7" t="s">
        <v>83</v>
      </c>
      <c r="G4668" s="7" t="s">
        <v>1174</v>
      </c>
      <c r="H4668" s="9" t="s">
        <v>2979</v>
      </c>
      <c r="I4668" t="s">
        <v>3559</v>
      </c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  <c r="AA4668" s="7"/>
      <c r="AB4668" s="7"/>
      <c r="AC4668" s="7"/>
      <c r="AD4668" s="7" t="str">
        <f t="shared" si="1"/>
        <v>Built-up :</v>
      </c>
      <c r="AE4668" s="7" t="str">
        <f t="shared" si="2"/>
        <v> sq. ft.</v>
      </c>
      <c r="AF4668">
        <f>IFERROR(__xludf.DUMMYFUNCTION("VALUE(REGEXREPLACE(G4668,""[^[:digit:]]"", """"))"),3800.0)</f>
        <v>3800</v>
      </c>
      <c r="AG4668" s="7"/>
      <c r="AH4668" s="7"/>
      <c r="AI4668" s="7"/>
      <c r="AJ4668" s="7"/>
      <c r="AK4668" s="7"/>
      <c r="AL4668" s="7"/>
      <c r="AM4668" s="7"/>
      <c r="AN4668" s="7"/>
      <c r="AO4668" s="7"/>
      <c r="AP4668" s="7"/>
      <c r="AQ4668" s="7"/>
      <c r="AR4668" s="7"/>
      <c r="AS4668" s="7" t="s">
        <v>27</v>
      </c>
    </row>
    <row r="4669">
      <c r="A4669" s="7" t="s">
        <v>17</v>
      </c>
      <c r="B4669" s="7" t="s">
        <v>2852</v>
      </c>
      <c r="C4669" s="7">
        <f>3+1</f>
        <v>4</v>
      </c>
      <c r="D4669" s="7">
        <v>4.0</v>
      </c>
      <c r="E4669" s="9">
        <v>2.0</v>
      </c>
      <c r="F4669" s="7" t="s">
        <v>20</v>
      </c>
      <c r="G4669" s="7" t="s">
        <v>205</v>
      </c>
      <c r="H4669" s="9" t="s">
        <v>2979</v>
      </c>
      <c r="I4669" t="s">
        <v>3052</v>
      </c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  <c r="AA4669" s="7"/>
      <c r="AB4669" s="7"/>
      <c r="AC4669" s="7"/>
      <c r="AD4669" s="7" t="str">
        <f t="shared" si="1"/>
        <v>Built-up :</v>
      </c>
      <c r="AE4669" s="7" t="str">
        <f t="shared" si="2"/>
        <v> sq. ft.</v>
      </c>
      <c r="AF4669">
        <f>IFERROR(__xludf.DUMMYFUNCTION("VALUE(REGEXREPLACE(G4669,""[^[:digit:]]"", """"))"),3282.0)</f>
        <v>3282</v>
      </c>
      <c r="AG4669" s="7"/>
      <c r="AH4669" s="7"/>
      <c r="AI4669" s="7"/>
      <c r="AJ4669" s="7"/>
      <c r="AK4669" s="7"/>
      <c r="AL4669" s="7"/>
      <c r="AM4669" s="7"/>
      <c r="AN4669" s="7"/>
      <c r="AO4669" s="7"/>
      <c r="AP4669" s="7"/>
      <c r="AQ4669" s="7"/>
      <c r="AR4669" s="7"/>
      <c r="AS4669" s="7" t="s">
        <v>27</v>
      </c>
    </row>
    <row r="4670">
      <c r="A4670" s="7" t="s">
        <v>17</v>
      </c>
      <c r="B4670" s="7" t="s">
        <v>421</v>
      </c>
      <c r="C4670" s="7">
        <f>5+1</f>
        <v>6</v>
      </c>
      <c r="D4670" s="7">
        <v>5.0</v>
      </c>
      <c r="E4670" s="9">
        <v>2.0</v>
      </c>
      <c r="F4670" s="7" t="s">
        <v>20</v>
      </c>
      <c r="G4670" s="7" t="s">
        <v>1181</v>
      </c>
      <c r="H4670" s="9" t="s">
        <v>2979</v>
      </c>
      <c r="I4670" t="s">
        <v>3562</v>
      </c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  <c r="AA4670" s="7"/>
      <c r="AB4670" s="7"/>
      <c r="AC4670" s="7"/>
      <c r="AD4670" s="7" t="str">
        <f t="shared" si="1"/>
        <v>Built-up :</v>
      </c>
      <c r="AE4670" s="7" t="str">
        <f t="shared" si="2"/>
        <v> sq. ft.</v>
      </c>
      <c r="AF4670">
        <f>IFERROR(__xludf.DUMMYFUNCTION("VALUE(REGEXREPLACE(G4670,""[^[:digit:]]"", """"))"),5429.0)</f>
        <v>5429</v>
      </c>
      <c r="AG4670" s="7"/>
      <c r="AH4670" s="7"/>
      <c r="AI4670" s="7"/>
      <c r="AJ4670" s="7"/>
      <c r="AK4670" s="7"/>
      <c r="AL4670" s="7"/>
      <c r="AM4670" s="7"/>
      <c r="AN4670" s="7"/>
      <c r="AO4670" s="7"/>
      <c r="AP4670" s="7"/>
      <c r="AQ4670" s="7"/>
      <c r="AR4670" s="7"/>
      <c r="AS4670" s="7" t="s">
        <v>27</v>
      </c>
    </row>
    <row r="4671">
      <c r="A4671" s="7" t="s">
        <v>17</v>
      </c>
      <c r="B4671" s="7" t="s">
        <v>257</v>
      </c>
      <c r="C4671" s="7">
        <f t="shared" ref="C4671:C4673" si="656">3+1</f>
        <v>4</v>
      </c>
      <c r="D4671" s="7">
        <v>4.0</v>
      </c>
      <c r="E4671" s="9">
        <v>2.0</v>
      </c>
      <c r="F4671" s="7" t="s">
        <v>20</v>
      </c>
      <c r="G4671" s="7" t="s">
        <v>1879</v>
      </c>
      <c r="H4671" s="9" t="s">
        <v>2979</v>
      </c>
      <c r="I4671" t="s">
        <v>3975</v>
      </c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  <c r="AA4671" s="7"/>
      <c r="AB4671" s="7"/>
      <c r="AC4671" s="7"/>
      <c r="AD4671" s="7" t="str">
        <f t="shared" si="1"/>
        <v>Built-up :</v>
      </c>
      <c r="AE4671" s="7" t="str">
        <f t="shared" si="2"/>
        <v> sq. ft.</v>
      </c>
      <c r="AF4671">
        <f>IFERROR(__xludf.DUMMYFUNCTION("VALUE(REGEXREPLACE(G4671,""[^[:digit:]]"", """"))"),1804.0)</f>
        <v>1804</v>
      </c>
      <c r="AG4671" s="7"/>
      <c r="AH4671" s="7"/>
      <c r="AI4671" s="7"/>
      <c r="AJ4671" s="7"/>
      <c r="AK4671" s="7"/>
      <c r="AL4671" s="7"/>
      <c r="AM4671" s="7"/>
      <c r="AN4671" s="7"/>
      <c r="AO4671" s="7"/>
      <c r="AP4671" s="7"/>
      <c r="AQ4671" s="7"/>
      <c r="AR4671" s="7"/>
      <c r="AS4671" s="7" t="s">
        <v>22</v>
      </c>
    </row>
    <row r="4672">
      <c r="A4672" s="7" t="s">
        <v>17</v>
      </c>
      <c r="B4672" s="7" t="s">
        <v>2853</v>
      </c>
      <c r="C4672" s="7">
        <f t="shared" si="656"/>
        <v>4</v>
      </c>
      <c r="D4672" s="7">
        <v>3.0</v>
      </c>
      <c r="E4672" s="9">
        <v>2.0</v>
      </c>
      <c r="F4672" s="7" t="s">
        <v>20</v>
      </c>
      <c r="G4672" s="7" t="s">
        <v>1009</v>
      </c>
      <c r="H4672" s="9" t="s">
        <v>2979</v>
      </c>
      <c r="I4672" t="s">
        <v>3453</v>
      </c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  <c r="AA4672" s="7"/>
      <c r="AB4672" s="7"/>
      <c r="AC4672" s="7"/>
      <c r="AD4672" s="7" t="str">
        <f t="shared" si="1"/>
        <v>Built-up :</v>
      </c>
      <c r="AE4672" s="7" t="str">
        <f t="shared" si="2"/>
        <v> sq. ft.</v>
      </c>
      <c r="AF4672">
        <f>IFERROR(__xludf.DUMMYFUNCTION("VALUE(REGEXREPLACE(G4672,""[^[:digit:]]"", """"))"),3303.0)</f>
        <v>3303</v>
      </c>
      <c r="AG4672" s="7"/>
      <c r="AH4672" s="7"/>
      <c r="AI4672" s="7"/>
      <c r="AJ4672" s="7"/>
      <c r="AK4672" s="7"/>
      <c r="AL4672" s="7"/>
      <c r="AM4672" s="7"/>
      <c r="AN4672" s="7"/>
      <c r="AO4672" s="7"/>
      <c r="AP4672" s="7"/>
      <c r="AQ4672" s="7"/>
      <c r="AR4672" s="7"/>
      <c r="AS4672" s="7" t="s">
        <v>27</v>
      </c>
    </row>
    <row r="4673">
      <c r="A4673" s="7" t="s">
        <v>17</v>
      </c>
      <c r="B4673" s="7" t="s">
        <v>2854</v>
      </c>
      <c r="C4673" s="7">
        <f t="shared" si="656"/>
        <v>4</v>
      </c>
      <c r="D4673" s="7">
        <v>3.0</v>
      </c>
      <c r="E4673" s="7">
        <v>2.0</v>
      </c>
      <c r="F4673" s="7" t="s">
        <v>20</v>
      </c>
      <c r="G4673" s="7" t="s">
        <v>1136</v>
      </c>
      <c r="H4673" s="9" t="s">
        <v>2979</v>
      </c>
      <c r="I4673" t="s">
        <v>3527</v>
      </c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  <c r="AA4673" s="7"/>
      <c r="AB4673" s="7"/>
      <c r="AC4673" s="7"/>
      <c r="AD4673" s="7" t="str">
        <f t="shared" si="1"/>
        <v>Built-up :</v>
      </c>
      <c r="AE4673" s="7" t="str">
        <f t="shared" si="2"/>
        <v> sq. ft.</v>
      </c>
      <c r="AF4673">
        <f>IFERROR(__xludf.DUMMYFUNCTION("VALUE(REGEXREPLACE(G4673,""[^[:digit:]]"", """"))"),1786.0)</f>
        <v>1786</v>
      </c>
      <c r="AG4673" s="7"/>
      <c r="AH4673" s="7"/>
      <c r="AI4673" s="7"/>
      <c r="AJ4673" s="7"/>
      <c r="AK4673" s="7"/>
      <c r="AL4673" s="7"/>
      <c r="AM4673" s="7"/>
      <c r="AN4673" s="7"/>
      <c r="AO4673" s="7"/>
      <c r="AP4673" s="7"/>
      <c r="AQ4673" s="7"/>
      <c r="AR4673" s="7"/>
      <c r="AS4673" s="7" t="s">
        <v>22</v>
      </c>
    </row>
    <row r="4674">
      <c r="A4674" s="7" t="s">
        <v>17</v>
      </c>
      <c r="B4674" s="7" t="s">
        <v>2855</v>
      </c>
      <c r="C4674" s="7">
        <f>2</f>
        <v>2</v>
      </c>
      <c r="D4674" s="7">
        <v>2.0</v>
      </c>
      <c r="E4674" s="7">
        <v>1.0</v>
      </c>
      <c r="F4674" s="7" t="s">
        <v>20</v>
      </c>
      <c r="G4674" s="7" t="s">
        <v>237</v>
      </c>
      <c r="H4674" s="9" t="s">
        <v>2979</v>
      </c>
      <c r="I4674" t="s">
        <v>3069</v>
      </c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  <c r="AA4674" s="7"/>
      <c r="AB4674" s="7"/>
      <c r="AC4674" s="7"/>
      <c r="AD4674" s="7" t="str">
        <f t="shared" si="1"/>
        <v>Built-up :</v>
      </c>
      <c r="AE4674" s="7" t="str">
        <f t="shared" si="2"/>
        <v> sq. ft.</v>
      </c>
      <c r="AF4674">
        <f>IFERROR(__xludf.DUMMYFUNCTION("VALUE(REGEXREPLACE(G4674,""[^[:digit:]]"", """"))"),1087.0)</f>
        <v>1087</v>
      </c>
      <c r="AG4674" s="7"/>
      <c r="AH4674" s="7"/>
      <c r="AI4674" s="7"/>
      <c r="AJ4674" s="7"/>
      <c r="AK4674" s="7"/>
      <c r="AL4674" s="7"/>
      <c r="AM4674" s="7"/>
      <c r="AN4674" s="7"/>
      <c r="AO4674" s="7"/>
      <c r="AP4674" s="7"/>
      <c r="AQ4674" s="7"/>
      <c r="AR4674" s="7"/>
      <c r="AS4674" s="7" t="s">
        <v>22</v>
      </c>
    </row>
    <row r="4675">
      <c r="A4675" s="7" t="s">
        <v>17</v>
      </c>
      <c r="B4675" s="7" t="s">
        <v>281</v>
      </c>
      <c r="C4675" s="7">
        <f>1+1</f>
        <v>2</v>
      </c>
      <c r="D4675" s="7">
        <v>2.0</v>
      </c>
      <c r="E4675" s="9">
        <v>2.0</v>
      </c>
      <c r="F4675" s="7" t="s">
        <v>20</v>
      </c>
      <c r="G4675" s="7" t="s">
        <v>342</v>
      </c>
      <c r="H4675" s="9" t="s">
        <v>2979</v>
      </c>
      <c r="I4675" t="s">
        <v>3117</v>
      </c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  <c r="AA4675" s="7"/>
      <c r="AB4675" s="7"/>
      <c r="AC4675" s="7"/>
      <c r="AD4675" s="7" t="str">
        <f t="shared" si="1"/>
        <v>Built-up :</v>
      </c>
      <c r="AE4675" s="7" t="str">
        <f t="shared" si="2"/>
        <v> sq. ft.</v>
      </c>
      <c r="AF4675">
        <f>IFERROR(__xludf.DUMMYFUNCTION("VALUE(REGEXREPLACE(G4675,""[^[:digit:]]"", """"))"),1076.0)</f>
        <v>1076</v>
      </c>
      <c r="AG4675" s="7"/>
      <c r="AH4675" s="7"/>
      <c r="AI4675" s="7"/>
      <c r="AJ4675" s="7"/>
      <c r="AK4675" s="7"/>
      <c r="AL4675" s="7"/>
      <c r="AM4675" s="7"/>
      <c r="AN4675" s="7"/>
      <c r="AO4675" s="7"/>
      <c r="AP4675" s="7"/>
      <c r="AQ4675" s="7"/>
      <c r="AR4675" s="7"/>
      <c r="AS4675" s="7" t="s">
        <v>27</v>
      </c>
    </row>
    <row r="4676">
      <c r="A4676" s="7" t="s">
        <v>72</v>
      </c>
      <c r="B4676" s="7" t="s">
        <v>530</v>
      </c>
      <c r="C4676" s="7">
        <f>5+1</f>
        <v>6</v>
      </c>
      <c r="D4676" s="7">
        <v>5.0</v>
      </c>
      <c r="E4676" s="7">
        <v>2.0</v>
      </c>
      <c r="F4676" s="7" t="s">
        <v>64</v>
      </c>
      <c r="G4676" s="7" t="s">
        <v>2744</v>
      </c>
      <c r="H4676" s="9" t="s">
        <v>2979</v>
      </c>
      <c r="I4676" t="s">
        <v>4502</v>
      </c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  <c r="AA4676" s="7"/>
      <c r="AB4676" s="7"/>
      <c r="AC4676" s="7"/>
      <c r="AD4676" s="7" t="str">
        <f t="shared" si="1"/>
        <v>Built-up :</v>
      </c>
      <c r="AE4676" s="7" t="str">
        <f t="shared" si="2"/>
        <v> sq. ft.</v>
      </c>
      <c r="AF4676">
        <f>IFERROR(__xludf.DUMMYFUNCTION("VALUE(REGEXREPLACE(G4676,""[^[:digit:]]"", """"))"),3950.0)</f>
        <v>3950</v>
      </c>
      <c r="AG4676" s="7"/>
      <c r="AH4676" s="7"/>
      <c r="AI4676" s="7"/>
      <c r="AJ4676" s="7"/>
      <c r="AK4676" s="7"/>
      <c r="AL4676" s="7"/>
      <c r="AM4676" s="7"/>
      <c r="AN4676" s="7"/>
      <c r="AO4676" s="7"/>
      <c r="AP4676" s="7"/>
      <c r="AQ4676" s="7"/>
      <c r="AR4676" s="7"/>
      <c r="AS4676" s="7" t="s">
        <v>22</v>
      </c>
    </row>
    <row r="4677">
      <c r="A4677" s="7" t="s">
        <v>17</v>
      </c>
      <c r="B4677" s="7" t="s">
        <v>422</v>
      </c>
      <c r="C4677" s="7">
        <f>2</f>
        <v>2</v>
      </c>
      <c r="D4677" s="7">
        <v>2.0</v>
      </c>
      <c r="E4677" s="9">
        <v>2.0</v>
      </c>
      <c r="F4677" s="7" t="s">
        <v>20</v>
      </c>
      <c r="G4677" s="7" t="s">
        <v>930</v>
      </c>
      <c r="H4677" s="9" t="s">
        <v>2979</v>
      </c>
      <c r="I4677" t="s">
        <v>3412</v>
      </c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  <c r="AA4677" s="7"/>
      <c r="AB4677" s="7"/>
      <c r="AC4677" s="7"/>
      <c r="AD4677" s="7" t="str">
        <f t="shared" si="1"/>
        <v>Built-up :</v>
      </c>
      <c r="AE4677" s="7" t="str">
        <f t="shared" si="2"/>
        <v> sq. ft.</v>
      </c>
      <c r="AF4677">
        <f>IFERROR(__xludf.DUMMYFUNCTION("VALUE(REGEXREPLACE(G4677,""[^[:digit:]]"", """"))"),1270.0)</f>
        <v>1270</v>
      </c>
      <c r="AG4677" s="7"/>
      <c r="AH4677" s="7"/>
      <c r="AI4677" s="7"/>
      <c r="AJ4677" s="7"/>
      <c r="AK4677" s="7"/>
      <c r="AL4677" s="7"/>
      <c r="AM4677" s="7"/>
      <c r="AN4677" s="7"/>
      <c r="AO4677" s="7"/>
      <c r="AP4677" s="7"/>
      <c r="AQ4677" s="7"/>
      <c r="AR4677" s="7"/>
      <c r="AS4677" s="7" t="s">
        <v>22</v>
      </c>
    </row>
    <row r="4678">
      <c r="A4678" s="7" t="s">
        <v>428</v>
      </c>
      <c r="B4678" s="7" t="s">
        <v>151</v>
      </c>
      <c r="C4678" s="7">
        <f t="shared" ref="C4678:C4679" si="657">4+1</f>
        <v>5</v>
      </c>
      <c r="D4678" s="7">
        <v>4.0</v>
      </c>
      <c r="E4678" s="9">
        <v>2.0</v>
      </c>
      <c r="F4678" s="7" t="s">
        <v>83</v>
      </c>
      <c r="G4678" s="7" t="s">
        <v>2856</v>
      </c>
      <c r="H4678" s="9" t="s">
        <v>2979</v>
      </c>
      <c r="I4678" t="s">
        <v>4568</v>
      </c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  <c r="AA4678" s="7"/>
      <c r="AB4678" s="7"/>
      <c r="AC4678" s="7"/>
      <c r="AD4678" s="7" t="str">
        <f t="shared" si="1"/>
        <v>Built-up :</v>
      </c>
      <c r="AE4678" s="7" t="str">
        <f t="shared" si="2"/>
        <v> sq. ft.</v>
      </c>
      <c r="AF4678">
        <f>IFERROR(__xludf.DUMMYFUNCTION("VALUE(REGEXREPLACE(G4678,""[^[:digit:]]"", """"))"),5145.0)</f>
        <v>5145</v>
      </c>
      <c r="AG4678" s="7"/>
      <c r="AH4678" s="7"/>
      <c r="AI4678" s="7"/>
      <c r="AJ4678" s="7"/>
      <c r="AK4678" s="7"/>
      <c r="AL4678" s="7"/>
      <c r="AM4678" s="7"/>
      <c r="AN4678" s="7"/>
      <c r="AO4678" s="7"/>
      <c r="AP4678" s="7"/>
      <c r="AQ4678" s="7"/>
      <c r="AR4678" s="7"/>
      <c r="AS4678" s="7" t="s">
        <v>27</v>
      </c>
    </row>
    <row r="4679">
      <c r="A4679" s="7" t="s">
        <v>428</v>
      </c>
      <c r="B4679" s="7" t="s">
        <v>1255</v>
      </c>
      <c r="C4679" s="7">
        <f t="shared" si="657"/>
        <v>5</v>
      </c>
      <c r="D4679" s="7">
        <v>5.0</v>
      </c>
      <c r="E4679" s="9">
        <v>2.0</v>
      </c>
      <c r="F4679" s="7" t="s">
        <v>83</v>
      </c>
      <c r="G4679" s="7" t="s">
        <v>2857</v>
      </c>
      <c r="H4679" s="9" t="s">
        <v>2979</v>
      </c>
      <c r="I4679" t="s">
        <v>4569</v>
      </c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  <c r="AA4679" s="7"/>
      <c r="AB4679" s="7"/>
      <c r="AC4679" s="7"/>
      <c r="AD4679" s="7" t="str">
        <f t="shared" si="1"/>
        <v>Built-up :</v>
      </c>
      <c r="AE4679" s="7" t="str">
        <f t="shared" si="2"/>
        <v> sq. ft.</v>
      </c>
      <c r="AF4679">
        <f>IFERROR(__xludf.DUMMYFUNCTION("VALUE(REGEXREPLACE(G4679,""[^[:digit:]]"", """"))"),6825.0)</f>
        <v>6825</v>
      </c>
      <c r="AG4679" s="7"/>
      <c r="AH4679" s="7"/>
      <c r="AI4679" s="7"/>
      <c r="AJ4679" s="7"/>
      <c r="AK4679" s="7"/>
      <c r="AL4679" s="7"/>
      <c r="AM4679" s="7"/>
      <c r="AN4679" s="7"/>
      <c r="AO4679" s="7"/>
      <c r="AP4679" s="7"/>
      <c r="AQ4679" s="7"/>
      <c r="AR4679" s="7"/>
      <c r="AS4679" s="7" t="s">
        <v>27</v>
      </c>
    </row>
    <row r="4680">
      <c r="A4680" s="7" t="s">
        <v>428</v>
      </c>
      <c r="B4680" s="7" t="s">
        <v>534</v>
      </c>
      <c r="C4680" s="7">
        <f t="shared" ref="C4680:C4681" si="658">4</f>
        <v>4</v>
      </c>
      <c r="D4680" s="7">
        <v>4.0</v>
      </c>
      <c r="E4680" s="9">
        <v>2.0</v>
      </c>
      <c r="F4680" s="7" t="s">
        <v>83</v>
      </c>
      <c r="G4680" s="7" t="s">
        <v>933</v>
      </c>
      <c r="H4680" s="9" t="s">
        <v>2979</v>
      </c>
      <c r="I4680" t="s">
        <v>3414</v>
      </c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  <c r="AA4680" s="7"/>
      <c r="AB4680" s="7"/>
      <c r="AC4680" s="7"/>
      <c r="AD4680" s="7" t="str">
        <f t="shared" si="1"/>
        <v>Built-up :</v>
      </c>
      <c r="AE4680" s="7" t="str">
        <f t="shared" si="2"/>
        <v> sq. ft.</v>
      </c>
      <c r="AF4680">
        <f>IFERROR(__xludf.DUMMYFUNCTION("VALUE(REGEXREPLACE(G4680,""[^[:digit:]]"", """"))"),3541.0)</f>
        <v>3541</v>
      </c>
      <c r="AG4680" s="7"/>
      <c r="AH4680" s="7"/>
      <c r="AI4680" s="7"/>
      <c r="AJ4680" s="7"/>
      <c r="AK4680" s="7"/>
      <c r="AL4680" s="7"/>
      <c r="AM4680" s="7"/>
      <c r="AN4680" s="7"/>
      <c r="AO4680" s="7"/>
      <c r="AP4680" s="7"/>
      <c r="AQ4680" s="7"/>
      <c r="AR4680" s="7"/>
      <c r="AS4680" s="7" t="s">
        <v>27</v>
      </c>
    </row>
    <row r="4681">
      <c r="A4681" s="7" t="s">
        <v>428</v>
      </c>
      <c r="B4681" s="7" t="s">
        <v>165</v>
      </c>
      <c r="C4681" s="7">
        <f t="shared" si="658"/>
        <v>4</v>
      </c>
      <c r="D4681" s="7">
        <v>4.0</v>
      </c>
      <c r="E4681" s="9">
        <v>2.0</v>
      </c>
      <c r="F4681" s="7" t="s">
        <v>83</v>
      </c>
      <c r="G4681" s="7" t="s">
        <v>933</v>
      </c>
      <c r="H4681" s="9" t="s">
        <v>2979</v>
      </c>
      <c r="I4681" t="s">
        <v>3414</v>
      </c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  <c r="AA4681" s="7"/>
      <c r="AB4681" s="7"/>
      <c r="AC4681" s="7"/>
      <c r="AD4681" s="7" t="str">
        <f t="shared" si="1"/>
        <v>Built-up :</v>
      </c>
      <c r="AE4681" s="7" t="str">
        <f t="shared" si="2"/>
        <v> sq. ft.</v>
      </c>
      <c r="AF4681">
        <f>IFERROR(__xludf.DUMMYFUNCTION("VALUE(REGEXREPLACE(G4681,""[^[:digit:]]"", """"))"),3541.0)</f>
        <v>3541</v>
      </c>
      <c r="AG4681" s="7"/>
      <c r="AH4681" s="7"/>
      <c r="AI4681" s="7"/>
      <c r="AJ4681" s="7"/>
      <c r="AK4681" s="7"/>
      <c r="AL4681" s="7"/>
      <c r="AM4681" s="7"/>
      <c r="AN4681" s="7"/>
      <c r="AO4681" s="7"/>
      <c r="AP4681" s="7"/>
      <c r="AQ4681" s="7"/>
      <c r="AR4681" s="7"/>
      <c r="AS4681" s="7" t="s">
        <v>22</v>
      </c>
    </row>
    <row r="4682">
      <c r="A4682" s="7" t="s">
        <v>52</v>
      </c>
      <c r="B4682" s="7" t="s">
        <v>1825</v>
      </c>
      <c r="C4682" s="7">
        <f t="shared" ref="C4682:C4683" si="659">3+1</f>
        <v>4</v>
      </c>
      <c r="D4682" s="7">
        <v>3.0</v>
      </c>
      <c r="E4682" s="9">
        <v>2.0</v>
      </c>
      <c r="F4682" s="7" t="s">
        <v>83</v>
      </c>
      <c r="G4682" s="7" t="s">
        <v>1013</v>
      </c>
      <c r="H4682" s="9" t="s">
        <v>2979</v>
      </c>
      <c r="I4682" t="s">
        <v>3456</v>
      </c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  <c r="AA4682" s="7"/>
      <c r="AB4682" s="7"/>
      <c r="AC4682" s="7"/>
      <c r="AD4682" s="7" t="str">
        <f t="shared" si="1"/>
        <v>Built-up :</v>
      </c>
      <c r="AE4682" s="7" t="str">
        <f t="shared" si="2"/>
        <v> sq. ft.</v>
      </c>
      <c r="AF4682">
        <f>IFERROR(__xludf.DUMMYFUNCTION("VALUE(REGEXREPLACE(G4682,""[^[:digit:]]"", """"))"),3412.0)</f>
        <v>3412</v>
      </c>
      <c r="AG4682" s="7"/>
      <c r="AH4682" s="7"/>
      <c r="AI4682" s="7"/>
      <c r="AJ4682" s="7"/>
      <c r="AK4682" s="7"/>
      <c r="AL4682" s="7"/>
      <c r="AM4682" s="7"/>
      <c r="AN4682" s="7"/>
      <c r="AO4682" s="7"/>
      <c r="AP4682" s="7"/>
      <c r="AQ4682" s="7"/>
      <c r="AR4682" s="7"/>
      <c r="AS4682" s="7" t="s">
        <v>27</v>
      </c>
    </row>
    <row r="4683">
      <c r="A4683" s="7" t="s">
        <v>17</v>
      </c>
      <c r="B4683" s="7" t="s">
        <v>149</v>
      </c>
      <c r="C4683" s="7">
        <f t="shared" si="659"/>
        <v>4</v>
      </c>
      <c r="D4683" s="7">
        <v>5.0</v>
      </c>
      <c r="E4683" s="9">
        <v>2.0</v>
      </c>
      <c r="F4683" s="7" t="s">
        <v>20</v>
      </c>
      <c r="G4683" s="7" t="s">
        <v>2858</v>
      </c>
      <c r="H4683" s="9" t="s">
        <v>2979</v>
      </c>
      <c r="I4683" t="s">
        <v>4570</v>
      </c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  <c r="AA4683" s="7"/>
      <c r="AB4683" s="7"/>
      <c r="AC4683" s="7"/>
      <c r="AD4683" s="7" t="str">
        <f t="shared" si="1"/>
        <v>Built-up :</v>
      </c>
      <c r="AE4683" s="7" t="str">
        <f t="shared" si="2"/>
        <v> sq. ft.</v>
      </c>
      <c r="AF4683">
        <f>IFERROR(__xludf.DUMMYFUNCTION("VALUE(REGEXREPLACE(G4683,""[^[:digit:]]"", """"))"),3789.0)</f>
        <v>3789</v>
      </c>
      <c r="AG4683" s="7"/>
      <c r="AH4683" s="7"/>
      <c r="AI4683" s="7"/>
      <c r="AJ4683" s="7"/>
      <c r="AK4683" s="7"/>
      <c r="AL4683" s="7"/>
      <c r="AM4683" s="7"/>
      <c r="AN4683" s="7"/>
      <c r="AO4683" s="7"/>
      <c r="AP4683" s="7"/>
      <c r="AQ4683" s="7"/>
      <c r="AR4683" s="7"/>
      <c r="AS4683" s="7" t="s">
        <v>22</v>
      </c>
    </row>
    <row r="4684">
      <c r="A4684" s="7" t="s">
        <v>72</v>
      </c>
      <c r="B4684" s="7" t="s">
        <v>309</v>
      </c>
      <c r="C4684" s="7">
        <f>4+1</f>
        <v>5</v>
      </c>
      <c r="D4684" s="7">
        <v>4.0</v>
      </c>
      <c r="E4684" s="9">
        <v>2.0</v>
      </c>
      <c r="F4684" s="7" t="s">
        <v>83</v>
      </c>
      <c r="G4684" s="7" t="s">
        <v>555</v>
      </c>
      <c r="H4684" s="9" t="s">
        <v>2979</v>
      </c>
      <c r="I4684" t="s">
        <v>3222</v>
      </c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  <c r="AA4684" s="7"/>
      <c r="AB4684" s="7"/>
      <c r="AC4684" s="7"/>
      <c r="AD4684" s="7" t="str">
        <f t="shared" si="1"/>
        <v>Built-up :</v>
      </c>
      <c r="AE4684" s="7" t="str">
        <f t="shared" si="2"/>
        <v> sq. ft.</v>
      </c>
      <c r="AF4684">
        <f>IFERROR(__xludf.DUMMYFUNCTION("VALUE(REGEXREPLACE(G4684,""[^[:digit:]]"", """"))"),2648.0)</f>
        <v>2648</v>
      </c>
      <c r="AG4684" s="7"/>
      <c r="AH4684" s="7"/>
      <c r="AI4684" s="7"/>
      <c r="AJ4684" s="7"/>
      <c r="AK4684" s="7"/>
      <c r="AL4684" s="7"/>
      <c r="AM4684" s="7"/>
      <c r="AN4684" s="7"/>
      <c r="AO4684" s="7"/>
      <c r="AP4684" s="7"/>
      <c r="AQ4684" s="7"/>
      <c r="AR4684" s="7"/>
      <c r="AS4684" s="7" t="s">
        <v>22</v>
      </c>
    </row>
    <row r="4685">
      <c r="A4685" s="7" t="s">
        <v>52</v>
      </c>
      <c r="B4685" s="7" t="s">
        <v>1827</v>
      </c>
      <c r="C4685" s="7">
        <f>4</f>
        <v>4</v>
      </c>
      <c r="D4685" s="7">
        <v>4.0</v>
      </c>
      <c r="E4685" s="9">
        <v>2.0</v>
      </c>
      <c r="F4685" s="7" t="s">
        <v>83</v>
      </c>
      <c r="G4685" s="7" t="s">
        <v>2721</v>
      </c>
      <c r="H4685" s="9" t="s">
        <v>2979</v>
      </c>
      <c r="I4685" t="s">
        <v>4490</v>
      </c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  <c r="AA4685" s="7"/>
      <c r="AB4685" s="7"/>
      <c r="AC4685" s="7"/>
      <c r="AD4685" s="7" t="str">
        <f t="shared" si="1"/>
        <v>Built-up :</v>
      </c>
      <c r="AE4685" s="7" t="str">
        <f t="shared" si="2"/>
        <v> sq. ft.</v>
      </c>
      <c r="AF4685">
        <f>IFERROR(__xludf.DUMMYFUNCTION("VALUE(REGEXREPLACE(G4685,""[^[:digit:]]"", """"))"),4356.0)</f>
        <v>4356</v>
      </c>
      <c r="AG4685" s="7"/>
      <c r="AH4685" s="7"/>
      <c r="AI4685" s="7"/>
      <c r="AJ4685" s="7"/>
      <c r="AK4685" s="7"/>
      <c r="AL4685" s="7"/>
      <c r="AM4685" s="7"/>
      <c r="AN4685" s="7"/>
      <c r="AO4685" s="7"/>
      <c r="AP4685" s="7"/>
      <c r="AQ4685" s="7"/>
      <c r="AR4685" s="7"/>
      <c r="AS4685" s="7" t="s">
        <v>22</v>
      </c>
    </row>
    <row r="4686">
      <c r="A4686" s="7" t="s">
        <v>52</v>
      </c>
      <c r="B4686" s="7" t="s">
        <v>530</v>
      </c>
      <c r="C4686" s="7">
        <f t="shared" ref="C4686:C4687" si="660">4+1</f>
        <v>5</v>
      </c>
      <c r="D4686" s="7">
        <v>4.0</v>
      </c>
      <c r="E4686" s="7">
        <v>3.0</v>
      </c>
      <c r="F4686" s="7" t="s">
        <v>83</v>
      </c>
      <c r="G4686" s="7" t="s">
        <v>2859</v>
      </c>
      <c r="H4686" s="9" t="s">
        <v>2979</v>
      </c>
      <c r="I4686" t="s">
        <v>4571</v>
      </c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  <c r="AA4686" s="7"/>
      <c r="AB4686" s="7"/>
      <c r="AC4686" s="7"/>
      <c r="AD4686" s="7" t="str">
        <f t="shared" si="1"/>
        <v>Built-up :</v>
      </c>
      <c r="AE4686" s="7" t="str">
        <f t="shared" si="2"/>
        <v> sq. ft.</v>
      </c>
      <c r="AF4686">
        <f>IFERROR(__xludf.DUMMYFUNCTION("VALUE(REGEXREPLACE(G4686,""[^[:digit:]]"", """"))"),3550.0)</f>
        <v>3550</v>
      </c>
      <c r="AG4686" s="7"/>
      <c r="AH4686" s="7"/>
      <c r="AI4686" s="7"/>
      <c r="AJ4686" s="7"/>
      <c r="AK4686" s="7"/>
      <c r="AL4686" s="7"/>
      <c r="AM4686" s="7"/>
      <c r="AN4686" s="7"/>
      <c r="AO4686" s="7"/>
      <c r="AP4686" s="7"/>
      <c r="AQ4686" s="7"/>
      <c r="AR4686" s="7"/>
      <c r="AS4686" s="7" t="s">
        <v>27</v>
      </c>
    </row>
    <row r="4687">
      <c r="A4687" s="7" t="s">
        <v>52</v>
      </c>
      <c r="B4687" s="7" t="s">
        <v>101</v>
      </c>
      <c r="C4687" s="7">
        <f t="shared" si="660"/>
        <v>5</v>
      </c>
      <c r="D4687" s="7">
        <v>4.0</v>
      </c>
      <c r="E4687" s="9">
        <v>2.0</v>
      </c>
      <c r="F4687" s="7" t="s">
        <v>83</v>
      </c>
      <c r="G4687" s="7" t="s">
        <v>2826</v>
      </c>
      <c r="H4687" s="9" t="s">
        <v>2979</v>
      </c>
      <c r="I4687" t="s">
        <v>4556</v>
      </c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  <c r="AA4687" s="7"/>
      <c r="AB4687" s="7"/>
      <c r="AC4687" s="7"/>
      <c r="AD4687" s="7" t="str">
        <f t="shared" si="1"/>
        <v>Built-up :</v>
      </c>
      <c r="AE4687" s="7" t="str">
        <f t="shared" si="2"/>
        <v> sq. ft.</v>
      </c>
      <c r="AF4687">
        <f>IFERROR(__xludf.DUMMYFUNCTION("VALUE(REGEXREPLACE(G4687,""[^[:digit:]]"", """"))"),3563.0)</f>
        <v>3563</v>
      </c>
      <c r="AG4687" s="7"/>
      <c r="AH4687" s="7"/>
      <c r="AI4687" s="7"/>
      <c r="AJ4687" s="7"/>
      <c r="AK4687" s="7"/>
      <c r="AL4687" s="7"/>
      <c r="AM4687" s="7"/>
      <c r="AN4687" s="7"/>
      <c r="AO4687" s="7"/>
      <c r="AP4687" s="7"/>
      <c r="AQ4687" s="7"/>
      <c r="AR4687" s="7"/>
      <c r="AS4687" s="7" t="s">
        <v>27</v>
      </c>
    </row>
    <row r="4688">
      <c r="A4688" s="7" t="s">
        <v>188</v>
      </c>
      <c r="B4688" s="7" t="s">
        <v>151</v>
      </c>
      <c r="C4688" s="7">
        <f>3+1</f>
        <v>4</v>
      </c>
      <c r="D4688" s="7">
        <v>4.0</v>
      </c>
      <c r="E4688" s="9">
        <v>2.0</v>
      </c>
      <c r="F4688" s="7" t="s">
        <v>20</v>
      </c>
      <c r="G4688" s="7" t="s">
        <v>1896</v>
      </c>
      <c r="H4688" s="9" t="s">
        <v>2979</v>
      </c>
      <c r="I4688" t="s">
        <v>3984</v>
      </c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  <c r="AA4688" s="7"/>
      <c r="AB4688" s="7"/>
      <c r="AC4688" s="7"/>
      <c r="AD4688" s="7" t="str">
        <f t="shared" si="1"/>
        <v>Built-up :</v>
      </c>
      <c r="AE4688" s="7" t="str">
        <f t="shared" si="2"/>
        <v> sq. ft.</v>
      </c>
      <c r="AF4688">
        <f>IFERROR(__xludf.DUMMYFUNCTION("VALUE(REGEXREPLACE(G4688,""[^[:digit:]]"", """"))"),2405.0)</f>
        <v>2405</v>
      </c>
      <c r="AG4688" s="7"/>
      <c r="AH4688" s="7"/>
      <c r="AI4688" s="7"/>
      <c r="AJ4688" s="7"/>
      <c r="AK4688" s="7"/>
      <c r="AL4688" s="7"/>
      <c r="AM4688" s="7"/>
      <c r="AN4688" s="7"/>
      <c r="AO4688" s="7"/>
      <c r="AP4688" s="7"/>
      <c r="AQ4688" s="7"/>
      <c r="AR4688" s="7"/>
      <c r="AS4688" s="7" t="s">
        <v>22</v>
      </c>
    </row>
    <row r="4689">
      <c r="A4689" s="7" t="s">
        <v>32</v>
      </c>
      <c r="B4689" s="7" t="s">
        <v>81</v>
      </c>
      <c r="C4689" s="7">
        <f>4+1</f>
        <v>5</v>
      </c>
      <c r="D4689" s="7">
        <v>4.0</v>
      </c>
      <c r="E4689" s="9">
        <v>2.0</v>
      </c>
      <c r="F4689" s="7" t="s">
        <v>43</v>
      </c>
      <c r="G4689" s="7" t="s">
        <v>478</v>
      </c>
      <c r="H4689" s="9" t="s">
        <v>2981</v>
      </c>
      <c r="I4689" t="s">
        <v>3183</v>
      </c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  <c r="AA4689" s="7"/>
      <c r="AB4689" s="7"/>
      <c r="AC4689" s="7"/>
      <c r="AD4689" s="7" t="str">
        <f t="shared" si="1"/>
        <v>Land area </v>
      </c>
      <c r="AE4689" s="7" t="str">
        <f t="shared" si="2"/>
        <v> sq. ft.</v>
      </c>
      <c r="AF4689">
        <f>IFERROR(__xludf.DUMMYFUNCTION("VALUE(REGEXREPLACE(G4689,""[^[:digit:]]"", """"))"),3200.0)</f>
        <v>3200</v>
      </c>
      <c r="AG4689" s="7"/>
      <c r="AH4689" s="7"/>
      <c r="AI4689" s="7"/>
      <c r="AJ4689" s="7"/>
      <c r="AK4689" s="7"/>
      <c r="AL4689" s="7"/>
      <c r="AM4689" s="7"/>
      <c r="AN4689" s="7"/>
      <c r="AO4689" s="7"/>
      <c r="AP4689" s="7"/>
      <c r="AQ4689" s="7"/>
      <c r="AR4689" s="7"/>
      <c r="AS4689" s="7" t="s">
        <v>27</v>
      </c>
    </row>
    <row r="4690">
      <c r="A4690" s="7" t="s">
        <v>171</v>
      </c>
      <c r="B4690" s="7" t="s">
        <v>268</v>
      </c>
      <c r="C4690" s="7">
        <f t="shared" ref="C4690:C4691" si="661">3</f>
        <v>3</v>
      </c>
      <c r="D4690" s="7">
        <v>2.0</v>
      </c>
      <c r="E4690" s="7">
        <v>2.0</v>
      </c>
      <c r="F4690" s="7" t="s">
        <v>93</v>
      </c>
      <c r="G4690" s="7" t="s">
        <v>2860</v>
      </c>
      <c r="H4690" s="9" t="s">
        <v>2979</v>
      </c>
      <c r="I4690" t="s">
        <v>4572</v>
      </c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  <c r="AA4690" s="7"/>
      <c r="AB4690" s="7"/>
      <c r="AC4690" s="7"/>
      <c r="AD4690" s="7" t="str">
        <f t="shared" si="1"/>
        <v>Built-up :</v>
      </c>
      <c r="AE4690" s="7" t="str">
        <f t="shared" si="2"/>
        <v> sq. ft.</v>
      </c>
      <c r="AF4690">
        <f>IFERROR(__xludf.DUMMYFUNCTION("VALUE(REGEXREPLACE(G4690,""[^[:digit:]]"", """"))"),14570.0)</f>
        <v>14570</v>
      </c>
      <c r="AG4690" s="7"/>
      <c r="AH4690" s="7"/>
      <c r="AI4690" s="7"/>
      <c r="AJ4690" s="7"/>
      <c r="AK4690" s="7"/>
      <c r="AL4690" s="7"/>
      <c r="AM4690" s="7"/>
      <c r="AN4690" s="7"/>
      <c r="AO4690" s="7"/>
      <c r="AP4690" s="7"/>
      <c r="AQ4690" s="7"/>
      <c r="AR4690" s="7"/>
      <c r="AS4690" s="7" t="s">
        <v>27</v>
      </c>
    </row>
    <row r="4691">
      <c r="A4691" s="7" t="s">
        <v>89</v>
      </c>
      <c r="B4691" s="7" t="s">
        <v>2646</v>
      </c>
      <c r="C4691" s="7">
        <f t="shared" si="661"/>
        <v>3</v>
      </c>
      <c r="D4691" s="7">
        <v>2.0</v>
      </c>
      <c r="E4691" s="7">
        <v>2.0</v>
      </c>
      <c r="F4691" s="7" t="s">
        <v>30</v>
      </c>
      <c r="G4691" s="7" t="s">
        <v>2861</v>
      </c>
      <c r="H4691" s="9" t="s">
        <v>2981</v>
      </c>
      <c r="I4691" t="s">
        <v>4573</v>
      </c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  <c r="AA4691" s="7"/>
      <c r="AB4691" s="7"/>
      <c r="AC4691" s="7"/>
      <c r="AD4691" s="7" t="str">
        <f t="shared" si="1"/>
        <v>Land area </v>
      </c>
      <c r="AE4691" s="7" t="str">
        <f t="shared" si="2"/>
        <v> sq. ft.</v>
      </c>
      <c r="AF4691">
        <f>IFERROR(__xludf.DUMMYFUNCTION("VALUE(REGEXREPLACE(G4691,""[^[:digit:]]"", """"))"),1180.0)</f>
        <v>1180</v>
      </c>
      <c r="AG4691" s="7"/>
      <c r="AH4691" s="7"/>
      <c r="AI4691" s="7"/>
      <c r="AJ4691" s="7"/>
      <c r="AK4691" s="7"/>
      <c r="AL4691" s="7"/>
      <c r="AM4691" s="7"/>
      <c r="AN4691" s="7"/>
      <c r="AO4691" s="7"/>
      <c r="AP4691" s="7"/>
      <c r="AQ4691" s="7"/>
      <c r="AR4691" s="7"/>
      <c r="AS4691" s="7" t="s">
        <v>27</v>
      </c>
    </row>
    <row r="4692">
      <c r="A4692" s="7" t="s">
        <v>100</v>
      </c>
      <c r="B4692" s="7" t="s">
        <v>1199</v>
      </c>
      <c r="C4692" s="7">
        <f>2+1</f>
        <v>3</v>
      </c>
      <c r="D4692" s="7">
        <v>3.0</v>
      </c>
      <c r="E4692" s="7">
        <v>2.0</v>
      </c>
      <c r="F4692" s="7" t="s">
        <v>83</v>
      </c>
      <c r="G4692" s="7" t="s">
        <v>729</v>
      </c>
      <c r="H4692" s="9" t="s">
        <v>2981</v>
      </c>
      <c r="I4692" t="s">
        <v>3306</v>
      </c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  <c r="AA4692" s="7"/>
      <c r="AB4692" s="7"/>
      <c r="AC4692" s="7"/>
      <c r="AD4692" s="7" t="str">
        <f t="shared" si="1"/>
        <v>Land area </v>
      </c>
      <c r="AE4692" s="7" t="str">
        <f t="shared" si="2"/>
        <v> sq. ft.</v>
      </c>
      <c r="AF4692">
        <f>IFERROR(__xludf.DUMMYFUNCTION("VALUE(REGEXREPLACE(G4692,""[^[:digit:]]"", """"))"),0.0)</f>
        <v>0</v>
      </c>
      <c r="AG4692" s="7"/>
      <c r="AH4692" s="7"/>
      <c r="AI4692" s="7"/>
      <c r="AJ4692" s="7"/>
      <c r="AK4692" s="7"/>
      <c r="AL4692" s="7"/>
      <c r="AM4692" s="7"/>
      <c r="AN4692" s="7"/>
      <c r="AO4692" s="7"/>
      <c r="AP4692" s="7"/>
      <c r="AQ4692" s="7"/>
      <c r="AR4692" s="7"/>
      <c r="AS4692" s="7" t="s">
        <v>22</v>
      </c>
    </row>
    <row r="4693">
      <c r="A4693" s="7" t="s">
        <v>171</v>
      </c>
      <c r="B4693" s="7" t="s">
        <v>1659</v>
      </c>
      <c r="C4693" s="7">
        <f>3</f>
        <v>3</v>
      </c>
      <c r="D4693" s="7">
        <v>2.0</v>
      </c>
      <c r="E4693" s="7">
        <v>2.0</v>
      </c>
      <c r="F4693" s="7" t="s">
        <v>20</v>
      </c>
      <c r="H4693" s="9" t="s">
        <v>2984</v>
      </c>
      <c r="I4693" t="s">
        <v>2985</v>
      </c>
      <c r="AD4693" s="7" t="str">
        <f t="shared" si="1"/>
        <v/>
      </c>
      <c r="AE4693" s="7" t="str">
        <f t="shared" si="2"/>
        <v/>
      </c>
      <c r="AF4693">
        <f>IFERROR(__xludf.DUMMYFUNCTION("VALUE(REGEXREPLACE(G4693,""[^[:digit:]]"", """"))"),0.0)</f>
        <v>0</v>
      </c>
    </row>
    <row r="4694">
      <c r="A4694" s="7" t="s">
        <v>17</v>
      </c>
      <c r="B4694" s="7" t="s">
        <v>844</v>
      </c>
      <c r="C4694" s="7">
        <f>3+1</f>
        <v>4</v>
      </c>
      <c r="D4694" s="7">
        <v>3.0</v>
      </c>
      <c r="E4694" s="7">
        <v>1.0</v>
      </c>
      <c r="F4694" s="7" t="s">
        <v>20</v>
      </c>
      <c r="G4694" s="7" t="s">
        <v>729</v>
      </c>
      <c r="H4694" s="9" t="s">
        <v>2981</v>
      </c>
      <c r="I4694" t="s">
        <v>3306</v>
      </c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  <c r="AA4694" s="7"/>
      <c r="AB4694" s="7"/>
      <c r="AC4694" s="7"/>
      <c r="AD4694" s="7" t="str">
        <f t="shared" si="1"/>
        <v>Land area </v>
      </c>
      <c r="AE4694" s="7" t="str">
        <f t="shared" si="2"/>
        <v> sq. ft.</v>
      </c>
      <c r="AF4694">
        <f>IFERROR(__xludf.DUMMYFUNCTION("VALUE(REGEXREPLACE(G4694,""[^[:digit:]]"", """"))"),0.0)</f>
        <v>0</v>
      </c>
      <c r="AG4694" s="7"/>
      <c r="AH4694" s="7"/>
      <c r="AI4694" s="7"/>
      <c r="AJ4694" s="7"/>
      <c r="AK4694" s="7"/>
      <c r="AL4694" s="7"/>
      <c r="AM4694" s="7"/>
      <c r="AN4694" s="7"/>
      <c r="AO4694" s="7"/>
      <c r="AP4694" s="7"/>
      <c r="AQ4694" s="7"/>
      <c r="AR4694" s="7"/>
      <c r="AS4694" s="7" t="s">
        <v>27</v>
      </c>
    </row>
    <row r="4695">
      <c r="A4695" s="7" t="s">
        <v>48</v>
      </c>
      <c r="B4695" s="7" t="s">
        <v>499</v>
      </c>
      <c r="C4695" s="7">
        <f t="shared" ref="C4695:C4696" si="662">6+1</f>
        <v>7</v>
      </c>
      <c r="D4695" s="7">
        <v>7.0</v>
      </c>
      <c r="E4695" s="9">
        <v>2.0</v>
      </c>
      <c r="F4695" s="7" t="s">
        <v>43</v>
      </c>
      <c r="G4695" s="7" t="s">
        <v>2862</v>
      </c>
      <c r="H4695" s="9" t="s">
        <v>2981</v>
      </c>
      <c r="I4695" t="s">
        <v>4574</v>
      </c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  <c r="AA4695" s="7"/>
      <c r="AB4695" s="7"/>
      <c r="AC4695" s="7"/>
      <c r="AD4695" s="7" t="str">
        <f t="shared" si="1"/>
        <v>Land area </v>
      </c>
      <c r="AE4695" s="7" t="str">
        <f t="shared" si="2"/>
        <v> sq. ft.</v>
      </c>
      <c r="AF4695">
        <f>IFERROR(__xludf.DUMMYFUNCTION("VALUE(REGEXREPLACE(G4695,""[^[:digit:]]"", """"))"),50100.0)</f>
        <v>50100</v>
      </c>
      <c r="AG4695" s="7"/>
      <c r="AH4695" s="7"/>
      <c r="AI4695" s="7"/>
      <c r="AJ4695" s="7"/>
      <c r="AK4695" s="7"/>
      <c r="AL4695" s="7"/>
      <c r="AM4695" s="7"/>
      <c r="AN4695" s="7"/>
      <c r="AO4695" s="7"/>
      <c r="AP4695" s="7"/>
      <c r="AQ4695" s="7"/>
      <c r="AR4695" s="7"/>
      <c r="AS4695" s="7" t="s">
        <v>22</v>
      </c>
    </row>
    <row r="4696">
      <c r="A4696" s="7" t="s">
        <v>48</v>
      </c>
      <c r="B4696" s="7" t="s">
        <v>292</v>
      </c>
      <c r="C4696" s="7">
        <f t="shared" si="662"/>
        <v>7</v>
      </c>
      <c r="D4696" s="7">
        <v>7.0</v>
      </c>
      <c r="E4696" s="9">
        <v>2.0</v>
      </c>
      <c r="F4696" s="7" t="s">
        <v>43</v>
      </c>
      <c r="G4696" s="7" t="s">
        <v>2863</v>
      </c>
      <c r="H4696" s="9" t="s">
        <v>2981</v>
      </c>
      <c r="I4696" t="s">
        <v>4575</v>
      </c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  <c r="AA4696" s="7"/>
      <c r="AB4696" s="7"/>
      <c r="AC4696" s="7"/>
      <c r="AD4696" s="7" t="str">
        <f t="shared" si="1"/>
        <v>Land area </v>
      </c>
      <c r="AE4696" s="7" t="str">
        <f t="shared" si="2"/>
        <v> sq. ft.</v>
      </c>
      <c r="AF4696">
        <f>IFERROR(__xludf.DUMMYFUNCTION("VALUE(REGEXREPLACE(G4696,""[^[:digit:]]"", """"))"),40120.0)</f>
        <v>40120</v>
      </c>
      <c r="AG4696" s="7"/>
      <c r="AH4696" s="7"/>
      <c r="AI4696" s="7"/>
      <c r="AJ4696" s="7"/>
      <c r="AK4696" s="7"/>
      <c r="AL4696" s="7"/>
      <c r="AM4696" s="7"/>
      <c r="AN4696" s="7"/>
      <c r="AO4696" s="7"/>
      <c r="AP4696" s="7"/>
      <c r="AQ4696" s="7"/>
      <c r="AR4696" s="7"/>
      <c r="AS4696" s="7" t="s">
        <v>22</v>
      </c>
    </row>
    <row r="4697">
      <c r="A4697" s="7" t="s">
        <v>28</v>
      </c>
      <c r="B4697" s="7" t="s">
        <v>1114</v>
      </c>
      <c r="C4697" s="7">
        <f>4+1</f>
        <v>5</v>
      </c>
      <c r="D4697" s="7">
        <v>5.0</v>
      </c>
      <c r="E4697" s="7">
        <v>2.0</v>
      </c>
      <c r="F4697" s="7" t="s">
        <v>30</v>
      </c>
      <c r="G4697" s="7" t="s">
        <v>412</v>
      </c>
      <c r="H4697" s="9" t="s">
        <v>2979</v>
      </c>
      <c r="I4697" t="s">
        <v>3151</v>
      </c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  <c r="AA4697" s="7"/>
      <c r="AB4697" s="7"/>
      <c r="AC4697" s="7"/>
      <c r="AD4697" s="7" t="str">
        <f t="shared" si="1"/>
        <v>Built-up :</v>
      </c>
      <c r="AE4697" s="7" t="str">
        <f t="shared" si="2"/>
        <v> sq. ft.</v>
      </c>
      <c r="AF4697">
        <f>IFERROR(__xludf.DUMMYFUNCTION("VALUE(REGEXREPLACE(G4697,""[^[:digit:]]"", """"))"),2700.0)</f>
        <v>2700</v>
      </c>
      <c r="AG4697" s="7"/>
      <c r="AH4697" s="7"/>
      <c r="AI4697" s="7"/>
      <c r="AJ4697" s="7"/>
      <c r="AK4697" s="7"/>
      <c r="AL4697" s="7"/>
      <c r="AM4697" s="7"/>
      <c r="AN4697" s="7"/>
      <c r="AO4697" s="7"/>
      <c r="AP4697" s="7"/>
      <c r="AQ4697" s="7"/>
      <c r="AR4697" s="7"/>
      <c r="AS4697" s="7" t="s">
        <v>27</v>
      </c>
    </row>
    <row r="4698">
      <c r="A4698" s="7" t="s">
        <v>1315</v>
      </c>
      <c r="B4698" s="7" t="s">
        <v>1479</v>
      </c>
      <c r="C4698" s="7">
        <f>2</f>
        <v>2</v>
      </c>
      <c r="D4698" s="7">
        <v>1.0</v>
      </c>
      <c r="E4698" s="7">
        <v>1.0</v>
      </c>
      <c r="F4698" s="7" t="s">
        <v>1566</v>
      </c>
      <c r="G4698" s="7" t="s">
        <v>2864</v>
      </c>
      <c r="H4698" s="9" t="s">
        <v>2979</v>
      </c>
      <c r="I4698" t="s">
        <v>4576</v>
      </c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  <c r="AA4698" s="7"/>
      <c r="AB4698" s="7"/>
      <c r="AC4698" s="7"/>
      <c r="AD4698" s="7" t="str">
        <f t="shared" si="1"/>
        <v>Built-up :</v>
      </c>
      <c r="AE4698" s="7" t="str">
        <f t="shared" si="2"/>
        <v> sq. ft.</v>
      </c>
      <c r="AF4698">
        <f>IFERROR(__xludf.DUMMYFUNCTION("VALUE(REGEXREPLACE(G4698,""[^[:digit:]]"", """"))"),568.0)</f>
        <v>568</v>
      </c>
      <c r="AG4698" s="7"/>
      <c r="AH4698" s="7"/>
      <c r="AI4698" s="7"/>
      <c r="AJ4698" s="7"/>
      <c r="AK4698" s="7"/>
      <c r="AL4698" s="7"/>
      <c r="AM4698" s="7"/>
      <c r="AN4698" s="7"/>
      <c r="AO4698" s="7"/>
      <c r="AP4698" s="7"/>
      <c r="AQ4698" s="7"/>
      <c r="AR4698" s="7"/>
    </row>
    <row r="4699">
      <c r="A4699" s="7" t="s">
        <v>148</v>
      </c>
      <c r="B4699" s="7" t="s">
        <v>168</v>
      </c>
      <c r="C4699" s="7">
        <f>4</f>
        <v>4</v>
      </c>
      <c r="D4699" s="7">
        <v>3.0</v>
      </c>
      <c r="E4699" s="7">
        <v>3.0</v>
      </c>
      <c r="F4699" s="7" t="s">
        <v>54</v>
      </c>
      <c r="G4699" s="7" t="s">
        <v>1523</v>
      </c>
      <c r="H4699" s="9" t="s">
        <v>2981</v>
      </c>
      <c r="I4699" t="s">
        <v>4436</v>
      </c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  <c r="AA4699" s="7"/>
      <c r="AB4699" s="7"/>
      <c r="AC4699" s="7"/>
      <c r="AD4699" s="7" t="str">
        <f t="shared" si="1"/>
        <v>Land area </v>
      </c>
      <c r="AE4699" s="7" t="str">
        <f t="shared" si="2"/>
        <v> sq. ft.</v>
      </c>
      <c r="AF4699">
        <f>IFERROR(__xludf.DUMMYFUNCTION("VALUE(REGEXREPLACE(G4699,""[^[:digit:]]"", """"))"),2280.0)</f>
        <v>2280</v>
      </c>
      <c r="AG4699" s="7"/>
      <c r="AH4699" s="7"/>
      <c r="AI4699" s="7"/>
      <c r="AJ4699" s="7"/>
      <c r="AK4699" s="7"/>
      <c r="AL4699" s="7"/>
      <c r="AM4699" s="7"/>
      <c r="AN4699" s="7"/>
      <c r="AO4699" s="7"/>
      <c r="AP4699" s="7"/>
      <c r="AQ4699" s="7"/>
      <c r="AR4699" s="7"/>
      <c r="AS4699" s="7" t="s">
        <v>27</v>
      </c>
    </row>
    <row r="4700">
      <c r="A4700" s="7" t="s">
        <v>33</v>
      </c>
      <c r="B4700" s="7" t="s">
        <v>236</v>
      </c>
      <c r="C4700" s="7">
        <f>5+1</f>
        <v>6</v>
      </c>
      <c r="D4700" s="7">
        <v>5.0</v>
      </c>
      <c r="E4700" s="7">
        <v>6.0</v>
      </c>
      <c r="F4700" s="7" t="s">
        <v>43</v>
      </c>
      <c r="G4700" s="7" t="s">
        <v>876</v>
      </c>
      <c r="H4700" s="9" t="s">
        <v>2981</v>
      </c>
      <c r="I4700" t="s">
        <v>3384</v>
      </c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  <c r="AA4700" s="7"/>
      <c r="AB4700" s="7"/>
      <c r="AC4700" s="7"/>
      <c r="AD4700" s="7" t="str">
        <f t="shared" si="1"/>
        <v>Land area </v>
      </c>
      <c r="AE4700" s="7" t="str">
        <f t="shared" si="2"/>
        <v> sq. ft.</v>
      </c>
      <c r="AF4700">
        <f>IFERROR(__xludf.DUMMYFUNCTION("VALUE(REGEXREPLACE(G4700,""[^[:digit:]]"", """"))"),3400.0)</f>
        <v>3400</v>
      </c>
      <c r="AG4700" s="7"/>
      <c r="AH4700" s="7"/>
      <c r="AI4700" s="7"/>
      <c r="AJ4700" s="7"/>
      <c r="AK4700" s="7"/>
      <c r="AL4700" s="7"/>
      <c r="AM4700" s="7"/>
      <c r="AN4700" s="7"/>
      <c r="AO4700" s="7"/>
      <c r="AP4700" s="7"/>
      <c r="AQ4700" s="7"/>
      <c r="AR4700" s="7"/>
      <c r="AS4700" s="7" t="s">
        <v>27</v>
      </c>
    </row>
    <row r="4701">
      <c r="A4701" s="7" t="s">
        <v>109</v>
      </c>
      <c r="B4701" s="7" t="s">
        <v>715</v>
      </c>
      <c r="C4701" s="7">
        <f>3+1</f>
        <v>4</v>
      </c>
      <c r="D4701" s="7">
        <v>2.0</v>
      </c>
      <c r="E4701" s="7">
        <v>1.0</v>
      </c>
      <c r="F4701" s="7" t="s">
        <v>83</v>
      </c>
      <c r="G4701" s="7" t="s">
        <v>845</v>
      </c>
      <c r="H4701" s="9" t="s">
        <v>2979</v>
      </c>
      <c r="I4701" t="s">
        <v>3367</v>
      </c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  <c r="AA4701" s="7"/>
      <c r="AB4701" s="7"/>
      <c r="AC4701" s="7"/>
      <c r="AD4701" s="7" t="str">
        <f t="shared" si="1"/>
        <v>Built-up :</v>
      </c>
      <c r="AE4701" s="7" t="str">
        <f t="shared" si="2"/>
        <v> sq. ft.</v>
      </c>
      <c r="AF4701">
        <f>IFERROR(__xludf.DUMMYFUNCTION("VALUE(REGEXREPLACE(G4701,""[^[:digit:]]"", """"))"),1500.0)</f>
        <v>1500</v>
      </c>
      <c r="AG4701" s="7"/>
      <c r="AH4701" s="7"/>
      <c r="AI4701" s="7"/>
      <c r="AJ4701" s="7"/>
      <c r="AK4701" s="7"/>
      <c r="AL4701" s="7"/>
      <c r="AM4701" s="7"/>
      <c r="AN4701" s="7"/>
      <c r="AO4701" s="7"/>
      <c r="AP4701" s="7"/>
      <c r="AQ4701" s="7"/>
      <c r="AR4701" s="7"/>
      <c r="AS4701" s="7" t="s">
        <v>27</v>
      </c>
    </row>
    <row r="4702">
      <c r="A4702" s="7" t="s">
        <v>48</v>
      </c>
      <c r="B4702" s="7" t="s">
        <v>2865</v>
      </c>
      <c r="C4702" s="7">
        <f>3</f>
        <v>3</v>
      </c>
      <c r="D4702" s="7">
        <v>2.0</v>
      </c>
      <c r="E4702" s="9">
        <v>2.0</v>
      </c>
      <c r="F4702" s="7" t="s">
        <v>30</v>
      </c>
      <c r="G4702" s="7" t="s">
        <v>729</v>
      </c>
      <c r="H4702" s="9" t="s">
        <v>2981</v>
      </c>
      <c r="I4702" t="s">
        <v>3306</v>
      </c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  <c r="AA4702" s="7"/>
      <c r="AB4702" s="7"/>
      <c r="AC4702" s="7"/>
      <c r="AD4702" s="7" t="str">
        <f t="shared" si="1"/>
        <v>Land area </v>
      </c>
      <c r="AE4702" s="7" t="str">
        <f t="shared" si="2"/>
        <v> sq. ft.</v>
      </c>
      <c r="AF4702">
        <f>IFERROR(__xludf.DUMMYFUNCTION("VALUE(REGEXREPLACE(G4702,""[^[:digit:]]"", """"))"),0.0)</f>
        <v>0</v>
      </c>
      <c r="AG4702" s="7"/>
      <c r="AH4702" s="7"/>
      <c r="AI4702" s="7"/>
      <c r="AJ4702" s="7"/>
      <c r="AK4702" s="7"/>
      <c r="AL4702" s="7"/>
      <c r="AM4702" s="7"/>
      <c r="AN4702" s="7"/>
      <c r="AO4702" s="7"/>
      <c r="AP4702" s="7"/>
      <c r="AQ4702" s="7"/>
      <c r="AR4702" s="7"/>
      <c r="AS4702" s="7" t="s">
        <v>27</v>
      </c>
    </row>
    <row r="4703">
      <c r="A4703" s="7" t="s">
        <v>33</v>
      </c>
      <c r="B4703" s="7" t="s">
        <v>18</v>
      </c>
      <c r="C4703" s="7">
        <f>3+1</f>
        <v>4</v>
      </c>
      <c r="D4703" s="7">
        <v>4.0</v>
      </c>
      <c r="E4703" s="7">
        <v>2.0</v>
      </c>
      <c r="F4703" s="7" t="s">
        <v>83</v>
      </c>
      <c r="G4703" s="7" t="s">
        <v>726</v>
      </c>
      <c r="H4703" s="9" t="s">
        <v>2979</v>
      </c>
      <c r="I4703" t="s">
        <v>3304</v>
      </c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  <c r="AA4703" s="7"/>
      <c r="AB4703" s="7"/>
      <c r="AC4703" s="7"/>
      <c r="AD4703" s="7" t="str">
        <f t="shared" si="1"/>
        <v>Built-up :</v>
      </c>
      <c r="AE4703" s="7" t="str">
        <f t="shared" si="2"/>
        <v> sq. ft.</v>
      </c>
      <c r="AF4703">
        <f>IFERROR(__xludf.DUMMYFUNCTION("VALUE(REGEXREPLACE(G4703,""[^[:digit:]]"", """"))"),1700.0)</f>
        <v>1700</v>
      </c>
      <c r="AG4703" s="7"/>
      <c r="AH4703" s="7"/>
      <c r="AI4703" s="7"/>
      <c r="AJ4703" s="7"/>
      <c r="AK4703" s="7"/>
      <c r="AL4703" s="7"/>
      <c r="AM4703" s="7"/>
      <c r="AN4703" s="7"/>
      <c r="AO4703" s="7"/>
      <c r="AP4703" s="7"/>
      <c r="AQ4703" s="7"/>
      <c r="AR4703" s="7"/>
      <c r="AS4703" s="7" t="s">
        <v>27</v>
      </c>
    </row>
    <row r="4704">
      <c r="A4704" s="7" t="s">
        <v>32</v>
      </c>
      <c r="B4704" s="7" t="s">
        <v>1981</v>
      </c>
      <c r="C4704" s="7">
        <f t="shared" ref="C4704:C4707" si="663">2</f>
        <v>2</v>
      </c>
      <c r="D4704" s="7">
        <v>2.0</v>
      </c>
      <c r="E4704" s="9">
        <v>2.0</v>
      </c>
      <c r="F4704" s="7" t="s">
        <v>93</v>
      </c>
      <c r="G4704" s="7" t="s">
        <v>2187</v>
      </c>
      <c r="H4704" s="9" t="s">
        <v>2979</v>
      </c>
      <c r="I4704" t="s">
        <v>4167</v>
      </c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  <c r="AA4704" s="7"/>
      <c r="AB4704" s="7"/>
      <c r="AC4704" s="7"/>
      <c r="AD4704" s="7" t="str">
        <f t="shared" si="1"/>
        <v>Built-up :</v>
      </c>
      <c r="AE4704" s="7" t="str">
        <f t="shared" si="2"/>
        <v> sq. ft.</v>
      </c>
      <c r="AF4704">
        <f>IFERROR(__xludf.DUMMYFUNCTION("VALUE(REGEXREPLACE(G4704,""[^[:digit:]]"", """"))"),975.0)</f>
        <v>975</v>
      </c>
      <c r="AG4704" s="7"/>
      <c r="AH4704" s="7"/>
      <c r="AI4704" s="7"/>
      <c r="AJ4704" s="7"/>
      <c r="AK4704" s="7"/>
      <c r="AL4704" s="7"/>
      <c r="AM4704" s="7"/>
      <c r="AN4704" s="7"/>
      <c r="AO4704" s="7"/>
      <c r="AP4704" s="7"/>
      <c r="AQ4704" s="7"/>
      <c r="AR4704" s="7"/>
      <c r="AS4704" s="7" t="s">
        <v>22</v>
      </c>
    </row>
    <row r="4705">
      <c r="A4705" s="7" t="s">
        <v>267</v>
      </c>
      <c r="B4705" s="7" t="s">
        <v>2866</v>
      </c>
      <c r="C4705" s="7">
        <f t="shared" si="663"/>
        <v>2</v>
      </c>
      <c r="D4705" s="7">
        <v>2.0</v>
      </c>
      <c r="E4705" s="7">
        <v>1.0</v>
      </c>
      <c r="F4705" s="7" t="s">
        <v>20</v>
      </c>
      <c r="G4705" s="7" t="s">
        <v>269</v>
      </c>
      <c r="H4705" s="9" t="s">
        <v>2979</v>
      </c>
      <c r="I4705" t="s">
        <v>3084</v>
      </c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  <c r="AA4705" s="7"/>
      <c r="AB4705" s="7"/>
      <c r="AC4705" s="7"/>
      <c r="AD4705" s="7" t="str">
        <f t="shared" si="1"/>
        <v>Built-up :</v>
      </c>
      <c r="AE4705" s="7" t="str">
        <f t="shared" si="2"/>
        <v> sq. ft.</v>
      </c>
      <c r="AF4705">
        <f>IFERROR(__xludf.DUMMYFUNCTION("VALUE(REGEXREPLACE(G4705,""[^[:digit:]]"", """"))"),715.0)</f>
        <v>715</v>
      </c>
      <c r="AG4705" s="7"/>
      <c r="AH4705" s="7"/>
      <c r="AI4705" s="7"/>
      <c r="AJ4705" s="7"/>
      <c r="AK4705" s="7"/>
      <c r="AL4705" s="7"/>
      <c r="AM4705" s="7"/>
      <c r="AN4705" s="7"/>
      <c r="AO4705" s="7"/>
      <c r="AP4705" s="7"/>
      <c r="AQ4705" s="7"/>
      <c r="AR4705" s="7"/>
      <c r="AS4705" s="7" t="s">
        <v>27</v>
      </c>
    </row>
    <row r="4706">
      <c r="A4706" s="7" t="s">
        <v>33</v>
      </c>
      <c r="B4706" s="7" t="s">
        <v>2615</v>
      </c>
      <c r="C4706" s="7">
        <f t="shared" si="663"/>
        <v>2</v>
      </c>
      <c r="D4706" s="7">
        <v>2.0</v>
      </c>
      <c r="E4706" s="7">
        <v>1.0</v>
      </c>
      <c r="F4706" s="7" t="s">
        <v>354</v>
      </c>
      <c r="G4706" s="7" t="s">
        <v>1734</v>
      </c>
      <c r="H4706" s="9" t="s">
        <v>2979</v>
      </c>
      <c r="I4706" t="s">
        <v>3891</v>
      </c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  <c r="AA4706" s="7"/>
      <c r="AB4706" s="7"/>
      <c r="AC4706" s="7"/>
      <c r="AD4706" s="7" t="str">
        <f t="shared" si="1"/>
        <v>Built-up :</v>
      </c>
      <c r="AE4706" s="7" t="str">
        <f t="shared" si="2"/>
        <v> sq. ft.</v>
      </c>
      <c r="AF4706">
        <f>IFERROR(__xludf.DUMMYFUNCTION("VALUE(REGEXREPLACE(G4706,""[^[:digit:]]"", """"))"),1015.0)</f>
        <v>1015</v>
      </c>
      <c r="AG4706" s="7"/>
      <c r="AH4706" s="7"/>
      <c r="AI4706" s="7"/>
      <c r="AJ4706" s="7"/>
      <c r="AK4706" s="7"/>
      <c r="AL4706" s="7"/>
      <c r="AM4706" s="7"/>
      <c r="AN4706" s="7"/>
      <c r="AO4706" s="7"/>
      <c r="AP4706" s="7"/>
      <c r="AQ4706" s="7"/>
      <c r="AR4706" s="7"/>
      <c r="AS4706" s="7" t="s">
        <v>22</v>
      </c>
    </row>
    <row r="4707">
      <c r="A4707" s="7" t="s">
        <v>32</v>
      </c>
      <c r="B4707" s="7" t="s">
        <v>520</v>
      </c>
      <c r="C4707" s="7">
        <f t="shared" si="663"/>
        <v>2</v>
      </c>
      <c r="D4707" s="7">
        <v>2.0</v>
      </c>
      <c r="E4707" s="7">
        <v>1.0</v>
      </c>
      <c r="F4707" s="7" t="s">
        <v>121</v>
      </c>
      <c r="G4707" s="7" t="s">
        <v>242</v>
      </c>
      <c r="H4707" s="9" t="s">
        <v>2979</v>
      </c>
      <c r="I4707" t="s">
        <v>3072</v>
      </c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  <c r="AA4707" s="7"/>
      <c r="AB4707" s="7"/>
      <c r="AC4707" s="7"/>
      <c r="AD4707" s="7" t="str">
        <f t="shared" si="1"/>
        <v>Built-up :</v>
      </c>
      <c r="AE4707" s="7" t="str">
        <f t="shared" si="2"/>
        <v> sq. ft.</v>
      </c>
      <c r="AF4707">
        <f>IFERROR(__xludf.DUMMYFUNCTION("VALUE(REGEXREPLACE(G4707,""[^[:digit:]]"", """"))"),650.0)</f>
        <v>650</v>
      </c>
      <c r="AG4707" s="7"/>
      <c r="AH4707" s="7"/>
      <c r="AI4707" s="7"/>
      <c r="AJ4707" s="7"/>
      <c r="AK4707" s="7"/>
      <c r="AL4707" s="7"/>
      <c r="AM4707" s="7"/>
      <c r="AN4707" s="7"/>
      <c r="AO4707" s="7"/>
      <c r="AP4707" s="7"/>
      <c r="AQ4707" s="7"/>
      <c r="AR4707" s="7"/>
    </row>
    <row r="4708">
      <c r="A4708" s="7" t="s">
        <v>580</v>
      </c>
      <c r="B4708" s="7" t="s">
        <v>1551</v>
      </c>
      <c r="C4708" s="7">
        <f t="shared" ref="C4708:C4709" si="664">3</f>
        <v>3</v>
      </c>
      <c r="D4708" s="7">
        <v>2.0</v>
      </c>
      <c r="E4708" s="7">
        <v>1.0</v>
      </c>
      <c r="F4708" s="7" t="s">
        <v>93</v>
      </c>
      <c r="G4708" s="7" t="s">
        <v>2867</v>
      </c>
      <c r="H4708" s="9" t="s">
        <v>2981</v>
      </c>
      <c r="I4708" t="s">
        <v>4577</v>
      </c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  <c r="AA4708" s="7"/>
      <c r="AB4708" s="7"/>
      <c r="AC4708" s="7"/>
      <c r="AD4708" s="7" t="str">
        <f t="shared" si="1"/>
        <v>Land area </v>
      </c>
      <c r="AE4708" s="7" t="str">
        <f t="shared" si="2"/>
        <v> sq. ft.</v>
      </c>
      <c r="AF4708">
        <f>IFERROR(__xludf.DUMMYFUNCTION("VALUE(REGEXREPLACE(G4708,""[^[:digit:]]"", """"))"),1076.0)</f>
        <v>1076</v>
      </c>
      <c r="AG4708" s="7"/>
      <c r="AH4708" s="7"/>
      <c r="AI4708" s="7"/>
      <c r="AJ4708" s="7"/>
      <c r="AK4708" s="7"/>
      <c r="AL4708" s="7"/>
      <c r="AM4708" s="7"/>
      <c r="AN4708" s="7"/>
      <c r="AO4708" s="7"/>
      <c r="AP4708" s="7"/>
      <c r="AQ4708" s="7"/>
      <c r="AR4708" s="7"/>
      <c r="AS4708" s="7" t="s">
        <v>22</v>
      </c>
    </row>
    <row r="4709">
      <c r="A4709" s="7" t="s">
        <v>32</v>
      </c>
      <c r="B4709" s="7" t="s">
        <v>510</v>
      </c>
      <c r="C4709" s="7">
        <f t="shared" si="664"/>
        <v>3</v>
      </c>
      <c r="D4709" s="7">
        <v>2.0</v>
      </c>
      <c r="E4709" s="9">
        <v>2.0</v>
      </c>
      <c r="F4709" s="7" t="s">
        <v>83</v>
      </c>
      <c r="G4709" s="7" t="s">
        <v>1273</v>
      </c>
      <c r="H4709" s="9" t="s">
        <v>2979</v>
      </c>
      <c r="I4709" t="s">
        <v>3615</v>
      </c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  <c r="AA4709" s="7"/>
      <c r="AB4709" s="7"/>
      <c r="AC4709" s="7"/>
      <c r="AD4709" s="7" t="str">
        <f t="shared" si="1"/>
        <v>Built-up :</v>
      </c>
      <c r="AE4709" s="7" t="str">
        <f t="shared" si="2"/>
        <v> sq. ft.</v>
      </c>
      <c r="AF4709">
        <f>IFERROR(__xludf.DUMMYFUNCTION("VALUE(REGEXREPLACE(G4709,""[^[:digit:]]"", """"))"),800.0)</f>
        <v>800</v>
      </c>
      <c r="AG4709" s="7"/>
      <c r="AH4709" s="7"/>
      <c r="AI4709" s="7"/>
      <c r="AJ4709" s="7"/>
      <c r="AK4709" s="7"/>
      <c r="AL4709" s="7"/>
      <c r="AM4709" s="7"/>
      <c r="AN4709" s="7"/>
      <c r="AO4709" s="7"/>
      <c r="AP4709" s="7"/>
      <c r="AQ4709" s="7"/>
      <c r="AR4709" s="7"/>
      <c r="AS4709" s="7" t="s">
        <v>22</v>
      </c>
    </row>
    <row r="4710">
      <c r="A4710" s="7" t="s">
        <v>33</v>
      </c>
      <c r="B4710" s="7" t="s">
        <v>936</v>
      </c>
      <c r="C4710" s="7">
        <f t="shared" ref="C4710:C4711" si="665">4</f>
        <v>4</v>
      </c>
      <c r="D4710" s="7">
        <v>3.0</v>
      </c>
      <c r="E4710" s="9">
        <v>2.0</v>
      </c>
      <c r="F4710" s="7" t="s">
        <v>83</v>
      </c>
      <c r="G4710" s="7" t="s">
        <v>36</v>
      </c>
      <c r="H4710" s="9" t="s">
        <v>2979</v>
      </c>
      <c r="I4710" t="s">
        <v>2986</v>
      </c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  <c r="AA4710" s="7"/>
      <c r="AB4710" s="7"/>
      <c r="AC4710" s="7"/>
      <c r="AD4710" s="7" t="str">
        <f t="shared" si="1"/>
        <v>Built-up :</v>
      </c>
      <c r="AE4710" s="7" t="str">
        <f t="shared" si="2"/>
        <v> sq. ft.</v>
      </c>
      <c r="AF4710">
        <f>IFERROR(__xludf.DUMMYFUNCTION("VALUE(REGEXREPLACE(G4710,""[^[:digit:]]"", """"))"),1513.0)</f>
        <v>1513</v>
      </c>
      <c r="AG4710" s="7"/>
      <c r="AH4710" s="7"/>
      <c r="AI4710" s="7"/>
      <c r="AJ4710" s="7"/>
      <c r="AK4710" s="7"/>
      <c r="AL4710" s="7"/>
      <c r="AM4710" s="7"/>
      <c r="AN4710" s="7"/>
      <c r="AO4710" s="7"/>
      <c r="AP4710" s="7"/>
      <c r="AQ4710" s="7"/>
      <c r="AR4710" s="7"/>
      <c r="AS4710" s="7" t="s">
        <v>27</v>
      </c>
    </row>
    <row r="4711">
      <c r="A4711" s="7" t="s">
        <v>171</v>
      </c>
      <c r="B4711" s="7" t="s">
        <v>759</v>
      </c>
      <c r="C4711" s="7">
        <f t="shared" si="665"/>
        <v>4</v>
      </c>
      <c r="D4711" s="7">
        <v>2.0</v>
      </c>
      <c r="E4711" s="9">
        <v>2.0</v>
      </c>
      <c r="F4711" s="7" t="s">
        <v>83</v>
      </c>
      <c r="G4711" s="7" t="s">
        <v>760</v>
      </c>
      <c r="H4711" s="9" t="s">
        <v>2979</v>
      </c>
      <c r="I4711" t="s">
        <v>3323</v>
      </c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  <c r="AA4711" s="7"/>
      <c r="AB4711" s="7"/>
      <c r="AC4711" s="7"/>
      <c r="AD4711" s="7" t="str">
        <f t="shared" si="1"/>
        <v>Built-up :</v>
      </c>
      <c r="AE4711" s="7" t="str">
        <f t="shared" si="2"/>
        <v> sq. ft.</v>
      </c>
      <c r="AF4711">
        <f>IFERROR(__xludf.DUMMYFUNCTION("VALUE(REGEXREPLACE(G4711,""[^[:digit:]]"", """"))"),1450.0)</f>
        <v>1450</v>
      </c>
      <c r="AG4711" s="7"/>
      <c r="AH4711" s="7"/>
      <c r="AI4711" s="7"/>
      <c r="AJ4711" s="7"/>
      <c r="AK4711" s="7"/>
      <c r="AL4711" s="7"/>
      <c r="AM4711" s="7"/>
      <c r="AN4711" s="7"/>
      <c r="AO4711" s="7"/>
      <c r="AP4711" s="7"/>
      <c r="AQ4711" s="7"/>
      <c r="AR4711" s="7"/>
      <c r="AS4711" s="7" t="s">
        <v>27</v>
      </c>
    </row>
    <row r="4712">
      <c r="A4712" s="7" t="s">
        <v>1014</v>
      </c>
      <c r="B4712" s="7" t="s">
        <v>983</v>
      </c>
      <c r="C4712" s="7">
        <f>1+1</f>
        <v>2</v>
      </c>
      <c r="D4712" s="7">
        <v>1.0</v>
      </c>
      <c r="E4712" s="9">
        <v>2.0</v>
      </c>
      <c r="F4712" s="7" t="s">
        <v>83</v>
      </c>
      <c r="G4712" s="7" t="s">
        <v>2868</v>
      </c>
      <c r="H4712" s="9" t="s">
        <v>2979</v>
      </c>
      <c r="I4712" t="s">
        <v>4578</v>
      </c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  <c r="AA4712" s="7"/>
      <c r="AB4712" s="7"/>
      <c r="AC4712" s="7"/>
      <c r="AD4712" s="7" t="str">
        <f t="shared" si="1"/>
        <v>Built-up :</v>
      </c>
      <c r="AE4712" s="7" t="str">
        <f t="shared" si="2"/>
        <v> sq. ft.</v>
      </c>
      <c r="AF4712">
        <f>IFERROR(__xludf.DUMMYFUNCTION("VALUE(REGEXREPLACE(G4712,""[^[:digit:]]"", """"))"),698.0)</f>
        <v>698</v>
      </c>
      <c r="AG4712" s="7"/>
      <c r="AH4712" s="7"/>
      <c r="AI4712" s="7"/>
      <c r="AJ4712" s="7"/>
      <c r="AK4712" s="7"/>
      <c r="AL4712" s="7"/>
      <c r="AM4712" s="7"/>
      <c r="AN4712" s="7"/>
      <c r="AO4712" s="7"/>
      <c r="AP4712" s="7"/>
      <c r="AQ4712" s="7"/>
      <c r="AR4712" s="7"/>
    </row>
    <row r="4713">
      <c r="A4713" s="7" t="s">
        <v>171</v>
      </c>
      <c r="B4713" s="7" t="s">
        <v>1994</v>
      </c>
      <c r="C4713" s="7">
        <f>1</f>
        <v>1</v>
      </c>
      <c r="D4713" s="7">
        <v>1.0</v>
      </c>
      <c r="E4713" s="9">
        <v>2.0</v>
      </c>
      <c r="F4713" s="7" t="s">
        <v>20</v>
      </c>
      <c r="G4713" s="7" t="s">
        <v>2869</v>
      </c>
      <c r="H4713" s="9" t="s">
        <v>2979</v>
      </c>
      <c r="I4713" t="s">
        <v>4579</v>
      </c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  <c r="AA4713" s="7"/>
      <c r="AB4713" s="7"/>
      <c r="AC4713" s="7"/>
      <c r="AD4713" s="7" t="str">
        <f t="shared" si="1"/>
        <v>Built-up :</v>
      </c>
      <c r="AE4713" s="7" t="str">
        <f t="shared" si="2"/>
        <v> sq. ft.</v>
      </c>
      <c r="AF4713">
        <f>IFERROR(__xludf.DUMMYFUNCTION("VALUE(REGEXREPLACE(G4713,""[^[:digit:]]"", """"))"),521.0)</f>
        <v>521</v>
      </c>
      <c r="AG4713" s="7"/>
      <c r="AH4713" s="7"/>
      <c r="AI4713" s="7"/>
      <c r="AJ4713" s="7"/>
      <c r="AK4713" s="7"/>
      <c r="AL4713" s="7"/>
      <c r="AM4713" s="7"/>
      <c r="AN4713" s="7"/>
      <c r="AO4713" s="7"/>
      <c r="AP4713" s="7"/>
      <c r="AQ4713" s="7"/>
      <c r="AR4713" s="7"/>
      <c r="AS4713" s="7" t="s">
        <v>27</v>
      </c>
    </row>
    <row r="4714">
      <c r="A4714" s="7" t="s">
        <v>109</v>
      </c>
      <c r="B4714" s="7" t="s">
        <v>2870</v>
      </c>
      <c r="C4714" s="7">
        <f>2+1</f>
        <v>3</v>
      </c>
      <c r="D4714" s="7">
        <v>2.0</v>
      </c>
      <c r="E4714" s="9">
        <v>2.0</v>
      </c>
      <c r="F4714" s="7" t="s">
        <v>20</v>
      </c>
      <c r="G4714" s="7" t="s">
        <v>910</v>
      </c>
      <c r="H4714" s="9" t="s">
        <v>2979</v>
      </c>
      <c r="I4714" t="s">
        <v>3401</v>
      </c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  <c r="AA4714" s="7"/>
      <c r="AB4714" s="7"/>
      <c r="AC4714" s="7"/>
      <c r="AD4714" s="7" t="str">
        <f t="shared" si="1"/>
        <v>Built-up :</v>
      </c>
      <c r="AE4714" s="7" t="str">
        <f t="shared" si="2"/>
        <v> sq. ft.</v>
      </c>
      <c r="AF4714">
        <f>IFERROR(__xludf.DUMMYFUNCTION("VALUE(REGEXREPLACE(G4714,""[^[:digit:]]"", """"))"),858.0)</f>
        <v>858</v>
      </c>
      <c r="AG4714" s="7"/>
      <c r="AH4714" s="7"/>
      <c r="AI4714" s="7"/>
      <c r="AJ4714" s="7"/>
      <c r="AK4714" s="7"/>
      <c r="AL4714" s="7"/>
      <c r="AM4714" s="7"/>
      <c r="AN4714" s="7"/>
      <c r="AO4714" s="7"/>
      <c r="AP4714" s="7"/>
      <c r="AQ4714" s="7"/>
      <c r="AR4714" s="7"/>
    </row>
    <row r="4715">
      <c r="A4715" s="7" t="s">
        <v>32</v>
      </c>
      <c r="B4715" s="7" t="s">
        <v>361</v>
      </c>
      <c r="C4715" s="7">
        <f>2</f>
        <v>2</v>
      </c>
      <c r="D4715" s="7">
        <v>2.0</v>
      </c>
      <c r="E4715" s="9">
        <v>2.0</v>
      </c>
      <c r="F4715" s="7" t="s">
        <v>20</v>
      </c>
      <c r="G4715" s="7" t="s">
        <v>2871</v>
      </c>
      <c r="H4715" s="9" t="s">
        <v>2979</v>
      </c>
      <c r="I4715" t="s">
        <v>4580</v>
      </c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  <c r="AA4715" s="7"/>
      <c r="AB4715" s="7"/>
      <c r="AC4715" s="7"/>
      <c r="AD4715" s="7" t="str">
        <f t="shared" si="1"/>
        <v>Built-up :</v>
      </c>
      <c r="AE4715" s="7" t="str">
        <f t="shared" si="2"/>
        <v> sq. ft.</v>
      </c>
      <c r="AF4715">
        <f>IFERROR(__xludf.DUMMYFUNCTION("VALUE(REGEXREPLACE(G4715,""[^[:digit:]]"", """"))"),774.0)</f>
        <v>774</v>
      </c>
      <c r="AG4715" s="7"/>
      <c r="AH4715" s="7"/>
      <c r="AI4715" s="7"/>
      <c r="AJ4715" s="7"/>
      <c r="AK4715" s="7"/>
      <c r="AL4715" s="7"/>
      <c r="AM4715" s="7"/>
      <c r="AN4715" s="7"/>
      <c r="AO4715" s="7"/>
      <c r="AP4715" s="7"/>
      <c r="AQ4715" s="7"/>
      <c r="AR4715" s="7"/>
      <c r="AS4715" s="7" t="s">
        <v>27</v>
      </c>
    </row>
    <row r="4716">
      <c r="A4716" s="7" t="s">
        <v>32</v>
      </c>
      <c r="B4716" s="7" t="s">
        <v>1910</v>
      </c>
      <c r="C4716" s="7">
        <f t="shared" ref="C4716:C4717" si="666">3</f>
        <v>3</v>
      </c>
      <c r="D4716" s="7">
        <v>2.0</v>
      </c>
      <c r="E4716" s="7">
        <v>1.0</v>
      </c>
      <c r="F4716" s="7" t="s">
        <v>93</v>
      </c>
      <c r="G4716" s="7" t="s">
        <v>1782</v>
      </c>
      <c r="H4716" s="9" t="s">
        <v>2979</v>
      </c>
      <c r="I4716" t="s">
        <v>3921</v>
      </c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  <c r="AA4716" s="7"/>
      <c r="AB4716" s="7"/>
      <c r="AC4716" s="7"/>
      <c r="AD4716" s="7" t="str">
        <f t="shared" si="1"/>
        <v>Built-up :</v>
      </c>
      <c r="AE4716" s="7" t="str">
        <f t="shared" si="2"/>
        <v> sq. ft.</v>
      </c>
      <c r="AF4716">
        <f>IFERROR(__xludf.DUMMYFUNCTION("VALUE(REGEXREPLACE(G4716,""[^[:digit:]]"", """"))"),958.0)</f>
        <v>958</v>
      </c>
      <c r="AG4716" s="7"/>
      <c r="AH4716" s="7"/>
      <c r="AI4716" s="7"/>
      <c r="AJ4716" s="7"/>
      <c r="AK4716" s="7"/>
      <c r="AL4716" s="7"/>
      <c r="AM4716" s="7"/>
      <c r="AN4716" s="7"/>
      <c r="AO4716" s="7"/>
      <c r="AP4716" s="7"/>
      <c r="AQ4716" s="7"/>
      <c r="AR4716" s="7"/>
      <c r="AS4716" s="7" t="s">
        <v>22</v>
      </c>
    </row>
    <row r="4717">
      <c r="A4717" s="7" t="s">
        <v>32</v>
      </c>
      <c r="B4717" s="7" t="s">
        <v>969</v>
      </c>
      <c r="C4717" s="7">
        <f t="shared" si="666"/>
        <v>3</v>
      </c>
      <c r="D4717" s="7">
        <v>2.0</v>
      </c>
      <c r="E4717" s="7">
        <v>1.0</v>
      </c>
      <c r="F4717" s="7" t="s">
        <v>83</v>
      </c>
      <c r="G4717" s="7" t="s">
        <v>1178</v>
      </c>
      <c r="H4717" s="9" t="s">
        <v>2979</v>
      </c>
      <c r="I4717" t="s">
        <v>3561</v>
      </c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  <c r="AA4717" s="7"/>
      <c r="AB4717" s="7"/>
      <c r="AC4717" s="7"/>
      <c r="AD4717" s="7" t="str">
        <f t="shared" si="1"/>
        <v>Built-up :</v>
      </c>
      <c r="AE4717" s="7" t="str">
        <f t="shared" si="2"/>
        <v> sq. ft.</v>
      </c>
      <c r="AF4717">
        <f>IFERROR(__xludf.DUMMYFUNCTION("VALUE(REGEXREPLACE(G4717,""[^[:digit:]]"", """"))"),930.0)</f>
        <v>930</v>
      </c>
      <c r="AG4717" s="7"/>
      <c r="AH4717" s="7"/>
      <c r="AI4717" s="7"/>
      <c r="AJ4717" s="7"/>
      <c r="AK4717" s="7"/>
      <c r="AL4717" s="7"/>
      <c r="AM4717" s="7"/>
      <c r="AN4717" s="7"/>
      <c r="AO4717" s="7"/>
      <c r="AP4717" s="7"/>
      <c r="AQ4717" s="7"/>
      <c r="AR4717" s="7"/>
      <c r="AS4717" s="7" t="s">
        <v>27</v>
      </c>
    </row>
    <row r="4718">
      <c r="A4718" s="7" t="s">
        <v>28</v>
      </c>
      <c r="B4718" s="7" t="s">
        <v>311</v>
      </c>
      <c r="C4718" s="7">
        <f>2</f>
        <v>2</v>
      </c>
      <c r="D4718" s="7">
        <v>2.0</v>
      </c>
      <c r="E4718" s="9">
        <v>2.0</v>
      </c>
      <c r="F4718" s="7" t="s">
        <v>20</v>
      </c>
      <c r="G4718" s="7" t="s">
        <v>1847</v>
      </c>
      <c r="H4718" s="9" t="s">
        <v>2979</v>
      </c>
      <c r="I4718" t="s">
        <v>3955</v>
      </c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  <c r="AA4718" s="7"/>
      <c r="AB4718" s="7"/>
      <c r="AC4718" s="7"/>
      <c r="AD4718" s="7" t="str">
        <f t="shared" si="1"/>
        <v>Built-up :</v>
      </c>
      <c r="AE4718" s="7" t="str">
        <f t="shared" si="2"/>
        <v> sq. ft.</v>
      </c>
      <c r="AF4718">
        <f>IFERROR(__xludf.DUMMYFUNCTION("VALUE(REGEXREPLACE(G4718,""[^[:digit:]]"", """"))"),997.0)</f>
        <v>997</v>
      </c>
      <c r="AG4718" s="7"/>
      <c r="AH4718" s="7"/>
      <c r="AI4718" s="7"/>
      <c r="AJ4718" s="7"/>
      <c r="AK4718" s="7"/>
      <c r="AL4718" s="7"/>
      <c r="AM4718" s="7"/>
      <c r="AN4718" s="7"/>
      <c r="AO4718" s="7"/>
      <c r="AP4718" s="7"/>
      <c r="AQ4718" s="7"/>
      <c r="AR4718" s="7"/>
      <c r="AS4718" s="7" t="s">
        <v>22</v>
      </c>
    </row>
    <row r="4719">
      <c r="A4719" s="7" t="s">
        <v>72</v>
      </c>
      <c r="B4719" s="7" t="s">
        <v>351</v>
      </c>
      <c r="C4719" s="7">
        <f>4+1</f>
        <v>5</v>
      </c>
      <c r="D4719" s="7">
        <v>5.0</v>
      </c>
      <c r="E4719" s="9">
        <v>2.0</v>
      </c>
      <c r="F4719" s="7" t="s">
        <v>83</v>
      </c>
      <c r="G4719" s="7" t="s">
        <v>147</v>
      </c>
      <c r="H4719" s="9" t="s">
        <v>2979</v>
      </c>
      <c r="I4719" t="s">
        <v>3027</v>
      </c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  <c r="AA4719" s="7"/>
      <c r="AB4719" s="7"/>
      <c r="AC4719" s="7"/>
      <c r="AD4719" s="7" t="str">
        <f t="shared" si="1"/>
        <v>Built-up :</v>
      </c>
      <c r="AE4719" s="7" t="str">
        <f t="shared" si="2"/>
        <v> sq. ft.</v>
      </c>
      <c r="AF4719">
        <f>IFERROR(__xludf.DUMMYFUNCTION("VALUE(REGEXREPLACE(G4719,""[^[:digit:]]"", """"))"),4090.0)</f>
        <v>4090</v>
      </c>
      <c r="AG4719" s="7"/>
      <c r="AH4719" s="7"/>
      <c r="AI4719" s="7"/>
      <c r="AJ4719" s="7"/>
      <c r="AK4719" s="7"/>
      <c r="AL4719" s="7"/>
      <c r="AM4719" s="7"/>
      <c r="AN4719" s="7"/>
      <c r="AO4719" s="7"/>
      <c r="AP4719" s="7"/>
      <c r="AQ4719" s="7"/>
      <c r="AR4719" s="7"/>
      <c r="AS4719" s="7" t="s">
        <v>27</v>
      </c>
    </row>
    <row r="4720">
      <c r="A4720" s="7" t="s">
        <v>72</v>
      </c>
      <c r="B4720" s="7" t="s">
        <v>81</v>
      </c>
      <c r="C4720" s="7">
        <f>3+1</f>
        <v>4</v>
      </c>
      <c r="D4720" s="7">
        <v>4.0</v>
      </c>
      <c r="E4720" s="9">
        <v>2.0</v>
      </c>
      <c r="F4720" s="7" t="s">
        <v>83</v>
      </c>
      <c r="G4720" s="7" t="s">
        <v>84</v>
      </c>
      <c r="H4720" s="9" t="s">
        <v>2979</v>
      </c>
      <c r="I4720" t="s">
        <v>3001</v>
      </c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  <c r="AA4720" s="7"/>
      <c r="AB4720" s="7"/>
      <c r="AC4720" s="7"/>
      <c r="AD4720" s="7" t="str">
        <f t="shared" si="1"/>
        <v>Built-up :</v>
      </c>
      <c r="AE4720" s="7" t="str">
        <f t="shared" si="2"/>
        <v> sq. ft.</v>
      </c>
      <c r="AF4720">
        <f>IFERROR(__xludf.DUMMYFUNCTION("VALUE(REGEXREPLACE(G4720,""[^[:digit:]]"", """"))"),2163.0)</f>
        <v>2163</v>
      </c>
      <c r="AG4720" s="7"/>
      <c r="AH4720" s="7"/>
      <c r="AI4720" s="7"/>
      <c r="AJ4720" s="7"/>
      <c r="AK4720" s="7"/>
      <c r="AL4720" s="7"/>
      <c r="AM4720" s="7"/>
      <c r="AN4720" s="7"/>
      <c r="AO4720" s="7"/>
      <c r="AP4720" s="7"/>
      <c r="AQ4720" s="7"/>
      <c r="AR4720" s="7"/>
      <c r="AS4720" s="7" t="s">
        <v>22</v>
      </c>
    </row>
    <row r="4721">
      <c r="A4721" s="7" t="s">
        <v>32</v>
      </c>
      <c r="B4721" s="7" t="s">
        <v>2872</v>
      </c>
      <c r="C4721" s="7">
        <f>3</f>
        <v>3</v>
      </c>
      <c r="D4721" s="7">
        <v>2.0</v>
      </c>
      <c r="E4721" s="9">
        <v>2.0</v>
      </c>
      <c r="F4721" s="7" t="s">
        <v>83</v>
      </c>
      <c r="H4721" s="9" t="s">
        <v>2984</v>
      </c>
      <c r="I4721" t="s">
        <v>2985</v>
      </c>
      <c r="AD4721" s="7" t="str">
        <f t="shared" si="1"/>
        <v/>
      </c>
      <c r="AE4721" s="7" t="str">
        <f t="shared" si="2"/>
        <v/>
      </c>
      <c r="AF4721">
        <f>IFERROR(__xludf.DUMMYFUNCTION("VALUE(REGEXREPLACE(G4721,""[^[:digit:]]"", """"))"),0.0)</f>
        <v>0</v>
      </c>
    </row>
    <row r="4722">
      <c r="A4722" s="7" t="s">
        <v>104</v>
      </c>
      <c r="B4722" s="7" t="s">
        <v>34</v>
      </c>
      <c r="C4722" s="7">
        <f>4</f>
        <v>4</v>
      </c>
      <c r="D4722" s="7">
        <v>3.0</v>
      </c>
      <c r="E4722" s="7">
        <v>2.0</v>
      </c>
      <c r="F4722" s="7" t="s">
        <v>54</v>
      </c>
      <c r="G4722" s="7" t="s">
        <v>1434</v>
      </c>
      <c r="H4722" s="9" t="s">
        <v>2981</v>
      </c>
      <c r="I4722" t="s">
        <v>3710</v>
      </c>
      <c r="J4722" s="7"/>
      <c r="K4722" s="7"/>
      <c r="L4722" s="7"/>
      <c r="M4722" s="7"/>
      <c r="N4722" s="7"/>
      <c r="O4722" s="7"/>
      <c r="P4722" s="7"/>
      <c r="Q4722" s="7"/>
      <c r="R4722" s="7"/>
      <c r="S4722" s="7" t="s">
        <v>3121</v>
      </c>
      <c r="T4722" s="7"/>
      <c r="U4722" s="7"/>
      <c r="V4722" s="7"/>
      <c r="W4722" s="7"/>
      <c r="X4722" s="7"/>
      <c r="Y4722" s="7"/>
      <c r="Z4722" s="7"/>
      <c r="AA4722" s="7"/>
      <c r="AB4722" s="7"/>
      <c r="AC4722" s="7"/>
      <c r="AD4722" s="7" t="str">
        <f t="shared" si="1"/>
        <v>Land area </v>
      </c>
      <c r="AE4722" s="7" t="str">
        <f t="shared" si="2"/>
        <v> sq. ft.</v>
      </c>
      <c r="AF4722">
        <f>IFERROR(__xludf.DUMMYFUNCTION("VALUE(REGEXREPLACE(G4722,""[^[:digit:]]"", """"))"),2170.0)</f>
        <v>2170</v>
      </c>
      <c r="AG4722" s="7"/>
      <c r="AH4722" s="7"/>
      <c r="AI4722" s="7"/>
      <c r="AJ4722" s="7"/>
      <c r="AK4722" s="7"/>
      <c r="AL4722" s="7"/>
      <c r="AM4722" s="7"/>
      <c r="AN4722" s="7"/>
      <c r="AO4722" s="7"/>
      <c r="AP4722" s="7"/>
      <c r="AQ4722" s="7"/>
      <c r="AR4722" s="7"/>
      <c r="AS4722" s="7" t="s">
        <v>27</v>
      </c>
    </row>
    <row r="4723">
      <c r="A4723" s="7" t="s">
        <v>262</v>
      </c>
      <c r="B4723" s="7" t="s">
        <v>616</v>
      </c>
      <c r="C4723" s="7">
        <f t="shared" ref="C4723:C4724" si="667">9</f>
        <v>9</v>
      </c>
      <c r="D4723" s="7">
        <v>8.0</v>
      </c>
      <c r="E4723" s="7">
        <v>6.0</v>
      </c>
      <c r="F4723" s="7" t="s">
        <v>67</v>
      </c>
      <c r="G4723" s="7" t="s">
        <v>2084</v>
      </c>
      <c r="H4723" s="9" t="s">
        <v>2981</v>
      </c>
      <c r="I4723" t="s">
        <v>4101</v>
      </c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  <c r="AA4723" s="7"/>
      <c r="AB4723" s="7"/>
      <c r="AC4723" s="7"/>
      <c r="AD4723" s="7" t="str">
        <f t="shared" si="1"/>
        <v>Land area </v>
      </c>
      <c r="AE4723" s="7" t="str">
        <f t="shared" si="2"/>
        <v> sq. ft.</v>
      </c>
      <c r="AF4723">
        <f>IFERROR(__xludf.DUMMYFUNCTION("VALUE(REGEXREPLACE(G4723,""[^[:digit:]]"", """"))"),9500.0)</f>
        <v>9500</v>
      </c>
      <c r="AG4723" s="7"/>
      <c r="AH4723" s="7"/>
      <c r="AI4723" s="7"/>
      <c r="AJ4723" s="7"/>
      <c r="AK4723" s="7"/>
      <c r="AL4723" s="7"/>
      <c r="AM4723" s="7"/>
      <c r="AN4723" s="7"/>
      <c r="AO4723" s="7"/>
      <c r="AP4723" s="7"/>
      <c r="AQ4723" s="7"/>
      <c r="AR4723" s="7"/>
    </row>
    <row r="4724">
      <c r="A4724" s="7" t="s">
        <v>262</v>
      </c>
      <c r="B4724" s="7" t="s">
        <v>616</v>
      </c>
      <c r="C4724" s="7">
        <f t="shared" si="667"/>
        <v>9</v>
      </c>
      <c r="D4724" s="7">
        <v>8.0</v>
      </c>
      <c r="E4724" s="7">
        <v>6.0</v>
      </c>
      <c r="F4724" s="7" t="s">
        <v>67</v>
      </c>
      <c r="G4724" s="7" t="s">
        <v>2084</v>
      </c>
      <c r="H4724" s="9" t="s">
        <v>2981</v>
      </c>
      <c r="I4724" t="s">
        <v>4101</v>
      </c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  <c r="AA4724" s="7"/>
      <c r="AB4724" s="7"/>
      <c r="AC4724" s="7"/>
      <c r="AD4724" s="7" t="str">
        <f t="shared" si="1"/>
        <v>Land area </v>
      </c>
      <c r="AE4724" s="7" t="str">
        <f t="shared" si="2"/>
        <v> sq. ft.</v>
      </c>
      <c r="AF4724">
        <f>IFERROR(__xludf.DUMMYFUNCTION("VALUE(REGEXREPLACE(G4724,""[^[:digit:]]"", """"))"),9500.0)</f>
        <v>9500</v>
      </c>
      <c r="AG4724" s="7"/>
      <c r="AH4724" s="7"/>
      <c r="AI4724" s="7"/>
      <c r="AJ4724" s="7"/>
      <c r="AK4724" s="7"/>
      <c r="AL4724" s="7"/>
      <c r="AM4724" s="7"/>
      <c r="AN4724" s="7"/>
      <c r="AO4724" s="7"/>
      <c r="AP4724" s="7"/>
      <c r="AQ4724" s="7"/>
      <c r="AR4724" s="7"/>
    </row>
    <row r="4725">
      <c r="A4725" s="7" t="s">
        <v>77</v>
      </c>
      <c r="B4725" s="7" t="s">
        <v>1079</v>
      </c>
      <c r="C4725" s="7">
        <f t="shared" ref="C4725:C4727" si="668">3</f>
        <v>3</v>
      </c>
      <c r="D4725" s="7">
        <v>4.0</v>
      </c>
      <c r="E4725" s="7">
        <v>2.0</v>
      </c>
      <c r="F4725" s="7" t="s">
        <v>169</v>
      </c>
      <c r="G4725" s="7" t="s">
        <v>1197</v>
      </c>
      <c r="H4725" s="9" t="s">
        <v>2981</v>
      </c>
      <c r="I4725" t="s">
        <v>3037</v>
      </c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  <c r="AA4725" s="7"/>
      <c r="AB4725" s="7"/>
      <c r="AC4725" s="7"/>
      <c r="AD4725" s="7" t="str">
        <f t="shared" si="1"/>
        <v>Land area </v>
      </c>
      <c r="AE4725" s="7" t="str">
        <f t="shared" si="2"/>
        <v> sq. ft.</v>
      </c>
      <c r="AF4725">
        <f>IFERROR(__xludf.DUMMYFUNCTION("VALUE(REGEXREPLACE(G4725,""[^[:digit:]]"", """"))"),1800.0)</f>
        <v>1800</v>
      </c>
      <c r="AG4725" s="7"/>
      <c r="AH4725" s="7"/>
      <c r="AI4725" s="7"/>
      <c r="AJ4725" s="7"/>
      <c r="AK4725" s="7"/>
      <c r="AL4725" s="7"/>
      <c r="AM4725" s="7"/>
      <c r="AN4725" s="7"/>
      <c r="AO4725" s="7"/>
      <c r="AP4725" s="7"/>
      <c r="AQ4725" s="7"/>
      <c r="AR4725" s="7"/>
      <c r="AS4725" s="7" t="s">
        <v>22</v>
      </c>
    </row>
    <row r="4726">
      <c r="A4726" s="7" t="s">
        <v>104</v>
      </c>
      <c r="B4726" s="7" t="s">
        <v>2086</v>
      </c>
      <c r="C4726" s="7">
        <f t="shared" si="668"/>
        <v>3</v>
      </c>
      <c r="D4726" s="7">
        <v>2.0</v>
      </c>
      <c r="E4726" s="7">
        <v>2.0</v>
      </c>
      <c r="F4726" s="7" t="s">
        <v>343</v>
      </c>
      <c r="G4726" s="7" t="s">
        <v>1732</v>
      </c>
      <c r="H4726" s="9" t="s">
        <v>2981</v>
      </c>
      <c r="I4726" t="s">
        <v>3889</v>
      </c>
      <c r="J4726" s="7"/>
      <c r="K4726" s="7"/>
      <c r="L4726" s="7"/>
      <c r="M4726" s="7"/>
      <c r="N4726" s="7"/>
      <c r="O4726" s="7"/>
      <c r="P4726" s="7"/>
      <c r="Q4726" s="7"/>
      <c r="R4726" s="7"/>
      <c r="S4726" s="7" t="s">
        <v>3298</v>
      </c>
      <c r="T4726" s="7"/>
      <c r="U4726" s="7"/>
      <c r="V4726" s="7"/>
      <c r="W4726" s="7"/>
      <c r="X4726" s="7"/>
      <c r="Y4726" s="7"/>
      <c r="Z4726" s="7"/>
      <c r="AA4726" s="7"/>
      <c r="AB4726" s="7"/>
      <c r="AC4726" s="7"/>
      <c r="AD4726" s="7" t="str">
        <f t="shared" si="1"/>
        <v>Land area </v>
      </c>
      <c r="AE4726" s="7" t="str">
        <f t="shared" si="2"/>
        <v> sq. ft.</v>
      </c>
      <c r="AF4726">
        <f>IFERROR(__xludf.DUMMYFUNCTION("VALUE(REGEXREPLACE(G4726,""[^[:digit:]]"", """"))"),2265.0)</f>
        <v>2265</v>
      </c>
      <c r="AG4726" s="7"/>
      <c r="AH4726" s="7"/>
      <c r="AI4726" s="7"/>
      <c r="AJ4726" s="7"/>
      <c r="AK4726" s="7"/>
      <c r="AL4726" s="7"/>
      <c r="AM4726" s="7"/>
      <c r="AN4726" s="7"/>
      <c r="AO4726" s="7"/>
      <c r="AP4726" s="7"/>
      <c r="AQ4726" s="7"/>
      <c r="AR4726" s="7"/>
      <c r="AS4726" s="7" t="s">
        <v>27</v>
      </c>
    </row>
    <row r="4727">
      <c r="A4727" s="7" t="s">
        <v>104</v>
      </c>
      <c r="B4727" s="7" t="s">
        <v>648</v>
      </c>
      <c r="C4727" s="7">
        <f t="shared" si="668"/>
        <v>3</v>
      </c>
      <c r="D4727" s="7">
        <v>2.0</v>
      </c>
      <c r="E4727" s="7">
        <v>2.0</v>
      </c>
      <c r="F4727" s="7" t="s">
        <v>343</v>
      </c>
      <c r="G4727" s="7" t="s">
        <v>1732</v>
      </c>
      <c r="H4727" s="9" t="s">
        <v>2981</v>
      </c>
      <c r="I4727" t="s">
        <v>3889</v>
      </c>
      <c r="J4727" s="7"/>
      <c r="K4727" s="7"/>
      <c r="L4727" s="7"/>
      <c r="M4727" s="7"/>
      <c r="N4727" s="7"/>
      <c r="O4727" s="7"/>
      <c r="P4727" s="7"/>
      <c r="Q4727" s="7"/>
      <c r="R4727" s="7"/>
      <c r="S4727" s="7" t="s">
        <v>3298</v>
      </c>
      <c r="T4727" s="7"/>
      <c r="U4727" s="7"/>
      <c r="V4727" s="7"/>
      <c r="W4727" s="7"/>
      <c r="X4727" s="7"/>
      <c r="Y4727" s="7"/>
      <c r="Z4727" s="7"/>
      <c r="AA4727" s="7"/>
      <c r="AB4727" s="7"/>
      <c r="AC4727" s="7"/>
      <c r="AD4727" s="7" t="str">
        <f t="shared" si="1"/>
        <v>Land area </v>
      </c>
      <c r="AE4727" s="7" t="str">
        <f t="shared" si="2"/>
        <v> sq. ft.</v>
      </c>
      <c r="AF4727">
        <f>IFERROR(__xludf.DUMMYFUNCTION("VALUE(REGEXREPLACE(G4727,""[^[:digit:]]"", """"))"),2265.0)</f>
        <v>2265</v>
      </c>
      <c r="AG4727" s="7"/>
      <c r="AH4727" s="7"/>
      <c r="AI4727" s="7"/>
      <c r="AJ4727" s="7"/>
      <c r="AK4727" s="7"/>
      <c r="AL4727" s="7"/>
      <c r="AM4727" s="7"/>
      <c r="AN4727" s="7"/>
      <c r="AO4727" s="7"/>
      <c r="AP4727" s="7"/>
      <c r="AQ4727" s="7"/>
      <c r="AR4727" s="7"/>
      <c r="AS4727" s="7" t="s">
        <v>27</v>
      </c>
    </row>
    <row r="4728">
      <c r="A4728" s="7" t="s">
        <v>262</v>
      </c>
      <c r="B4728" s="7" t="s">
        <v>616</v>
      </c>
      <c r="C4728" s="7">
        <f>8</f>
        <v>8</v>
      </c>
      <c r="D4728" s="7">
        <v>9.0</v>
      </c>
      <c r="E4728" s="7">
        <v>6.0</v>
      </c>
      <c r="F4728" s="7" t="s">
        <v>67</v>
      </c>
      <c r="G4728" s="7" t="s">
        <v>1496</v>
      </c>
      <c r="H4728" s="9" t="s">
        <v>2981</v>
      </c>
      <c r="I4728" t="s">
        <v>3744</v>
      </c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  <c r="AA4728" s="7"/>
      <c r="AB4728" s="7"/>
      <c r="AC4728" s="7"/>
      <c r="AD4728" s="7" t="str">
        <f t="shared" si="1"/>
        <v>Land area </v>
      </c>
      <c r="AE4728" s="7" t="str">
        <f t="shared" si="2"/>
        <v> sq. ft.</v>
      </c>
      <c r="AF4728">
        <f>IFERROR(__xludf.DUMMYFUNCTION("VALUE(REGEXREPLACE(G4728,""[^[:digit:]]"", """"))"),9300.0)</f>
        <v>9300</v>
      </c>
      <c r="AG4728" s="7"/>
      <c r="AH4728" s="7"/>
      <c r="AI4728" s="7"/>
      <c r="AJ4728" s="7"/>
      <c r="AK4728" s="7"/>
      <c r="AL4728" s="7"/>
      <c r="AM4728" s="7"/>
      <c r="AN4728" s="7"/>
      <c r="AO4728" s="7"/>
      <c r="AP4728" s="7"/>
      <c r="AQ4728" s="7"/>
      <c r="AR4728" s="7"/>
    </row>
    <row r="4729">
      <c r="A4729" s="7" t="s">
        <v>104</v>
      </c>
      <c r="B4729" s="7" t="s">
        <v>2801</v>
      </c>
      <c r="C4729" s="7">
        <f t="shared" ref="C4729:C4732" si="669">3</f>
        <v>3</v>
      </c>
      <c r="D4729" s="7">
        <v>2.0</v>
      </c>
      <c r="E4729" s="9">
        <v>2.0</v>
      </c>
      <c r="F4729" s="7" t="s">
        <v>343</v>
      </c>
      <c r="G4729" s="7" t="s">
        <v>1732</v>
      </c>
      <c r="H4729" s="9" t="s">
        <v>2981</v>
      </c>
      <c r="I4729" t="s">
        <v>3889</v>
      </c>
      <c r="J4729" s="7"/>
      <c r="K4729" s="7"/>
      <c r="L4729" s="7"/>
      <c r="M4729" s="7"/>
      <c r="N4729" s="7"/>
      <c r="O4729" s="7"/>
      <c r="P4729" s="7"/>
      <c r="Q4729" s="7"/>
      <c r="R4729" s="7"/>
      <c r="S4729" s="7" t="s">
        <v>3298</v>
      </c>
      <c r="T4729" s="7"/>
      <c r="U4729" s="7"/>
      <c r="V4729" s="7"/>
      <c r="W4729" s="7"/>
      <c r="X4729" s="7"/>
      <c r="Y4729" s="7"/>
      <c r="Z4729" s="7"/>
      <c r="AA4729" s="7"/>
      <c r="AB4729" s="7"/>
      <c r="AC4729" s="7"/>
      <c r="AD4729" s="7" t="str">
        <f t="shared" si="1"/>
        <v>Land area </v>
      </c>
      <c r="AE4729" s="7" t="str">
        <f t="shared" si="2"/>
        <v> sq. ft.</v>
      </c>
      <c r="AF4729">
        <f>IFERROR(__xludf.DUMMYFUNCTION("VALUE(REGEXREPLACE(G4729,""[^[:digit:]]"", """"))"),2265.0)</f>
        <v>2265</v>
      </c>
      <c r="AG4729" s="7"/>
      <c r="AH4729" s="7"/>
      <c r="AI4729" s="7"/>
      <c r="AJ4729" s="7"/>
      <c r="AK4729" s="7"/>
      <c r="AL4729" s="7"/>
      <c r="AM4729" s="7"/>
      <c r="AN4729" s="7"/>
      <c r="AO4729" s="7"/>
      <c r="AP4729" s="7"/>
      <c r="AQ4729" s="7"/>
      <c r="AR4729" s="7"/>
      <c r="AS4729" s="7" t="s">
        <v>103</v>
      </c>
    </row>
    <row r="4730">
      <c r="A4730" s="7" t="s">
        <v>104</v>
      </c>
      <c r="B4730" s="7" t="s">
        <v>2086</v>
      </c>
      <c r="C4730" s="7">
        <f t="shared" si="669"/>
        <v>3</v>
      </c>
      <c r="D4730" s="7">
        <v>2.0</v>
      </c>
      <c r="E4730" s="7">
        <v>2.0</v>
      </c>
      <c r="F4730" s="7" t="s">
        <v>1185</v>
      </c>
      <c r="G4730" s="7" t="s">
        <v>1732</v>
      </c>
      <c r="H4730" s="9" t="s">
        <v>2981</v>
      </c>
      <c r="I4730" t="s">
        <v>3889</v>
      </c>
      <c r="J4730" s="7"/>
      <c r="K4730" s="7"/>
      <c r="L4730" s="7"/>
      <c r="M4730" s="7"/>
      <c r="N4730" s="7"/>
      <c r="O4730" s="7"/>
      <c r="P4730" s="7"/>
      <c r="Q4730" s="7"/>
      <c r="R4730" s="7"/>
      <c r="S4730" s="7" t="s">
        <v>3298</v>
      </c>
      <c r="T4730" s="7"/>
      <c r="U4730" s="7"/>
      <c r="V4730" s="7"/>
      <c r="W4730" s="7"/>
      <c r="X4730" s="7"/>
      <c r="Y4730" s="7"/>
      <c r="Z4730" s="7"/>
      <c r="AA4730" s="7"/>
      <c r="AB4730" s="7"/>
      <c r="AC4730" s="7"/>
      <c r="AD4730" s="7" t="str">
        <f t="shared" si="1"/>
        <v>Land area </v>
      </c>
      <c r="AE4730" s="7" t="str">
        <f t="shared" si="2"/>
        <v> sq. ft.</v>
      </c>
      <c r="AF4730">
        <f>IFERROR(__xludf.DUMMYFUNCTION("VALUE(REGEXREPLACE(G4730,""[^[:digit:]]"", """"))"),2265.0)</f>
        <v>2265</v>
      </c>
      <c r="AG4730" s="7"/>
      <c r="AH4730" s="7"/>
      <c r="AI4730" s="7"/>
      <c r="AJ4730" s="7"/>
      <c r="AK4730" s="7"/>
      <c r="AL4730" s="7"/>
      <c r="AM4730" s="7"/>
      <c r="AN4730" s="7"/>
      <c r="AO4730" s="7"/>
      <c r="AP4730" s="7"/>
      <c r="AQ4730" s="7"/>
      <c r="AR4730" s="7"/>
      <c r="AS4730" s="7" t="s">
        <v>27</v>
      </c>
    </row>
    <row r="4731">
      <c r="A4731" s="7" t="s">
        <v>104</v>
      </c>
      <c r="B4731" s="7" t="s">
        <v>965</v>
      </c>
      <c r="C4731" s="7">
        <f t="shared" si="669"/>
        <v>3</v>
      </c>
      <c r="D4731" s="7">
        <v>2.0</v>
      </c>
      <c r="E4731" s="9">
        <v>2.0</v>
      </c>
      <c r="F4731" s="7" t="s">
        <v>343</v>
      </c>
      <c r="G4731" s="7" t="s">
        <v>845</v>
      </c>
      <c r="H4731" s="9" t="s">
        <v>2979</v>
      </c>
      <c r="I4731" t="s">
        <v>3367</v>
      </c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  <c r="AA4731" s="7"/>
      <c r="AB4731" s="7"/>
      <c r="AC4731" s="7"/>
      <c r="AD4731" s="7" t="str">
        <f t="shared" si="1"/>
        <v>Built-up :</v>
      </c>
      <c r="AE4731" s="7" t="str">
        <f t="shared" si="2"/>
        <v> sq. ft.</v>
      </c>
      <c r="AF4731">
        <f>IFERROR(__xludf.DUMMYFUNCTION("VALUE(REGEXREPLACE(G4731,""[^[:digit:]]"", """"))"),1500.0)</f>
        <v>1500</v>
      </c>
      <c r="AG4731" s="7"/>
      <c r="AH4731" s="7"/>
      <c r="AI4731" s="7"/>
      <c r="AJ4731" s="7"/>
      <c r="AK4731" s="7"/>
      <c r="AL4731" s="7"/>
      <c r="AM4731" s="7"/>
      <c r="AN4731" s="7"/>
      <c r="AO4731" s="7"/>
      <c r="AP4731" s="7"/>
      <c r="AQ4731" s="7"/>
      <c r="AR4731" s="7"/>
      <c r="AS4731" s="7" t="s">
        <v>27</v>
      </c>
    </row>
    <row r="4732">
      <c r="A4732" s="7" t="s">
        <v>104</v>
      </c>
      <c r="B4732" s="7" t="s">
        <v>619</v>
      </c>
      <c r="C4732" s="7">
        <f t="shared" si="669"/>
        <v>3</v>
      </c>
      <c r="D4732" s="7">
        <v>2.0</v>
      </c>
      <c r="E4732" s="7">
        <v>2.0</v>
      </c>
      <c r="F4732" s="7" t="s">
        <v>343</v>
      </c>
      <c r="G4732" s="7" t="s">
        <v>1732</v>
      </c>
      <c r="H4732" s="9" t="s">
        <v>2981</v>
      </c>
      <c r="I4732" t="s">
        <v>3889</v>
      </c>
      <c r="J4732" s="7"/>
      <c r="K4732" s="7"/>
      <c r="L4732" s="7"/>
      <c r="M4732" s="7"/>
      <c r="N4732" s="7"/>
      <c r="O4732" s="7"/>
      <c r="P4732" s="7"/>
      <c r="Q4732" s="7"/>
      <c r="R4732" s="7"/>
      <c r="S4732" s="7" t="s">
        <v>3298</v>
      </c>
      <c r="T4732" s="7"/>
      <c r="U4732" s="7"/>
      <c r="V4732" s="7"/>
      <c r="W4732" s="7"/>
      <c r="X4732" s="7"/>
      <c r="Y4732" s="7"/>
      <c r="Z4732" s="7"/>
      <c r="AA4732" s="7"/>
      <c r="AB4732" s="7"/>
      <c r="AC4732" s="7"/>
      <c r="AD4732" s="7" t="str">
        <f t="shared" si="1"/>
        <v>Land area </v>
      </c>
      <c r="AE4732" s="7" t="str">
        <f t="shared" si="2"/>
        <v> sq. ft.</v>
      </c>
      <c r="AF4732">
        <f>IFERROR(__xludf.DUMMYFUNCTION("VALUE(REGEXREPLACE(G4732,""[^[:digit:]]"", """"))"),2265.0)</f>
        <v>2265</v>
      </c>
      <c r="AG4732" s="7"/>
      <c r="AH4732" s="7"/>
      <c r="AI4732" s="7"/>
      <c r="AJ4732" s="7"/>
      <c r="AK4732" s="7"/>
      <c r="AL4732" s="7"/>
      <c r="AM4732" s="7"/>
      <c r="AN4732" s="7"/>
      <c r="AO4732" s="7"/>
      <c r="AP4732" s="7"/>
      <c r="AQ4732" s="7"/>
      <c r="AR4732" s="7"/>
      <c r="AS4732" s="7" t="s">
        <v>103</v>
      </c>
    </row>
    <row r="4733">
      <c r="A4733" s="7" t="s">
        <v>72</v>
      </c>
      <c r="B4733" s="7" t="s">
        <v>386</v>
      </c>
      <c r="C4733" s="7">
        <f t="shared" ref="C4733:C4735" si="670">5+1</f>
        <v>6</v>
      </c>
      <c r="D4733" s="7">
        <v>4.0</v>
      </c>
      <c r="E4733" s="9">
        <v>2.0</v>
      </c>
      <c r="F4733" s="7" t="s">
        <v>804</v>
      </c>
      <c r="G4733" s="7" t="s">
        <v>2873</v>
      </c>
      <c r="H4733" s="9" t="s">
        <v>2981</v>
      </c>
      <c r="I4733" t="s">
        <v>4581</v>
      </c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  <c r="AA4733" s="7"/>
      <c r="AB4733" s="7"/>
      <c r="AC4733" s="7"/>
      <c r="AD4733" s="7" t="str">
        <f t="shared" si="1"/>
        <v>Land area </v>
      </c>
      <c r="AE4733" s="7" t="str">
        <f t="shared" si="2"/>
        <v> sq. ft.</v>
      </c>
      <c r="AF4733">
        <f>IFERROR(__xludf.DUMMYFUNCTION("VALUE(REGEXREPLACE(G4733,""[^[:digit:]]"", """"))"),2195.0)</f>
        <v>2195</v>
      </c>
      <c r="AG4733" s="7"/>
      <c r="AH4733" s="7"/>
      <c r="AI4733" s="7"/>
      <c r="AJ4733" s="7"/>
      <c r="AK4733" s="7"/>
      <c r="AL4733" s="7"/>
      <c r="AM4733" s="7"/>
      <c r="AN4733" s="7"/>
      <c r="AO4733" s="7"/>
      <c r="AP4733" s="7"/>
      <c r="AQ4733" s="7"/>
      <c r="AR4733" s="7"/>
      <c r="AS4733" s="7" t="s">
        <v>27</v>
      </c>
    </row>
    <row r="4734">
      <c r="A4734" s="7" t="s">
        <v>432</v>
      </c>
      <c r="B4734" s="7" t="s">
        <v>386</v>
      </c>
      <c r="C4734" s="7">
        <f t="shared" si="670"/>
        <v>6</v>
      </c>
      <c r="D4734" s="7">
        <v>4.0</v>
      </c>
      <c r="E4734" s="9">
        <v>2.0</v>
      </c>
      <c r="F4734" s="7" t="s">
        <v>804</v>
      </c>
      <c r="G4734" s="7" t="s">
        <v>2873</v>
      </c>
      <c r="H4734" s="9" t="s">
        <v>2981</v>
      </c>
      <c r="I4734" t="s">
        <v>4581</v>
      </c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  <c r="AA4734" s="7"/>
      <c r="AB4734" s="7"/>
      <c r="AC4734" s="7"/>
      <c r="AD4734" s="7" t="str">
        <f t="shared" si="1"/>
        <v>Land area </v>
      </c>
      <c r="AE4734" s="7" t="str">
        <f t="shared" si="2"/>
        <v> sq. ft.</v>
      </c>
      <c r="AF4734">
        <f>IFERROR(__xludf.DUMMYFUNCTION("VALUE(REGEXREPLACE(G4734,""[^[:digit:]]"", """"))"),2195.0)</f>
        <v>2195</v>
      </c>
      <c r="AG4734" s="7"/>
      <c r="AH4734" s="7"/>
      <c r="AI4734" s="7"/>
      <c r="AJ4734" s="7"/>
      <c r="AK4734" s="7"/>
      <c r="AL4734" s="7"/>
      <c r="AM4734" s="7"/>
      <c r="AN4734" s="7"/>
      <c r="AO4734" s="7"/>
      <c r="AP4734" s="7"/>
      <c r="AQ4734" s="7"/>
      <c r="AR4734" s="7"/>
      <c r="AS4734" s="7" t="s">
        <v>27</v>
      </c>
    </row>
    <row r="4735">
      <c r="A4735" s="7" t="s">
        <v>72</v>
      </c>
      <c r="B4735" s="7" t="s">
        <v>1926</v>
      </c>
      <c r="C4735" s="7">
        <f t="shared" si="670"/>
        <v>6</v>
      </c>
      <c r="D4735" s="7">
        <v>6.0</v>
      </c>
      <c r="E4735" s="9">
        <v>2.0</v>
      </c>
      <c r="F4735" s="7" t="s">
        <v>64</v>
      </c>
      <c r="G4735" s="7" t="s">
        <v>2874</v>
      </c>
      <c r="H4735" s="9" t="s">
        <v>2981</v>
      </c>
      <c r="I4735" t="s">
        <v>4582</v>
      </c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  <c r="AA4735" s="7"/>
      <c r="AB4735" s="7"/>
      <c r="AC4735" s="7"/>
      <c r="AD4735" s="7" t="str">
        <f t="shared" si="1"/>
        <v>Land area </v>
      </c>
      <c r="AE4735" s="7" t="str">
        <f t="shared" si="2"/>
        <v> sq. ft.</v>
      </c>
      <c r="AF4735">
        <f>IFERROR(__xludf.DUMMYFUNCTION("VALUE(REGEXREPLACE(G4735,""[^[:digit:]]"", """"))"),3444.0)</f>
        <v>3444</v>
      </c>
      <c r="AG4735" s="7"/>
      <c r="AH4735" s="7"/>
      <c r="AI4735" s="7"/>
      <c r="AJ4735" s="7"/>
      <c r="AK4735" s="7"/>
      <c r="AL4735" s="7"/>
      <c r="AM4735" s="7"/>
      <c r="AN4735" s="7"/>
      <c r="AO4735" s="7"/>
      <c r="AP4735" s="7"/>
      <c r="AQ4735" s="7"/>
      <c r="AR4735" s="7"/>
      <c r="AS4735" s="7" t="s">
        <v>27</v>
      </c>
    </row>
    <row r="4736">
      <c r="A4736" s="7" t="s">
        <v>580</v>
      </c>
      <c r="B4736" s="7" t="s">
        <v>702</v>
      </c>
      <c r="C4736" s="7">
        <f>3+1</f>
        <v>4</v>
      </c>
      <c r="D4736" s="7">
        <v>2.0</v>
      </c>
      <c r="E4736" s="7">
        <v>1.0</v>
      </c>
      <c r="F4736" s="7" t="s">
        <v>82</v>
      </c>
      <c r="G4736" s="7" t="s">
        <v>607</v>
      </c>
      <c r="H4736" s="9" t="s">
        <v>2979</v>
      </c>
      <c r="I4736" t="s">
        <v>3245</v>
      </c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  <c r="AA4736" s="7"/>
      <c r="AB4736" s="7"/>
      <c r="AC4736" s="7"/>
      <c r="AD4736" s="7" t="str">
        <f t="shared" si="1"/>
        <v>Built-up :</v>
      </c>
      <c r="AE4736" s="7" t="str">
        <f t="shared" si="2"/>
        <v> sq. ft.</v>
      </c>
      <c r="AF4736">
        <f>IFERROR(__xludf.DUMMYFUNCTION("VALUE(REGEXREPLACE(G4736,""[^[:digit:]]"", """"))"),918.0)</f>
        <v>918</v>
      </c>
      <c r="AG4736" s="7"/>
      <c r="AH4736" s="7"/>
      <c r="AI4736" s="7"/>
      <c r="AJ4736" s="7"/>
      <c r="AK4736" s="7"/>
      <c r="AL4736" s="7"/>
      <c r="AM4736" s="7"/>
      <c r="AN4736" s="7"/>
      <c r="AO4736" s="7"/>
      <c r="AP4736" s="7"/>
      <c r="AQ4736" s="7"/>
      <c r="AR4736" s="7"/>
      <c r="AS4736" s="7" t="s">
        <v>27</v>
      </c>
    </row>
    <row r="4737">
      <c r="A4737" s="7" t="s">
        <v>100</v>
      </c>
      <c r="B4737" s="7" t="s">
        <v>2268</v>
      </c>
      <c r="C4737" s="7">
        <f>3</f>
        <v>3</v>
      </c>
      <c r="D4737" s="7">
        <v>2.0</v>
      </c>
      <c r="E4737" s="9">
        <v>2.0</v>
      </c>
      <c r="F4737" s="7" t="s">
        <v>503</v>
      </c>
      <c r="G4737" s="7" t="s">
        <v>1945</v>
      </c>
      <c r="H4737" s="9" t="s">
        <v>2979</v>
      </c>
      <c r="I4737" t="s">
        <v>4013</v>
      </c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  <c r="AA4737" s="7"/>
      <c r="AB4737" s="7"/>
      <c r="AC4737" s="7"/>
      <c r="AD4737" s="7" t="str">
        <f t="shared" si="1"/>
        <v>Built-up :</v>
      </c>
      <c r="AE4737" s="7" t="str">
        <f t="shared" si="2"/>
        <v> sq. ft.</v>
      </c>
      <c r="AF4737">
        <f>IFERROR(__xludf.DUMMYFUNCTION("VALUE(REGEXREPLACE(G4737,""[^[:digit:]]"", """"))"),805.0)</f>
        <v>805</v>
      </c>
      <c r="AG4737" s="7"/>
      <c r="AH4737" s="7"/>
      <c r="AI4737" s="7"/>
      <c r="AJ4737" s="7"/>
      <c r="AK4737" s="7"/>
      <c r="AL4737" s="7"/>
      <c r="AM4737" s="7"/>
      <c r="AN4737" s="7"/>
      <c r="AO4737" s="7"/>
      <c r="AP4737" s="7"/>
      <c r="AQ4737" s="7"/>
      <c r="AR4737" s="7"/>
      <c r="AS4737" s="7" t="s">
        <v>103</v>
      </c>
    </row>
    <row r="4738">
      <c r="A4738" s="7" t="s">
        <v>177</v>
      </c>
      <c r="B4738" s="7" t="s">
        <v>193</v>
      </c>
      <c r="C4738" s="7">
        <f>4</f>
        <v>4</v>
      </c>
      <c r="D4738" s="7">
        <v>3.0</v>
      </c>
      <c r="E4738" s="9">
        <v>2.0</v>
      </c>
      <c r="F4738" s="7" t="s">
        <v>54</v>
      </c>
      <c r="G4738" s="7" t="s">
        <v>2875</v>
      </c>
      <c r="H4738" s="9" t="s">
        <v>2981</v>
      </c>
      <c r="I4738" t="s">
        <v>4583</v>
      </c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  <c r="AA4738" s="7"/>
      <c r="AB4738" s="7"/>
      <c r="AC4738" s="7"/>
      <c r="AD4738" s="7" t="str">
        <f t="shared" si="1"/>
        <v>Land area </v>
      </c>
      <c r="AE4738" s="7" t="str">
        <f t="shared" si="2"/>
        <v> sq. ft.</v>
      </c>
      <c r="AF4738">
        <f>IFERROR(__xludf.DUMMYFUNCTION("VALUE(REGEXREPLACE(G4738,""[^[:digit:]]"", """"))"),1498.0)</f>
        <v>1498</v>
      </c>
      <c r="AG4738" s="7"/>
      <c r="AH4738" s="7"/>
      <c r="AI4738" s="7"/>
      <c r="AJ4738" s="7"/>
      <c r="AK4738" s="7"/>
      <c r="AL4738" s="7"/>
      <c r="AM4738" s="7"/>
      <c r="AN4738" s="7"/>
      <c r="AO4738" s="7"/>
      <c r="AP4738" s="7"/>
      <c r="AQ4738" s="7"/>
      <c r="AR4738" s="7"/>
    </row>
    <row r="4739">
      <c r="A4739" s="7" t="s">
        <v>155</v>
      </c>
      <c r="B4739" s="7" t="s">
        <v>311</v>
      </c>
      <c r="E4739" s="9">
        <v>2.0</v>
      </c>
      <c r="F4739" s="7" t="s">
        <v>667</v>
      </c>
      <c r="G4739" s="7" t="s">
        <v>2876</v>
      </c>
      <c r="H4739" s="9" t="s">
        <v>2981</v>
      </c>
      <c r="I4739" t="s">
        <v>4584</v>
      </c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  <c r="AA4739" s="7"/>
      <c r="AB4739" s="7"/>
      <c r="AC4739" s="7"/>
      <c r="AD4739" s="7" t="str">
        <f t="shared" si="1"/>
        <v>Land area </v>
      </c>
      <c r="AE4739" s="7" t="str">
        <f t="shared" si="2"/>
        <v> sq. ft.</v>
      </c>
      <c r="AF4739">
        <f>IFERROR(__xludf.DUMMYFUNCTION("VALUE(REGEXREPLACE(G4739,""[^[:digit:]]"", """"))"),6888.0)</f>
        <v>6888</v>
      </c>
      <c r="AG4739" s="7"/>
      <c r="AH4739" s="7"/>
      <c r="AI4739" s="7"/>
      <c r="AJ4739" s="7"/>
      <c r="AK4739" s="7"/>
      <c r="AL4739" s="7"/>
      <c r="AM4739" s="7"/>
      <c r="AN4739" s="7"/>
      <c r="AO4739" s="7"/>
      <c r="AP4739" s="7"/>
      <c r="AQ4739" s="7"/>
      <c r="AR4739" s="7"/>
    </row>
    <row r="4740">
      <c r="A4740" s="7" t="s">
        <v>72</v>
      </c>
      <c r="B4740" s="7" t="s">
        <v>172</v>
      </c>
      <c r="C4740" s="7">
        <f>3</f>
        <v>3</v>
      </c>
      <c r="D4740" s="7">
        <v>2.0</v>
      </c>
      <c r="E4740" s="7">
        <v>2.0</v>
      </c>
      <c r="F4740" s="7" t="s">
        <v>93</v>
      </c>
      <c r="G4740" s="7" t="s">
        <v>2485</v>
      </c>
      <c r="H4740" s="9" t="s">
        <v>2979</v>
      </c>
      <c r="I4740" t="s">
        <v>4346</v>
      </c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  <c r="AA4740" s="7"/>
      <c r="AB4740" s="7"/>
      <c r="AC4740" s="7"/>
      <c r="AD4740" s="7" t="str">
        <f t="shared" si="1"/>
        <v>Built-up :</v>
      </c>
      <c r="AE4740" s="7" t="str">
        <f t="shared" si="2"/>
        <v> sq. ft.</v>
      </c>
      <c r="AF4740">
        <f>IFERROR(__xludf.DUMMYFUNCTION("VALUE(REGEXREPLACE(G4740,""[^[:digit:]]"", """"))"),940.0)</f>
        <v>940</v>
      </c>
      <c r="AG4740" s="7"/>
      <c r="AH4740" s="7"/>
      <c r="AI4740" s="7"/>
      <c r="AJ4740" s="7"/>
      <c r="AK4740" s="7"/>
      <c r="AL4740" s="7"/>
      <c r="AM4740" s="7"/>
      <c r="AN4740" s="7"/>
      <c r="AO4740" s="7"/>
      <c r="AP4740" s="7"/>
      <c r="AQ4740" s="7"/>
      <c r="AR4740" s="7"/>
      <c r="AS4740" s="7" t="s">
        <v>103</v>
      </c>
    </row>
    <row r="4741">
      <c r="A4741" s="7" t="s">
        <v>188</v>
      </c>
      <c r="B4741" s="7" t="s">
        <v>715</v>
      </c>
      <c r="C4741" s="7">
        <f>1</f>
        <v>1</v>
      </c>
      <c r="D4741" s="7">
        <v>1.0</v>
      </c>
      <c r="E4741" s="7">
        <v>1.0</v>
      </c>
      <c r="F4741" s="7" t="s">
        <v>93</v>
      </c>
      <c r="G4741" s="7" t="s">
        <v>2802</v>
      </c>
      <c r="H4741" s="9" t="s">
        <v>2979</v>
      </c>
      <c r="I4741" t="s">
        <v>4542</v>
      </c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  <c r="AA4741" s="7"/>
      <c r="AB4741" s="7"/>
      <c r="AC4741" s="7"/>
      <c r="AD4741" s="7" t="str">
        <f t="shared" si="1"/>
        <v>Built-up :</v>
      </c>
      <c r="AE4741" s="7" t="str">
        <f t="shared" si="2"/>
        <v> sq. ft.</v>
      </c>
      <c r="AF4741">
        <f>IFERROR(__xludf.DUMMYFUNCTION("VALUE(REGEXREPLACE(G4741,""[^[:digit:]]"", """"))"),785.0)</f>
        <v>785</v>
      </c>
      <c r="AG4741" s="7"/>
      <c r="AH4741" s="7"/>
      <c r="AI4741" s="7"/>
      <c r="AJ4741" s="7"/>
      <c r="AK4741" s="7"/>
      <c r="AL4741" s="7"/>
      <c r="AM4741" s="7"/>
      <c r="AN4741" s="7"/>
      <c r="AO4741" s="7"/>
      <c r="AP4741" s="7"/>
      <c r="AQ4741" s="7"/>
      <c r="AR4741" s="7"/>
      <c r="AS4741" s="7" t="s">
        <v>27</v>
      </c>
    </row>
    <row r="4742">
      <c r="A4742" s="7" t="s">
        <v>17</v>
      </c>
      <c r="B4742" s="7" t="s">
        <v>34</v>
      </c>
      <c r="C4742" s="7">
        <f t="shared" ref="C4742:C4743" si="671">3</f>
        <v>3</v>
      </c>
      <c r="D4742" s="7">
        <v>2.0</v>
      </c>
      <c r="E4742" s="7">
        <v>2.0</v>
      </c>
      <c r="F4742" s="7" t="s">
        <v>30</v>
      </c>
      <c r="G4742" s="7" t="s">
        <v>2877</v>
      </c>
      <c r="H4742" s="9" t="s">
        <v>2979</v>
      </c>
      <c r="I4742" t="s">
        <v>4585</v>
      </c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  <c r="AA4742" s="7"/>
      <c r="AB4742" s="7"/>
      <c r="AC4742" s="7"/>
      <c r="AD4742" s="7" t="str">
        <f t="shared" si="1"/>
        <v>Built-up :</v>
      </c>
      <c r="AE4742" s="7" t="str">
        <f t="shared" si="2"/>
        <v> sq. ft.</v>
      </c>
      <c r="AF4742">
        <f>IFERROR(__xludf.DUMMYFUNCTION("VALUE(REGEXREPLACE(G4742,""[^[:digit:]]"", """"))"),1182.0)</f>
        <v>1182</v>
      </c>
      <c r="AG4742" s="7"/>
      <c r="AH4742" s="7"/>
      <c r="AI4742" s="7"/>
      <c r="AJ4742" s="7"/>
      <c r="AK4742" s="7"/>
      <c r="AL4742" s="7"/>
      <c r="AM4742" s="7"/>
      <c r="AN4742" s="7"/>
      <c r="AO4742" s="7"/>
      <c r="AP4742" s="7"/>
      <c r="AQ4742" s="7"/>
      <c r="AR4742" s="7"/>
      <c r="AS4742" s="7" t="s">
        <v>22</v>
      </c>
    </row>
    <row r="4743">
      <c r="A4743" s="7" t="s">
        <v>72</v>
      </c>
      <c r="B4743" s="7" t="s">
        <v>2878</v>
      </c>
      <c r="C4743" s="7">
        <f t="shared" si="671"/>
        <v>3</v>
      </c>
      <c r="D4743" s="7">
        <v>2.0</v>
      </c>
      <c r="E4743" s="7">
        <v>2.0</v>
      </c>
      <c r="F4743" s="7" t="s">
        <v>83</v>
      </c>
      <c r="G4743" s="7" t="s">
        <v>2485</v>
      </c>
      <c r="H4743" s="9" t="s">
        <v>2979</v>
      </c>
      <c r="I4743" t="s">
        <v>4346</v>
      </c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  <c r="AA4743" s="7"/>
      <c r="AB4743" s="7"/>
      <c r="AC4743" s="7"/>
      <c r="AD4743" s="7" t="str">
        <f t="shared" si="1"/>
        <v>Built-up :</v>
      </c>
      <c r="AE4743" s="7" t="str">
        <f t="shared" si="2"/>
        <v> sq. ft.</v>
      </c>
      <c r="AF4743">
        <f>IFERROR(__xludf.DUMMYFUNCTION("VALUE(REGEXREPLACE(G4743,""[^[:digit:]]"", """"))"),940.0)</f>
        <v>940</v>
      </c>
      <c r="AG4743" s="7"/>
      <c r="AH4743" s="7"/>
      <c r="AI4743" s="7"/>
      <c r="AJ4743" s="7"/>
      <c r="AK4743" s="7"/>
      <c r="AL4743" s="7"/>
      <c r="AM4743" s="7"/>
      <c r="AN4743" s="7"/>
      <c r="AO4743" s="7"/>
      <c r="AP4743" s="7"/>
      <c r="AQ4743" s="7"/>
      <c r="AR4743" s="7"/>
    </row>
    <row r="4744">
      <c r="A4744" s="7" t="s">
        <v>23</v>
      </c>
      <c r="B4744" s="7" t="s">
        <v>69</v>
      </c>
      <c r="C4744" s="7">
        <f t="shared" ref="C4744:C4745" si="672">5+1</f>
        <v>6</v>
      </c>
      <c r="D4744" s="7">
        <v>7.0</v>
      </c>
      <c r="E4744" s="9">
        <v>2.0</v>
      </c>
      <c r="F4744" s="7" t="s">
        <v>25</v>
      </c>
      <c r="G4744" s="7" t="s">
        <v>697</v>
      </c>
      <c r="H4744" s="9" t="s">
        <v>2981</v>
      </c>
      <c r="I4744" t="s">
        <v>3289</v>
      </c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  <c r="AA4744" s="7"/>
      <c r="AB4744" s="7"/>
      <c r="AC4744" s="7"/>
      <c r="AD4744" s="7" t="str">
        <f t="shared" si="1"/>
        <v>Land area </v>
      </c>
      <c r="AE4744" s="7" t="str">
        <f t="shared" si="2"/>
        <v> sq. ft.</v>
      </c>
      <c r="AF4744">
        <f>IFERROR(__xludf.DUMMYFUNCTION("VALUE(REGEXREPLACE(G4744,""[^[:digit:]]"", """"))"),2970.0)</f>
        <v>2970</v>
      </c>
      <c r="AG4744" s="7"/>
      <c r="AH4744" s="7"/>
      <c r="AI4744" s="7"/>
      <c r="AJ4744" s="7"/>
      <c r="AK4744" s="7"/>
      <c r="AL4744" s="7"/>
      <c r="AM4744" s="7"/>
      <c r="AN4744" s="7"/>
      <c r="AO4744" s="7"/>
      <c r="AP4744" s="7"/>
      <c r="AQ4744" s="7"/>
      <c r="AR4744" s="7"/>
      <c r="AS4744" s="7" t="s">
        <v>27</v>
      </c>
    </row>
    <row r="4745">
      <c r="A4745" s="7" t="s">
        <v>241</v>
      </c>
      <c r="B4745" s="7" t="s">
        <v>245</v>
      </c>
      <c r="C4745" s="7">
        <f t="shared" si="672"/>
        <v>6</v>
      </c>
      <c r="D4745" s="7">
        <v>6.0</v>
      </c>
      <c r="E4745" s="7">
        <v>2.0</v>
      </c>
      <c r="F4745" s="7" t="s">
        <v>793</v>
      </c>
      <c r="G4745" s="7" t="s">
        <v>2879</v>
      </c>
      <c r="H4745" s="9" t="s">
        <v>2979</v>
      </c>
      <c r="I4745" t="s">
        <v>4586</v>
      </c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  <c r="AA4745" s="7"/>
      <c r="AB4745" s="7"/>
      <c r="AC4745" s="7"/>
      <c r="AD4745" s="7" t="str">
        <f t="shared" si="1"/>
        <v>Built-up :</v>
      </c>
      <c r="AE4745" s="7" t="str">
        <f t="shared" si="2"/>
        <v> sq. ft.</v>
      </c>
      <c r="AF4745">
        <f>IFERROR(__xludf.DUMMYFUNCTION("VALUE(REGEXREPLACE(G4745,""[^[:digit:]]"", """"))"),2387.0)</f>
        <v>2387</v>
      </c>
      <c r="AG4745" s="7"/>
      <c r="AH4745" s="7"/>
      <c r="AI4745" s="7"/>
      <c r="AJ4745" s="7"/>
      <c r="AK4745" s="7"/>
      <c r="AL4745" s="7"/>
      <c r="AM4745" s="7"/>
      <c r="AN4745" s="7"/>
      <c r="AO4745" s="7"/>
      <c r="AP4745" s="7"/>
      <c r="AQ4745" s="7"/>
      <c r="AR4745" s="7"/>
      <c r="AS4745" s="7" t="s">
        <v>103</v>
      </c>
    </row>
    <row r="4746">
      <c r="A4746" s="7" t="s">
        <v>432</v>
      </c>
      <c r="B4746" s="7" t="s">
        <v>63</v>
      </c>
      <c r="C4746" s="7">
        <f>4+1</f>
        <v>5</v>
      </c>
      <c r="D4746" s="7">
        <v>6.0</v>
      </c>
      <c r="E4746" s="7">
        <v>3.0</v>
      </c>
      <c r="F4746" s="7" t="s">
        <v>83</v>
      </c>
      <c r="G4746" s="7" t="s">
        <v>1674</v>
      </c>
      <c r="H4746" s="9" t="s">
        <v>2979</v>
      </c>
      <c r="I4746" t="s">
        <v>3848</v>
      </c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  <c r="AA4746" s="7"/>
      <c r="AB4746" s="7"/>
      <c r="AC4746" s="7"/>
      <c r="AD4746" s="7" t="str">
        <f t="shared" si="1"/>
        <v>Built-up :</v>
      </c>
      <c r="AE4746" s="7" t="str">
        <f t="shared" si="2"/>
        <v> sq. ft.</v>
      </c>
      <c r="AF4746">
        <f>IFERROR(__xludf.DUMMYFUNCTION("VALUE(REGEXREPLACE(G4746,""[^[:digit:]]"", """"))"),3460.0)</f>
        <v>3460</v>
      </c>
      <c r="AG4746" s="7"/>
      <c r="AH4746" s="7"/>
      <c r="AI4746" s="7"/>
      <c r="AJ4746" s="7"/>
      <c r="AK4746" s="7"/>
      <c r="AL4746" s="7"/>
      <c r="AM4746" s="7"/>
      <c r="AN4746" s="7"/>
      <c r="AO4746" s="7"/>
      <c r="AP4746" s="7"/>
      <c r="AQ4746" s="7"/>
      <c r="AR4746" s="7"/>
      <c r="AS4746" s="7" t="s">
        <v>22</v>
      </c>
    </row>
    <row r="4747">
      <c r="A4747" s="7" t="s">
        <v>23</v>
      </c>
      <c r="B4747" s="7" t="s">
        <v>1094</v>
      </c>
      <c r="C4747" s="7">
        <f>4</f>
        <v>4</v>
      </c>
      <c r="D4747" s="7">
        <v>3.0</v>
      </c>
      <c r="E4747" s="9">
        <v>2.0</v>
      </c>
      <c r="F4747" s="7" t="s">
        <v>25</v>
      </c>
      <c r="G4747" s="7" t="s">
        <v>1063</v>
      </c>
      <c r="H4747" s="9" t="s">
        <v>2981</v>
      </c>
      <c r="I4747" t="s">
        <v>3484</v>
      </c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  <c r="AA4747" s="7"/>
      <c r="AB4747" s="7"/>
      <c r="AC4747" s="7"/>
      <c r="AD4747" s="7" t="str">
        <f t="shared" si="1"/>
        <v>Land area </v>
      </c>
      <c r="AE4747" s="7" t="str">
        <f t="shared" si="2"/>
        <v> sq. ft.</v>
      </c>
      <c r="AF4747">
        <f>IFERROR(__xludf.DUMMYFUNCTION("VALUE(REGEXREPLACE(G4747,""[^[:digit:]]"", """"))"),9000.0)</f>
        <v>9000</v>
      </c>
      <c r="AG4747" s="7"/>
      <c r="AH4747" s="7"/>
      <c r="AI4747" s="7"/>
      <c r="AJ4747" s="7"/>
      <c r="AK4747" s="7"/>
      <c r="AL4747" s="7"/>
      <c r="AM4747" s="7"/>
      <c r="AN4747" s="7"/>
      <c r="AO4747" s="7"/>
      <c r="AP4747" s="7"/>
      <c r="AQ4747" s="7"/>
      <c r="AR4747" s="7"/>
      <c r="AS4747" s="7" t="s">
        <v>103</v>
      </c>
    </row>
    <row r="4748">
      <c r="A4748" s="7" t="s">
        <v>23</v>
      </c>
      <c r="B4748" s="7" t="s">
        <v>1240</v>
      </c>
      <c r="C4748" s="7">
        <f>6+1</f>
        <v>7</v>
      </c>
      <c r="D4748" s="7">
        <v>6.0</v>
      </c>
      <c r="E4748" s="9">
        <v>2.0</v>
      </c>
      <c r="F4748" s="7" t="s">
        <v>25</v>
      </c>
      <c r="G4748" s="7" t="s">
        <v>696</v>
      </c>
      <c r="H4748" s="9" t="s">
        <v>2981</v>
      </c>
      <c r="I4748" t="s">
        <v>3288</v>
      </c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  <c r="AA4748" s="7"/>
      <c r="AB4748" s="7"/>
      <c r="AC4748" s="7"/>
      <c r="AD4748" s="7" t="str">
        <f t="shared" si="1"/>
        <v>Land area </v>
      </c>
      <c r="AE4748" s="7" t="str">
        <f t="shared" si="2"/>
        <v> sq. ft.</v>
      </c>
      <c r="AF4748">
        <f>IFERROR(__xludf.DUMMYFUNCTION("VALUE(REGEXREPLACE(G4748,""[^[:digit:]]"", """"))"),8000.0)</f>
        <v>8000</v>
      </c>
      <c r="AG4748" s="7"/>
      <c r="AH4748" s="7"/>
      <c r="AI4748" s="7"/>
      <c r="AJ4748" s="7"/>
      <c r="AK4748" s="7"/>
      <c r="AL4748" s="7"/>
      <c r="AM4748" s="7"/>
      <c r="AN4748" s="7"/>
      <c r="AO4748" s="7"/>
      <c r="AP4748" s="7"/>
      <c r="AQ4748" s="7"/>
      <c r="AR4748" s="7"/>
      <c r="AS4748" s="7" t="s">
        <v>22</v>
      </c>
    </row>
    <row r="4749">
      <c r="A4749" s="7" t="s">
        <v>1315</v>
      </c>
      <c r="B4749" s="7" t="s">
        <v>268</v>
      </c>
      <c r="C4749" s="7">
        <f>3</f>
        <v>3</v>
      </c>
      <c r="D4749" s="7">
        <v>2.0</v>
      </c>
      <c r="E4749" s="7">
        <v>3.0</v>
      </c>
      <c r="F4749" s="7" t="s">
        <v>83</v>
      </c>
      <c r="G4749" s="7" t="s">
        <v>747</v>
      </c>
      <c r="H4749" s="9" t="s">
        <v>2979</v>
      </c>
      <c r="I4749" t="s">
        <v>3318</v>
      </c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  <c r="AA4749" s="7"/>
      <c r="AB4749" s="7"/>
      <c r="AC4749" s="7"/>
      <c r="AD4749" s="7" t="str">
        <f t="shared" si="1"/>
        <v>Built-up :</v>
      </c>
      <c r="AE4749" s="7" t="str">
        <f t="shared" si="2"/>
        <v> sq. ft.</v>
      </c>
      <c r="AF4749">
        <f>IFERROR(__xludf.DUMMYFUNCTION("VALUE(REGEXREPLACE(G4749,""[^[:digit:]]"", """"))"),1000.0)</f>
        <v>1000</v>
      </c>
      <c r="AG4749" s="7"/>
      <c r="AH4749" s="7"/>
      <c r="AI4749" s="7"/>
      <c r="AJ4749" s="7"/>
      <c r="AK4749" s="7"/>
      <c r="AL4749" s="7"/>
      <c r="AM4749" s="7"/>
      <c r="AN4749" s="7"/>
      <c r="AO4749" s="7"/>
      <c r="AP4749" s="7"/>
      <c r="AQ4749" s="7"/>
      <c r="AR4749" s="7"/>
      <c r="AS4749" s="7" t="s">
        <v>103</v>
      </c>
    </row>
    <row r="4750">
      <c r="A4750" s="7" t="s">
        <v>177</v>
      </c>
      <c r="B4750" s="7" t="s">
        <v>327</v>
      </c>
      <c r="C4750" s="7">
        <f>2</f>
        <v>2</v>
      </c>
      <c r="D4750" s="7">
        <v>3.0</v>
      </c>
      <c r="E4750" s="7">
        <v>2.0</v>
      </c>
      <c r="F4750" s="7" t="s">
        <v>343</v>
      </c>
      <c r="G4750" s="7" t="s">
        <v>280</v>
      </c>
      <c r="H4750" s="9" t="s">
        <v>2981</v>
      </c>
      <c r="I4750" t="s">
        <v>3037</v>
      </c>
      <c r="J4750" s="7"/>
      <c r="K4750" s="7"/>
      <c r="L4750" s="7"/>
      <c r="M4750" s="7"/>
      <c r="N4750" s="7"/>
      <c r="O4750" s="7"/>
      <c r="P4750" s="7"/>
      <c r="Q4750" s="7"/>
      <c r="R4750" s="7"/>
      <c r="S4750" s="7" t="s">
        <v>2990</v>
      </c>
      <c r="T4750" s="7"/>
      <c r="U4750" s="7"/>
      <c r="V4750" s="7"/>
      <c r="W4750" s="7"/>
      <c r="X4750" s="7"/>
      <c r="Y4750" s="7"/>
      <c r="Z4750" s="7"/>
      <c r="AA4750" s="7"/>
      <c r="AB4750" s="7"/>
      <c r="AC4750" s="7"/>
      <c r="AD4750" s="7" t="str">
        <f t="shared" si="1"/>
        <v>Land area </v>
      </c>
      <c r="AE4750" s="7" t="str">
        <f t="shared" si="2"/>
        <v> sq. ft.</v>
      </c>
      <c r="AF4750">
        <f>IFERROR(__xludf.DUMMYFUNCTION("VALUE(REGEXREPLACE(G4750,""[^[:digit:]]"", """"))"),2475.0)</f>
        <v>2475</v>
      </c>
      <c r="AG4750" s="7"/>
      <c r="AH4750" s="7"/>
      <c r="AI4750" s="7"/>
      <c r="AJ4750" s="7"/>
      <c r="AK4750" s="7"/>
      <c r="AL4750" s="7"/>
      <c r="AM4750" s="7"/>
      <c r="AN4750" s="7"/>
      <c r="AO4750" s="7"/>
      <c r="AP4750" s="7"/>
      <c r="AQ4750" s="7"/>
      <c r="AR4750" s="7"/>
      <c r="AS4750" s="7" t="s">
        <v>27</v>
      </c>
    </row>
    <row r="4751">
      <c r="A4751" s="7" t="s">
        <v>32</v>
      </c>
      <c r="B4751" s="7" t="s">
        <v>2478</v>
      </c>
      <c r="C4751" s="7">
        <f>6+1</f>
        <v>7</v>
      </c>
      <c r="D4751" s="7">
        <v>7.0</v>
      </c>
      <c r="E4751" s="7">
        <v>2.0</v>
      </c>
      <c r="F4751" s="7" t="s">
        <v>61</v>
      </c>
      <c r="G4751" s="7" t="s">
        <v>631</v>
      </c>
      <c r="H4751" s="9" t="s">
        <v>2981</v>
      </c>
      <c r="I4751" t="s">
        <v>3258</v>
      </c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  <c r="AA4751" s="7"/>
      <c r="AB4751" s="7"/>
      <c r="AC4751" s="7"/>
      <c r="AD4751" s="7" t="str">
        <f t="shared" si="1"/>
        <v>Land area </v>
      </c>
      <c r="AE4751" s="7" t="str">
        <f t="shared" si="2"/>
        <v> sq. ft.</v>
      </c>
      <c r="AF4751">
        <f>IFERROR(__xludf.DUMMYFUNCTION("VALUE(REGEXREPLACE(G4751,""[^[:digit:]]"", """"))"),5000.0)</f>
        <v>5000</v>
      </c>
      <c r="AG4751" s="7"/>
      <c r="AH4751" s="7"/>
      <c r="AI4751" s="7"/>
      <c r="AJ4751" s="7"/>
      <c r="AK4751" s="7"/>
      <c r="AL4751" s="7"/>
      <c r="AM4751" s="7"/>
      <c r="AN4751" s="7"/>
      <c r="AO4751" s="7"/>
      <c r="AP4751" s="7"/>
      <c r="AQ4751" s="7"/>
      <c r="AR4751" s="7"/>
      <c r="AS4751" s="7" t="s">
        <v>103</v>
      </c>
    </row>
    <row r="4752">
      <c r="A4752" s="7" t="s">
        <v>72</v>
      </c>
      <c r="B4752" s="7" t="s">
        <v>45</v>
      </c>
      <c r="C4752" s="7">
        <f t="shared" ref="C4752:C4753" si="673">3+1</f>
        <v>4</v>
      </c>
      <c r="D4752" s="7">
        <v>4.0</v>
      </c>
      <c r="E4752" s="9">
        <v>2.0</v>
      </c>
      <c r="F4752" s="7" t="s">
        <v>83</v>
      </c>
      <c r="G4752" s="7" t="s">
        <v>561</v>
      </c>
      <c r="H4752" s="9" t="s">
        <v>2979</v>
      </c>
      <c r="I4752" t="s">
        <v>3226</v>
      </c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  <c r="AA4752" s="7"/>
      <c r="AB4752" s="7"/>
      <c r="AC4752" s="7"/>
      <c r="AD4752" s="7" t="str">
        <f t="shared" si="1"/>
        <v>Built-up :</v>
      </c>
      <c r="AE4752" s="7" t="str">
        <f t="shared" si="2"/>
        <v> sq. ft.</v>
      </c>
      <c r="AF4752">
        <f>IFERROR(__xludf.DUMMYFUNCTION("VALUE(REGEXREPLACE(G4752,""[^[:digit:]]"", """"))"),2535.0)</f>
        <v>2535</v>
      </c>
      <c r="AG4752" s="7"/>
      <c r="AH4752" s="7"/>
      <c r="AI4752" s="7"/>
      <c r="AJ4752" s="7"/>
      <c r="AK4752" s="7"/>
      <c r="AL4752" s="7"/>
      <c r="AM4752" s="7"/>
      <c r="AN4752" s="7"/>
      <c r="AO4752" s="7"/>
      <c r="AP4752" s="7"/>
      <c r="AQ4752" s="7"/>
      <c r="AR4752" s="7"/>
      <c r="AS4752" s="7" t="s">
        <v>27</v>
      </c>
    </row>
    <row r="4753">
      <c r="A4753" s="7" t="s">
        <v>32</v>
      </c>
      <c r="B4753" s="7" t="s">
        <v>407</v>
      </c>
      <c r="C4753" s="7">
        <f t="shared" si="673"/>
        <v>4</v>
      </c>
      <c r="D4753" s="7">
        <v>3.0</v>
      </c>
      <c r="E4753" s="7">
        <v>2.0</v>
      </c>
      <c r="F4753" s="7" t="s">
        <v>54</v>
      </c>
      <c r="G4753" s="7" t="s">
        <v>333</v>
      </c>
      <c r="H4753" s="9" t="s">
        <v>2981</v>
      </c>
      <c r="I4753" t="s">
        <v>3091</v>
      </c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  <c r="AA4753" s="7"/>
      <c r="AB4753" s="7"/>
      <c r="AC4753" s="7"/>
      <c r="AD4753" s="7" t="str">
        <f t="shared" si="1"/>
        <v>Land area </v>
      </c>
      <c r="AE4753" s="7" t="str">
        <f t="shared" si="2"/>
        <v> sq. ft.</v>
      </c>
      <c r="AF4753">
        <f>IFERROR(__xludf.DUMMYFUNCTION("VALUE(REGEXREPLACE(G4753,""[^[:digit:]]"", """"))"),1650.0)</f>
        <v>1650</v>
      </c>
      <c r="AG4753" s="7"/>
      <c r="AH4753" s="7"/>
      <c r="AI4753" s="7"/>
      <c r="AJ4753" s="7"/>
      <c r="AK4753" s="7"/>
      <c r="AL4753" s="7"/>
      <c r="AM4753" s="7"/>
      <c r="AN4753" s="7"/>
      <c r="AO4753" s="7"/>
      <c r="AP4753" s="7"/>
      <c r="AQ4753" s="7"/>
      <c r="AR4753" s="7"/>
      <c r="AS4753" s="7" t="s">
        <v>27</v>
      </c>
    </row>
    <row r="4754">
      <c r="A4754" s="7" t="s">
        <v>180</v>
      </c>
      <c r="B4754" s="7" t="s">
        <v>329</v>
      </c>
      <c r="C4754" s="7">
        <f>4+1</f>
        <v>5</v>
      </c>
      <c r="D4754" s="7">
        <v>5.0</v>
      </c>
      <c r="E4754" s="7">
        <v>2.0</v>
      </c>
      <c r="F4754" s="7" t="s">
        <v>83</v>
      </c>
      <c r="H4754" s="9" t="s">
        <v>2984</v>
      </c>
      <c r="I4754" t="s">
        <v>2985</v>
      </c>
      <c r="AD4754" s="7" t="str">
        <f t="shared" si="1"/>
        <v/>
      </c>
      <c r="AE4754" s="7" t="str">
        <f t="shared" si="2"/>
        <v/>
      </c>
      <c r="AF4754">
        <f>IFERROR(__xludf.DUMMYFUNCTION("VALUE(REGEXREPLACE(G4754,""[^[:digit:]]"", """"))"),0.0)</f>
        <v>0</v>
      </c>
      <c r="AS4754" s="7" t="s">
        <v>27</v>
      </c>
    </row>
    <row r="4755">
      <c r="A4755" s="7" t="s">
        <v>143</v>
      </c>
      <c r="B4755" s="7" t="s">
        <v>761</v>
      </c>
      <c r="C4755" s="7">
        <f>2+1</f>
        <v>3</v>
      </c>
      <c r="D4755" s="7">
        <v>2.0</v>
      </c>
      <c r="E4755" s="7">
        <v>1.0</v>
      </c>
      <c r="F4755" s="7" t="s">
        <v>83</v>
      </c>
      <c r="G4755" s="7" t="s">
        <v>937</v>
      </c>
      <c r="H4755" s="9" t="s">
        <v>2979</v>
      </c>
      <c r="I4755" t="s">
        <v>3416</v>
      </c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  <c r="AA4755" s="7"/>
      <c r="AB4755" s="7"/>
      <c r="AC4755" s="7"/>
      <c r="AD4755" s="7" t="str">
        <f t="shared" si="1"/>
        <v>Built-up :</v>
      </c>
      <c r="AE4755" s="7" t="str">
        <f t="shared" si="2"/>
        <v> sq. ft.</v>
      </c>
      <c r="AF4755">
        <f>IFERROR(__xludf.DUMMYFUNCTION("VALUE(REGEXREPLACE(G4755,""[^[:digit:]]"", """"))"),1148.0)</f>
        <v>1148</v>
      </c>
      <c r="AG4755" s="7"/>
      <c r="AH4755" s="7"/>
      <c r="AI4755" s="7"/>
      <c r="AJ4755" s="7"/>
      <c r="AK4755" s="7"/>
      <c r="AL4755" s="7"/>
      <c r="AM4755" s="7"/>
      <c r="AN4755" s="7"/>
      <c r="AO4755" s="7"/>
      <c r="AP4755" s="7"/>
      <c r="AQ4755" s="7"/>
      <c r="AR4755" s="7"/>
      <c r="AS4755" s="7" t="s">
        <v>22</v>
      </c>
    </row>
    <row r="4756">
      <c r="A4756" s="7" t="s">
        <v>180</v>
      </c>
      <c r="B4756" s="7" t="s">
        <v>619</v>
      </c>
      <c r="C4756" s="7">
        <f>3+1</f>
        <v>4</v>
      </c>
      <c r="D4756" s="7">
        <v>3.0</v>
      </c>
      <c r="E4756" s="9">
        <v>2.0</v>
      </c>
      <c r="F4756" s="7" t="s">
        <v>30</v>
      </c>
      <c r="H4756" s="9" t="s">
        <v>2984</v>
      </c>
      <c r="I4756" t="s">
        <v>2985</v>
      </c>
      <c r="AD4756" s="7" t="str">
        <f t="shared" si="1"/>
        <v/>
      </c>
      <c r="AE4756" s="7" t="str">
        <f t="shared" si="2"/>
        <v/>
      </c>
      <c r="AF4756">
        <f>IFERROR(__xludf.DUMMYFUNCTION("VALUE(REGEXREPLACE(G4756,""[^[:digit:]]"", """"))"),0.0)</f>
        <v>0</v>
      </c>
      <c r="AS4756" s="7" t="s">
        <v>22</v>
      </c>
    </row>
    <row r="4757">
      <c r="A4757" s="7" t="s">
        <v>33</v>
      </c>
      <c r="B4757" s="7" t="s">
        <v>399</v>
      </c>
      <c r="C4757" s="7">
        <f>5</f>
        <v>5</v>
      </c>
      <c r="D4757" s="7">
        <v>4.0</v>
      </c>
      <c r="E4757" s="7">
        <v>2.0</v>
      </c>
      <c r="F4757" s="7" t="s">
        <v>203</v>
      </c>
      <c r="G4757" s="7" t="s">
        <v>1193</v>
      </c>
      <c r="H4757" s="9" t="s">
        <v>2981</v>
      </c>
      <c r="I4757" t="s">
        <v>3570</v>
      </c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  <c r="AA4757" s="7"/>
      <c r="AB4757" s="7"/>
      <c r="AC4757" s="7"/>
      <c r="AD4757" s="7" t="str">
        <f t="shared" si="1"/>
        <v>Land area </v>
      </c>
      <c r="AE4757" s="7" t="str">
        <f t="shared" si="2"/>
        <v> sq. ft.</v>
      </c>
      <c r="AF4757">
        <f>IFERROR(__xludf.DUMMYFUNCTION("VALUE(REGEXREPLACE(G4757,""[^[:digit:]]"", """"))"),1840.0)</f>
        <v>1840</v>
      </c>
      <c r="AG4757" s="7"/>
      <c r="AH4757" s="7"/>
      <c r="AI4757" s="7"/>
      <c r="AJ4757" s="7"/>
      <c r="AK4757" s="7"/>
      <c r="AL4757" s="7"/>
      <c r="AM4757" s="7"/>
      <c r="AN4757" s="7"/>
      <c r="AO4757" s="7"/>
      <c r="AP4757" s="7"/>
      <c r="AQ4757" s="7"/>
      <c r="AR4757" s="7"/>
      <c r="AS4757" s="7" t="s">
        <v>22</v>
      </c>
    </row>
    <row r="4758">
      <c r="A4758" s="7" t="s">
        <v>33</v>
      </c>
      <c r="B4758" s="7" t="s">
        <v>599</v>
      </c>
      <c r="C4758" s="7">
        <f>4+1</f>
        <v>5</v>
      </c>
      <c r="D4758" s="7">
        <v>3.0</v>
      </c>
      <c r="E4758" s="7">
        <v>2.0</v>
      </c>
      <c r="F4758" s="7" t="s">
        <v>30</v>
      </c>
      <c r="G4758" s="7" t="s">
        <v>36</v>
      </c>
      <c r="H4758" s="9" t="s">
        <v>2979</v>
      </c>
      <c r="I4758" t="s">
        <v>2986</v>
      </c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  <c r="AA4758" s="7"/>
      <c r="AB4758" s="7"/>
      <c r="AC4758" s="7"/>
      <c r="AD4758" s="7" t="str">
        <f t="shared" si="1"/>
        <v>Built-up :</v>
      </c>
      <c r="AE4758" s="7" t="str">
        <f t="shared" si="2"/>
        <v> sq. ft.</v>
      </c>
      <c r="AF4758">
        <f>IFERROR(__xludf.DUMMYFUNCTION("VALUE(REGEXREPLACE(G4758,""[^[:digit:]]"", """"))"),1513.0)</f>
        <v>1513</v>
      </c>
      <c r="AG4758" s="7"/>
      <c r="AH4758" s="7"/>
      <c r="AI4758" s="7"/>
      <c r="AJ4758" s="7"/>
      <c r="AK4758" s="7"/>
      <c r="AL4758" s="7"/>
      <c r="AM4758" s="7"/>
      <c r="AN4758" s="7"/>
      <c r="AO4758" s="7"/>
      <c r="AP4758" s="7"/>
      <c r="AQ4758" s="7"/>
      <c r="AR4758" s="7"/>
      <c r="AS4758" s="7" t="s">
        <v>27</v>
      </c>
    </row>
    <row r="4759">
      <c r="A4759" s="7" t="s">
        <v>515</v>
      </c>
      <c r="B4759" s="7" t="s">
        <v>923</v>
      </c>
      <c r="C4759" s="7">
        <f>3</f>
        <v>3</v>
      </c>
      <c r="D4759" s="7">
        <v>2.0</v>
      </c>
      <c r="E4759" s="7">
        <v>2.0</v>
      </c>
      <c r="F4759" s="7" t="s">
        <v>494</v>
      </c>
      <c r="G4759" s="7" t="s">
        <v>2880</v>
      </c>
      <c r="H4759" s="9" t="s">
        <v>2979</v>
      </c>
      <c r="I4759" t="s">
        <v>4587</v>
      </c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  <c r="AA4759" s="7"/>
      <c r="AB4759" s="7"/>
      <c r="AC4759" s="7"/>
      <c r="AD4759" s="7" t="str">
        <f t="shared" si="1"/>
        <v>Built-up :</v>
      </c>
      <c r="AE4759" s="7" t="str">
        <f t="shared" si="2"/>
        <v> sq. ft.</v>
      </c>
      <c r="AF4759">
        <f>IFERROR(__xludf.DUMMYFUNCTION("VALUE(REGEXREPLACE(G4759,""[^[:digit:]]"", """"))"),1685.0)</f>
        <v>1685</v>
      </c>
      <c r="AG4759" s="7"/>
      <c r="AH4759" s="7"/>
      <c r="AI4759" s="7"/>
      <c r="AJ4759" s="7"/>
      <c r="AK4759" s="7"/>
      <c r="AL4759" s="7"/>
      <c r="AM4759" s="7"/>
      <c r="AN4759" s="7"/>
      <c r="AO4759" s="7"/>
      <c r="AP4759" s="7"/>
      <c r="AQ4759" s="7"/>
      <c r="AR4759" s="7"/>
      <c r="AS4759" s="7" t="s">
        <v>27</v>
      </c>
    </row>
    <row r="4760">
      <c r="A4760" s="7" t="s">
        <v>33</v>
      </c>
      <c r="B4760" s="7" t="s">
        <v>1926</v>
      </c>
      <c r="C4760" s="7">
        <f t="shared" ref="C4760:C4761" si="674">6+1</f>
        <v>7</v>
      </c>
      <c r="D4760" s="7">
        <v>6.0</v>
      </c>
      <c r="E4760" s="9">
        <v>2.0</v>
      </c>
      <c r="F4760" s="7" t="s">
        <v>487</v>
      </c>
      <c r="G4760" s="7" t="s">
        <v>2881</v>
      </c>
      <c r="H4760" s="9" t="s">
        <v>2981</v>
      </c>
      <c r="I4760" t="s">
        <v>4588</v>
      </c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  <c r="AA4760" s="7"/>
      <c r="AB4760" s="7"/>
      <c r="AC4760" s="7"/>
      <c r="AD4760" s="7" t="str">
        <f t="shared" si="1"/>
        <v>Land area </v>
      </c>
      <c r="AE4760" s="7" t="str">
        <f t="shared" si="2"/>
        <v> sq. ft.</v>
      </c>
      <c r="AF4760">
        <f>IFERROR(__xludf.DUMMYFUNCTION("VALUE(REGEXREPLACE(G4760,""[^[:digit:]]"", """"))"),4293.0)</f>
        <v>4293</v>
      </c>
      <c r="AG4760" s="7"/>
      <c r="AH4760" s="7"/>
      <c r="AI4760" s="7"/>
      <c r="AJ4760" s="7"/>
      <c r="AK4760" s="7"/>
      <c r="AL4760" s="7"/>
      <c r="AM4760" s="7"/>
      <c r="AN4760" s="7"/>
      <c r="AO4760" s="7"/>
      <c r="AP4760" s="7"/>
      <c r="AQ4760" s="7"/>
      <c r="AR4760" s="7"/>
      <c r="AS4760" s="7" t="s">
        <v>103</v>
      </c>
    </row>
    <row r="4761">
      <c r="A4761" s="7" t="s">
        <v>33</v>
      </c>
      <c r="B4761" s="7" t="s">
        <v>281</v>
      </c>
      <c r="C4761" s="7">
        <f t="shared" si="674"/>
        <v>7</v>
      </c>
      <c r="D4761" s="7">
        <v>7.0</v>
      </c>
      <c r="E4761" s="9">
        <v>2.0</v>
      </c>
      <c r="F4761" s="7" t="s">
        <v>2331</v>
      </c>
      <c r="G4761" s="7" t="s">
        <v>2882</v>
      </c>
      <c r="H4761" s="9" t="s">
        <v>2981</v>
      </c>
      <c r="I4761" t="s">
        <v>3705</v>
      </c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  <c r="AA4761" s="7"/>
      <c r="AB4761" s="7"/>
      <c r="AC4761" s="7"/>
      <c r="AD4761" s="7" t="str">
        <f t="shared" si="1"/>
        <v>Land area </v>
      </c>
      <c r="AE4761" s="7" t="str">
        <f t="shared" si="2"/>
        <v> sq. ft.</v>
      </c>
      <c r="AF4761">
        <f>IFERROR(__xludf.DUMMYFUNCTION("VALUE(REGEXREPLACE(G4761,""[^[:digit:]]"", """"))"),3230.0)</f>
        <v>3230</v>
      </c>
      <c r="AG4761" s="7"/>
      <c r="AH4761" s="7"/>
      <c r="AI4761" s="7"/>
      <c r="AJ4761" s="7"/>
      <c r="AK4761" s="7"/>
      <c r="AL4761" s="7"/>
      <c r="AM4761" s="7"/>
      <c r="AN4761" s="7"/>
      <c r="AO4761" s="7"/>
      <c r="AP4761" s="7"/>
      <c r="AQ4761" s="7"/>
      <c r="AR4761" s="7"/>
      <c r="AS4761" s="7" t="s">
        <v>103</v>
      </c>
    </row>
    <row r="4762">
      <c r="A4762" s="7" t="s">
        <v>33</v>
      </c>
      <c r="B4762" s="7" t="s">
        <v>85</v>
      </c>
      <c r="C4762" s="7">
        <f>6</f>
        <v>6</v>
      </c>
      <c r="D4762" s="7">
        <v>5.0</v>
      </c>
      <c r="E4762" s="9">
        <v>2.0</v>
      </c>
      <c r="F4762" s="7" t="s">
        <v>90</v>
      </c>
      <c r="G4762" s="7" t="s">
        <v>2205</v>
      </c>
      <c r="H4762" s="9" t="s">
        <v>2981</v>
      </c>
      <c r="I4762" t="s">
        <v>3518</v>
      </c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  <c r="AA4762" s="7"/>
      <c r="AB4762" s="7"/>
      <c r="AC4762" s="7"/>
      <c r="AD4762" s="7" t="str">
        <f t="shared" si="1"/>
        <v>Land area </v>
      </c>
      <c r="AE4762" s="7" t="str">
        <f t="shared" si="2"/>
        <v> sq. ft.</v>
      </c>
      <c r="AF4762">
        <f>IFERROR(__xludf.DUMMYFUNCTION("VALUE(REGEXREPLACE(G4762,""[^[:digit:]]"", """"))"),1540.0)</f>
        <v>1540</v>
      </c>
      <c r="AG4762" s="7"/>
      <c r="AH4762" s="7"/>
      <c r="AI4762" s="7"/>
      <c r="AJ4762" s="7"/>
      <c r="AK4762" s="7"/>
      <c r="AL4762" s="7"/>
      <c r="AM4762" s="7"/>
      <c r="AN4762" s="7"/>
      <c r="AO4762" s="7"/>
      <c r="AP4762" s="7"/>
      <c r="AQ4762" s="7"/>
      <c r="AR4762" s="7"/>
      <c r="AS4762" s="7" t="s">
        <v>103</v>
      </c>
    </row>
    <row r="4763">
      <c r="A4763" s="7" t="s">
        <v>33</v>
      </c>
      <c r="B4763" s="7" t="s">
        <v>206</v>
      </c>
      <c r="C4763" s="7">
        <f t="shared" ref="C4763:C4764" si="675">3+1</f>
        <v>4</v>
      </c>
      <c r="D4763" s="7">
        <v>3.0</v>
      </c>
      <c r="E4763" s="7">
        <v>2.0</v>
      </c>
      <c r="F4763" s="7" t="s">
        <v>83</v>
      </c>
      <c r="G4763" s="7" t="s">
        <v>2883</v>
      </c>
      <c r="H4763" s="9" t="s">
        <v>2979</v>
      </c>
      <c r="I4763" t="s">
        <v>4589</v>
      </c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  <c r="AA4763" s="7"/>
      <c r="AB4763" s="7"/>
      <c r="AC4763" s="7"/>
      <c r="AD4763" s="7" t="str">
        <f t="shared" si="1"/>
        <v>Built-up :</v>
      </c>
      <c r="AE4763" s="7" t="str">
        <f t="shared" si="2"/>
        <v> sq. ft.</v>
      </c>
      <c r="AF4763">
        <f>IFERROR(__xludf.DUMMYFUNCTION("VALUE(REGEXREPLACE(G4763,""[^[:digit:]]"", """"))"),1415.0)</f>
        <v>1415</v>
      </c>
      <c r="AG4763" s="7"/>
      <c r="AH4763" s="7"/>
      <c r="AI4763" s="7"/>
      <c r="AJ4763" s="7"/>
      <c r="AK4763" s="7"/>
      <c r="AL4763" s="7"/>
      <c r="AM4763" s="7"/>
      <c r="AN4763" s="7"/>
      <c r="AO4763" s="7"/>
      <c r="AP4763" s="7"/>
      <c r="AQ4763" s="7"/>
      <c r="AR4763" s="7"/>
      <c r="AS4763" s="7" t="s">
        <v>22</v>
      </c>
    </row>
    <row r="4764">
      <c r="A4764" s="7" t="s">
        <v>33</v>
      </c>
      <c r="B4764" s="7" t="s">
        <v>78</v>
      </c>
      <c r="C4764" s="7">
        <f t="shared" si="675"/>
        <v>4</v>
      </c>
      <c r="D4764" s="7">
        <v>4.0</v>
      </c>
      <c r="E4764" s="9">
        <v>2.0</v>
      </c>
      <c r="F4764" s="7" t="s">
        <v>30</v>
      </c>
      <c r="G4764" s="7" t="s">
        <v>726</v>
      </c>
      <c r="H4764" s="9" t="s">
        <v>2979</v>
      </c>
      <c r="I4764" t="s">
        <v>3304</v>
      </c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  <c r="AA4764" s="7"/>
      <c r="AB4764" s="7"/>
      <c r="AC4764" s="7"/>
      <c r="AD4764" s="7" t="str">
        <f t="shared" si="1"/>
        <v>Built-up :</v>
      </c>
      <c r="AE4764" s="7" t="str">
        <f t="shared" si="2"/>
        <v> sq. ft.</v>
      </c>
      <c r="AF4764">
        <f>IFERROR(__xludf.DUMMYFUNCTION("VALUE(REGEXREPLACE(G4764,""[^[:digit:]]"", """"))"),1700.0)</f>
        <v>1700</v>
      </c>
      <c r="AG4764" s="7"/>
      <c r="AH4764" s="7"/>
      <c r="AI4764" s="7"/>
      <c r="AJ4764" s="7"/>
      <c r="AK4764" s="7"/>
      <c r="AL4764" s="7"/>
      <c r="AM4764" s="7"/>
      <c r="AN4764" s="7"/>
      <c r="AO4764" s="7"/>
      <c r="AP4764" s="7"/>
      <c r="AQ4764" s="7"/>
      <c r="AR4764" s="7"/>
      <c r="AS4764" s="7" t="s">
        <v>27</v>
      </c>
    </row>
    <row r="4765">
      <c r="A4765" s="7" t="s">
        <v>33</v>
      </c>
      <c r="B4765" s="7" t="s">
        <v>144</v>
      </c>
      <c r="C4765" s="7">
        <f t="shared" ref="C4765:C4769" si="676">5</f>
        <v>5</v>
      </c>
      <c r="D4765" s="7">
        <v>4.0</v>
      </c>
      <c r="E4765" s="9">
        <v>2.0</v>
      </c>
      <c r="F4765" s="7" t="s">
        <v>203</v>
      </c>
      <c r="G4765" s="7" t="s">
        <v>2884</v>
      </c>
      <c r="H4765" s="9" t="s">
        <v>2981</v>
      </c>
      <c r="I4765" t="s">
        <v>3590</v>
      </c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  <c r="AA4765" s="7"/>
      <c r="AB4765" s="7"/>
      <c r="AC4765" s="7"/>
      <c r="AD4765" s="7" t="str">
        <f t="shared" si="1"/>
        <v>Land area </v>
      </c>
      <c r="AE4765" s="7" t="str">
        <f t="shared" si="2"/>
        <v> sq. ft.</v>
      </c>
      <c r="AF4765">
        <f>IFERROR(__xludf.DUMMYFUNCTION("VALUE(REGEXREPLACE(G4765,""[^[:digit:]]"", """"))"),2496.0)</f>
        <v>2496</v>
      </c>
      <c r="AG4765" s="7"/>
      <c r="AH4765" s="7"/>
      <c r="AI4765" s="7"/>
      <c r="AJ4765" s="7"/>
      <c r="AK4765" s="7"/>
      <c r="AL4765" s="7"/>
      <c r="AM4765" s="7"/>
      <c r="AN4765" s="7"/>
      <c r="AO4765" s="7"/>
      <c r="AP4765" s="7"/>
      <c r="AQ4765" s="7"/>
      <c r="AR4765" s="7"/>
      <c r="AS4765" s="7" t="s">
        <v>27</v>
      </c>
    </row>
    <row r="4766">
      <c r="A4766" s="7" t="s">
        <v>267</v>
      </c>
      <c r="B4766" s="7" t="s">
        <v>351</v>
      </c>
      <c r="C4766" s="7">
        <f t="shared" si="676"/>
        <v>5</v>
      </c>
      <c r="D4766" s="7">
        <v>4.0</v>
      </c>
      <c r="E4766" s="9">
        <v>2.0</v>
      </c>
      <c r="F4766" s="7" t="s">
        <v>25</v>
      </c>
      <c r="G4766" s="7" t="s">
        <v>2885</v>
      </c>
      <c r="H4766" s="9" t="s">
        <v>2981</v>
      </c>
      <c r="I4766" t="s">
        <v>4590</v>
      </c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  <c r="AA4766" s="7"/>
      <c r="AB4766" s="7"/>
      <c r="AC4766" s="7"/>
      <c r="AD4766" s="7" t="str">
        <f t="shared" si="1"/>
        <v>Land area </v>
      </c>
      <c r="AE4766" s="7" t="str">
        <f t="shared" si="2"/>
        <v> sq. ft.</v>
      </c>
      <c r="AF4766">
        <f>IFERROR(__xludf.DUMMYFUNCTION("VALUE(REGEXREPLACE(G4766,""[^[:digit:]]"", """"))"),5554.0)</f>
        <v>5554</v>
      </c>
      <c r="AG4766" s="7"/>
      <c r="AH4766" s="7"/>
      <c r="AI4766" s="7"/>
      <c r="AJ4766" s="7"/>
      <c r="AK4766" s="7"/>
      <c r="AL4766" s="7"/>
      <c r="AM4766" s="7"/>
      <c r="AN4766" s="7"/>
      <c r="AO4766" s="7"/>
      <c r="AP4766" s="7"/>
      <c r="AQ4766" s="7"/>
      <c r="AR4766" s="7"/>
      <c r="AS4766" s="7" t="s">
        <v>27</v>
      </c>
    </row>
    <row r="4767">
      <c r="A4767" s="7" t="s">
        <v>33</v>
      </c>
      <c r="B4767" s="7" t="s">
        <v>309</v>
      </c>
      <c r="C4767" s="7">
        <f t="shared" si="676"/>
        <v>5</v>
      </c>
      <c r="D4767" s="7">
        <v>4.0</v>
      </c>
      <c r="E4767" s="7">
        <v>2.0</v>
      </c>
      <c r="F4767" s="7" t="s">
        <v>282</v>
      </c>
      <c r="G4767" s="7" t="s">
        <v>2886</v>
      </c>
      <c r="H4767" s="9" t="s">
        <v>2981</v>
      </c>
      <c r="I4767" t="s">
        <v>3630</v>
      </c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  <c r="AA4767" s="7"/>
      <c r="AB4767" s="7"/>
      <c r="AC4767" s="7"/>
      <c r="AD4767" s="7" t="str">
        <f t="shared" si="1"/>
        <v>Land area </v>
      </c>
      <c r="AE4767" s="7" t="str">
        <f t="shared" si="2"/>
        <v> sq. ft.</v>
      </c>
      <c r="AF4767">
        <f>IFERROR(__xludf.DUMMYFUNCTION("VALUE(REGEXREPLACE(G4767,""[^[:digit:]]"", """"))"),2720.0)</f>
        <v>2720</v>
      </c>
      <c r="AG4767" s="7"/>
      <c r="AH4767" s="7"/>
      <c r="AI4767" s="7"/>
      <c r="AJ4767" s="7"/>
      <c r="AK4767" s="7"/>
      <c r="AL4767" s="7"/>
      <c r="AM4767" s="7"/>
      <c r="AN4767" s="7"/>
      <c r="AO4767" s="7"/>
      <c r="AP4767" s="7"/>
      <c r="AQ4767" s="7"/>
      <c r="AR4767" s="7"/>
      <c r="AS4767" s="7" t="s">
        <v>22</v>
      </c>
    </row>
    <row r="4768">
      <c r="A4768" s="7" t="s">
        <v>33</v>
      </c>
      <c r="B4768" s="7" t="s">
        <v>403</v>
      </c>
      <c r="C4768" s="7">
        <f t="shared" si="676"/>
        <v>5</v>
      </c>
      <c r="D4768" s="7">
        <v>4.0</v>
      </c>
      <c r="E4768" s="9">
        <v>2.0</v>
      </c>
      <c r="F4768" s="7" t="s">
        <v>203</v>
      </c>
      <c r="G4768" s="7" t="s">
        <v>2887</v>
      </c>
      <c r="H4768" s="9" t="s">
        <v>2981</v>
      </c>
      <c r="I4768" t="s">
        <v>3570</v>
      </c>
      <c r="J4768" s="7"/>
      <c r="K4768" s="7"/>
      <c r="L4768" s="7"/>
      <c r="M4768" s="7"/>
      <c r="N4768" s="7"/>
      <c r="O4768" s="7"/>
      <c r="P4768" s="7"/>
      <c r="Q4768" s="7"/>
      <c r="R4768" s="7"/>
      <c r="S4768" s="7" t="s">
        <v>2993</v>
      </c>
      <c r="T4768" s="7"/>
      <c r="U4768" s="7"/>
      <c r="V4768" s="7"/>
      <c r="W4768" s="7"/>
      <c r="X4768" s="7"/>
      <c r="Y4768" s="7"/>
      <c r="Z4768" s="7"/>
      <c r="AA4768" s="7"/>
      <c r="AB4768" s="7"/>
      <c r="AC4768" s="7"/>
      <c r="AD4768" s="7" t="str">
        <f t="shared" si="1"/>
        <v>Land area </v>
      </c>
      <c r="AE4768" s="7" t="str">
        <f t="shared" si="2"/>
        <v> sq. ft.</v>
      </c>
      <c r="AF4768">
        <f>IFERROR(__xludf.DUMMYFUNCTION("VALUE(REGEXREPLACE(G4768,""[^[:digit:]]"", """"))"),2380.0)</f>
        <v>2380</v>
      </c>
      <c r="AG4768" s="7"/>
      <c r="AH4768" s="7"/>
      <c r="AI4768" s="7"/>
      <c r="AJ4768" s="7"/>
      <c r="AK4768" s="7"/>
      <c r="AL4768" s="7"/>
      <c r="AM4768" s="7"/>
      <c r="AN4768" s="7"/>
      <c r="AO4768" s="7"/>
      <c r="AP4768" s="7"/>
      <c r="AQ4768" s="7"/>
      <c r="AR4768" s="7"/>
      <c r="AS4768" s="7" t="s">
        <v>22</v>
      </c>
    </row>
    <row r="4769">
      <c r="A4769" s="7" t="s">
        <v>33</v>
      </c>
      <c r="B4769" s="7" t="s">
        <v>227</v>
      </c>
      <c r="C4769" s="7">
        <f t="shared" si="676"/>
        <v>5</v>
      </c>
      <c r="D4769" s="7">
        <v>4.0</v>
      </c>
      <c r="E4769" s="7">
        <v>2.0</v>
      </c>
      <c r="F4769" s="7" t="s">
        <v>273</v>
      </c>
      <c r="G4769" s="7" t="s">
        <v>2888</v>
      </c>
      <c r="H4769" s="9" t="s">
        <v>2981</v>
      </c>
      <c r="I4769" t="s">
        <v>4591</v>
      </c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  <c r="AA4769" s="7"/>
      <c r="AB4769" s="7"/>
      <c r="AC4769" s="7"/>
      <c r="AD4769" s="7" t="str">
        <f t="shared" si="1"/>
        <v>Land area </v>
      </c>
      <c r="AE4769" s="7" t="str">
        <f t="shared" si="2"/>
        <v> sq. ft.</v>
      </c>
      <c r="AF4769">
        <f>IFERROR(__xludf.DUMMYFUNCTION("VALUE(REGEXREPLACE(G4769,""[^[:digit:]]"", """"))"),3067.0)</f>
        <v>3067</v>
      </c>
      <c r="AG4769" s="7"/>
      <c r="AH4769" s="7"/>
      <c r="AI4769" s="7"/>
      <c r="AJ4769" s="7"/>
      <c r="AK4769" s="7"/>
      <c r="AL4769" s="7"/>
      <c r="AM4769" s="7"/>
      <c r="AN4769" s="7"/>
      <c r="AO4769" s="7"/>
      <c r="AP4769" s="7"/>
      <c r="AQ4769" s="7"/>
      <c r="AR4769" s="7"/>
      <c r="AS4769" s="7" t="s">
        <v>27</v>
      </c>
    </row>
    <row r="4770">
      <c r="A4770" s="7" t="s">
        <v>33</v>
      </c>
      <c r="B4770" s="7" t="s">
        <v>158</v>
      </c>
      <c r="C4770" s="7">
        <f>6+1</f>
        <v>7</v>
      </c>
      <c r="D4770" s="7">
        <v>7.0</v>
      </c>
      <c r="E4770" s="9">
        <v>2.0</v>
      </c>
      <c r="F4770" s="7" t="s">
        <v>203</v>
      </c>
      <c r="G4770" s="7" t="s">
        <v>2889</v>
      </c>
      <c r="H4770" s="9" t="s">
        <v>2981</v>
      </c>
      <c r="I4770" t="s">
        <v>4592</v>
      </c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  <c r="AA4770" s="7"/>
      <c r="AB4770" s="7"/>
      <c r="AC4770" s="7"/>
      <c r="AD4770" s="7" t="str">
        <f t="shared" si="1"/>
        <v>Land area </v>
      </c>
      <c r="AE4770" s="7" t="str">
        <f t="shared" si="2"/>
        <v> sq. ft.</v>
      </c>
      <c r="AF4770">
        <f>IFERROR(__xludf.DUMMYFUNCTION("VALUE(REGEXREPLACE(G4770,""[^[:digit:]]"", """"))"),2640.0)</f>
        <v>2640</v>
      </c>
      <c r="AG4770" s="7"/>
      <c r="AH4770" s="7"/>
      <c r="AI4770" s="7"/>
      <c r="AJ4770" s="7"/>
      <c r="AK4770" s="7"/>
      <c r="AL4770" s="7"/>
      <c r="AM4770" s="7"/>
      <c r="AN4770" s="7"/>
      <c r="AO4770" s="7"/>
      <c r="AP4770" s="7"/>
      <c r="AQ4770" s="7"/>
      <c r="AR4770" s="7"/>
      <c r="AS4770" s="7" t="s">
        <v>103</v>
      </c>
    </row>
    <row r="4771">
      <c r="A4771" s="7" t="s">
        <v>33</v>
      </c>
      <c r="B4771" s="7" t="s">
        <v>759</v>
      </c>
      <c r="C4771" s="7">
        <f>2+1</f>
        <v>3</v>
      </c>
      <c r="D4771" s="7">
        <v>2.0</v>
      </c>
      <c r="E4771" s="7">
        <v>1.0</v>
      </c>
      <c r="F4771" s="7" t="s">
        <v>50</v>
      </c>
      <c r="G4771" s="7" t="s">
        <v>2353</v>
      </c>
      <c r="H4771" s="9" t="s">
        <v>2979</v>
      </c>
      <c r="I4771" t="s">
        <v>4270</v>
      </c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  <c r="AA4771" s="7"/>
      <c r="AB4771" s="7"/>
      <c r="AC4771" s="7"/>
      <c r="AD4771" s="7" t="str">
        <f t="shared" si="1"/>
        <v>Built-up :</v>
      </c>
      <c r="AE4771" s="7" t="str">
        <f t="shared" si="2"/>
        <v> sq. ft.</v>
      </c>
      <c r="AF4771">
        <f>IFERROR(__xludf.DUMMYFUNCTION("VALUE(REGEXREPLACE(G4771,""[^[:digit:]]"", """"))"),1001.0)</f>
        <v>1001</v>
      </c>
      <c r="AG4771" s="7"/>
      <c r="AH4771" s="7"/>
      <c r="AI4771" s="7"/>
      <c r="AJ4771" s="7"/>
      <c r="AK4771" s="7"/>
      <c r="AL4771" s="7"/>
      <c r="AM4771" s="7"/>
      <c r="AN4771" s="7"/>
      <c r="AO4771" s="7"/>
      <c r="AP4771" s="7"/>
      <c r="AQ4771" s="7"/>
      <c r="AR4771" s="7"/>
      <c r="AS4771" s="7" t="s">
        <v>22</v>
      </c>
    </row>
    <row r="4772">
      <c r="A4772" s="7" t="s">
        <v>33</v>
      </c>
      <c r="B4772" s="7" t="s">
        <v>144</v>
      </c>
      <c r="C4772" s="7">
        <f>4</f>
        <v>4</v>
      </c>
      <c r="D4772" s="7">
        <v>4.0</v>
      </c>
      <c r="E4772" s="9">
        <v>2.0</v>
      </c>
      <c r="F4772" s="7" t="s">
        <v>203</v>
      </c>
      <c r="G4772" s="7" t="s">
        <v>2417</v>
      </c>
      <c r="H4772" s="9" t="s">
        <v>2981</v>
      </c>
      <c r="I4772" t="s">
        <v>3164</v>
      </c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  <c r="AA4772" s="7"/>
      <c r="AB4772" s="7"/>
      <c r="AC4772" s="7"/>
      <c r="AD4772" s="7" t="str">
        <f t="shared" si="1"/>
        <v>Land area </v>
      </c>
      <c r="AE4772" s="7" t="str">
        <f t="shared" si="2"/>
        <v> sq. ft.</v>
      </c>
      <c r="AF4772">
        <f>IFERROR(__xludf.DUMMYFUNCTION("VALUE(REGEXREPLACE(G4772,""[^[:digit:]]"", """"))"),2040.0)</f>
        <v>2040</v>
      </c>
      <c r="AG4772" s="7"/>
      <c r="AH4772" s="7"/>
      <c r="AI4772" s="7"/>
      <c r="AJ4772" s="7"/>
      <c r="AK4772" s="7"/>
      <c r="AL4772" s="7"/>
      <c r="AM4772" s="7"/>
      <c r="AN4772" s="7"/>
      <c r="AO4772" s="7"/>
      <c r="AP4772" s="7"/>
      <c r="AQ4772" s="7"/>
      <c r="AR4772" s="7"/>
      <c r="AS4772" s="7" t="s">
        <v>22</v>
      </c>
    </row>
    <row r="4773">
      <c r="A4773" s="7" t="s">
        <v>100</v>
      </c>
      <c r="B4773" s="7" t="s">
        <v>1114</v>
      </c>
      <c r="C4773" s="7">
        <f>3+1</f>
        <v>4</v>
      </c>
      <c r="D4773" s="7">
        <v>3.0</v>
      </c>
      <c r="E4773" s="9">
        <v>2.0</v>
      </c>
      <c r="F4773" s="7" t="s">
        <v>54</v>
      </c>
      <c r="G4773" s="7" t="s">
        <v>333</v>
      </c>
      <c r="H4773" s="9" t="s">
        <v>2981</v>
      </c>
      <c r="I4773" t="s">
        <v>3091</v>
      </c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  <c r="AA4773" s="7"/>
      <c r="AB4773" s="7"/>
      <c r="AC4773" s="7"/>
      <c r="AD4773" s="7" t="str">
        <f t="shared" si="1"/>
        <v>Land area </v>
      </c>
      <c r="AE4773" s="7" t="str">
        <f t="shared" si="2"/>
        <v> sq. ft.</v>
      </c>
      <c r="AF4773">
        <f>IFERROR(__xludf.DUMMYFUNCTION("VALUE(REGEXREPLACE(G4773,""[^[:digit:]]"", """"))"),1650.0)</f>
        <v>1650</v>
      </c>
      <c r="AG4773" s="7"/>
      <c r="AH4773" s="7"/>
      <c r="AI4773" s="7"/>
      <c r="AJ4773" s="7"/>
      <c r="AK4773" s="7"/>
      <c r="AL4773" s="7"/>
      <c r="AM4773" s="7"/>
      <c r="AN4773" s="7"/>
      <c r="AO4773" s="7"/>
      <c r="AP4773" s="7"/>
      <c r="AQ4773" s="7"/>
      <c r="AR4773" s="7"/>
      <c r="AS4773" s="7" t="s">
        <v>103</v>
      </c>
    </row>
    <row r="4774">
      <c r="A4774" s="7" t="s">
        <v>33</v>
      </c>
      <c r="B4774" s="7" t="s">
        <v>309</v>
      </c>
      <c r="C4774" s="7">
        <f>6+1</f>
        <v>7</v>
      </c>
      <c r="D4774" s="7">
        <v>5.0</v>
      </c>
      <c r="E4774" s="9">
        <v>2.0</v>
      </c>
      <c r="F4774" s="7" t="s">
        <v>203</v>
      </c>
      <c r="G4774" s="7" t="s">
        <v>2890</v>
      </c>
      <c r="H4774" s="9" t="s">
        <v>2981</v>
      </c>
      <c r="I4774" t="s">
        <v>4104</v>
      </c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  <c r="AA4774" s="7"/>
      <c r="AB4774" s="7"/>
      <c r="AC4774" s="7"/>
      <c r="AD4774" s="7" t="str">
        <f t="shared" si="1"/>
        <v>Land area </v>
      </c>
      <c r="AE4774" s="7" t="str">
        <f t="shared" si="2"/>
        <v> sq. ft.</v>
      </c>
      <c r="AF4774">
        <f>IFERROR(__xludf.DUMMYFUNCTION("VALUE(REGEXREPLACE(G4774,""[^[:digit:]]"", """"))"),1955.0)</f>
        <v>1955</v>
      </c>
      <c r="AG4774" s="7"/>
      <c r="AH4774" s="7"/>
      <c r="AI4774" s="7"/>
      <c r="AJ4774" s="7"/>
      <c r="AK4774" s="7"/>
      <c r="AL4774" s="7"/>
      <c r="AM4774" s="7"/>
      <c r="AN4774" s="7"/>
      <c r="AO4774" s="7"/>
      <c r="AP4774" s="7"/>
      <c r="AQ4774" s="7"/>
      <c r="AR4774" s="7"/>
      <c r="AS4774" s="7" t="s">
        <v>22</v>
      </c>
    </row>
    <row r="4775">
      <c r="A4775" s="7" t="s">
        <v>33</v>
      </c>
      <c r="B4775" s="7" t="s">
        <v>138</v>
      </c>
      <c r="C4775" s="7">
        <f>3+1</f>
        <v>4</v>
      </c>
      <c r="D4775" s="7">
        <v>3.0</v>
      </c>
      <c r="E4775" s="7">
        <v>2.0</v>
      </c>
      <c r="F4775" s="7" t="s">
        <v>93</v>
      </c>
      <c r="G4775" s="7" t="s">
        <v>2883</v>
      </c>
      <c r="H4775" s="9" t="s">
        <v>2979</v>
      </c>
      <c r="I4775" t="s">
        <v>4589</v>
      </c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  <c r="AA4775" s="7"/>
      <c r="AB4775" s="7"/>
      <c r="AC4775" s="7"/>
      <c r="AD4775" s="7" t="str">
        <f t="shared" si="1"/>
        <v>Built-up :</v>
      </c>
      <c r="AE4775" s="7" t="str">
        <f t="shared" si="2"/>
        <v> sq. ft.</v>
      </c>
      <c r="AF4775">
        <f>IFERROR(__xludf.DUMMYFUNCTION("VALUE(REGEXREPLACE(G4775,""[^[:digit:]]"", """"))"),1415.0)</f>
        <v>1415</v>
      </c>
      <c r="AG4775" s="7"/>
      <c r="AH4775" s="7"/>
      <c r="AI4775" s="7"/>
      <c r="AJ4775" s="7"/>
      <c r="AK4775" s="7"/>
      <c r="AL4775" s="7"/>
      <c r="AM4775" s="7"/>
      <c r="AN4775" s="7"/>
      <c r="AO4775" s="7"/>
      <c r="AP4775" s="7"/>
      <c r="AQ4775" s="7"/>
      <c r="AR4775" s="7"/>
      <c r="AS4775" s="7" t="s">
        <v>22</v>
      </c>
    </row>
    <row r="4776">
      <c r="A4776" s="7" t="s">
        <v>33</v>
      </c>
      <c r="B4776" s="7" t="s">
        <v>1696</v>
      </c>
      <c r="C4776" s="7">
        <f>3</f>
        <v>3</v>
      </c>
      <c r="D4776" s="7">
        <v>2.0</v>
      </c>
      <c r="E4776" s="9">
        <v>2.0</v>
      </c>
      <c r="F4776" s="7" t="s">
        <v>30</v>
      </c>
      <c r="G4776" s="7" t="s">
        <v>1196</v>
      </c>
      <c r="H4776" s="9" t="s">
        <v>2979</v>
      </c>
      <c r="I4776" t="s">
        <v>3572</v>
      </c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  <c r="AA4776" s="7"/>
      <c r="AB4776" s="7"/>
      <c r="AC4776" s="7"/>
      <c r="AD4776" s="7" t="str">
        <f t="shared" si="1"/>
        <v>Built-up :</v>
      </c>
      <c r="AE4776" s="7" t="str">
        <f t="shared" si="2"/>
        <v> sq. ft.</v>
      </c>
      <c r="AF4776">
        <f>IFERROR(__xludf.DUMMYFUNCTION("VALUE(REGEXREPLACE(G4776,""[^[:digit:]]"", """"))"),1212.0)</f>
        <v>1212</v>
      </c>
      <c r="AG4776" s="7"/>
      <c r="AH4776" s="7"/>
      <c r="AI4776" s="7"/>
      <c r="AJ4776" s="7"/>
      <c r="AK4776" s="7"/>
      <c r="AL4776" s="7"/>
      <c r="AM4776" s="7"/>
      <c r="AN4776" s="7"/>
      <c r="AO4776" s="7"/>
      <c r="AP4776" s="7"/>
      <c r="AQ4776" s="7"/>
      <c r="AR4776" s="7"/>
      <c r="AS4776" s="7" t="s">
        <v>22</v>
      </c>
    </row>
    <row r="4777">
      <c r="A4777" s="7" t="s">
        <v>33</v>
      </c>
      <c r="B4777" s="7" t="s">
        <v>63</v>
      </c>
      <c r="C4777" s="7">
        <f>5+2</f>
        <v>7</v>
      </c>
      <c r="D4777" s="7">
        <v>7.0</v>
      </c>
      <c r="E4777" s="9">
        <v>2.0</v>
      </c>
      <c r="F4777" s="7" t="s">
        <v>43</v>
      </c>
      <c r="G4777" s="7" t="s">
        <v>402</v>
      </c>
      <c r="H4777" s="9" t="s">
        <v>2981</v>
      </c>
      <c r="I4777" t="s">
        <v>3146</v>
      </c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  <c r="AA4777" s="7"/>
      <c r="AB4777" s="7"/>
      <c r="AC4777" s="7"/>
      <c r="AD4777" s="7" t="str">
        <f t="shared" si="1"/>
        <v>Land area </v>
      </c>
      <c r="AE4777" s="7" t="str">
        <f t="shared" si="2"/>
        <v> sq. ft.</v>
      </c>
      <c r="AF4777">
        <f>IFERROR(__xludf.DUMMYFUNCTION("VALUE(REGEXREPLACE(G4777,""[^[:digit:]]"", """"))"),4050.0)</f>
        <v>4050</v>
      </c>
      <c r="AG4777" s="7"/>
      <c r="AH4777" s="7"/>
      <c r="AI4777" s="7"/>
      <c r="AJ4777" s="7"/>
      <c r="AK4777" s="7"/>
      <c r="AL4777" s="7"/>
      <c r="AM4777" s="7"/>
      <c r="AN4777" s="7"/>
      <c r="AO4777" s="7"/>
      <c r="AP4777" s="7"/>
      <c r="AQ4777" s="7"/>
      <c r="AR4777" s="7"/>
      <c r="AS4777" s="7" t="s">
        <v>103</v>
      </c>
    </row>
    <row r="4778">
      <c r="A4778" s="7" t="s">
        <v>267</v>
      </c>
      <c r="B4778" s="7" t="s">
        <v>18</v>
      </c>
      <c r="C4778" s="7">
        <f>4</f>
        <v>4</v>
      </c>
      <c r="D4778" s="7">
        <v>3.0</v>
      </c>
      <c r="E4778" s="9">
        <v>2.0</v>
      </c>
      <c r="F4778" s="7" t="s">
        <v>54</v>
      </c>
      <c r="G4778" s="7" t="s">
        <v>2891</v>
      </c>
      <c r="H4778" s="9" t="s">
        <v>2981</v>
      </c>
      <c r="I4778" t="s">
        <v>4593</v>
      </c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  <c r="AA4778" s="7"/>
      <c r="AB4778" s="7"/>
      <c r="AC4778" s="7"/>
      <c r="AD4778" s="7" t="str">
        <f t="shared" si="1"/>
        <v>Land area </v>
      </c>
      <c r="AE4778" s="7" t="str">
        <f t="shared" si="2"/>
        <v> sq. ft.</v>
      </c>
      <c r="AF4778">
        <f>IFERROR(__xludf.DUMMYFUNCTION("VALUE(REGEXREPLACE(G4778,""[^[:digit:]]"", """"))"),1750.0)</f>
        <v>1750</v>
      </c>
      <c r="AG4778" s="7"/>
      <c r="AH4778" s="7"/>
      <c r="AI4778" s="7"/>
      <c r="AJ4778" s="7"/>
      <c r="AK4778" s="7"/>
      <c r="AL4778" s="7"/>
      <c r="AM4778" s="7"/>
      <c r="AN4778" s="7"/>
      <c r="AO4778" s="7"/>
      <c r="AP4778" s="7"/>
      <c r="AQ4778" s="7"/>
      <c r="AR4778" s="7"/>
      <c r="AS4778" s="7" t="s">
        <v>27</v>
      </c>
    </row>
    <row r="4779">
      <c r="A4779" s="7" t="s">
        <v>33</v>
      </c>
      <c r="B4779" s="7" t="s">
        <v>239</v>
      </c>
      <c r="C4779" s="7">
        <f>3+1</f>
        <v>4</v>
      </c>
      <c r="D4779" s="7">
        <v>4.0</v>
      </c>
      <c r="E4779" s="9">
        <v>2.0</v>
      </c>
      <c r="F4779" s="7" t="s">
        <v>30</v>
      </c>
      <c r="G4779" s="7" t="s">
        <v>2892</v>
      </c>
      <c r="H4779" s="9" t="s">
        <v>2979</v>
      </c>
      <c r="I4779" t="s">
        <v>4594</v>
      </c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  <c r="AA4779" s="7"/>
      <c r="AB4779" s="7"/>
      <c r="AC4779" s="7"/>
      <c r="AD4779" s="7" t="str">
        <f t="shared" si="1"/>
        <v>Built-up :</v>
      </c>
      <c r="AE4779" s="7" t="str">
        <f t="shared" si="2"/>
        <v> sq. ft.</v>
      </c>
      <c r="AF4779">
        <f>IFERROR(__xludf.DUMMYFUNCTION("VALUE(REGEXREPLACE(G4779,""[^[:digit:]]"", """"))"),1614.0)</f>
        <v>1614</v>
      </c>
      <c r="AG4779" s="7"/>
      <c r="AH4779" s="7"/>
      <c r="AI4779" s="7"/>
      <c r="AJ4779" s="7"/>
      <c r="AK4779" s="7"/>
      <c r="AL4779" s="7"/>
      <c r="AM4779" s="7"/>
      <c r="AN4779" s="7"/>
      <c r="AO4779" s="7"/>
      <c r="AP4779" s="7"/>
      <c r="AQ4779" s="7"/>
      <c r="AR4779" s="7"/>
      <c r="AS4779" s="7" t="s">
        <v>27</v>
      </c>
    </row>
    <row r="4780">
      <c r="A4780" s="7" t="s">
        <v>33</v>
      </c>
      <c r="B4780" s="7" t="s">
        <v>45</v>
      </c>
      <c r="C4780" s="7">
        <f>6+1</f>
        <v>7</v>
      </c>
      <c r="D4780" s="7">
        <v>7.0</v>
      </c>
      <c r="E4780" s="7">
        <v>2.0</v>
      </c>
      <c r="F4780" s="7" t="s">
        <v>203</v>
      </c>
      <c r="G4780" s="7" t="s">
        <v>1193</v>
      </c>
      <c r="H4780" s="9" t="s">
        <v>2981</v>
      </c>
      <c r="I4780" t="s">
        <v>3570</v>
      </c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  <c r="AA4780" s="7"/>
      <c r="AB4780" s="7"/>
      <c r="AC4780" s="7"/>
      <c r="AD4780" s="7" t="str">
        <f t="shared" si="1"/>
        <v>Land area </v>
      </c>
      <c r="AE4780" s="7" t="str">
        <f t="shared" si="2"/>
        <v> sq. ft.</v>
      </c>
      <c r="AF4780">
        <f>IFERROR(__xludf.DUMMYFUNCTION("VALUE(REGEXREPLACE(G4780,""[^[:digit:]]"", """"))"),1840.0)</f>
        <v>1840</v>
      </c>
      <c r="AG4780" s="7"/>
      <c r="AH4780" s="7"/>
      <c r="AI4780" s="7"/>
      <c r="AJ4780" s="7"/>
      <c r="AK4780" s="7"/>
      <c r="AL4780" s="7"/>
      <c r="AM4780" s="7"/>
      <c r="AN4780" s="7"/>
      <c r="AO4780" s="7"/>
      <c r="AP4780" s="7"/>
      <c r="AQ4780" s="7"/>
      <c r="AR4780" s="7"/>
      <c r="AS4780" s="7" t="s">
        <v>27</v>
      </c>
    </row>
    <row r="4781">
      <c r="A4781" s="7" t="s">
        <v>515</v>
      </c>
      <c r="B4781" s="7" t="s">
        <v>56</v>
      </c>
      <c r="C4781" s="7">
        <f>4</f>
        <v>4</v>
      </c>
      <c r="D4781" s="7">
        <v>5.0</v>
      </c>
      <c r="E4781" s="9">
        <v>2.0</v>
      </c>
      <c r="F4781" s="7" t="s">
        <v>64</v>
      </c>
      <c r="G4781" s="7" t="s">
        <v>478</v>
      </c>
      <c r="H4781" s="9" t="s">
        <v>2981</v>
      </c>
      <c r="I4781" t="s">
        <v>3183</v>
      </c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  <c r="AA4781" s="7"/>
      <c r="AB4781" s="7"/>
      <c r="AC4781" s="7"/>
      <c r="AD4781" s="7" t="str">
        <f t="shared" si="1"/>
        <v>Land area </v>
      </c>
      <c r="AE4781" s="7" t="str">
        <f t="shared" si="2"/>
        <v> sq. ft.</v>
      </c>
      <c r="AF4781">
        <f>IFERROR(__xludf.DUMMYFUNCTION("VALUE(REGEXREPLACE(G4781,""[^[:digit:]]"", """"))"),3200.0)</f>
        <v>3200</v>
      </c>
      <c r="AG4781" s="7"/>
      <c r="AH4781" s="7"/>
      <c r="AI4781" s="7"/>
      <c r="AJ4781" s="7"/>
      <c r="AK4781" s="7"/>
      <c r="AL4781" s="7"/>
      <c r="AM4781" s="7"/>
      <c r="AN4781" s="7"/>
      <c r="AO4781" s="7"/>
      <c r="AP4781" s="7"/>
      <c r="AQ4781" s="7"/>
      <c r="AR4781" s="7"/>
      <c r="AS4781" s="7" t="s">
        <v>27</v>
      </c>
    </row>
    <row r="4782">
      <c r="A4782" s="7" t="s">
        <v>33</v>
      </c>
      <c r="B4782" s="7" t="s">
        <v>599</v>
      </c>
      <c r="C4782" s="7">
        <f>3</f>
        <v>3</v>
      </c>
      <c r="D4782" s="7">
        <v>3.0</v>
      </c>
      <c r="E4782" s="9">
        <v>2.0</v>
      </c>
      <c r="F4782" s="7" t="s">
        <v>30</v>
      </c>
      <c r="G4782" s="7" t="s">
        <v>2883</v>
      </c>
      <c r="H4782" s="9" t="s">
        <v>2979</v>
      </c>
      <c r="I4782" t="s">
        <v>4589</v>
      </c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  <c r="AA4782" s="7"/>
      <c r="AB4782" s="7"/>
      <c r="AC4782" s="7"/>
      <c r="AD4782" s="7" t="str">
        <f t="shared" si="1"/>
        <v>Built-up :</v>
      </c>
      <c r="AE4782" s="7" t="str">
        <f t="shared" si="2"/>
        <v> sq. ft.</v>
      </c>
      <c r="AF4782">
        <f>IFERROR(__xludf.DUMMYFUNCTION("VALUE(REGEXREPLACE(G4782,""[^[:digit:]]"", """"))"),1415.0)</f>
        <v>1415</v>
      </c>
      <c r="AG4782" s="7"/>
      <c r="AH4782" s="7"/>
      <c r="AI4782" s="7"/>
      <c r="AJ4782" s="7"/>
      <c r="AK4782" s="7"/>
      <c r="AL4782" s="7"/>
      <c r="AM4782" s="7"/>
      <c r="AN4782" s="7"/>
      <c r="AO4782" s="7"/>
      <c r="AP4782" s="7"/>
      <c r="AQ4782" s="7"/>
      <c r="AR4782" s="7"/>
      <c r="AS4782" s="7" t="s">
        <v>22</v>
      </c>
    </row>
    <row r="4783">
      <c r="A4783" s="7" t="s">
        <v>100</v>
      </c>
      <c r="B4783" s="7" t="s">
        <v>931</v>
      </c>
      <c r="C4783" s="7">
        <f>5</f>
        <v>5</v>
      </c>
      <c r="D4783" s="7">
        <v>5.0</v>
      </c>
      <c r="E4783" s="9">
        <v>2.0</v>
      </c>
      <c r="F4783" s="7" t="s">
        <v>43</v>
      </c>
      <c r="G4783" s="7" t="s">
        <v>2893</v>
      </c>
      <c r="H4783" s="9" t="s">
        <v>2981</v>
      </c>
      <c r="I4783" t="s">
        <v>4595</v>
      </c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  <c r="AA4783" s="7"/>
      <c r="AB4783" s="7"/>
      <c r="AC4783" s="7"/>
      <c r="AD4783" s="7" t="str">
        <f t="shared" si="1"/>
        <v>Land area </v>
      </c>
      <c r="AE4783" s="7" t="str">
        <f t="shared" si="2"/>
        <v> sq. ft.</v>
      </c>
      <c r="AF4783">
        <f>IFERROR(__xludf.DUMMYFUNCTION("VALUE(REGEXREPLACE(G4783,""[^[:digit:]]"", """"))"),4610.0)</f>
        <v>4610</v>
      </c>
      <c r="AG4783" s="7"/>
      <c r="AH4783" s="7"/>
      <c r="AI4783" s="7"/>
      <c r="AJ4783" s="7"/>
      <c r="AK4783" s="7"/>
      <c r="AL4783" s="7"/>
      <c r="AM4783" s="7"/>
      <c r="AN4783" s="7"/>
      <c r="AO4783" s="7"/>
      <c r="AP4783" s="7"/>
      <c r="AQ4783" s="7"/>
      <c r="AR4783" s="7"/>
      <c r="AS4783" s="7" t="s">
        <v>27</v>
      </c>
    </row>
    <row r="4784">
      <c r="A4784" s="7" t="s">
        <v>33</v>
      </c>
      <c r="B4784" s="7" t="s">
        <v>268</v>
      </c>
      <c r="C4784" s="7">
        <f>3+1</f>
        <v>4</v>
      </c>
      <c r="D4784" s="7">
        <v>2.0</v>
      </c>
      <c r="E4784" s="9">
        <v>2.0</v>
      </c>
      <c r="F4784" s="7" t="s">
        <v>30</v>
      </c>
      <c r="G4784" s="7" t="s">
        <v>1391</v>
      </c>
      <c r="H4784" s="9" t="s">
        <v>2979</v>
      </c>
      <c r="I4784" t="s">
        <v>3685</v>
      </c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  <c r="AA4784" s="7"/>
      <c r="AB4784" s="7"/>
      <c r="AC4784" s="7"/>
      <c r="AD4784" s="7" t="str">
        <f t="shared" si="1"/>
        <v>Built-up :</v>
      </c>
      <c r="AE4784" s="7" t="str">
        <f t="shared" si="2"/>
        <v> sq. ft.</v>
      </c>
      <c r="AF4784">
        <f>IFERROR(__xludf.DUMMYFUNCTION("VALUE(REGEXREPLACE(G4784,""[^[:digit:]]"", """"))"),1080.0)</f>
        <v>1080</v>
      </c>
      <c r="AG4784" s="7"/>
      <c r="AH4784" s="7"/>
      <c r="AI4784" s="7"/>
      <c r="AJ4784" s="7"/>
      <c r="AK4784" s="7"/>
      <c r="AL4784" s="7"/>
      <c r="AM4784" s="7"/>
      <c r="AN4784" s="7"/>
      <c r="AO4784" s="7"/>
      <c r="AP4784" s="7"/>
      <c r="AQ4784" s="7"/>
      <c r="AR4784" s="7"/>
      <c r="AS4784" s="7" t="s">
        <v>27</v>
      </c>
    </row>
    <row r="4785">
      <c r="A4785" s="7" t="s">
        <v>33</v>
      </c>
      <c r="B4785" s="7" t="s">
        <v>931</v>
      </c>
      <c r="C4785" s="7">
        <f>5</f>
        <v>5</v>
      </c>
      <c r="D4785" s="7">
        <v>4.0</v>
      </c>
      <c r="E4785" s="7">
        <v>2.0</v>
      </c>
      <c r="F4785" s="7" t="s">
        <v>282</v>
      </c>
      <c r="G4785" s="7" t="s">
        <v>2889</v>
      </c>
      <c r="H4785" s="9" t="s">
        <v>2981</v>
      </c>
      <c r="I4785" t="s">
        <v>4592</v>
      </c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  <c r="AA4785" s="7"/>
      <c r="AB4785" s="7"/>
      <c r="AC4785" s="7"/>
      <c r="AD4785" s="7" t="str">
        <f t="shared" si="1"/>
        <v>Land area </v>
      </c>
      <c r="AE4785" s="7" t="str">
        <f t="shared" si="2"/>
        <v> sq. ft.</v>
      </c>
      <c r="AF4785">
        <f>IFERROR(__xludf.DUMMYFUNCTION("VALUE(REGEXREPLACE(G4785,""[^[:digit:]]"", """"))"),2640.0)</f>
        <v>2640</v>
      </c>
      <c r="AG4785" s="7"/>
      <c r="AH4785" s="7"/>
      <c r="AI4785" s="7"/>
      <c r="AJ4785" s="7"/>
      <c r="AK4785" s="7"/>
      <c r="AL4785" s="7"/>
      <c r="AM4785" s="7"/>
      <c r="AN4785" s="7"/>
      <c r="AO4785" s="7"/>
      <c r="AP4785" s="7"/>
      <c r="AQ4785" s="7"/>
      <c r="AR4785" s="7"/>
      <c r="AS4785" s="7" t="s">
        <v>27</v>
      </c>
    </row>
    <row r="4786">
      <c r="A4786" s="7" t="s">
        <v>100</v>
      </c>
      <c r="B4786" s="7" t="s">
        <v>45</v>
      </c>
      <c r="C4786" s="7">
        <f>4</f>
        <v>4</v>
      </c>
      <c r="D4786" s="7">
        <v>3.0</v>
      </c>
      <c r="E4786" s="7">
        <v>2.0</v>
      </c>
      <c r="F4786" s="7" t="s">
        <v>64</v>
      </c>
      <c r="G4786" s="7" t="s">
        <v>2894</v>
      </c>
      <c r="H4786" s="9" t="s">
        <v>2981</v>
      </c>
      <c r="I4786" t="s">
        <v>4596</v>
      </c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  <c r="AA4786" s="7"/>
      <c r="AB4786" s="7"/>
      <c r="AC4786" s="7"/>
      <c r="AD4786" s="7" t="str">
        <f t="shared" si="1"/>
        <v>Land area </v>
      </c>
      <c r="AE4786" s="7" t="str">
        <f t="shared" si="2"/>
        <v> sq. ft.</v>
      </c>
      <c r="AF4786">
        <f>IFERROR(__xludf.DUMMYFUNCTION("VALUE(REGEXREPLACE(G4786,""[^[:digit:]]"", """"))"),3147.0)</f>
        <v>3147</v>
      </c>
      <c r="AG4786" s="7"/>
      <c r="AH4786" s="7"/>
      <c r="AI4786" s="7"/>
      <c r="AJ4786" s="7"/>
      <c r="AK4786" s="7"/>
      <c r="AL4786" s="7"/>
      <c r="AM4786" s="7"/>
      <c r="AN4786" s="7"/>
      <c r="AO4786" s="7"/>
      <c r="AP4786" s="7"/>
      <c r="AQ4786" s="7"/>
      <c r="AR4786" s="7"/>
      <c r="AS4786" s="7" t="s">
        <v>27</v>
      </c>
    </row>
    <row r="4787">
      <c r="A4787" s="7" t="s">
        <v>89</v>
      </c>
      <c r="B4787" s="7" t="s">
        <v>1079</v>
      </c>
      <c r="C4787" s="7">
        <f>5</f>
        <v>5</v>
      </c>
      <c r="D4787" s="7">
        <v>5.0</v>
      </c>
      <c r="E4787" s="9">
        <v>2.0</v>
      </c>
      <c r="F4787" s="7" t="s">
        <v>64</v>
      </c>
      <c r="G4787" s="7" t="s">
        <v>2895</v>
      </c>
      <c r="H4787" s="9" t="s">
        <v>2981</v>
      </c>
      <c r="I4787" t="s">
        <v>4597</v>
      </c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  <c r="AA4787" s="7"/>
      <c r="AB4787" s="7"/>
      <c r="AC4787" s="7"/>
      <c r="AD4787" s="7" t="str">
        <f t="shared" si="1"/>
        <v>Land area </v>
      </c>
      <c r="AE4787" s="7" t="str">
        <f t="shared" si="2"/>
        <v> sq. ft.</v>
      </c>
      <c r="AF4787">
        <f>IFERROR(__xludf.DUMMYFUNCTION("VALUE(REGEXREPLACE(G4787,""[^[:digit:]]"", """"))"),3347.0)</f>
        <v>3347</v>
      </c>
      <c r="AG4787" s="7"/>
      <c r="AH4787" s="7"/>
      <c r="AI4787" s="7"/>
      <c r="AJ4787" s="7"/>
      <c r="AK4787" s="7"/>
      <c r="AL4787" s="7"/>
      <c r="AM4787" s="7"/>
      <c r="AN4787" s="7"/>
      <c r="AO4787" s="7"/>
      <c r="AP4787" s="7"/>
      <c r="AQ4787" s="7"/>
      <c r="AR4787" s="7"/>
      <c r="AS4787" s="7" t="s">
        <v>27</v>
      </c>
    </row>
    <row r="4788">
      <c r="A4788" s="7" t="s">
        <v>33</v>
      </c>
      <c r="B4788" s="7" t="s">
        <v>101</v>
      </c>
      <c r="C4788" s="7">
        <f>6+1</f>
        <v>7</v>
      </c>
      <c r="D4788" s="7">
        <v>6.0</v>
      </c>
      <c r="E4788" s="9">
        <v>2.0</v>
      </c>
      <c r="F4788" s="7" t="s">
        <v>64</v>
      </c>
      <c r="G4788" s="7" t="s">
        <v>2673</v>
      </c>
      <c r="H4788" s="9" t="s">
        <v>2981</v>
      </c>
      <c r="I4788" t="s">
        <v>4459</v>
      </c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  <c r="AA4788" s="7"/>
      <c r="AB4788" s="7"/>
      <c r="AC4788" s="7"/>
      <c r="AD4788" s="7" t="str">
        <f t="shared" si="1"/>
        <v>Land area </v>
      </c>
      <c r="AE4788" s="7" t="str">
        <f t="shared" si="2"/>
        <v> sq. ft.</v>
      </c>
      <c r="AF4788">
        <f>IFERROR(__xludf.DUMMYFUNCTION("VALUE(REGEXREPLACE(G4788,""[^[:digit:]]"", """"))"),4700.0)</f>
        <v>4700</v>
      </c>
      <c r="AG4788" s="7"/>
      <c r="AH4788" s="7"/>
      <c r="AI4788" s="7"/>
      <c r="AJ4788" s="7"/>
      <c r="AK4788" s="7"/>
      <c r="AL4788" s="7"/>
      <c r="AM4788" s="7"/>
      <c r="AN4788" s="7"/>
      <c r="AO4788" s="7"/>
      <c r="AP4788" s="7"/>
      <c r="AQ4788" s="7"/>
      <c r="AR4788" s="7"/>
      <c r="AS4788" s="7" t="s">
        <v>103</v>
      </c>
    </row>
    <row r="4789">
      <c r="A4789" s="7" t="s">
        <v>180</v>
      </c>
      <c r="B4789" s="7" t="s">
        <v>1659</v>
      </c>
      <c r="C4789" s="7">
        <f>2+1</f>
        <v>3</v>
      </c>
      <c r="D4789" s="7">
        <v>2.0</v>
      </c>
      <c r="E4789" s="9">
        <v>2.0</v>
      </c>
      <c r="F4789" s="7" t="s">
        <v>83</v>
      </c>
      <c r="H4789" s="9" t="s">
        <v>2984</v>
      </c>
      <c r="I4789" t="s">
        <v>2985</v>
      </c>
      <c r="AD4789" s="7" t="str">
        <f t="shared" si="1"/>
        <v/>
      </c>
      <c r="AE4789" s="7" t="str">
        <f t="shared" si="2"/>
        <v/>
      </c>
      <c r="AF4789">
        <f>IFERROR(__xludf.DUMMYFUNCTION("VALUE(REGEXREPLACE(G4789,""[^[:digit:]]"", """"))"),0.0)</f>
        <v>0</v>
      </c>
      <c r="AS4789" s="7" t="s">
        <v>22</v>
      </c>
    </row>
    <row r="4790">
      <c r="A4790" s="7" t="s">
        <v>100</v>
      </c>
      <c r="B4790" s="7" t="s">
        <v>639</v>
      </c>
      <c r="C4790" s="7">
        <f t="shared" ref="C4790:C4795" si="677">3</f>
        <v>3</v>
      </c>
      <c r="D4790" s="7">
        <v>2.0</v>
      </c>
      <c r="E4790" s="7">
        <v>2.0</v>
      </c>
      <c r="F4790" s="7" t="s">
        <v>82</v>
      </c>
      <c r="G4790" s="7" t="s">
        <v>491</v>
      </c>
      <c r="H4790" s="9" t="s">
        <v>2979</v>
      </c>
      <c r="I4790" t="s">
        <v>3190</v>
      </c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  <c r="AA4790" s="7"/>
      <c r="AB4790" s="7"/>
      <c r="AC4790" s="7"/>
      <c r="AD4790" s="7" t="str">
        <f t="shared" si="1"/>
        <v>Built-up :</v>
      </c>
      <c r="AE4790" s="7" t="str">
        <f t="shared" si="2"/>
        <v> sq. ft.</v>
      </c>
      <c r="AF4790">
        <f>IFERROR(__xludf.DUMMYFUNCTION("VALUE(REGEXREPLACE(G4790,""[^[:digit:]]"", """"))"),950.0)</f>
        <v>950</v>
      </c>
      <c r="AG4790" s="7"/>
      <c r="AH4790" s="7"/>
      <c r="AI4790" s="7"/>
      <c r="AJ4790" s="7"/>
      <c r="AK4790" s="7"/>
      <c r="AL4790" s="7"/>
      <c r="AM4790" s="7"/>
      <c r="AN4790" s="7"/>
      <c r="AO4790" s="7"/>
      <c r="AP4790" s="7"/>
      <c r="AQ4790" s="7"/>
      <c r="AR4790" s="7"/>
      <c r="AS4790" s="7" t="s">
        <v>27</v>
      </c>
    </row>
    <row r="4791">
      <c r="A4791" s="7" t="s">
        <v>1960</v>
      </c>
      <c r="B4791" s="7" t="s">
        <v>361</v>
      </c>
      <c r="C4791" s="7">
        <f t="shared" si="677"/>
        <v>3</v>
      </c>
      <c r="D4791" s="7">
        <v>2.0</v>
      </c>
      <c r="E4791" s="9">
        <v>2.0</v>
      </c>
      <c r="F4791" s="7" t="s">
        <v>1185</v>
      </c>
      <c r="G4791" s="7" t="s">
        <v>750</v>
      </c>
      <c r="H4791" s="9" t="s">
        <v>2981</v>
      </c>
      <c r="I4791" t="s">
        <v>3297</v>
      </c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  <c r="AA4791" s="7"/>
      <c r="AB4791" s="7"/>
      <c r="AC4791" s="7"/>
      <c r="AD4791" s="7" t="str">
        <f t="shared" si="1"/>
        <v>Land area </v>
      </c>
      <c r="AE4791" s="7" t="str">
        <f t="shared" si="2"/>
        <v> sq. ft.</v>
      </c>
      <c r="AF4791">
        <f>IFERROR(__xludf.DUMMYFUNCTION("VALUE(REGEXREPLACE(G4791,""[^[:digit:]]"", """"))"),1300.0)</f>
        <v>1300</v>
      </c>
      <c r="AG4791" s="7"/>
      <c r="AH4791" s="7"/>
      <c r="AI4791" s="7"/>
      <c r="AJ4791" s="7"/>
      <c r="AK4791" s="7"/>
      <c r="AL4791" s="7"/>
      <c r="AM4791" s="7"/>
      <c r="AN4791" s="7"/>
      <c r="AO4791" s="7"/>
      <c r="AP4791" s="7"/>
      <c r="AQ4791" s="7"/>
      <c r="AR4791" s="7"/>
    </row>
    <row r="4792">
      <c r="A4792" s="7" t="s">
        <v>100</v>
      </c>
      <c r="B4792" s="7" t="s">
        <v>639</v>
      </c>
      <c r="C4792" s="7">
        <f t="shared" si="677"/>
        <v>3</v>
      </c>
      <c r="D4792" s="7">
        <v>2.0</v>
      </c>
      <c r="E4792" s="7">
        <v>2.0</v>
      </c>
      <c r="F4792" s="7" t="s">
        <v>20</v>
      </c>
      <c r="G4792" s="7" t="s">
        <v>491</v>
      </c>
      <c r="H4792" s="9" t="s">
        <v>2979</v>
      </c>
      <c r="I4792" t="s">
        <v>3190</v>
      </c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  <c r="AA4792" s="7"/>
      <c r="AB4792" s="7"/>
      <c r="AC4792" s="7"/>
      <c r="AD4792" s="7" t="str">
        <f t="shared" si="1"/>
        <v>Built-up :</v>
      </c>
      <c r="AE4792" s="7" t="str">
        <f t="shared" si="2"/>
        <v> sq. ft.</v>
      </c>
      <c r="AF4792">
        <f>IFERROR(__xludf.DUMMYFUNCTION("VALUE(REGEXREPLACE(G4792,""[^[:digit:]]"", """"))"),950.0)</f>
        <v>950</v>
      </c>
      <c r="AG4792" s="7"/>
      <c r="AH4792" s="7"/>
      <c r="AI4792" s="7"/>
      <c r="AJ4792" s="7"/>
      <c r="AK4792" s="7"/>
      <c r="AL4792" s="7"/>
      <c r="AM4792" s="7"/>
      <c r="AN4792" s="7"/>
      <c r="AO4792" s="7"/>
      <c r="AP4792" s="7"/>
      <c r="AQ4792" s="7"/>
      <c r="AR4792" s="7"/>
      <c r="AS4792" s="7" t="s">
        <v>27</v>
      </c>
    </row>
    <row r="4793">
      <c r="A4793" s="7" t="s">
        <v>100</v>
      </c>
      <c r="B4793" s="7" t="s">
        <v>543</v>
      </c>
      <c r="C4793" s="7">
        <f t="shared" si="677"/>
        <v>3</v>
      </c>
      <c r="D4793" s="7">
        <v>2.0</v>
      </c>
      <c r="E4793" s="7">
        <v>2.0</v>
      </c>
      <c r="F4793" s="7" t="s">
        <v>121</v>
      </c>
      <c r="G4793" s="7" t="s">
        <v>491</v>
      </c>
      <c r="H4793" s="9" t="s">
        <v>2979</v>
      </c>
      <c r="I4793" t="s">
        <v>3190</v>
      </c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  <c r="AA4793" s="7"/>
      <c r="AB4793" s="7"/>
      <c r="AC4793" s="7"/>
      <c r="AD4793" s="7" t="str">
        <f t="shared" si="1"/>
        <v>Built-up :</v>
      </c>
      <c r="AE4793" s="7" t="str">
        <f t="shared" si="2"/>
        <v> sq. ft.</v>
      </c>
      <c r="AF4793">
        <f>IFERROR(__xludf.DUMMYFUNCTION("VALUE(REGEXREPLACE(G4793,""[^[:digit:]]"", """"))"),950.0)</f>
        <v>950</v>
      </c>
      <c r="AG4793" s="7"/>
      <c r="AH4793" s="7"/>
      <c r="AI4793" s="7"/>
      <c r="AJ4793" s="7"/>
      <c r="AK4793" s="7"/>
      <c r="AL4793" s="7"/>
      <c r="AM4793" s="7"/>
      <c r="AN4793" s="7"/>
      <c r="AO4793" s="7"/>
      <c r="AP4793" s="7"/>
      <c r="AQ4793" s="7"/>
      <c r="AR4793" s="7"/>
      <c r="AS4793" s="7" t="s">
        <v>27</v>
      </c>
    </row>
    <row r="4794">
      <c r="A4794" s="7" t="s">
        <v>100</v>
      </c>
      <c r="B4794" s="7" t="s">
        <v>2016</v>
      </c>
      <c r="C4794" s="7">
        <f t="shared" si="677"/>
        <v>3</v>
      </c>
      <c r="D4794" s="7">
        <v>2.0</v>
      </c>
      <c r="E4794" s="7">
        <v>1.0</v>
      </c>
      <c r="F4794" s="7" t="s">
        <v>82</v>
      </c>
      <c r="G4794" s="7" t="s">
        <v>491</v>
      </c>
      <c r="H4794" s="9" t="s">
        <v>2979</v>
      </c>
      <c r="I4794" t="s">
        <v>3190</v>
      </c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  <c r="AA4794" s="7"/>
      <c r="AB4794" s="7"/>
      <c r="AC4794" s="7"/>
      <c r="AD4794" s="7" t="str">
        <f t="shared" si="1"/>
        <v>Built-up :</v>
      </c>
      <c r="AE4794" s="7" t="str">
        <f t="shared" si="2"/>
        <v> sq. ft.</v>
      </c>
      <c r="AF4794">
        <f>IFERROR(__xludf.DUMMYFUNCTION("VALUE(REGEXREPLACE(G4794,""[^[:digit:]]"", """"))"),950.0)</f>
        <v>950</v>
      </c>
      <c r="AG4794" s="7"/>
      <c r="AH4794" s="7"/>
      <c r="AI4794" s="7"/>
      <c r="AJ4794" s="7"/>
      <c r="AK4794" s="7"/>
      <c r="AL4794" s="7"/>
      <c r="AM4794" s="7"/>
      <c r="AN4794" s="7"/>
      <c r="AO4794" s="7"/>
      <c r="AP4794" s="7"/>
      <c r="AQ4794" s="7"/>
      <c r="AR4794" s="7"/>
      <c r="AS4794" s="7" t="s">
        <v>27</v>
      </c>
    </row>
    <row r="4795">
      <c r="A4795" s="7" t="s">
        <v>100</v>
      </c>
      <c r="B4795" s="7" t="s">
        <v>1111</v>
      </c>
      <c r="C4795" s="7">
        <f t="shared" si="677"/>
        <v>3</v>
      </c>
      <c r="D4795" s="7">
        <v>2.0</v>
      </c>
      <c r="E4795" s="9">
        <v>2.0</v>
      </c>
      <c r="F4795" s="7" t="s">
        <v>121</v>
      </c>
      <c r="G4795" s="7" t="s">
        <v>491</v>
      </c>
      <c r="H4795" s="9" t="s">
        <v>2979</v>
      </c>
      <c r="I4795" t="s">
        <v>3190</v>
      </c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  <c r="AA4795" s="7"/>
      <c r="AB4795" s="7"/>
      <c r="AC4795" s="7"/>
      <c r="AD4795" s="7" t="str">
        <f t="shared" si="1"/>
        <v>Built-up :</v>
      </c>
      <c r="AE4795" s="7" t="str">
        <f t="shared" si="2"/>
        <v> sq. ft.</v>
      </c>
      <c r="AF4795">
        <f>IFERROR(__xludf.DUMMYFUNCTION("VALUE(REGEXREPLACE(G4795,""[^[:digit:]]"", """"))"),950.0)</f>
        <v>950</v>
      </c>
      <c r="AG4795" s="7"/>
      <c r="AH4795" s="7"/>
      <c r="AI4795" s="7"/>
      <c r="AJ4795" s="7"/>
      <c r="AK4795" s="7"/>
      <c r="AL4795" s="7"/>
      <c r="AM4795" s="7"/>
      <c r="AN4795" s="7"/>
      <c r="AO4795" s="7"/>
      <c r="AP4795" s="7"/>
      <c r="AQ4795" s="7"/>
      <c r="AR4795" s="7"/>
      <c r="AS4795" s="7" t="s">
        <v>27</v>
      </c>
    </row>
    <row r="4796">
      <c r="A4796" s="7" t="s">
        <v>1960</v>
      </c>
      <c r="B4796" s="7" t="s">
        <v>1075</v>
      </c>
      <c r="C4796" s="7">
        <f>4</f>
        <v>4</v>
      </c>
      <c r="D4796" s="7">
        <v>3.0</v>
      </c>
      <c r="E4796" s="9">
        <v>2.0</v>
      </c>
      <c r="F4796" s="7" t="s">
        <v>169</v>
      </c>
      <c r="G4796" s="7" t="s">
        <v>2896</v>
      </c>
      <c r="H4796" s="9" t="s">
        <v>2981</v>
      </c>
      <c r="I4796" t="s">
        <v>4598</v>
      </c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  <c r="AA4796" s="7"/>
      <c r="AB4796" s="7"/>
      <c r="AC4796" s="7"/>
      <c r="AD4796" s="7" t="str">
        <f t="shared" si="1"/>
        <v>Land area </v>
      </c>
      <c r="AE4796" s="7" t="str">
        <f t="shared" si="2"/>
        <v> sq. ft.</v>
      </c>
      <c r="AF4796">
        <f>IFERROR(__xludf.DUMMYFUNCTION("VALUE(REGEXREPLACE(G4796,""[^[:digit:]]"", """"))"),2170.0)</f>
        <v>2170</v>
      </c>
      <c r="AG4796" s="7"/>
      <c r="AH4796" s="7"/>
      <c r="AI4796" s="7"/>
      <c r="AJ4796" s="7"/>
      <c r="AK4796" s="7"/>
      <c r="AL4796" s="7"/>
      <c r="AM4796" s="7"/>
      <c r="AN4796" s="7"/>
      <c r="AO4796" s="7"/>
      <c r="AP4796" s="7"/>
      <c r="AQ4796" s="7"/>
      <c r="AR4796" s="7"/>
    </row>
    <row r="4797">
      <c r="A4797" s="7" t="s">
        <v>1476</v>
      </c>
      <c r="B4797" s="7" t="s">
        <v>1559</v>
      </c>
      <c r="E4797" s="9">
        <v>2.0</v>
      </c>
      <c r="F4797" s="7" t="s">
        <v>83</v>
      </c>
      <c r="G4797" s="7" t="s">
        <v>2897</v>
      </c>
      <c r="H4797" s="9" t="s">
        <v>2979</v>
      </c>
      <c r="I4797" t="s">
        <v>4599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  <c r="AA4797" s="7"/>
      <c r="AB4797" s="7"/>
      <c r="AC4797" s="7"/>
      <c r="AD4797" s="7" t="str">
        <f t="shared" si="1"/>
        <v>Built-up :</v>
      </c>
      <c r="AE4797" s="7" t="str">
        <f t="shared" si="2"/>
        <v> sq. ft.</v>
      </c>
      <c r="AF4797">
        <f>IFERROR(__xludf.DUMMYFUNCTION("VALUE(REGEXREPLACE(G4797,""[^[:digit:]]"", """"))"),929.0)</f>
        <v>929</v>
      </c>
      <c r="AG4797" s="7"/>
      <c r="AH4797" s="7"/>
      <c r="AI4797" s="7"/>
      <c r="AJ4797" s="7"/>
      <c r="AK4797" s="7"/>
      <c r="AL4797" s="7"/>
      <c r="AM4797" s="7"/>
      <c r="AN4797" s="7"/>
      <c r="AO4797" s="7"/>
      <c r="AP4797" s="7"/>
      <c r="AQ4797" s="7"/>
      <c r="AR4797" s="7"/>
    </row>
    <row r="4798">
      <c r="A4798" s="7" t="s">
        <v>32</v>
      </c>
      <c r="B4798" s="7" t="s">
        <v>1659</v>
      </c>
      <c r="C4798" s="7">
        <f t="shared" ref="C4798:C4799" si="678">4</f>
        <v>4</v>
      </c>
      <c r="D4798" s="7">
        <v>3.0</v>
      </c>
      <c r="E4798" s="9">
        <v>2.0</v>
      </c>
      <c r="F4798" s="7" t="s">
        <v>169</v>
      </c>
      <c r="G4798" s="7" t="s">
        <v>2898</v>
      </c>
      <c r="H4798" s="9" t="s">
        <v>2981</v>
      </c>
      <c r="I4798" t="s">
        <v>4600</v>
      </c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  <c r="AA4798" s="7"/>
      <c r="AB4798" s="7"/>
      <c r="AC4798" s="7"/>
      <c r="AD4798" s="7" t="str">
        <f t="shared" si="1"/>
        <v>Land area </v>
      </c>
      <c r="AE4798" s="7" t="str">
        <f t="shared" si="2"/>
        <v> sq. ft.</v>
      </c>
      <c r="AF4798">
        <f>IFERROR(__xludf.DUMMYFUNCTION("VALUE(REGEXREPLACE(G4798,""[^[:digit:]]"", """"))"),2060.0)</f>
        <v>2060</v>
      </c>
      <c r="AG4798" s="7"/>
      <c r="AH4798" s="7"/>
      <c r="AI4798" s="7"/>
      <c r="AJ4798" s="7"/>
      <c r="AK4798" s="7"/>
      <c r="AL4798" s="7"/>
      <c r="AM4798" s="7"/>
      <c r="AN4798" s="7"/>
      <c r="AO4798" s="7"/>
      <c r="AP4798" s="7"/>
      <c r="AQ4798" s="7"/>
      <c r="AR4798" s="7"/>
    </row>
    <row r="4799">
      <c r="A4799" s="7" t="s">
        <v>428</v>
      </c>
      <c r="B4799" s="7" t="s">
        <v>201</v>
      </c>
      <c r="C4799" s="7">
        <f t="shared" si="678"/>
        <v>4</v>
      </c>
      <c r="D4799" s="7">
        <v>3.0</v>
      </c>
      <c r="E4799" s="9">
        <v>2.0</v>
      </c>
      <c r="F4799" s="7" t="s">
        <v>169</v>
      </c>
      <c r="G4799" s="7" t="s">
        <v>1444</v>
      </c>
      <c r="H4799" s="9" t="s">
        <v>2981</v>
      </c>
      <c r="I4799" t="s">
        <v>3718</v>
      </c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  <c r="AA4799" s="7"/>
      <c r="AB4799" s="7"/>
      <c r="AC4799" s="7"/>
      <c r="AD4799" s="7" t="str">
        <f t="shared" si="1"/>
        <v>Land area </v>
      </c>
      <c r="AE4799" s="7" t="str">
        <f t="shared" si="2"/>
        <v> sq. ft.</v>
      </c>
      <c r="AF4799">
        <f>IFERROR(__xludf.DUMMYFUNCTION("VALUE(REGEXREPLACE(G4799,""[^[:digit:]]"", """"))"),1080.0)</f>
        <v>1080</v>
      </c>
      <c r="AG4799" s="7"/>
      <c r="AH4799" s="7"/>
      <c r="AI4799" s="7"/>
      <c r="AJ4799" s="7"/>
      <c r="AK4799" s="7"/>
      <c r="AL4799" s="7"/>
      <c r="AM4799" s="7"/>
      <c r="AN4799" s="7"/>
      <c r="AO4799" s="7"/>
      <c r="AP4799" s="7"/>
      <c r="AQ4799" s="7"/>
      <c r="AR4799" s="7"/>
    </row>
    <row r="4800">
      <c r="A4800" s="7" t="s">
        <v>65</v>
      </c>
      <c r="B4800" s="7" t="s">
        <v>281</v>
      </c>
      <c r="C4800" s="7">
        <f>3</f>
        <v>3</v>
      </c>
      <c r="D4800" s="7">
        <v>3.0</v>
      </c>
      <c r="E4800" s="7">
        <v>2.0</v>
      </c>
      <c r="F4800" s="7" t="s">
        <v>83</v>
      </c>
      <c r="G4800" s="7" t="s">
        <v>1999</v>
      </c>
      <c r="H4800" s="9" t="s">
        <v>2979</v>
      </c>
      <c r="I4800" t="s">
        <v>4045</v>
      </c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  <c r="AA4800" s="7"/>
      <c r="AB4800" s="7"/>
      <c r="AC4800" s="7"/>
      <c r="AD4800" s="7" t="str">
        <f t="shared" si="1"/>
        <v>Built-up :</v>
      </c>
      <c r="AE4800" s="7" t="str">
        <f t="shared" si="2"/>
        <v> sq. ft.</v>
      </c>
      <c r="AF4800">
        <f>IFERROR(__xludf.DUMMYFUNCTION("VALUE(REGEXREPLACE(G4800,""[^[:digit:]]"", """"))"),2800.0)</f>
        <v>2800</v>
      </c>
      <c r="AG4800" s="7"/>
      <c r="AH4800" s="7"/>
      <c r="AI4800" s="7"/>
      <c r="AJ4800" s="7"/>
      <c r="AK4800" s="7"/>
      <c r="AL4800" s="7"/>
      <c r="AM4800" s="7"/>
      <c r="AN4800" s="7"/>
      <c r="AO4800" s="7"/>
      <c r="AP4800" s="7"/>
      <c r="AQ4800" s="7"/>
      <c r="AR4800" s="7"/>
      <c r="AS4800" s="7" t="s">
        <v>27</v>
      </c>
    </row>
    <row r="4801">
      <c r="A4801" s="7" t="s">
        <v>177</v>
      </c>
      <c r="B4801" s="7" t="s">
        <v>1114</v>
      </c>
      <c r="C4801" s="7">
        <f>2</f>
        <v>2</v>
      </c>
      <c r="D4801" s="7">
        <v>1.0</v>
      </c>
      <c r="E4801" s="7">
        <v>1.0</v>
      </c>
      <c r="F4801" s="7" t="s">
        <v>30</v>
      </c>
      <c r="G4801" s="7" t="s">
        <v>734</v>
      </c>
      <c r="H4801" s="9" t="s">
        <v>2979</v>
      </c>
      <c r="I4801" t="s">
        <v>3308</v>
      </c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  <c r="AA4801" s="7"/>
      <c r="AB4801" s="7"/>
      <c r="AC4801" s="7"/>
      <c r="AD4801" s="7" t="str">
        <f t="shared" si="1"/>
        <v>Built-up :</v>
      </c>
      <c r="AE4801" s="7" t="str">
        <f t="shared" si="2"/>
        <v> sq. ft.</v>
      </c>
      <c r="AF4801">
        <f>IFERROR(__xludf.DUMMYFUNCTION("VALUE(REGEXREPLACE(G4801,""[^[:digit:]]"", """"))"),1100.0)</f>
        <v>1100</v>
      </c>
      <c r="AG4801" s="7"/>
      <c r="AH4801" s="7"/>
      <c r="AI4801" s="7"/>
      <c r="AJ4801" s="7"/>
      <c r="AK4801" s="7"/>
      <c r="AL4801" s="7"/>
      <c r="AM4801" s="7"/>
      <c r="AN4801" s="7"/>
      <c r="AO4801" s="7"/>
      <c r="AP4801" s="7"/>
      <c r="AQ4801" s="7"/>
      <c r="AR4801" s="7"/>
      <c r="AS4801" s="7" t="s">
        <v>22</v>
      </c>
    </row>
    <row r="4802">
      <c r="A4802" s="7" t="s">
        <v>33</v>
      </c>
      <c r="B4802" s="7" t="s">
        <v>105</v>
      </c>
      <c r="C4802" s="7">
        <f t="shared" ref="C4802:C4803" si="679">3+1</f>
        <v>4</v>
      </c>
      <c r="D4802" s="7">
        <v>2.0</v>
      </c>
      <c r="E4802" s="7">
        <v>2.0</v>
      </c>
      <c r="F4802" s="7" t="s">
        <v>83</v>
      </c>
      <c r="G4802" s="7" t="s">
        <v>1004</v>
      </c>
      <c r="H4802" s="9" t="s">
        <v>2979</v>
      </c>
      <c r="I4802" t="s">
        <v>3449</v>
      </c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  <c r="AA4802" s="7"/>
      <c r="AB4802" s="7"/>
      <c r="AC4802" s="7"/>
      <c r="AD4802" s="7" t="str">
        <f t="shared" si="1"/>
        <v>Built-up :</v>
      </c>
      <c r="AE4802" s="7" t="str">
        <f t="shared" si="2"/>
        <v> sq. ft.</v>
      </c>
      <c r="AF4802">
        <f>IFERROR(__xludf.DUMMYFUNCTION("VALUE(REGEXREPLACE(G4802,""[^[:digit:]]"", """"))"),1300.0)</f>
        <v>1300</v>
      </c>
      <c r="AG4802" s="7"/>
      <c r="AH4802" s="7"/>
      <c r="AI4802" s="7"/>
      <c r="AJ4802" s="7"/>
      <c r="AK4802" s="7"/>
      <c r="AL4802" s="7"/>
      <c r="AM4802" s="7"/>
      <c r="AN4802" s="7"/>
      <c r="AO4802" s="7"/>
      <c r="AP4802" s="7"/>
      <c r="AQ4802" s="7"/>
      <c r="AR4802" s="7"/>
    </row>
    <row r="4803">
      <c r="A4803" s="7" t="s">
        <v>177</v>
      </c>
      <c r="B4803" s="7" t="s">
        <v>811</v>
      </c>
      <c r="C4803" s="7">
        <f t="shared" si="679"/>
        <v>4</v>
      </c>
      <c r="D4803" s="7">
        <v>4.0</v>
      </c>
      <c r="E4803" s="9">
        <v>2.0</v>
      </c>
      <c r="F4803" s="7" t="s">
        <v>184</v>
      </c>
      <c r="G4803" s="7" t="s">
        <v>2899</v>
      </c>
      <c r="H4803" s="9" t="s">
        <v>2981</v>
      </c>
      <c r="I4803" t="s">
        <v>4601</v>
      </c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  <c r="AA4803" s="7"/>
      <c r="AB4803" s="7"/>
      <c r="AC4803" s="7"/>
      <c r="AD4803" s="7" t="str">
        <f t="shared" si="1"/>
        <v>Land area </v>
      </c>
      <c r="AE4803" s="7" t="str">
        <f t="shared" si="2"/>
        <v> sq. ft.</v>
      </c>
      <c r="AF4803">
        <f>IFERROR(__xludf.DUMMYFUNCTION("VALUE(REGEXREPLACE(G4803,""[^[:digit:]]"", """"))"),4825.0)</f>
        <v>4825</v>
      </c>
      <c r="AG4803" s="7"/>
      <c r="AH4803" s="7"/>
      <c r="AI4803" s="7"/>
      <c r="AJ4803" s="7"/>
      <c r="AK4803" s="7"/>
      <c r="AL4803" s="7"/>
      <c r="AM4803" s="7"/>
      <c r="AN4803" s="7"/>
      <c r="AO4803" s="7"/>
      <c r="AP4803" s="7"/>
      <c r="AQ4803" s="7"/>
      <c r="AR4803" s="7"/>
      <c r="AS4803" s="7" t="s">
        <v>22</v>
      </c>
    </row>
    <row r="4804">
      <c r="A4804" s="7" t="s">
        <v>177</v>
      </c>
      <c r="B4804" s="7" t="s">
        <v>2900</v>
      </c>
      <c r="C4804" s="7">
        <f>1+1</f>
        <v>2</v>
      </c>
      <c r="D4804" s="7">
        <v>1.0</v>
      </c>
      <c r="E4804" s="7">
        <v>1.0</v>
      </c>
      <c r="F4804" s="7" t="s">
        <v>20</v>
      </c>
      <c r="G4804" s="7" t="s">
        <v>2901</v>
      </c>
      <c r="H4804" s="9" t="s">
        <v>2979</v>
      </c>
      <c r="I4804" t="s">
        <v>4602</v>
      </c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  <c r="AA4804" s="7"/>
      <c r="AB4804" s="7"/>
      <c r="AC4804" s="7"/>
      <c r="AD4804" s="7" t="str">
        <f t="shared" si="1"/>
        <v>Built-up :</v>
      </c>
      <c r="AE4804" s="7" t="str">
        <f t="shared" si="2"/>
        <v> sq. ft.</v>
      </c>
      <c r="AF4804">
        <f>IFERROR(__xludf.DUMMYFUNCTION("VALUE(REGEXREPLACE(G4804,""[^[:digit:]]"", """"))"),790.0)</f>
        <v>790</v>
      </c>
      <c r="AG4804" s="7"/>
      <c r="AH4804" s="7"/>
      <c r="AI4804" s="7"/>
      <c r="AJ4804" s="7"/>
      <c r="AK4804" s="7"/>
      <c r="AL4804" s="7"/>
      <c r="AM4804" s="7"/>
      <c r="AN4804" s="7"/>
      <c r="AO4804" s="7"/>
      <c r="AP4804" s="7"/>
      <c r="AQ4804" s="7"/>
      <c r="AR4804" s="7"/>
      <c r="AS4804" s="7" t="s">
        <v>22</v>
      </c>
    </row>
    <row r="4805">
      <c r="A4805" s="7" t="s">
        <v>709</v>
      </c>
      <c r="B4805" s="7" t="s">
        <v>2587</v>
      </c>
      <c r="C4805" s="7">
        <f>3</f>
        <v>3</v>
      </c>
      <c r="D4805" s="7">
        <v>2.0</v>
      </c>
      <c r="E4805" s="9">
        <v>2.0</v>
      </c>
      <c r="F4805" s="7" t="s">
        <v>93</v>
      </c>
      <c r="G4805" s="7" t="s">
        <v>1557</v>
      </c>
      <c r="H4805" s="9" t="s">
        <v>2979</v>
      </c>
      <c r="I4805" t="s">
        <v>3779</v>
      </c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  <c r="AA4805" s="7"/>
      <c r="AB4805" s="7"/>
      <c r="AC4805" s="7"/>
      <c r="AD4805" s="7" t="str">
        <f t="shared" si="1"/>
        <v>Built-up :</v>
      </c>
      <c r="AE4805" s="7" t="str">
        <f t="shared" si="2"/>
        <v> sq. ft.</v>
      </c>
      <c r="AF4805">
        <f>IFERROR(__xludf.DUMMYFUNCTION("VALUE(REGEXREPLACE(G4805,""[^[:digit:]]"", """"))"),1019.0)</f>
        <v>1019</v>
      </c>
      <c r="AG4805" s="7"/>
      <c r="AH4805" s="7"/>
      <c r="AI4805" s="7"/>
      <c r="AJ4805" s="7"/>
      <c r="AK4805" s="7"/>
      <c r="AL4805" s="7"/>
      <c r="AM4805" s="7"/>
      <c r="AN4805" s="7"/>
      <c r="AO4805" s="7"/>
      <c r="AP4805" s="7"/>
      <c r="AQ4805" s="7"/>
      <c r="AR4805" s="7"/>
      <c r="AS4805" s="7" t="s">
        <v>27</v>
      </c>
    </row>
    <row r="4806">
      <c r="A4806" s="7" t="s">
        <v>177</v>
      </c>
      <c r="B4806" s="7" t="s">
        <v>314</v>
      </c>
      <c r="C4806" s="7">
        <f>1+1</f>
        <v>2</v>
      </c>
      <c r="D4806" s="7">
        <v>1.0</v>
      </c>
      <c r="E4806" s="9">
        <v>2.0</v>
      </c>
      <c r="F4806" s="7" t="s">
        <v>83</v>
      </c>
      <c r="G4806" s="7" t="s">
        <v>2902</v>
      </c>
      <c r="H4806" s="9" t="s">
        <v>2979</v>
      </c>
      <c r="I4806" t="s">
        <v>4603</v>
      </c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  <c r="AA4806" s="7"/>
      <c r="AB4806" s="7"/>
      <c r="AC4806" s="7"/>
      <c r="AD4806" s="7" t="str">
        <f t="shared" si="1"/>
        <v>Built-up :</v>
      </c>
      <c r="AE4806" s="7" t="str">
        <f t="shared" si="2"/>
        <v> sq. ft.</v>
      </c>
      <c r="AF4806">
        <f>IFERROR(__xludf.DUMMYFUNCTION("VALUE(REGEXREPLACE(G4806,""[^[:digit:]]"", """"))"),674.0)</f>
        <v>674</v>
      </c>
      <c r="AG4806" s="7"/>
      <c r="AH4806" s="7"/>
      <c r="AI4806" s="7"/>
      <c r="AJ4806" s="7"/>
      <c r="AK4806" s="7"/>
      <c r="AL4806" s="7"/>
      <c r="AM4806" s="7"/>
      <c r="AN4806" s="7"/>
      <c r="AO4806" s="7"/>
      <c r="AP4806" s="7"/>
      <c r="AQ4806" s="7"/>
      <c r="AR4806" s="7"/>
      <c r="AS4806" s="7" t="s">
        <v>22</v>
      </c>
    </row>
    <row r="4807">
      <c r="A4807" s="7" t="s">
        <v>32</v>
      </c>
      <c r="B4807" s="7" t="s">
        <v>639</v>
      </c>
      <c r="C4807" s="7">
        <f>3</f>
        <v>3</v>
      </c>
      <c r="D4807" s="7">
        <v>3.0</v>
      </c>
      <c r="E4807" s="7">
        <v>2.0</v>
      </c>
      <c r="F4807" s="7" t="s">
        <v>30</v>
      </c>
      <c r="H4807" s="9" t="s">
        <v>2984</v>
      </c>
      <c r="I4807" t="s">
        <v>2985</v>
      </c>
      <c r="AD4807" s="7" t="str">
        <f t="shared" si="1"/>
        <v/>
      </c>
      <c r="AE4807" s="7" t="str">
        <f t="shared" si="2"/>
        <v/>
      </c>
      <c r="AF4807">
        <f>IFERROR(__xludf.DUMMYFUNCTION("VALUE(REGEXREPLACE(G4807,""[^[:digit:]]"", """"))"),0.0)</f>
        <v>0</v>
      </c>
    </row>
    <row r="4808">
      <c r="A4808" s="7" t="s">
        <v>177</v>
      </c>
      <c r="B4808" s="7" t="s">
        <v>2903</v>
      </c>
      <c r="C4808" s="7">
        <v>6.0</v>
      </c>
      <c r="D4808" s="7">
        <v>5.0</v>
      </c>
      <c r="E4808" s="9">
        <v>2.0</v>
      </c>
      <c r="F4808" s="7" t="s">
        <v>1755</v>
      </c>
      <c r="G4808" s="7" t="s">
        <v>2904</v>
      </c>
      <c r="H4808" s="9" t="s">
        <v>2981</v>
      </c>
      <c r="I4808" t="s">
        <v>4604</v>
      </c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  <c r="AA4808" s="7"/>
      <c r="AB4808" s="7"/>
      <c r="AC4808" s="7"/>
      <c r="AD4808" s="7" t="str">
        <f t="shared" si="1"/>
        <v>Land area </v>
      </c>
      <c r="AE4808" s="7" t="str">
        <f t="shared" si="2"/>
        <v> sq. ft.</v>
      </c>
      <c r="AF4808">
        <f>IFERROR(__xludf.DUMMYFUNCTION("VALUE(REGEXREPLACE(G4808,""[^[:digit:]]"", """"))"),17300.0)</f>
        <v>17300</v>
      </c>
      <c r="AG4808" s="7"/>
      <c r="AH4808" s="7"/>
      <c r="AI4808" s="7"/>
      <c r="AJ4808" s="7"/>
      <c r="AK4808" s="7"/>
      <c r="AL4808" s="7"/>
      <c r="AM4808" s="7"/>
      <c r="AN4808" s="7"/>
      <c r="AO4808" s="7"/>
      <c r="AP4808" s="7"/>
      <c r="AQ4808" s="7"/>
      <c r="AR4808" s="7"/>
      <c r="AS4808" s="7" t="s">
        <v>103</v>
      </c>
    </row>
    <row r="4809">
      <c r="A4809" s="7" t="s">
        <v>171</v>
      </c>
      <c r="B4809" s="7" t="s">
        <v>92</v>
      </c>
      <c r="C4809" s="7">
        <f>4+1</f>
        <v>5</v>
      </c>
      <c r="D4809" s="7">
        <v>2.0</v>
      </c>
      <c r="E4809" s="7">
        <v>2.0</v>
      </c>
      <c r="F4809" s="7" t="s">
        <v>83</v>
      </c>
      <c r="G4809" s="7" t="s">
        <v>173</v>
      </c>
      <c r="H4809" s="9" t="s">
        <v>2979</v>
      </c>
      <c r="I4809" t="s">
        <v>3038</v>
      </c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  <c r="AA4809" s="7"/>
      <c r="AB4809" s="7"/>
      <c r="AC4809" s="7"/>
      <c r="AD4809" s="7" t="str">
        <f t="shared" si="1"/>
        <v>Built-up :</v>
      </c>
      <c r="AE4809" s="7" t="str">
        <f t="shared" si="2"/>
        <v> sq. ft.</v>
      </c>
      <c r="AF4809">
        <f>IFERROR(__xludf.DUMMYFUNCTION("VALUE(REGEXREPLACE(G4809,""[^[:digit:]]"", """"))"),1550.0)</f>
        <v>1550</v>
      </c>
      <c r="AG4809" s="7"/>
      <c r="AH4809" s="7"/>
      <c r="AI4809" s="7"/>
      <c r="AJ4809" s="7"/>
      <c r="AK4809" s="7"/>
      <c r="AL4809" s="7"/>
      <c r="AM4809" s="7"/>
      <c r="AN4809" s="7"/>
      <c r="AO4809" s="7"/>
      <c r="AP4809" s="7"/>
      <c r="AQ4809" s="7"/>
      <c r="AR4809" s="7"/>
      <c r="AS4809" s="7" t="s">
        <v>27</v>
      </c>
    </row>
    <row r="4810">
      <c r="A4810" s="7" t="s">
        <v>177</v>
      </c>
      <c r="B4810" s="7" t="s">
        <v>2451</v>
      </c>
      <c r="C4810" s="7">
        <f>5+2</f>
        <v>7</v>
      </c>
      <c r="D4810" s="7">
        <v>6.0</v>
      </c>
      <c r="E4810" s="9">
        <v>2.0</v>
      </c>
      <c r="F4810" s="7" t="s">
        <v>25</v>
      </c>
      <c r="G4810" s="7" t="s">
        <v>2905</v>
      </c>
      <c r="H4810" s="9" t="s">
        <v>2981</v>
      </c>
      <c r="I4810" t="s">
        <v>4605</v>
      </c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  <c r="AA4810" s="7"/>
      <c r="AB4810" s="7"/>
      <c r="AC4810" s="7"/>
      <c r="AD4810" s="7" t="str">
        <f t="shared" si="1"/>
        <v>Land area </v>
      </c>
      <c r="AE4810" s="7" t="str">
        <f t="shared" si="2"/>
        <v> sq. ft.</v>
      </c>
      <c r="AF4810">
        <f>IFERROR(__xludf.DUMMYFUNCTION("VALUE(REGEXREPLACE(G4810,""[^[:digit:]]"", """"))"),6650.0)</f>
        <v>6650</v>
      </c>
      <c r="AG4810" s="7"/>
      <c r="AH4810" s="7"/>
      <c r="AI4810" s="7"/>
      <c r="AJ4810" s="7"/>
      <c r="AK4810" s="7"/>
      <c r="AL4810" s="7"/>
      <c r="AM4810" s="7"/>
      <c r="AN4810" s="7"/>
      <c r="AO4810" s="7"/>
      <c r="AP4810" s="7"/>
      <c r="AQ4810" s="7"/>
      <c r="AR4810" s="7"/>
      <c r="AS4810" s="7" t="s">
        <v>27</v>
      </c>
    </row>
    <row r="4811">
      <c r="A4811" s="7" t="s">
        <v>33</v>
      </c>
      <c r="B4811" s="7" t="s">
        <v>635</v>
      </c>
      <c r="C4811" s="7">
        <f t="shared" ref="C4811:C4813" si="680">3</f>
        <v>3</v>
      </c>
      <c r="D4811" s="7">
        <v>2.0</v>
      </c>
      <c r="E4811" s="7">
        <v>2.0</v>
      </c>
      <c r="F4811" s="7" t="s">
        <v>20</v>
      </c>
      <c r="G4811" s="7" t="s">
        <v>2906</v>
      </c>
      <c r="H4811" s="9" t="s">
        <v>2979</v>
      </c>
      <c r="I4811" t="s">
        <v>4606</v>
      </c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  <c r="AA4811" s="7"/>
      <c r="AB4811" s="7"/>
      <c r="AC4811" s="7"/>
      <c r="AD4811" s="7" t="str">
        <f t="shared" si="1"/>
        <v>Built-up :</v>
      </c>
      <c r="AE4811" s="7" t="str">
        <f t="shared" si="2"/>
        <v> sq. ft.</v>
      </c>
      <c r="AF4811">
        <f>IFERROR(__xludf.DUMMYFUNCTION("VALUE(REGEXREPLACE(G4811,""[^[:digit:]]"", """"))"),971.0)</f>
        <v>971</v>
      </c>
      <c r="AG4811" s="7"/>
      <c r="AH4811" s="7"/>
      <c r="AI4811" s="7"/>
      <c r="AJ4811" s="7"/>
      <c r="AK4811" s="7"/>
      <c r="AL4811" s="7"/>
      <c r="AM4811" s="7"/>
      <c r="AN4811" s="7"/>
      <c r="AO4811" s="7"/>
      <c r="AP4811" s="7"/>
      <c r="AQ4811" s="7"/>
      <c r="AR4811" s="7"/>
      <c r="AS4811" s="7" t="s">
        <v>103</v>
      </c>
    </row>
    <row r="4812">
      <c r="A4812" s="7" t="s">
        <v>143</v>
      </c>
      <c r="B4812" s="7" t="s">
        <v>1559</v>
      </c>
      <c r="C4812" s="7">
        <f t="shared" si="680"/>
        <v>3</v>
      </c>
      <c r="D4812" s="7">
        <v>2.0</v>
      </c>
      <c r="E4812" s="7">
        <v>2.0</v>
      </c>
      <c r="F4812" s="7" t="s">
        <v>83</v>
      </c>
      <c r="G4812" s="7" t="s">
        <v>505</v>
      </c>
      <c r="H4812" s="9" t="s">
        <v>2979</v>
      </c>
      <c r="I4812" t="s">
        <v>3199</v>
      </c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  <c r="AA4812" s="7"/>
      <c r="AB4812" s="7"/>
      <c r="AC4812" s="7"/>
      <c r="AD4812" s="7" t="str">
        <f t="shared" si="1"/>
        <v>Built-up :</v>
      </c>
      <c r="AE4812" s="7" t="str">
        <f t="shared" si="2"/>
        <v> sq. ft.</v>
      </c>
      <c r="AF4812">
        <f>IFERROR(__xludf.DUMMYFUNCTION("VALUE(REGEXREPLACE(G4812,""[^[:digit:]]"", """"))"),900.0)</f>
        <v>900</v>
      </c>
      <c r="AG4812" s="7"/>
      <c r="AH4812" s="7"/>
      <c r="AI4812" s="7"/>
      <c r="AJ4812" s="7"/>
      <c r="AK4812" s="7"/>
      <c r="AL4812" s="7"/>
      <c r="AM4812" s="7"/>
      <c r="AN4812" s="7"/>
      <c r="AO4812" s="7"/>
      <c r="AP4812" s="7"/>
      <c r="AQ4812" s="7"/>
      <c r="AR4812" s="7"/>
      <c r="AS4812" s="7" t="s">
        <v>27</v>
      </c>
    </row>
    <row r="4813">
      <c r="A4813" s="7" t="s">
        <v>48</v>
      </c>
      <c r="B4813" s="7" t="s">
        <v>2907</v>
      </c>
      <c r="C4813" s="7">
        <f t="shared" si="680"/>
        <v>3</v>
      </c>
      <c r="D4813" s="7">
        <v>2.0</v>
      </c>
      <c r="E4813" s="7">
        <v>1.0</v>
      </c>
      <c r="F4813" s="7" t="s">
        <v>93</v>
      </c>
      <c r="G4813" s="7" t="s">
        <v>324</v>
      </c>
      <c r="H4813" s="9" t="s">
        <v>2979</v>
      </c>
      <c r="I4813" t="s">
        <v>3109</v>
      </c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  <c r="AA4813" s="7"/>
      <c r="AB4813" s="7"/>
      <c r="AC4813" s="7"/>
      <c r="AD4813" s="7" t="str">
        <f t="shared" si="1"/>
        <v>Built-up :</v>
      </c>
      <c r="AE4813" s="7" t="str">
        <f t="shared" si="2"/>
        <v> sq. ft.</v>
      </c>
      <c r="AF4813">
        <f>IFERROR(__xludf.DUMMYFUNCTION("VALUE(REGEXREPLACE(G4813,""[^[:digit:]]"", """"))"),1090.0)</f>
        <v>1090</v>
      </c>
      <c r="AG4813" s="7"/>
      <c r="AH4813" s="7"/>
      <c r="AI4813" s="7"/>
      <c r="AJ4813" s="7"/>
      <c r="AK4813" s="7"/>
      <c r="AL4813" s="7"/>
      <c r="AM4813" s="7"/>
      <c r="AN4813" s="7"/>
      <c r="AO4813" s="7"/>
      <c r="AP4813" s="7"/>
      <c r="AQ4813" s="7"/>
      <c r="AR4813" s="7"/>
      <c r="AS4813" s="7" t="s">
        <v>22</v>
      </c>
    </row>
    <row r="4814">
      <c r="A4814" s="7" t="s">
        <v>709</v>
      </c>
      <c r="B4814" s="7" t="s">
        <v>563</v>
      </c>
      <c r="C4814" s="7">
        <f>1</f>
        <v>1</v>
      </c>
      <c r="D4814" s="7">
        <v>2.0</v>
      </c>
      <c r="E4814" s="7">
        <v>1.0</v>
      </c>
      <c r="F4814" s="7" t="s">
        <v>20</v>
      </c>
      <c r="G4814" s="7" t="s">
        <v>879</v>
      </c>
      <c r="H4814" s="9" t="s">
        <v>2979</v>
      </c>
      <c r="I4814" t="s">
        <v>3385</v>
      </c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  <c r="AA4814" s="7"/>
      <c r="AB4814" s="7"/>
      <c r="AC4814" s="7"/>
      <c r="AD4814" s="7" t="str">
        <f t="shared" si="1"/>
        <v>Built-up :</v>
      </c>
      <c r="AE4814" s="7" t="str">
        <f t="shared" si="2"/>
        <v> sq. ft.</v>
      </c>
      <c r="AF4814">
        <f>IFERROR(__xludf.DUMMYFUNCTION("VALUE(REGEXREPLACE(G4814,""[^[:digit:]]"", """"))"),873.0)</f>
        <v>873</v>
      </c>
      <c r="AG4814" s="7"/>
      <c r="AH4814" s="7"/>
      <c r="AI4814" s="7"/>
      <c r="AJ4814" s="7"/>
      <c r="AK4814" s="7"/>
      <c r="AL4814" s="7"/>
      <c r="AM4814" s="7"/>
      <c r="AN4814" s="7"/>
      <c r="AO4814" s="7"/>
      <c r="AP4814" s="7"/>
      <c r="AQ4814" s="7"/>
      <c r="AR4814" s="7"/>
      <c r="AS4814" s="7" t="s">
        <v>22</v>
      </c>
    </row>
    <row r="4815">
      <c r="A4815" s="7" t="s">
        <v>89</v>
      </c>
      <c r="B4815" s="7" t="s">
        <v>353</v>
      </c>
      <c r="C4815" s="7">
        <f>3</f>
        <v>3</v>
      </c>
      <c r="D4815" s="7">
        <v>2.0</v>
      </c>
      <c r="E4815" s="7">
        <v>2.0</v>
      </c>
      <c r="F4815" s="7" t="s">
        <v>20</v>
      </c>
      <c r="G4815" s="7" t="s">
        <v>392</v>
      </c>
      <c r="H4815" s="9" t="s">
        <v>2979</v>
      </c>
      <c r="I4815" t="s">
        <v>3141</v>
      </c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  <c r="AA4815" s="7"/>
      <c r="AB4815" s="7"/>
      <c r="AC4815" s="7"/>
      <c r="AD4815" s="7" t="str">
        <f t="shared" si="1"/>
        <v>Built-up :</v>
      </c>
      <c r="AE4815" s="7" t="str">
        <f t="shared" si="2"/>
        <v> sq. ft.</v>
      </c>
      <c r="AF4815">
        <f>IFERROR(__xludf.DUMMYFUNCTION("VALUE(REGEXREPLACE(G4815,""[^[:digit:]]"", """"))"),850.0)</f>
        <v>850</v>
      </c>
      <c r="AG4815" s="7"/>
      <c r="AH4815" s="7"/>
      <c r="AI4815" s="7"/>
      <c r="AJ4815" s="7"/>
      <c r="AK4815" s="7"/>
      <c r="AL4815" s="7"/>
      <c r="AM4815" s="7"/>
      <c r="AN4815" s="7"/>
      <c r="AO4815" s="7"/>
      <c r="AP4815" s="7"/>
      <c r="AQ4815" s="7"/>
      <c r="AR4815" s="7"/>
    </row>
    <row r="4816">
      <c r="A4816" s="7" t="s">
        <v>709</v>
      </c>
      <c r="B4816" s="7" t="s">
        <v>936</v>
      </c>
      <c r="C4816" s="7">
        <f>3+1</f>
        <v>4</v>
      </c>
      <c r="D4816" s="7">
        <v>2.0</v>
      </c>
      <c r="E4816" s="9">
        <v>2.0</v>
      </c>
      <c r="F4816" s="7" t="s">
        <v>93</v>
      </c>
      <c r="G4816" s="7" t="s">
        <v>2603</v>
      </c>
      <c r="H4816" s="9" t="s">
        <v>2979</v>
      </c>
      <c r="I4816" t="s">
        <v>4424</v>
      </c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  <c r="AA4816" s="7"/>
      <c r="AB4816" s="7"/>
      <c r="AC4816" s="7"/>
      <c r="AD4816" s="7" t="str">
        <f t="shared" si="1"/>
        <v>Built-up :</v>
      </c>
      <c r="AE4816" s="7" t="str">
        <f t="shared" si="2"/>
        <v> sq. ft.</v>
      </c>
      <c r="AF4816">
        <f>IFERROR(__xludf.DUMMYFUNCTION("VALUE(REGEXREPLACE(G4816,""[^[:digit:]]"", """"))"),1390.0)</f>
        <v>1390</v>
      </c>
      <c r="AG4816" s="7"/>
      <c r="AH4816" s="7"/>
      <c r="AI4816" s="7"/>
      <c r="AJ4816" s="7"/>
      <c r="AK4816" s="7"/>
      <c r="AL4816" s="7"/>
      <c r="AM4816" s="7"/>
      <c r="AN4816" s="7"/>
      <c r="AO4816" s="7"/>
      <c r="AP4816" s="7"/>
      <c r="AQ4816" s="7"/>
      <c r="AR4816" s="7"/>
      <c r="AS4816" s="7" t="s">
        <v>103</v>
      </c>
    </row>
    <row r="4817">
      <c r="A4817" s="7" t="s">
        <v>515</v>
      </c>
      <c r="B4817" s="7" t="s">
        <v>399</v>
      </c>
      <c r="C4817" s="7">
        <f>7+1</f>
        <v>8</v>
      </c>
      <c r="D4817" s="7">
        <v>7.0</v>
      </c>
      <c r="E4817" s="7">
        <v>5.0</v>
      </c>
      <c r="F4817" s="7" t="s">
        <v>184</v>
      </c>
      <c r="G4817" s="7" t="s">
        <v>498</v>
      </c>
      <c r="H4817" s="9" t="s">
        <v>2979</v>
      </c>
      <c r="I4817" t="s">
        <v>3196</v>
      </c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  <c r="AA4817" s="7"/>
      <c r="AB4817" s="7"/>
      <c r="AC4817" s="7"/>
      <c r="AD4817" s="7" t="str">
        <f t="shared" si="1"/>
        <v>Built-up :</v>
      </c>
      <c r="AE4817" s="7" t="str">
        <f t="shared" si="2"/>
        <v> sq. ft.</v>
      </c>
      <c r="AF4817">
        <f>IFERROR(__xludf.DUMMYFUNCTION("VALUE(REGEXREPLACE(G4817,""[^[:digit:]]"", """"))"),4000.0)</f>
        <v>4000</v>
      </c>
      <c r="AG4817" s="7"/>
      <c r="AH4817" s="7"/>
      <c r="AI4817" s="7"/>
      <c r="AJ4817" s="7"/>
      <c r="AK4817" s="7"/>
      <c r="AL4817" s="7"/>
      <c r="AM4817" s="7"/>
      <c r="AN4817" s="7"/>
      <c r="AO4817" s="7"/>
      <c r="AP4817" s="7"/>
      <c r="AQ4817" s="7"/>
      <c r="AR4817" s="7"/>
      <c r="AS4817" s="7" t="s">
        <v>22</v>
      </c>
    </row>
    <row r="4818">
      <c r="A4818" s="7" t="s">
        <v>267</v>
      </c>
      <c r="B4818" s="7" t="s">
        <v>353</v>
      </c>
      <c r="C4818" s="7">
        <f t="shared" ref="C4818:C4822" si="681">3</f>
        <v>3</v>
      </c>
      <c r="D4818" s="7">
        <v>2.0</v>
      </c>
      <c r="E4818" s="7">
        <v>1.0</v>
      </c>
      <c r="F4818" s="7" t="s">
        <v>354</v>
      </c>
      <c r="G4818" s="7" t="s">
        <v>1478</v>
      </c>
      <c r="H4818" s="9" t="s">
        <v>2979</v>
      </c>
      <c r="I4818" t="s">
        <v>3732</v>
      </c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  <c r="AA4818" s="7"/>
      <c r="AB4818" s="7"/>
      <c r="AC4818" s="7"/>
      <c r="AD4818" s="7" t="str">
        <f t="shared" si="1"/>
        <v>Built-up :</v>
      </c>
      <c r="AE4818" s="7" t="str">
        <f t="shared" si="2"/>
        <v> sq. ft.</v>
      </c>
      <c r="AF4818">
        <f>IFERROR(__xludf.DUMMYFUNCTION("VALUE(REGEXREPLACE(G4818,""[^[:digit:]]"", """"))"),830.0)</f>
        <v>830</v>
      </c>
      <c r="AG4818" s="7"/>
      <c r="AH4818" s="7"/>
      <c r="AI4818" s="7"/>
      <c r="AJ4818" s="7"/>
      <c r="AK4818" s="7"/>
      <c r="AL4818" s="7"/>
      <c r="AM4818" s="7"/>
      <c r="AN4818" s="7"/>
      <c r="AO4818" s="7"/>
      <c r="AP4818" s="7"/>
      <c r="AQ4818" s="7"/>
      <c r="AR4818" s="7"/>
      <c r="AS4818" s="7" t="s">
        <v>22</v>
      </c>
    </row>
    <row r="4819">
      <c r="A4819" s="7" t="s">
        <v>89</v>
      </c>
      <c r="B4819" s="7" t="s">
        <v>2908</v>
      </c>
      <c r="C4819" s="7">
        <f t="shared" si="681"/>
        <v>3</v>
      </c>
      <c r="D4819" s="7">
        <v>2.0</v>
      </c>
      <c r="E4819" s="7">
        <v>2.0</v>
      </c>
      <c r="F4819" s="7" t="s">
        <v>83</v>
      </c>
      <c r="G4819" s="7" t="s">
        <v>1391</v>
      </c>
      <c r="H4819" s="9" t="s">
        <v>2979</v>
      </c>
      <c r="I4819" t="s">
        <v>3685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  <c r="AA4819" s="7"/>
      <c r="AB4819" s="7"/>
      <c r="AC4819" s="7"/>
      <c r="AD4819" s="7" t="str">
        <f t="shared" si="1"/>
        <v>Built-up :</v>
      </c>
      <c r="AE4819" s="7" t="str">
        <f t="shared" si="2"/>
        <v> sq. ft.</v>
      </c>
      <c r="AF4819">
        <f>IFERROR(__xludf.DUMMYFUNCTION("VALUE(REGEXREPLACE(G4819,""[^[:digit:]]"", """"))"),1080.0)</f>
        <v>1080</v>
      </c>
      <c r="AG4819" s="7"/>
      <c r="AH4819" s="7"/>
      <c r="AI4819" s="7"/>
      <c r="AJ4819" s="7"/>
      <c r="AK4819" s="7"/>
      <c r="AL4819" s="7"/>
      <c r="AM4819" s="7"/>
      <c r="AN4819" s="7"/>
      <c r="AO4819" s="7"/>
      <c r="AP4819" s="7"/>
      <c r="AQ4819" s="7"/>
      <c r="AR4819" s="7"/>
      <c r="AS4819" s="7" t="s">
        <v>27</v>
      </c>
    </row>
    <row r="4820">
      <c r="A4820" s="7" t="s">
        <v>100</v>
      </c>
      <c r="B4820" s="7" t="s">
        <v>1328</v>
      </c>
      <c r="C4820" s="7">
        <f t="shared" si="681"/>
        <v>3</v>
      </c>
      <c r="D4820" s="7">
        <v>2.0</v>
      </c>
      <c r="E4820" s="9">
        <v>2.0</v>
      </c>
      <c r="F4820" s="7" t="s">
        <v>20</v>
      </c>
      <c r="H4820" s="9" t="s">
        <v>2984</v>
      </c>
      <c r="I4820" t="s">
        <v>2985</v>
      </c>
      <c r="AD4820" s="7" t="str">
        <f t="shared" si="1"/>
        <v/>
      </c>
      <c r="AE4820" s="7" t="str">
        <f t="shared" si="2"/>
        <v/>
      </c>
      <c r="AF4820">
        <f>IFERROR(__xludf.DUMMYFUNCTION("VALUE(REGEXREPLACE(G4820,""[^[:digit:]]"", """"))"),0.0)</f>
        <v>0</v>
      </c>
    </row>
    <row r="4821">
      <c r="A4821" s="7" t="s">
        <v>32</v>
      </c>
      <c r="B4821" s="7" t="s">
        <v>715</v>
      </c>
      <c r="C4821" s="7">
        <f t="shared" si="681"/>
        <v>3</v>
      </c>
      <c r="D4821" s="7">
        <v>2.0</v>
      </c>
      <c r="E4821" s="7">
        <v>1.0</v>
      </c>
      <c r="F4821" s="7" t="s">
        <v>121</v>
      </c>
      <c r="G4821" s="7" t="s">
        <v>1918</v>
      </c>
      <c r="H4821" s="9" t="s">
        <v>2979</v>
      </c>
      <c r="I4821" t="s">
        <v>3998</v>
      </c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  <c r="AA4821" s="7"/>
      <c r="AB4821" s="7"/>
      <c r="AC4821" s="7"/>
      <c r="AD4821" s="7" t="str">
        <f t="shared" si="1"/>
        <v>Built-up :</v>
      </c>
      <c r="AE4821" s="7" t="str">
        <f t="shared" si="2"/>
        <v> sq. ft.</v>
      </c>
      <c r="AF4821">
        <f>IFERROR(__xludf.DUMMYFUNCTION("VALUE(REGEXREPLACE(G4821,""[^[:digit:]]"", """"))"),1129.0)</f>
        <v>1129</v>
      </c>
      <c r="AG4821" s="7"/>
      <c r="AH4821" s="7"/>
      <c r="AI4821" s="7"/>
      <c r="AJ4821" s="7"/>
      <c r="AK4821" s="7"/>
      <c r="AL4821" s="7"/>
      <c r="AM4821" s="7"/>
      <c r="AN4821" s="7"/>
      <c r="AO4821" s="7"/>
      <c r="AP4821" s="7"/>
      <c r="AQ4821" s="7"/>
      <c r="AR4821" s="7"/>
      <c r="AS4821" s="7" t="s">
        <v>22</v>
      </c>
    </row>
    <row r="4822">
      <c r="A4822" s="7" t="s">
        <v>100</v>
      </c>
      <c r="B4822" s="7" t="s">
        <v>268</v>
      </c>
      <c r="C4822" s="7">
        <f t="shared" si="681"/>
        <v>3</v>
      </c>
      <c r="D4822" s="7">
        <v>3.0</v>
      </c>
      <c r="E4822" s="7">
        <v>3.0</v>
      </c>
      <c r="F4822" s="7" t="s">
        <v>83</v>
      </c>
      <c r="G4822" s="7" t="s">
        <v>1688</v>
      </c>
      <c r="H4822" s="9" t="s">
        <v>2979</v>
      </c>
      <c r="I4822" t="s">
        <v>3858</v>
      </c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  <c r="AA4822" s="7"/>
      <c r="AB4822" s="7"/>
      <c r="AC4822" s="7"/>
      <c r="AD4822" s="7" t="str">
        <f t="shared" si="1"/>
        <v>Built-up :</v>
      </c>
      <c r="AE4822" s="7" t="str">
        <f t="shared" si="2"/>
        <v> sq. ft.</v>
      </c>
      <c r="AF4822">
        <f>IFERROR(__xludf.DUMMYFUNCTION("VALUE(REGEXREPLACE(G4822,""[^[:digit:]]"", """"))"),1250.0)</f>
        <v>1250</v>
      </c>
      <c r="AG4822" s="7"/>
      <c r="AH4822" s="7"/>
      <c r="AI4822" s="7"/>
      <c r="AJ4822" s="7"/>
      <c r="AK4822" s="7"/>
      <c r="AL4822" s="7"/>
      <c r="AM4822" s="7"/>
      <c r="AN4822" s="7"/>
      <c r="AO4822" s="7"/>
      <c r="AP4822" s="7"/>
      <c r="AQ4822" s="7"/>
      <c r="AR4822" s="7"/>
    </row>
    <row r="4823">
      <c r="A4823" s="7" t="s">
        <v>177</v>
      </c>
      <c r="B4823" s="7" t="s">
        <v>81</v>
      </c>
      <c r="C4823" s="7">
        <f>3+1</f>
        <v>4</v>
      </c>
      <c r="D4823" s="7">
        <v>4.0</v>
      </c>
      <c r="E4823" s="9">
        <v>2.0</v>
      </c>
      <c r="F4823" s="7" t="s">
        <v>83</v>
      </c>
      <c r="G4823" s="7" t="s">
        <v>2909</v>
      </c>
      <c r="H4823" s="9" t="s">
        <v>2979</v>
      </c>
      <c r="I4823" t="s">
        <v>4607</v>
      </c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  <c r="AA4823" s="7"/>
      <c r="AB4823" s="7"/>
      <c r="AC4823" s="7"/>
      <c r="AD4823" s="7" t="str">
        <f t="shared" si="1"/>
        <v>Built-up :</v>
      </c>
      <c r="AE4823" s="7" t="str">
        <f t="shared" si="2"/>
        <v> sq. ft.</v>
      </c>
      <c r="AF4823">
        <f>IFERROR(__xludf.DUMMYFUNCTION("VALUE(REGEXREPLACE(G4823,""[^[:digit:]]"", """"))"),1869.0)</f>
        <v>1869</v>
      </c>
      <c r="AG4823" s="7"/>
      <c r="AH4823" s="7"/>
      <c r="AI4823" s="7"/>
      <c r="AJ4823" s="7"/>
      <c r="AK4823" s="7"/>
      <c r="AL4823" s="7"/>
      <c r="AM4823" s="7"/>
      <c r="AN4823" s="7"/>
      <c r="AO4823" s="7"/>
      <c r="AP4823" s="7"/>
      <c r="AQ4823" s="7"/>
      <c r="AR4823" s="7"/>
      <c r="AS4823" s="7" t="s">
        <v>22</v>
      </c>
    </row>
    <row r="4824">
      <c r="A4824" s="7" t="s">
        <v>177</v>
      </c>
      <c r="B4824" s="7" t="s">
        <v>85</v>
      </c>
      <c r="C4824" s="7">
        <f>2</f>
        <v>2</v>
      </c>
      <c r="D4824" s="7">
        <v>2.0</v>
      </c>
      <c r="E4824" s="7">
        <v>1.0</v>
      </c>
      <c r="F4824" s="7" t="s">
        <v>30</v>
      </c>
      <c r="G4824" s="7" t="s">
        <v>2910</v>
      </c>
      <c r="H4824" s="9" t="s">
        <v>2979</v>
      </c>
      <c r="I4824" t="s">
        <v>4608</v>
      </c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  <c r="AA4824" s="7"/>
      <c r="AB4824" s="7"/>
      <c r="AC4824" s="7"/>
      <c r="AD4824" s="7" t="str">
        <f t="shared" si="1"/>
        <v>Built-up :</v>
      </c>
      <c r="AE4824" s="7" t="str">
        <f t="shared" si="2"/>
        <v> sq. ft.</v>
      </c>
      <c r="AF4824">
        <f>IFERROR(__xludf.DUMMYFUNCTION("VALUE(REGEXREPLACE(G4824,""[^[:digit:]]"", """"))"),1704.0)</f>
        <v>1704</v>
      </c>
      <c r="AG4824" s="7"/>
      <c r="AH4824" s="7"/>
      <c r="AI4824" s="7"/>
      <c r="AJ4824" s="7"/>
      <c r="AK4824" s="7"/>
      <c r="AL4824" s="7"/>
      <c r="AM4824" s="7"/>
      <c r="AN4824" s="7"/>
      <c r="AO4824" s="7"/>
      <c r="AP4824" s="7"/>
      <c r="AQ4824" s="7"/>
      <c r="AR4824" s="7"/>
      <c r="AS4824" s="7" t="s">
        <v>22</v>
      </c>
    </row>
    <row r="4825">
      <c r="A4825" s="7" t="s">
        <v>177</v>
      </c>
      <c r="B4825" s="7" t="s">
        <v>78</v>
      </c>
      <c r="C4825" s="7">
        <f>3</f>
        <v>3</v>
      </c>
      <c r="D4825" s="7">
        <v>2.0</v>
      </c>
      <c r="E4825" s="9">
        <v>2.0</v>
      </c>
      <c r="F4825" s="7" t="s">
        <v>93</v>
      </c>
      <c r="G4825" s="7" t="s">
        <v>2911</v>
      </c>
      <c r="H4825" s="9" t="s">
        <v>2979</v>
      </c>
      <c r="I4825" t="s">
        <v>4609</v>
      </c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  <c r="AA4825" s="7"/>
      <c r="AB4825" s="7"/>
      <c r="AC4825" s="7"/>
      <c r="AD4825" s="7" t="str">
        <f t="shared" si="1"/>
        <v>Built-up :</v>
      </c>
      <c r="AE4825" s="7" t="str">
        <f t="shared" si="2"/>
        <v> sq. ft.</v>
      </c>
      <c r="AF4825">
        <f>IFERROR(__xludf.DUMMYFUNCTION("VALUE(REGEXREPLACE(G4825,""[^[:digit:]]"", """"))"),1511.0)</f>
        <v>1511</v>
      </c>
      <c r="AG4825" s="7"/>
      <c r="AH4825" s="7"/>
      <c r="AI4825" s="7"/>
      <c r="AJ4825" s="7"/>
      <c r="AK4825" s="7"/>
      <c r="AL4825" s="7"/>
      <c r="AM4825" s="7"/>
      <c r="AN4825" s="7"/>
      <c r="AO4825" s="7"/>
      <c r="AP4825" s="7"/>
      <c r="AQ4825" s="7"/>
      <c r="AR4825" s="7"/>
      <c r="AS4825" s="7" t="s">
        <v>22</v>
      </c>
    </row>
    <row r="4826">
      <c r="A4826" s="7" t="s">
        <v>177</v>
      </c>
      <c r="B4826" s="7" t="s">
        <v>165</v>
      </c>
      <c r="C4826" s="7">
        <f>4</f>
        <v>4</v>
      </c>
      <c r="D4826" s="7">
        <v>4.0</v>
      </c>
      <c r="E4826" s="7">
        <v>2.0</v>
      </c>
      <c r="F4826" s="7" t="s">
        <v>184</v>
      </c>
      <c r="G4826" s="7" t="s">
        <v>2912</v>
      </c>
      <c r="H4826" s="9" t="s">
        <v>2981</v>
      </c>
      <c r="I4826" t="s">
        <v>4610</v>
      </c>
      <c r="J4826" s="7"/>
      <c r="K4826" s="7"/>
      <c r="L4826" s="7"/>
      <c r="M4826" s="7"/>
      <c r="N4826" s="7"/>
      <c r="O4826" s="7"/>
      <c r="P4826" s="7"/>
      <c r="Q4826" s="7"/>
      <c r="R4826" s="7"/>
      <c r="S4826" s="7" t="s">
        <v>3101</v>
      </c>
      <c r="T4826" s="7"/>
      <c r="U4826" s="7"/>
      <c r="V4826" s="7"/>
      <c r="W4826" s="7"/>
      <c r="X4826" s="7"/>
      <c r="Y4826" s="7"/>
      <c r="Z4826" s="7"/>
      <c r="AA4826" s="7"/>
      <c r="AB4826" s="7"/>
      <c r="AC4826" s="7"/>
      <c r="AD4826" s="7" t="str">
        <f t="shared" si="1"/>
        <v>Land area </v>
      </c>
      <c r="AE4826" s="7" t="str">
        <f t="shared" si="2"/>
        <v> sq. ft.</v>
      </c>
      <c r="AF4826">
        <f>IFERROR(__xludf.DUMMYFUNCTION("VALUE(REGEXREPLACE(G4826,""[^[:digit:]]"", """"))"),4585.0)</f>
        <v>4585</v>
      </c>
      <c r="AG4826" s="7"/>
      <c r="AH4826" s="7"/>
      <c r="AI4826" s="7"/>
      <c r="AJ4826" s="7"/>
      <c r="AK4826" s="7"/>
      <c r="AL4826" s="7"/>
      <c r="AM4826" s="7"/>
      <c r="AN4826" s="7"/>
      <c r="AO4826" s="7"/>
      <c r="AP4826" s="7"/>
      <c r="AQ4826" s="7"/>
      <c r="AR4826" s="7"/>
    </row>
    <row r="4827">
      <c r="A4827" s="7" t="s">
        <v>177</v>
      </c>
      <c r="B4827" s="7" t="s">
        <v>156</v>
      </c>
      <c r="C4827" s="7">
        <f>2</f>
        <v>2</v>
      </c>
      <c r="D4827" s="7">
        <v>1.0</v>
      </c>
      <c r="E4827" s="7">
        <v>1.0</v>
      </c>
      <c r="F4827" s="7" t="s">
        <v>20</v>
      </c>
      <c r="G4827" s="7" t="s">
        <v>747</v>
      </c>
      <c r="H4827" s="9" t="s">
        <v>2979</v>
      </c>
      <c r="I4827" t="s">
        <v>3318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  <c r="AA4827" s="7"/>
      <c r="AB4827" s="7"/>
      <c r="AC4827" s="7"/>
      <c r="AD4827" s="7" t="str">
        <f t="shared" si="1"/>
        <v>Built-up :</v>
      </c>
      <c r="AE4827" s="7" t="str">
        <f t="shared" si="2"/>
        <v> sq. ft.</v>
      </c>
      <c r="AF4827">
        <f>IFERROR(__xludf.DUMMYFUNCTION("VALUE(REGEXREPLACE(G4827,""[^[:digit:]]"", """"))"),1000.0)</f>
        <v>1000</v>
      </c>
      <c r="AG4827" s="7"/>
      <c r="AH4827" s="7"/>
      <c r="AI4827" s="7"/>
      <c r="AJ4827" s="7"/>
      <c r="AK4827" s="7"/>
      <c r="AL4827" s="7"/>
      <c r="AM4827" s="7"/>
      <c r="AN4827" s="7"/>
      <c r="AO4827" s="7"/>
      <c r="AP4827" s="7"/>
      <c r="AQ4827" s="7"/>
      <c r="AR4827" s="7"/>
      <c r="AS4827" s="7" t="s">
        <v>22</v>
      </c>
    </row>
    <row r="4828">
      <c r="A4828" s="7" t="s">
        <v>267</v>
      </c>
      <c r="B4828" s="7" t="s">
        <v>130</v>
      </c>
      <c r="C4828" s="7">
        <f>4+1</f>
        <v>5</v>
      </c>
      <c r="D4828" s="7">
        <v>6.0</v>
      </c>
      <c r="E4828" s="9">
        <v>2.0</v>
      </c>
      <c r="F4828" s="7" t="s">
        <v>30</v>
      </c>
      <c r="G4828" s="7" t="s">
        <v>989</v>
      </c>
      <c r="H4828" s="9" t="s">
        <v>2979</v>
      </c>
      <c r="I4828" t="s">
        <v>3438</v>
      </c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  <c r="AA4828" s="7"/>
      <c r="AB4828" s="7"/>
      <c r="AC4828" s="7"/>
      <c r="AD4828" s="7" t="str">
        <f t="shared" si="1"/>
        <v>Built-up :</v>
      </c>
      <c r="AE4828" s="7" t="str">
        <f t="shared" si="2"/>
        <v> sq. ft.</v>
      </c>
      <c r="AF4828">
        <f>IFERROR(__xludf.DUMMYFUNCTION("VALUE(REGEXREPLACE(G4828,""[^[:digit:]]"", """"))"),3729.0)</f>
        <v>3729</v>
      </c>
      <c r="AG4828" s="7"/>
      <c r="AH4828" s="7"/>
      <c r="AI4828" s="7"/>
      <c r="AJ4828" s="7"/>
      <c r="AK4828" s="7"/>
      <c r="AL4828" s="7"/>
      <c r="AM4828" s="7"/>
      <c r="AN4828" s="7"/>
      <c r="AO4828" s="7"/>
      <c r="AP4828" s="7"/>
      <c r="AQ4828" s="7"/>
      <c r="AR4828" s="7"/>
      <c r="AS4828" s="7" t="s">
        <v>103</v>
      </c>
    </row>
    <row r="4829">
      <c r="A4829" s="7" t="s">
        <v>143</v>
      </c>
      <c r="B4829" s="7" t="s">
        <v>2913</v>
      </c>
      <c r="E4829" s="9">
        <v>2.0</v>
      </c>
      <c r="F4829" s="7" t="s">
        <v>667</v>
      </c>
      <c r="G4829" s="7" t="s">
        <v>780</v>
      </c>
      <c r="H4829" s="9" t="s">
        <v>2981</v>
      </c>
      <c r="I4829" t="s">
        <v>3335</v>
      </c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  <c r="AA4829" s="7"/>
      <c r="AB4829" s="7"/>
      <c r="AC4829" s="7"/>
      <c r="AD4829" s="7" t="str">
        <f t="shared" si="1"/>
        <v>Land area </v>
      </c>
      <c r="AE4829" s="7" t="str">
        <f t="shared" si="2"/>
        <v> sq. ft.</v>
      </c>
      <c r="AF4829">
        <f>IFERROR(__xludf.DUMMYFUNCTION("VALUE(REGEXREPLACE(G4829,""[^[:digit:]]"", """"))"),15000.0)</f>
        <v>15000</v>
      </c>
      <c r="AG4829" s="7"/>
      <c r="AH4829" s="7"/>
      <c r="AI4829" s="7"/>
      <c r="AJ4829" s="7"/>
      <c r="AK4829" s="7"/>
      <c r="AL4829" s="7"/>
      <c r="AM4829" s="7"/>
      <c r="AN4829" s="7"/>
      <c r="AO4829" s="7"/>
      <c r="AP4829" s="7"/>
      <c r="AQ4829" s="7"/>
      <c r="AR4829" s="7"/>
    </row>
    <row r="4830">
      <c r="A4830" s="7" t="s">
        <v>709</v>
      </c>
      <c r="B4830" s="7" t="s">
        <v>2914</v>
      </c>
      <c r="E4830" s="9">
        <v>2.0</v>
      </c>
      <c r="F4830" s="7" t="s">
        <v>667</v>
      </c>
      <c r="G4830" s="7" t="s">
        <v>2915</v>
      </c>
      <c r="H4830" s="9" t="s">
        <v>2981</v>
      </c>
      <c r="I4830" t="s">
        <v>4611</v>
      </c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  <c r="AA4830" s="7"/>
      <c r="AB4830" s="7"/>
      <c r="AC4830" s="7"/>
      <c r="AD4830" s="7" t="str">
        <f t="shared" si="1"/>
        <v>Land area </v>
      </c>
      <c r="AE4830" s="7" t="str">
        <f t="shared" si="2"/>
        <v>68 acres</v>
      </c>
      <c r="AF4830">
        <f>IFERROR(__xludf.DUMMYFUNCTION("VALUE(REGEXREPLACE(G4830,""[^[:digit:]]"", """"))"),5668.0)</f>
        <v>5668</v>
      </c>
      <c r="AG4830" s="7"/>
      <c r="AH4830" s="7"/>
      <c r="AI4830" s="7"/>
      <c r="AJ4830" s="7"/>
      <c r="AK4830" s="7"/>
      <c r="AL4830" s="7"/>
      <c r="AM4830" s="7"/>
      <c r="AN4830" s="7"/>
      <c r="AO4830" s="7"/>
      <c r="AP4830" s="7"/>
      <c r="AQ4830" s="7"/>
      <c r="AR4830" s="7"/>
    </row>
    <row r="4831">
      <c r="A4831" s="7" t="s">
        <v>1158</v>
      </c>
      <c r="B4831" s="7" t="s">
        <v>2916</v>
      </c>
      <c r="E4831" s="9">
        <v>2.0</v>
      </c>
      <c r="F4831" s="7" t="s">
        <v>667</v>
      </c>
      <c r="G4831" s="7" t="s">
        <v>2917</v>
      </c>
      <c r="H4831" s="9" t="s">
        <v>2981</v>
      </c>
      <c r="I4831" t="s">
        <v>4612</v>
      </c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  <c r="AA4831" s="7"/>
      <c r="AB4831" s="7"/>
      <c r="AC4831" s="7"/>
      <c r="AD4831" s="7" t="str">
        <f t="shared" si="1"/>
        <v>Land area </v>
      </c>
      <c r="AE4831" s="7" t="str">
        <f t="shared" si="2"/>
        <v> sq. ft.</v>
      </c>
      <c r="AF4831">
        <f>IFERROR(__xludf.DUMMYFUNCTION("VALUE(REGEXREPLACE(G4831,""[^[:digit:]]"", """"))"),51885.0)</f>
        <v>51885</v>
      </c>
      <c r="AG4831" s="7"/>
      <c r="AH4831" s="7"/>
      <c r="AI4831" s="7"/>
      <c r="AJ4831" s="7"/>
      <c r="AK4831" s="7"/>
      <c r="AL4831" s="7"/>
      <c r="AM4831" s="7"/>
      <c r="AN4831" s="7"/>
      <c r="AO4831" s="7"/>
      <c r="AP4831" s="7"/>
      <c r="AQ4831" s="7"/>
      <c r="AR4831" s="7"/>
    </row>
    <row r="4832">
      <c r="A4832" s="7" t="s">
        <v>65</v>
      </c>
      <c r="B4832" s="7" t="s">
        <v>2918</v>
      </c>
      <c r="E4832" s="9">
        <v>2.0</v>
      </c>
      <c r="F4832" s="7" t="s">
        <v>1642</v>
      </c>
      <c r="G4832" s="7" t="s">
        <v>2919</v>
      </c>
      <c r="H4832" s="9" t="s">
        <v>2981</v>
      </c>
      <c r="I4832" t="s">
        <v>4613</v>
      </c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  <c r="AA4832" s="7"/>
      <c r="AB4832" s="7"/>
      <c r="AC4832" s="7"/>
      <c r="AD4832" s="7" t="str">
        <f t="shared" si="1"/>
        <v>Land area </v>
      </c>
      <c r="AE4832" s="7" t="str">
        <f t="shared" si="2"/>
        <v> sq. ft.</v>
      </c>
      <c r="AF4832">
        <f>IFERROR(__xludf.DUMMYFUNCTION("VALUE(REGEXREPLACE(G4832,""[^[:digit:]]"", """"))"),12191.0)</f>
        <v>12191</v>
      </c>
      <c r="AG4832" s="7"/>
      <c r="AH4832" s="7"/>
      <c r="AI4832" s="7"/>
      <c r="AJ4832" s="7"/>
      <c r="AK4832" s="7"/>
      <c r="AL4832" s="7"/>
      <c r="AM4832" s="7"/>
      <c r="AN4832" s="7"/>
      <c r="AO4832" s="7"/>
      <c r="AP4832" s="7"/>
      <c r="AQ4832" s="7"/>
      <c r="AR4832" s="7"/>
    </row>
    <row r="4833">
      <c r="A4833" s="7" t="s">
        <v>1014</v>
      </c>
      <c r="B4833" s="7" t="s">
        <v>42</v>
      </c>
      <c r="E4833" s="9">
        <v>2.0</v>
      </c>
      <c r="F4833" s="7" t="s">
        <v>1804</v>
      </c>
      <c r="G4833" s="7" t="s">
        <v>2920</v>
      </c>
      <c r="H4833" s="9" t="s">
        <v>2981</v>
      </c>
      <c r="I4833" t="s">
        <v>4614</v>
      </c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  <c r="AA4833" s="7"/>
      <c r="AB4833" s="7"/>
      <c r="AC4833" s="7"/>
      <c r="AD4833" s="7" t="str">
        <f t="shared" si="1"/>
        <v>Land area </v>
      </c>
      <c r="AE4833" s="7" t="str">
        <f t="shared" si="2"/>
        <v> sq. ft.</v>
      </c>
      <c r="AF4833">
        <f>IFERROR(__xludf.DUMMYFUNCTION("VALUE(REGEXREPLACE(G4833,""[^[:digit:]]"", """"))"),10796.0)</f>
        <v>10796</v>
      </c>
      <c r="AG4833" s="7"/>
      <c r="AH4833" s="7"/>
      <c r="AI4833" s="7"/>
      <c r="AJ4833" s="7"/>
      <c r="AK4833" s="7"/>
      <c r="AL4833" s="7"/>
      <c r="AM4833" s="7"/>
      <c r="AN4833" s="7"/>
      <c r="AO4833" s="7"/>
      <c r="AP4833" s="7"/>
      <c r="AQ4833" s="7"/>
      <c r="AR4833" s="7"/>
    </row>
    <row r="4834">
      <c r="A4834" s="7" t="s">
        <v>17</v>
      </c>
      <c r="B4834" s="7" t="s">
        <v>2921</v>
      </c>
      <c r="E4834" s="9">
        <v>2.0</v>
      </c>
      <c r="F4834" s="7" t="s">
        <v>1204</v>
      </c>
      <c r="G4834" s="7" t="s">
        <v>2922</v>
      </c>
      <c r="H4834" s="9" t="s">
        <v>2981</v>
      </c>
      <c r="I4834" t="s">
        <v>4615</v>
      </c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  <c r="AA4834" s="7"/>
      <c r="AB4834" s="7"/>
      <c r="AC4834" s="7"/>
      <c r="AD4834" s="7" t="str">
        <f t="shared" si="1"/>
        <v>Land area </v>
      </c>
      <c r="AE4834" s="7" t="str">
        <f t="shared" si="2"/>
        <v> sq. ft.</v>
      </c>
      <c r="AF4834">
        <f>IFERROR(__xludf.DUMMYFUNCTION("VALUE(REGEXREPLACE(G4834,""[^[:digit:]]"", """"))"),12723.0)</f>
        <v>12723</v>
      </c>
      <c r="AG4834" s="7"/>
      <c r="AH4834" s="7"/>
      <c r="AI4834" s="7"/>
      <c r="AJ4834" s="7"/>
      <c r="AK4834" s="7"/>
      <c r="AL4834" s="7"/>
      <c r="AM4834" s="7"/>
      <c r="AN4834" s="7"/>
      <c r="AO4834" s="7"/>
      <c r="AP4834" s="7"/>
      <c r="AQ4834" s="7"/>
      <c r="AR4834" s="7"/>
      <c r="AS4834" s="7" t="s">
        <v>103</v>
      </c>
    </row>
    <row r="4835">
      <c r="A4835" s="7" t="s">
        <v>100</v>
      </c>
      <c r="B4835" s="7" t="s">
        <v>893</v>
      </c>
      <c r="E4835" s="9">
        <v>2.0</v>
      </c>
      <c r="F4835" s="7" t="s">
        <v>2689</v>
      </c>
      <c r="G4835" s="7" t="s">
        <v>2923</v>
      </c>
      <c r="H4835" s="9" t="s">
        <v>2981</v>
      </c>
      <c r="I4835" t="s">
        <v>4616</v>
      </c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  <c r="AA4835" s="7"/>
      <c r="AB4835" s="7"/>
      <c r="AC4835" s="7"/>
      <c r="AD4835" s="7" t="str">
        <f t="shared" si="1"/>
        <v>Land area </v>
      </c>
      <c r="AE4835" s="7" t="str">
        <f t="shared" si="2"/>
        <v> sq. ft.</v>
      </c>
      <c r="AF4835">
        <f>IFERROR(__xludf.DUMMYFUNCTION("VALUE(REGEXREPLACE(G4835,""[^[:digit:]]"", """"))"),17478.0)</f>
        <v>17478</v>
      </c>
      <c r="AG4835" s="7"/>
      <c r="AH4835" s="7"/>
      <c r="AI4835" s="7"/>
      <c r="AJ4835" s="7"/>
      <c r="AK4835" s="7"/>
      <c r="AL4835" s="7"/>
      <c r="AM4835" s="7"/>
      <c r="AN4835" s="7"/>
      <c r="AO4835" s="7"/>
      <c r="AP4835" s="7"/>
      <c r="AQ4835" s="7"/>
      <c r="AR4835" s="7"/>
      <c r="AS4835" s="7" t="s">
        <v>103</v>
      </c>
    </row>
    <row r="4836">
      <c r="A4836" s="7" t="s">
        <v>77</v>
      </c>
      <c r="B4836" s="7" t="s">
        <v>395</v>
      </c>
      <c r="E4836" s="9">
        <v>2.0</v>
      </c>
      <c r="F4836" s="7" t="s">
        <v>1453</v>
      </c>
      <c r="G4836" s="7" t="s">
        <v>1542</v>
      </c>
      <c r="H4836" s="9" t="s">
        <v>2981</v>
      </c>
      <c r="I4836" t="s">
        <v>3769</v>
      </c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  <c r="AA4836" s="7"/>
      <c r="AB4836" s="7"/>
      <c r="AC4836" s="7"/>
      <c r="AD4836" s="7" t="str">
        <f t="shared" si="1"/>
        <v>Land area </v>
      </c>
      <c r="AE4836" s="7" t="str">
        <f t="shared" si="2"/>
        <v> sq. ft.</v>
      </c>
      <c r="AF4836">
        <f>IFERROR(__xludf.DUMMYFUNCTION("VALUE(REGEXREPLACE(G4836,""[^[:digit:]]"", """"))"),10689.0)</f>
        <v>10689</v>
      </c>
      <c r="AG4836" s="7"/>
      <c r="AH4836" s="7"/>
      <c r="AI4836" s="7"/>
      <c r="AJ4836" s="7"/>
      <c r="AK4836" s="7"/>
      <c r="AL4836" s="7"/>
      <c r="AM4836" s="7"/>
      <c r="AN4836" s="7"/>
      <c r="AO4836" s="7"/>
      <c r="AP4836" s="7"/>
      <c r="AQ4836" s="7"/>
      <c r="AR4836" s="7"/>
      <c r="AS4836" s="7" t="s">
        <v>103</v>
      </c>
    </row>
    <row r="4837">
      <c r="A4837" s="7" t="s">
        <v>100</v>
      </c>
      <c r="B4837" s="7" t="s">
        <v>409</v>
      </c>
      <c r="C4837" s="7">
        <f>3</f>
        <v>3</v>
      </c>
      <c r="D4837" s="7">
        <v>2.0</v>
      </c>
      <c r="E4837" s="7">
        <v>2.0</v>
      </c>
      <c r="F4837" s="7" t="s">
        <v>83</v>
      </c>
      <c r="G4837" s="7" t="s">
        <v>954</v>
      </c>
      <c r="H4837" s="9" t="s">
        <v>2979</v>
      </c>
      <c r="I4837" t="s">
        <v>3424</v>
      </c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  <c r="AA4837" s="7"/>
      <c r="AB4837" s="7"/>
      <c r="AC4837" s="7"/>
      <c r="AD4837" s="7" t="str">
        <f t="shared" si="1"/>
        <v>Built-up :</v>
      </c>
      <c r="AE4837" s="7" t="str">
        <f t="shared" si="2"/>
        <v> sq. ft.</v>
      </c>
      <c r="AF4837">
        <f>IFERROR(__xludf.DUMMYFUNCTION("VALUE(REGEXREPLACE(G4837,""[^[:digit:]]"", """"))"),935.0)</f>
        <v>935</v>
      </c>
      <c r="AG4837" s="7"/>
      <c r="AH4837" s="7"/>
      <c r="AI4837" s="7"/>
      <c r="AJ4837" s="7"/>
      <c r="AK4837" s="7"/>
      <c r="AL4837" s="7"/>
      <c r="AM4837" s="7"/>
      <c r="AN4837" s="7"/>
      <c r="AO4837" s="7"/>
      <c r="AP4837" s="7"/>
      <c r="AQ4837" s="7"/>
      <c r="AR4837" s="7"/>
      <c r="AS4837" s="7" t="s">
        <v>27</v>
      </c>
    </row>
    <row r="4838">
      <c r="A4838" s="7" t="s">
        <v>33</v>
      </c>
      <c r="B4838" s="7" t="s">
        <v>974</v>
      </c>
      <c r="C4838" s="7">
        <f>1+1</f>
        <v>2</v>
      </c>
      <c r="D4838" s="7">
        <v>1.0</v>
      </c>
      <c r="E4838" s="7">
        <v>1.0</v>
      </c>
      <c r="F4838" s="7" t="s">
        <v>20</v>
      </c>
      <c r="H4838" s="9" t="s">
        <v>2984</v>
      </c>
      <c r="I4838" t="s">
        <v>2985</v>
      </c>
      <c r="AD4838" s="7" t="str">
        <f t="shared" si="1"/>
        <v/>
      </c>
      <c r="AE4838" s="7" t="str">
        <f t="shared" si="2"/>
        <v/>
      </c>
      <c r="AF4838">
        <f>IFERROR(__xludf.DUMMYFUNCTION("VALUE(REGEXREPLACE(G4838,""[^[:digit:]]"", """"))"),0.0)</f>
        <v>0</v>
      </c>
      <c r="AS4838" s="7" t="s">
        <v>27</v>
      </c>
    </row>
    <row r="4839">
      <c r="A4839" s="7" t="s">
        <v>100</v>
      </c>
      <c r="B4839" s="7" t="s">
        <v>409</v>
      </c>
      <c r="C4839" s="7">
        <f>2</f>
        <v>2</v>
      </c>
      <c r="D4839" s="7">
        <v>2.0</v>
      </c>
      <c r="E4839" s="7">
        <v>2.0</v>
      </c>
      <c r="F4839" s="7" t="s">
        <v>83</v>
      </c>
      <c r="G4839" s="7" t="s">
        <v>954</v>
      </c>
      <c r="H4839" s="9" t="s">
        <v>2979</v>
      </c>
      <c r="I4839" t="s">
        <v>3424</v>
      </c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  <c r="AA4839" s="7"/>
      <c r="AB4839" s="7"/>
      <c r="AC4839" s="7"/>
      <c r="AD4839" s="7" t="str">
        <f t="shared" si="1"/>
        <v>Built-up :</v>
      </c>
      <c r="AE4839" s="7" t="str">
        <f t="shared" si="2"/>
        <v> sq. ft.</v>
      </c>
      <c r="AF4839">
        <f>IFERROR(__xludf.DUMMYFUNCTION("VALUE(REGEXREPLACE(G4839,""[^[:digit:]]"", """"))"),935.0)</f>
        <v>935</v>
      </c>
      <c r="AG4839" s="7"/>
      <c r="AH4839" s="7"/>
      <c r="AI4839" s="7"/>
      <c r="AJ4839" s="7"/>
      <c r="AK4839" s="7"/>
      <c r="AL4839" s="7"/>
      <c r="AM4839" s="7"/>
      <c r="AN4839" s="7"/>
      <c r="AO4839" s="7"/>
      <c r="AP4839" s="7"/>
      <c r="AQ4839" s="7"/>
      <c r="AR4839" s="7"/>
      <c r="AS4839" s="7" t="s">
        <v>27</v>
      </c>
    </row>
    <row r="4840">
      <c r="A4840" s="7" t="s">
        <v>100</v>
      </c>
      <c r="B4840" s="7" t="s">
        <v>1673</v>
      </c>
      <c r="C4840" s="7">
        <f>3</f>
        <v>3</v>
      </c>
      <c r="D4840" s="7">
        <v>2.0</v>
      </c>
      <c r="E4840" s="7">
        <v>1.0</v>
      </c>
      <c r="F4840" s="7" t="s">
        <v>82</v>
      </c>
      <c r="G4840" s="7" t="s">
        <v>491</v>
      </c>
      <c r="H4840" s="9" t="s">
        <v>2979</v>
      </c>
      <c r="I4840" t="s">
        <v>3190</v>
      </c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  <c r="AA4840" s="7"/>
      <c r="AB4840" s="7"/>
      <c r="AC4840" s="7"/>
      <c r="AD4840" s="7" t="str">
        <f t="shared" si="1"/>
        <v>Built-up :</v>
      </c>
      <c r="AE4840" s="7" t="str">
        <f t="shared" si="2"/>
        <v> sq. ft.</v>
      </c>
      <c r="AF4840">
        <f>IFERROR(__xludf.DUMMYFUNCTION("VALUE(REGEXREPLACE(G4840,""[^[:digit:]]"", """"))"),950.0)</f>
        <v>950</v>
      </c>
      <c r="AG4840" s="7"/>
      <c r="AH4840" s="7"/>
      <c r="AI4840" s="7"/>
      <c r="AJ4840" s="7"/>
      <c r="AK4840" s="7"/>
      <c r="AL4840" s="7"/>
      <c r="AM4840" s="7"/>
      <c r="AN4840" s="7"/>
      <c r="AO4840" s="7"/>
      <c r="AP4840" s="7"/>
      <c r="AQ4840" s="7"/>
      <c r="AR4840" s="7"/>
      <c r="AS4840" s="7" t="s">
        <v>27</v>
      </c>
    </row>
    <row r="4841">
      <c r="A4841" s="7" t="s">
        <v>104</v>
      </c>
      <c r="B4841" s="7" t="s">
        <v>229</v>
      </c>
      <c r="C4841" s="7">
        <f>5</f>
        <v>5</v>
      </c>
      <c r="D4841" s="7">
        <v>3.0</v>
      </c>
      <c r="E4841" s="7">
        <v>2.0</v>
      </c>
      <c r="F4841" s="7" t="s">
        <v>46</v>
      </c>
      <c r="G4841" s="7" t="s">
        <v>283</v>
      </c>
      <c r="H4841" s="9" t="s">
        <v>2981</v>
      </c>
      <c r="I4841" t="s">
        <v>3091</v>
      </c>
      <c r="J4841" s="7"/>
      <c r="K4841" s="7"/>
      <c r="L4841" s="7"/>
      <c r="M4841" s="7"/>
      <c r="N4841" s="7"/>
      <c r="O4841" s="7"/>
      <c r="P4841" s="7"/>
      <c r="Q4841" s="7"/>
      <c r="R4841" s="7"/>
      <c r="S4841" s="7" t="s">
        <v>2990</v>
      </c>
      <c r="T4841" s="7"/>
      <c r="U4841" s="7"/>
      <c r="V4841" s="7"/>
      <c r="W4841" s="7"/>
      <c r="X4841" s="7"/>
      <c r="Y4841" s="7"/>
      <c r="Z4841" s="7"/>
      <c r="AA4841" s="7"/>
      <c r="AB4841" s="7"/>
      <c r="AC4841" s="7"/>
      <c r="AD4841" s="7" t="str">
        <f t="shared" si="1"/>
        <v>Land area </v>
      </c>
      <c r="AE4841" s="7" t="str">
        <f t="shared" si="2"/>
        <v> sq. ft.</v>
      </c>
      <c r="AF4841">
        <f>IFERROR(__xludf.DUMMYFUNCTION("VALUE(REGEXREPLACE(G4841,""[^[:digit:]]"", """"))"),2275.0)</f>
        <v>2275</v>
      </c>
      <c r="AG4841" s="7"/>
      <c r="AH4841" s="7"/>
      <c r="AI4841" s="7"/>
      <c r="AJ4841" s="7"/>
      <c r="AK4841" s="7"/>
      <c r="AL4841" s="7"/>
      <c r="AM4841" s="7"/>
      <c r="AN4841" s="7"/>
      <c r="AO4841" s="7"/>
      <c r="AP4841" s="7"/>
      <c r="AQ4841" s="7"/>
      <c r="AR4841" s="7"/>
      <c r="AS4841" s="7" t="s">
        <v>27</v>
      </c>
    </row>
    <row r="4842">
      <c r="A4842" s="7" t="s">
        <v>709</v>
      </c>
      <c r="B4842" s="7" t="s">
        <v>2666</v>
      </c>
      <c r="C4842" s="7">
        <f>3</f>
        <v>3</v>
      </c>
      <c r="D4842" s="7">
        <v>2.0</v>
      </c>
      <c r="E4842" s="9">
        <v>2.0</v>
      </c>
      <c r="F4842" s="7" t="s">
        <v>83</v>
      </c>
      <c r="G4842" s="7" t="s">
        <v>242</v>
      </c>
      <c r="H4842" s="9" t="s">
        <v>2979</v>
      </c>
      <c r="I4842" t="s">
        <v>3072</v>
      </c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  <c r="AA4842" s="7"/>
      <c r="AB4842" s="7"/>
      <c r="AC4842" s="7"/>
      <c r="AD4842" s="7" t="str">
        <f t="shared" si="1"/>
        <v>Built-up :</v>
      </c>
      <c r="AE4842" s="7" t="str">
        <f t="shared" si="2"/>
        <v> sq. ft.</v>
      </c>
      <c r="AF4842">
        <f>IFERROR(__xludf.DUMMYFUNCTION("VALUE(REGEXREPLACE(G4842,""[^[:digit:]]"", """"))"),650.0)</f>
        <v>650</v>
      </c>
      <c r="AG4842" s="7"/>
      <c r="AH4842" s="7"/>
      <c r="AI4842" s="7"/>
      <c r="AJ4842" s="7"/>
      <c r="AK4842" s="7"/>
      <c r="AL4842" s="7"/>
      <c r="AM4842" s="7"/>
      <c r="AN4842" s="7"/>
      <c r="AO4842" s="7"/>
      <c r="AP4842" s="7"/>
      <c r="AQ4842" s="7"/>
      <c r="AR4842" s="7"/>
      <c r="AS4842" s="7" t="s">
        <v>27</v>
      </c>
    </row>
    <row r="4843">
      <c r="A4843" s="7" t="s">
        <v>32</v>
      </c>
      <c r="B4843" s="7" t="s">
        <v>311</v>
      </c>
      <c r="C4843" s="7">
        <f t="shared" ref="C4843:C4844" si="682">4+1</f>
        <v>5</v>
      </c>
      <c r="D4843" s="7">
        <v>3.0</v>
      </c>
      <c r="E4843" s="7">
        <v>2.0</v>
      </c>
      <c r="F4843" s="7" t="s">
        <v>20</v>
      </c>
      <c r="G4843" s="7" t="s">
        <v>1105</v>
      </c>
      <c r="H4843" s="9" t="s">
        <v>2979</v>
      </c>
      <c r="I4843" t="s">
        <v>3506</v>
      </c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  <c r="AA4843" s="7"/>
      <c r="AB4843" s="7"/>
      <c r="AC4843" s="7"/>
      <c r="AD4843" s="7" t="str">
        <f t="shared" si="1"/>
        <v>Built-up :</v>
      </c>
      <c r="AE4843" s="7" t="str">
        <f t="shared" si="2"/>
        <v> sq. ft.</v>
      </c>
      <c r="AF4843">
        <f>IFERROR(__xludf.DUMMYFUNCTION("VALUE(REGEXREPLACE(G4843,""[^[:digit:]]"", """"))"),2100.0)</f>
        <v>2100</v>
      </c>
      <c r="AG4843" s="7"/>
      <c r="AH4843" s="7"/>
      <c r="AI4843" s="7"/>
      <c r="AJ4843" s="7"/>
      <c r="AK4843" s="7"/>
      <c r="AL4843" s="7"/>
      <c r="AM4843" s="7"/>
      <c r="AN4843" s="7"/>
      <c r="AO4843" s="7"/>
      <c r="AP4843" s="7"/>
      <c r="AQ4843" s="7"/>
      <c r="AR4843" s="7"/>
      <c r="AS4843" s="7" t="s">
        <v>27</v>
      </c>
    </row>
    <row r="4844">
      <c r="A4844" s="7" t="s">
        <v>37</v>
      </c>
      <c r="B4844" s="7" t="s">
        <v>475</v>
      </c>
      <c r="C4844" s="7">
        <f t="shared" si="682"/>
        <v>5</v>
      </c>
      <c r="D4844" s="7">
        <v>3.0</v>
      </c>
      <c r="E4844" s="9">
        <v>2.0</v>
      </c>
      <c r="F4844" s="7" t="s">
        <v>43</v>
      </c>
      <c r="G4844" s="7" t="s">
        <v>44</v>
      </c>
      <c r="H4844" s="9" t="s">
        <v>2981</v>
      </c>
      <c r="I4844" t="s">
        <v>2988</v>
      </c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  <c r="AA4844" s="7"/>
      <c r="AB4844" s="7"/>
      <c r="AC4844" s="7"/>
      <c r="AD4844" s="7" t="str">
        <f t="shared" si="1"/>
        <v>Land area </v>
      </c>
      <c r="AE4844" s="7" t="str">
        <f t="shared" si="2"/>
        <v> sq. ft.</v>
      </c>
      <c r="AF4844">
        <f>IFERROR(__xludf.DUMMYFUNCTION("VALUE(REGEXREPLACE(G4844,""[^[:digit:]]"", """"))"),3600.0)</f>
        <v>3600</v>
      </c>
      <c r="AG4844" s="7"/>
      <c r="AH4844" s="7"/>
      <c r="AI4844" s="7"/>
      <c r="AJ4844" s="7"/>
      <c r="AK4844" s="7"/>
      <c r="AL4844" s="7"/>
      <c r="AM4844" s="7"/>
      <c r="AN4844" s="7"/>
      <c r="AO4844" s="7"/>
      <c r="AP4844" s="7"/>
      <c r="AQ4844" s="7"/>
      <c r="AR4844" s="7"/>
    </row>
    <row r="4845">
      <c r="A4845" s="7" t="s">
        <v>17</v>
      </c>
      <c r="B4845" s="7" t="s">
        <v>475</v>
      </c>
      <c r="C4845" s="7">
        <f>3+1</f>
        <v>4</v>
      </c>
      <c r="D4845" s="7">
        <v>4.0</v>
      </c>
      <c r="E4845" s="7">
        <v>2.0</v>
      </c>
      <c r="F4845" s="7" t="s">
        <v>121</v>
      </c>
      <c r="G4845" s="7" t="s">
        <v>727</v>
      </c>
      <c r="H4845" s="9" t="s">
        <v>2979</v>
      </c>
      <c r="I4845" t="s">
        <v>3305</v>
      </c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  <c r="AA4845" s="7"/>
      <c r="AB4845" s="7"/>
      <c r="AC4845" s="7"/>
      <c r="AD4845" s="7" t="str">
        <f t="shared" si="1"/>
        <v>Built-up :</v>
      </c>
      <c r="AE4845" s="7" t="str">
        <f t="shared" si="2"/>
        <v> sq. ft.</v>
      </c>
      <c r="AF4845">
        <f>IFERROR(__xludf.DUMMYFUNCTION("VALUE(REGEXREPLACE(G4845,""[^[:digit:]]"", """"))"),3300.0)</f>
        <v>3300</v>
      </c>
      <c r="AG4845" s="7"/>
      <c r="AH4845" s="7"/>
      <c r="AI4845" s="7"/>
      <c r="AJ4845" s="7"/>
      <c r="AK4845" s="7"/>
      <c r="AL4845" s="7"/>
      <c r="AM4845" s="7"/>
      <c r="AN4845" s="7"/>
      <c r="AO4845" s="7"/>
      <c r="AP4845" s="7"/>
      <c r="AQ4845" s="7"/>
      <c r="AR4845" s="7"/>
      <c r="AS4845" s="7" t="s">
        <v>27</v>
      </c>
    </row>
    <row r="4846">
      <c r="A4846" s="7" t="s">
        <v>86</v>
      </c>
      <c r="B4846" s="7" t="s">
        <v>206</v>
      </c>
      <c r="C4846" s="7">
        <f>2+1</f>
        <v>3</v>
      </c>
      <c r="D4846" s="7">
        <v>2.0</v>
      </c>
      <c r="E4846" s="7">
        <v>1.0</v>
      </c>
      <c r="F4846" s="7" t="s">
        <v>121</v>
      </c>
      <c r="G4846" s="7" t="s">
        <v>237</v>
      </c>
      <c r="H4846" s="9" t="s">
        <v>2979</v>
      </c>
      <c r="I4846" t="s">
        <v>3069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  <c r="AA4846" s="7"/>
      <c r="AB4846" s="7"/>
      <c r="AC4846" s="7"/>
      <c r="AD4846" s="7" t="str">
        <f t="shared" si="1"/>
        <v>Built-up :</v>
      </c>
      <c r="AE4846" s="7" t="str">
        <f t="shared" si="2"/>
        <v> sq. ft.</v>
      </c>
      <c r="AF4846">
        <f>IFERROR(__xludf.DUMMYFUNCTION("VALUE(REGEXREPLACE(G4846,""[^[:digit:]]"", """"))"),1087.0)</f>
        <v>1087</v>
      </c>
      <c r="AG4846" s="7"/>
      <c r="AH4846" s="7"/>
      <c r="AI4846" s="7"/>
      <c r="AJ4846" s="7"/>
      <c r="AK4846" s="7"/>
      <c r="AL4846" s="7"/>
      <c r="AM4846" s="7"/>
      <c r="AN4846" s="7"/>
      <c r="AO4846" s="7"/>
      <c r="AP4846" s="7"/>
      <c r="AQ4846" s="7"/>
      <c r="AR4846" s="7"/>
      <c r="AS4846" s="7" t="s">
        <v>27</v>
      </c>
    </row>
    <row r="4847">
      <c r="A4847" s="7" t="s">
        <v>86</v>
      </c>
      <c r="B4847" s="7" t="s">
        <v>641</v>
      </c>
      <c r="C4847" s="7">
        <f>2</f>
        <v>2</v>
      </c>
      <c r="D4847" s="7">
        <v>2.0</v>
      </c>
      <c r="E4847" s="7">
        <v>1.0</v>
      </c>
      <c r="F4847" s="7" t="s">
        <v>20</v>
      </c>
      <c r="G4847" s="7" t="s">
        <v>1884</v>
      </c>
      <c r="H4847" s="9" t="s">
        <v>2979</v>
      </c>
      <c r="I4847" t="s">
        <v>3979</v>
      </c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  <c r="AA4847" s="7"/>
      <c r="AB4847" s="7"/>
      <c r="AC4847" s="7"/>
      <c r="AD4847" s="7" t="str">
        <f t="shared" si="1"/>
        <v>Built-up :</v>
      </c>
      <c r="AE4847" s="7" t="str">
        <f t="shared" si="2"/>
        <v> sq. ft.</v>
      </c>
      <c r="AF4847">
        <f>IFERROR(__xludf.DUMMYFUNCTION("VALUE(REGEXREPLACE(G4847,""[^[:digit:]]"", """"))"),916.0)</f>
        <v>916</v>
      </c>
      <c r="AG4847" s="7"/>
      <c r="AH4847" s="7"/>
      <c r="AI4847" s="7"/>
      <c r="AJ4847" s="7"/>
      <c r="AK4847" s="7"/>
      <c r="AL4847" s="7"/>
      <c r="AM4847" s="7"/>
      <c r="AN4847" s="7"/>
      <c r="AO4847" s="7"/>
      <c r="AP4847" s="7"/>
      <c r="AQ4847" s="7"/>
      <c r="AR4847" s="7"/>
      <c r="AS4847" s="7" t="s">
        <v>22</v>
      </c>
    </row>
    <row r="4848">
      <c r="A4848" s="7" t="s">
        <v>86</v>
      </c>
      <c r="B4848" s="7" t="s">
        <v>87</v>
      </c>
      <c r="C4848" s="7">
        <f>1</f>
        <v>1</v>
      </c>
      <c r="D4848" s="7">
        <v>1.0</v>
      </c>
      <c r="E4848" s="7">
        <v>1.0</v>
      </c>
      <c r="F4848" s="7" t="s">
        <v>82</v>
      </c>
      <c r="G4848" s="7" t="s">
        <v>244</v>
      </c>
      <c r="H4848" s="9" t="s">
        <v>2979</v>
      </c>
      <c r="I4848" t="s">
        <v>3073</v>
      </c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  <c r="AA4848" s="7"/>
      <c r="AB4848" s="7"/>
      <c r="AC4848" s="7"/>
      <c r="AD4848" s="7" t="str">
        <f t="shared" si="1"/>
        <v>Built-up :</v>
      </c>
      <c r="AE4848" s="7" t="str">
        <f t="shared" si="2"/>
        <v> sq. ft.</v>
      </c>
      <c r="AF4848">
        <f>IFERROR(__xludf.DUMMYFUNCTION("VALUE(REGEXREPLACE(G4848,""[^[:digit:]]"", """"))"),500.0)</f>
        <v>500</v>
      </c>
      <c r="AG4848" s="7"/>
      <c r="AH4848" s="7"/>
      <c r="AI4848" s="7"/>
      <c r="AJ4848" s="7"/>
      <c r="AK4848" s="7"/>
      <c r="AL4848" s="7"/>
      <c r="AM4848" s="7"/>
      <c r="AN4848" s="7"/>
      <c r="AO4848" s="7"/>
      <c r="AP4848" s="7"/>
      <c r="AQ4848" s="7"/>
      <c r="AR4848" s="7"/>
      <c r="AS4848" s="7" t="s">
        <v>22</v>
      </c>
    </row>
    <row r="4849">
      <c r="A4849" s="7" t="s">
        <v>86</v>
      </c>
      <c r="B4849" s="7" t="s">
        <v>715</v>
      </c>
      <c r="C4849" s="7">
        <f>1+1</f>
        <v>2</v>
      </c>
      <c r="D4849" s="7">
        <v>1.0</v>
      </c>
      <c r="E4849" s="9">
        <v>2.0</v>
      </c>
      <c r="F4849" s="7" t="s">
        <v>20</v>
      </c>
      <c r="G4849" s="7" t="s">
        <v>2621</v>
      </c>
      <c r="H4849" s="9" t="s">
        <v>2979</v>
      </c>
      <c r="I4849" t="s">
        <v>4433</v>
      </c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  <c r="AA4849" s="7"/>
      <c r="AB4849" s="7"/>
      <c r="AC4849" s="7"/>
      <c r="AD4849" s="7" t="str">
        <f t="shared" si="1"/>
        <v>Built-up :</v>
      </c>
      <c r="AE4849" s="7" t="str">
        <f t="shared" si="2"/>
        <v> sq. ft.</v>
      </c>
      <c r="AF4849">
        <f>IFERROR(__xludf.DUMMYFUNCTION("VALUE(REGEXREPLACE(G4849,""[^[:digit:]]"", """"))"),648.0)</f>
        <v>648</v>
      </c>
      <c r="AG4849" s="7"/>
      <c r="AH4849" s="7"/>
      <c r="AI4849" s="7"/>
      <c r="AJ4849" s="7"/>
      <c r="AK4849" s="7"/>
      <c r="AL4849" s="7"/>
      <c r="AM4849" s="7"/>
      <c r="AN4849" s="7"/>
      <c r="AO4849" s="7"/>
      <c r="AP4849" s="7"/>
      <c r="AQ4849" s="7"/>
      <c r="AR4849" s="7"/>
    </row>
    <row r="4850">
      <c r="A4850" s="7" t="s">
        <v>86</v>
      </c>
      <c r="B4850" s="7" t="s">
        <v>1114</v>
      </c>
      <c r="C4850" s="7">
        <f t="shared" ref="C4850:C4856" si="683">3</f>
        <v>3</v>
      </c>
      <c r="D4850" s="7">
        <v>2.0</v>
      </c>
      <c r="E4850" s="9">
        <v>2.0</v>
      </c>
      <c r="F4850" s="7" t="s">
        <v>20</v>
      </c>
      <c r="G4850" s="7" t="s">
        <v>621</v>
      </c>
      <c r="H4850" s="9" t="s">
        <v>2979</v>
      </c>
      <c r="I4850" t="s">
        <v>3251</v>
      </c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  <c r="AA4850" s="7"/>
      <c r="AB4850" s="7"/>
      <c r="AC4850" s="7"/>
      <c r="AD4850" s="7" t="str">
        <f t="shared" si="1"/>
        <v>Built-up :</v>
      </c>
      <c r="AE4850" s="7" t="str">
        <f t="shared" si="2"/>
        <v> sq. ft.</v>
      </c>
      <c r="AF4850">
        <f>IFERROR(__xludf.DUMMYFUNCTION("VALUE(REGEXREPLACE(G4850,""[^[:digit:]]"", """"))"),1119.0)</f>
        <v>1119</v>
      </c>
      <c r="AG4850" s="7"/>
      <c r="AH4850" s="7"/>
      <c r="AI4850" s="7"/>
      <c r="AJ4850" s="7"/>
      <c r="AK4850" s="7"/>
      <c r="AL4850" s="7"/>
      <c r="AM4850" s="7"/>
      <c r="AN4850" s="7"/>
      <c r="AO4850" s="7"/>
      <c r="AP4850" s="7"/>
      <c r="AQ4850" s="7"/>
      <c r="AR4850" s="7"/>
    </row>
    <row r="4851">
      <c r="A4851" s="7" t="s">
        <v>86</v>
      </c>
      <c r="B4851" s="7" t="s">
        <v>1107</v>
      </c>
      <c r="C4851" s="7">
        <f t="shared" si="683"/>
        <v>3</v>
      </c>
      <c r="D4851" s="7">
        <v>2.0</v>
      </c>
      <c r="E4851" s="9">
        <v>2.0</v>
      </c>
      <c r="F4851" s="7" t="s">
        <v>20</v>
      </c>
      <c r="G4851" s="7" t="s">
        <v>1509</v>
      </c>
      <c r="H4851" s="9" t="s">
        <v>2979</v>
      </c>
      <c r="I4851" t="s">
        <v>3751</v>
      </c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  <c r="AA4851" s="7"/>
      <c r="AB4851" s="7"/>
      <c r="AC4851" s="7"/>
      <c r="AD4851" s="7" t="str">
        <f t="shared" si="1"/>
        <v>Built-up :</v>
      </c>
      <c r="AE4851" s="7" t="str">
        <f t="shared" si="2"/>
        <v> sq. ft.</v>
      </c>
      <c r="AF4851">
        <f>IFERROR(__xludf.DUMMYFUNCTION("VALUE(REGEXREPLACE(G4851,""[^[:digit:]]"", """"))"),990.0)</f>
        <v>990</v>
      </c>
      <c r="AG4851" s="7"/>
      <c r="AH4851" s="7"/>
      <c r="AI4851" s="7"/>
      <c r="AJ4851" s="7"/>
      <c r="AK4851" s="7"/>
      <c r="AL4851" s="7"/>
      <c r="AM4851" s="7"/>
      <c r="AN4851" s="7"/>
      <c r="AO4851" s="7"/>
      <c r="AP4851" s="7"/>
      <c r="AQ4851" s="7"/>
      <c r="AR4851" s="7"/>
    </row>
    <row r="4852">
      <c r="A4852" s="7" t="s">
        <v>171</v>
      </c>
      <c r="B4852" s="7" t="s">
        <v>507</v>
      </c>
      <c r="C4852" s="7">
        <f t="shared" si="683"/>
        <v>3</v>
      </c>
      <c r="D4852" s="7">
        <v>2.0</v>
      </c>
      <c r="E4852" s="7">
        <v>2.0</v>
      </c>
      <c r="F4852" s="7" t="s">
        <v>83</v>
      </c>
      <c r="G4852" s="7" t="s">
        <v>173</v>
      </c>
      <c r="H4852" s="9" t="s">
        <v>2979</v>
      </c>
      <c r="I4852" t="s">
        <v>3038</v>
      </c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  <c r="AA4852" s="7"/>
      <c r="AB4852" s="7"/>
      <c r="AC4852" s="7"/>
      <c r="AD4852" s="7" t="str">
        <f t="shared" si="1"/>
        <v>Built-up :</v>
      </c>
      <c r="AE4852" s="7" t="str">
        <f t="shared" si="2"/>
        <v> sq. ft.</v>
      </c>
      <c r="AF4852">
        <f>IFERROR(__xludf.DUMMYFUNCTION("VALUE(REGEXREPLACE(G4852,""[^[:digit:]]"", """"))"),1550.0)</f>
        <v>1550</v>
      </c>
      <c r="AG4852" s="7"/>
      <c r="AH4852" s="7"/>
      <c r="AI4852" s="7"/>
      <c r="AJ4852" s="7"/>
      <c r="AK4852" s="7"/>
      <c r="AL4852" s="7"/>
      <c r="AM4852" s="7"/>
      <c r="AN4852" s="7"/>
      <c r="AO4852" s="7"/>
      <c r="AP4852" s="7"/>
      <c r="AQ4852" s="7"/>
      <c r="AR4852" s="7"/>
      <c r="AS4852" s="7" t="s">
        <v>27</v>
      </c>
    </row>
    <row r="4853">
      <c r="A4853" s="7" t="s">
        <v>86</v>
      </c>
      <c r="B4853" s="7" t="s">
        <v>245</v>
      </c>
      <c r="C4853" s="7">
        <f t="shared" si="683"/>
        <v>3</v>
      </c>
      <c r="D4853" s="7">
        <v>2.0</v>
      </c>
      <c r="E4853" s="9">
        <v>2.0</v>
      </c>
      <c r="F4853" s="7" t="s">
        <v>20</v>
      </c>
      <c r="G4853" s="7" t="s">
        <v>1509</v>
      </c>
      <c r="H4853" s="9" t="s">
        <v>2979</v>
      </c>
      <c r="I4853" t="s">
        <v>3751</v>
      </c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  <c r="AA4853" s="7"/>
      <c r="AB4853" s="7"/>
      <c r="AC4853" s="7"/>
      <c r="AD4853" s="7" t="str">
        <f t="shared" si="1"/>
        <v>Built-up :</v>
      </c>
      <c r="AE4853" s="7" t="str">
        <f t="shared" si="2"/>
        <v> sq. ft.</v>
      </c>
      <c r="AF4853">
        <f>IFERROR(__xludf.DUMMYFUNCTION("VALUE(REGEXREPLACE(G4853,""[^[:digit:]]"", """"))"),990.0)</f>
        <v>990</v>
      </c>
      <c r="AG4853" s="7"/>
      <c r="AH4853" s="7"/>
      <c r="AI4853" s="7"/>
      <c r="AJ4853" s="7"/>
      <c r="AK4853" s="7"/>
      <c r="AL4853" s="7"/>
      <c r="AM4853" s="7"/>
      <c r="AN4853" s="7"/>
      <c r="AO4853" s="7"/>
      <c r="AP4853" s="7"/>
      <c r="AQ4853" s="7"/>
      <c r="AR4853" s="7"/>
    </row>
    <row r="4854">
      <c r="A4854" s="7" t="s">
        <v>1476</v>
      </c>
      <c r="B4854" s="7" t="s">
        <v>2924</v>
      </c>
      <c r="C4854" s="7">
        <f t="shared" si="683"/>
        <v>3</v>
      </c>
      <c r="D4854" s="7">
        <v>2.0</v>
      </c>
      <c r="E4854" s="7">
        <v>1.0</v>
      </c>
      <c r="F4854" s="7" t="s">
        <v>50</v>
      </c>
      <c r="G4854" s="7" t="s">
        <v>2925</v>
      </c>
      <c r="H4854" s="9" t="s">
        <v>2979</v>
      </c>
      <c r="I4854" t="s">
        <v>4617</v>
      </c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  <c r="AA4854" s="7"/>
      <c r="AB4854" s="7"/>
      <c r="AC4854" s="7"/>
      <c r="AD4854" s="7" t="str">
        <f t="shared" si="1"/>
        <v>Built-up :</v>
      </c>
      <c r="AE4854" s="7" t="str">
        <f t="shared" si="2"/>
        <v> sq. ft.</v>
      </c>
      <c r="AF4854">
        <f>IFERROR(__xludf.DUMMYFUNCTION("VALUE(REGEXREPLACE(G4854,""[^[:digit:]]"", """"))"),831.0)</f>
        <v>831</v>
      </c>
      <c r="AG4854" s="7"/>
      <c r="AH4854" s="7"/>
      <c r="AI4854" s="7"/>
      <c r="AJ4854" s="7"/>
      <c r="AK4854" s="7"/>
      <c r="AL4854" s="7"/>
      <c r="AM4854" s="7"/>
      <c r="AN4854" s="7"/>
      <c r="AO4854" s="7"/>
      <c r="AP4854" s="7"/>
      <c r="AQ4854" s="7"/>
      <c r="AR4854" s="7"/>
      <c r="AS4854" s="7" t="s">
        <v>27</v>
      </c>
    </row>
    <row r="4855">
      <c r="A4855" s="7" t="s">
        <v>77</v>
      </c>
      <c r="B4855" s="7" t="s">
        <v>327</v>
      </c>
      <c r="C4855" s="7">
        <f t="shared" si="683"/>
        <v>3</v>
      </c>
      <c r="D4855" s="7">
        <v>2.0</v>
      </c>
      <c r="E4855" s="7">
        <v>2.0</v>
      </c>
      <c r="F4855" s="7" t="s">
        <v>83</v>
      </c>
      <c r="G4855" s="7" t="s">
        <v>230</v>
      </c>
      <c r="H4855" s="9" t="s">
        <v>2979</v>
      </c>
      <c r="I4855" t="s">
        <v>3065</v>
      </c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  <c r="AA4855" s="7"/>
      <c r="AB4855" s="7"/>
      <c r="AC4855" s="7"/>
      <c r="AD4855" s="7" t="str">
        <f t="shared" si="1"/>
        <v>Built-up :</v>
      </c>
      <c r="AE4855" s="7" t="str">
        <f t="shared" si="2"/>
        <v> sq. ft.</v>
      </c>
      <c r="AF4855">
        <f>IFERROR(__xludf.DUMMYFUNCTION("VALUE(REGEXREPLACE(G4855,""[^[:digit:]]"", """"))"),1389.0)</f>
        <v>1389</v>
      </c>
      <c r="AG4855" s="7"/>
      <c r="AH4855" s="7"/>
      <c r="AI4855" s="7"/>
      <c r="AJ4855" s="7"/>
      <c r="AK4855" s="7"/>
      <c r="AL4855" s="7"/>
      <c r="AM4855" s="7"/>
      <c r="AN4855" s="7"/>
      <c r="AO4855" s="7"/>
      <c r="AP4855" s="7"/>
      <c r="AQ4855" s="7"/>
      <c r="AR4855" s="7"/>
    </row>
    <row r="4856">
      <c r="A4856" s="7" t="s">
        <v>77</v>
      </c>
      <c r="B4856" s="7" t="s">
        <v>53</v>
      </c>
      <c r="C4856" s="7">
        <f t="shared" si="683"/>
        <v>3</v>
      </c>
      <c r="D4856" s="7">
        <v>2.0</v>
      </c>
      <c r="E4856" s="7">
        <v>2.0</v>
      </c>
      <c r="F4856" s="7" t="s">
        <v>83</v>
      </c>
      <c r="G4856" s="7" t="s">
        <v>594</v>
      </c>
      <c r="H4856" s="9" t="s">
        <v>2979</v>
      </c>
      <c r="I4856" t="s">
        <v>3240</v>
      </c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  <c r="AA4856" s="7"/>
      <c r="AB4856" s="7"/>
      <c r="AC4856" s="7"/>
      <c r="AD4856" s="7" t="str">
        <f t="shared" si="1"/>
        <v>Built-up :</v>
      </c>
      <c r="AE4856" s="7" t="str">
        <f t="shared" si="2"/>
        <v> sq. ft.</v>
      </c>
      <c r="AF4856">
        <f>IFERROR(__xludf.DUMMYFUNCTION("VALUE(REGEXREPLACE(G4856,""[^[:digit:]]"", """"))"),1701.0)</f>
        <v>1701</v>
      </c>
      <c r="AG4856" s="7"/>
      <c r="AH4856" s="7"/>
      <c r="AI4856" s="7"/>
      <c r="AJ4856" s="7"/>
      <c r="AK4856" s="7"/>
      <c r="AL4856" s="7"/>
      <c r="AM4856" s="7"/>
      <c r="AN4856" s="7"/>
      <c r="AO4856" s="7"/>
      <c r="AP4856" s="7"/>
      <c r="AQ4856" s="7"/>
      <c r="AR4856" s="7"/>
    </row>
    <row r="4857">
      <c r="A4857" s="7" t="s">
        <v>428</v>
      </c>
      <c r="B4857" s="7" t="s">
        <v>993</v>
      </c>
      <c r="C4857" s="7">
        <f>6+1</f>
        <v>7</v>
      </c>
      <c r="D4857" s="7">
        <v>7.0</v>
      </c>
      <c r="E4857" s="7">
        <v>2.0</v>
      </c>
      <c r="F4857" s="7" t="s">
        <v>67</v>
      </c>
      <c r="G4857" s="7" t="s">
        <v>62</v>
      </c>
      <c r="H4857" s="9" t="s">
        <v>2981</v>
      </c>
      <c r="I4857" t="s">
        <v>2995</v>
      </c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  <c r="AA4857" s="7"/>
      <c r="AB4857" s="7"/>
      <c r="AC4857" s="7"/>
      <c r="AD4857" s="7" t="str">
        <f t="shared" si="1"/>
        <v>Land area </v>
      </c>
      <c r="AE4857" s="7" t="str">
        <f t="shared" si="2"/>
        <v> sq. ft.</v>
      </c>
      <c r="AF4857">
        <f>IFERROR(__xludf.DUMMYFUNCTION("VALUE(REGEXREPLACE(G4857,""[^[:digit:]]"", """"))"),6000.0)</f>
        <v>6000</v>
      </c>
      <c r="AG4857" s="7"/>
      <c r="AH4857" s="7"/>
      <c r="AI4857" s="7"/>
      <c r="AJ4857" s="7"/>
      <c r="AK4857" s="7"/>
      <c r="AL4857" s="7"/>
      <c r="AM4857" s="7"/>
      <c r="AN4857" s="7"/>
      <c r="AO4857" s="7"/>
      <c r="AP4857" s="7"/>
      <c r="AQ4857" s="7"/>
      <c r="AR4857" s="7"/>
      <c r="AS4857" s="7" t="s">
        <v>103</v>
      </c>
    </row>
    <row r="4858">
      <c r="A4858" s="7" t="s">
        <v>77</v>
      </c>
      <c r="B4858" s="7" t="s">
        <v>311</v>
      </c>
      <c r="C4858" s="7">
        <f>2</f>
        <v>2</v>
      </c>
      <c r="D4858" s="7">
        <v>2.0</v>
      </c>
      <c r="E4858" s="9">
        <v>2.0</v>
      </c>
      <c r="F4858" s="7" t="s">
        <v>83</v>
      </c>
      <c r="G4858" s="7" t="s">
        <v>230</v>
      </c>
      <c r="H4858" s="9" t="s">
        <v>2979</v>
      </c>
      <c r="I4858" t="s">
        <v>3065</v>
      </c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  <c r="AA4858" s="7"/>
      <c r="AB4858" s="7"/>
      <c r="AC4858" s="7"/>
      <c r="AD4858" s="7" t="str">
        <f t="shared" si="1"/>
        <v>Built-up :</v>
      </c>
      <c r="AE4858" s="7" t="str">
        <f t="shared" si="2"/>
        <v> sq. ft.</v>
      </c>
      <c r="AF4858">
        <f>IFERROR(__xludf.DUMMYFUNCTION("VALUE(REGEXREPLACE(G4858,""[^[:digit:]]"", """"))"),1389.0)</f>
        <v>1389</v>
      </c>
      <c r="AG4858" s="7"/>
      <c r="AH4858" s="7"/>
      <c r="AI4858" s="7"/>
      <c r="AJ4858" s="7"/>
      <c r="AK4858" s="7"/>
      <c r="AL4858" s="7"/>
      <c r="AM4858" s="7"/>
      <c r="AN4858" s="7"/>
      <c r="AO4858" s="7"/>
      <c r="AP4858" s="7"/>
      <c r="AQ4858" s="7"/>
      <c r="AR4858" s="7"/>
    </row>
    <row r="4859">
      <c r="A4859" s="7" t="s">
        <v>1476</v>
      </c>
      <c r="B4859" s="7" t="s">
        <v>1565</v>
      </c>
      <c r="C4859" s="7">
        <f>3</f>
        <v>3</v>
      </c>
      <c r="D4859" s="7">
        <v>2.0</v>
      </c>
      <c r="E4859" s="7">
        <v>1.0</v>
      </c>
      <c r="F4859" s="7" t="s">
        <v>2364</v>
      </c>
      <c r="G4859" s="7" t="s">
        <v>1454</v>
      </c>
      <c r="H4859" s="9" t="s">
        <v>2979</v>
      </c>
      <c r="I4859" t="s">
        <v>3723</v>
      </c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  <c r="AA4859" s="7"/>
      <c r="AB4859" s="7"/>
      <c r="AC4859" s="7"/>
      <c r="AD4859" s="7" t="str">
        <f t="shared" si="1"/>
        <v>Built-up :</v>
      </c>
      <c r="AE4859" s="7" t="str">
        <f t="shared" si="2"/>
        <v> sq. ft.</v>
      </c>
      <c r="AF4859">
        <f>IFERROR(__xludf.DUMMYFUNCTION("VALUE(REGEXREPLACE(G4859,""[^[:digit:]]"", """"))"),826.0)</f>
        <v>826</v>
      </c>
      <c r="AG4859" s="7"/>
      <c r="AH4859" s="7"/>
      <c r="AI4859" s="7"/>
      <c r="AJ4859" s="7"/>
      <c r="AK4859" s="7"/>
      <c r="AL4859" s="7"/>
      <c r="AM4859" s="7"/>
      <c r="AN4859" s="7"/>
      <c r="AO4859" s="7"/>
      <c r="AP4859" s="7"/>
      <c r="AQ4859" s="7"/>
      <c r="AR4859" s="7"/>
      <c r="AS4859" s="7" t="s">
        <v>27</v>
      </c>
    </row>
    <row r="4860">
      <c r="A4860" s="7" t="s">
        <v>17</v>
      </c>
      <c r="B4860" s="7" t="s">
        <v>2926</v>
      </c>
      <c r="C4860" s="7">
        <f>2</f>
        <v>2</v>
      </c>
      <c r="D4860" s="7">
        <v>2.0</v>
      </c>
      <c r="E4860" s="9">
        <v>2.0</v>
      </c>
      <c r="F4860" s="7" t="s">
        <v>121</v>
      </c>
      <c r="G4860" s="7" t="s">
        <v>2667</v>
      </c>
      <c r="H4860" s="9" t="s">
        <v>2979</v>
      </c>
      <c r="I4860" t="s">
        <v>4456</v>
      </c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  <c r="AA4860" s="7"/>
      <c r="AB4860" s="7"/>
      <c r="AC4860" s="7"/>
      <c r="AD4860" s="7" t="str">
        <f t="shared" si="1"/>
        <v>Built-up :</v>
      </c>
      <c r="AE4860" s="7" t="str">
        <f t="shared" si="2"/>
        <v> sq. ft.</v>
      </c>
      <c r="AF4860">
        <f>IFERROR(__xludf.DUMMYFUNCTION("VALUE(REGEXREPLACE(G4860,""[^[:digit:]]"", """"))"),956.0)</f>
        <v>956</v>
      </c>
      <c r="AG4860" s="7"/>
      <c r="AH4860" s="7"/>
      <c r="AI4860" s="7"/>
      <c r="AJ4860" s="7"/>
      <c r="AK4860" s="7"/>
      <c r="AL4860" s="7"/>
      <c r="AM4860" s="7"/>
      <c r="AN4860" s="7"/>
      <c r="AO4860" s="7"/>
      <c r="AP4860" s="7"/>
      <c r="AQ4860" s="7"/>
      <c r="AR4860" s="7"/>
    </row>
    <row r="4861">
      <c r="A4861" s="7" t="s">
        <v>23</v>
      </c>
      <c r="B4861" s="7" t="s">
        <v>2927</v>
      </c>
      <c r="C4861" s="7">
        <f>1</f>
        <v>1</v>
      </c>
      <c r="D4861" s="7">
        <v>1.0</v>
      </c>
      <c r="E4861" s="9">
        <v>2.0</v>
      </c>
      <c r="F4861" s="7" t="s">
        <v>20</v>
      </c>
      <c r="G4861" s="7" t="s">
        <v>51</v>
      </c>
      <c r="H4861" s="9" t="s">
        <v>2979</v>
      </c>
      <c r="I4861" t="s">
        <v>2991</v>
      </c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  <c r="AA4861" s="7"/>
      <c r="AB4861" s="7"/>
      <c r="AC4861" s="7"/>
      <c r="AD4861" s="7" t="str">
        <f t="shared" si="1"/>
        <v>Built-up :</v>
      </c>
      <c r="AE4861" s="7" t="str">
        <f t="shared" si="2"/>
        <v> sq. ft.</v>
      </c>
      <c r="AF4861">
        <f>IFERROR(__xludf.DUMMYFUNCTION("VALUE(REGEXREPLACE(G4861,""[^[:digit:]]"", """"))"),904.0)</f>
        <v>904</v>
      </c>
      <c r="AG4861" s="7"/>
      <c r="AH4861" s="7"/>
      <c r="AI4861" s="7"/>
      <c r="AJ4861" s="7"/>
      <c r="AK4861" s="7"/>
      <c r="AL4861" s="7"/>
      <c r="AM4861" s="7"/>
      <c r="AN4861" s="7"/>
      <c r="AO4861" s="7"/>
      <c r="AP4861" s="7"/>
      <c r="AQ4861" s="7"/>
      <c r="AR4861" s="7"/>
      <c r="AS4861" s="7" t="s">
        <v>27</v>
      </c>
    </row>
    <row r="4862">
      <c r="A4862" s="7" t="s">
        <v>23</v>
      </c>
      <c r="B4862" s="7" t="s">
        <v>2928</v>
      </c>
      <c r="C4862" s="7">
        <f t="shared" ref="C4862:C4863" si="684">1+1</f>
        <v>2</v>
      </c>
      <c r="D4862" s="7">
        <v>2.0</v>
      </c>
      <c r="E4862" s="7">
        <v>2.0</v>
      </c>
      <c r="F4862" s="7" t="s">
        <v>20</v>
      </c>
      <c r="G4862" s="7" t="s">
        <v>373</v>
      </c>
      <c r="H4862" s="9" t="s">
        <v>2979</v>
      </c>
      <c r="I4862" t="s">
        <v>3131</v>
      </c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  <c r="AA4862" s="7"/>
      <c r="AB4862" s="7"/>
      <c r="AC4862" s="7"/>
      <c r="AD4862" s="7" t="str">
        <f t="shared" si="1"/>
        <v>Built-up :</v>
      </c>
      <c r="AE4862" s="7" t="str">
        <f t="shared" si="2"/>
        <v> sq. ft.</v>
      </c>
      <c r="AF4862">
        <f>IFERROR(__xludf.DUMMYFUNCTION("VALUE(REGEXREPLACE(G4862,""[^[:digit:]]"", """"))"),1152.0)</f>
        <v>1152</v>
      </c>
      <c r="AG4862" s="7"/>
      <c r="AH4862" s="7"/>
      <c r="AI4862" s="7"/>
      <c r="AJ4862" s="7"/>
      <c r="AK4862" s="7"/>
      <c r="AL4862" s="7"/>
      <c r="AM4862" s="7"/>
      <c r="AN4862" s="7"/>
      <c r="AO4862" s="7"/>
      <c r="AP4862" s="7"/>
      <c r="AQ4862" s="7"/>
      <c r="AR4862" s="7"/>
    </row>
    <row r="4863">
      <c r="A4863" s="7" t="s">
        <v>23</v>
      </c>
      <c r="B4863" s="7" t="s">
        <v>2929</v>
      </c>
      <c r="C4863" s="7">
        <f t="shared" si="684"/>
        <v>2</v>
      </c>
      <c r="D4863" s="7">
        <v>2.0</v>
      </c>
      <c r="E4863" s="7">
        <v>2.0</v>
      </c>
      <c r="F4863" s="7" t="s">
        <v>20</v>
      </c>
      <c r="G4863" s="7" t="s">
        <v>661</v>
      </c>
      <c r="H4863" s="9" t="s">
        <v>2979</v>
      </c>
      <c r="I4863" t="s">
        <v>3271</v>
      </c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  <c r="AA4863" s="7"/>
      <c r="AB4863" s="7"/>
      <c r="AC4863" s="7"/>
      <c r="AD4863" s="7" t="str">
        <f t="shared" si="1"/>
        <v>Built-up :</v>
      </c>
      <c r="AE4863" s="7" t="str">
        <f t="shared" si="2"/>
        <v> sq. ft.</v>
      </c>
      <c r="AF4863">
        <f>IFERROR(__xludf.DUMMYFUNCTION("VALUE(REGEXREPLACE(G4863,""[^[:digit:]]"", """"))"),1163.0)</f>
        <v>1163</v>
      </c>
      <c r="AG4863" s="7"/>
      <c r="AH4863" s="7"/>
      <c r="AI4863" s="7"/>
      <c r="AJ4863" s="7"/>
      <c r="AK4863" s="7"/>
      <c r="AL4863" s="7"/>
      <c r="AM4863" s="7"/>
      <c r="AN4863" s="7"/>
      <c r="AO4863" s="7"/>
      <c r="AP4863" s="7"/>
      <c r="AQ4863" s="7"/>
      <c r="AR4863" s="7"/>
    </row>
    <row r="4864">
      <c r="A4864" s="7" t="s">
        <v>23</v>
      </c>
      <c r="B4864" s="7" t="s">
        <v>2930</v>
      </c>
      <c r="C4864" s="7">
        <f t="shared" ref="C4864:C4865" si="685">2+1</f>
        <v>3</v>
      </c>
      <c r="D4864" s="7">
        <v>4.0</v>
      </c>
      <c r="E4864" s="7">
        <v>2.0</v>
      </c>
      <c r="F4864" s="7" t="s">
        <v>20</v>
      </c>
      <c r="G4864" s="7" t="s">
        <v>2931</v>
      </c>
      <c r="H4864" s="9" t="s">
        <v>2979</v>
      </c>
      <c r="I4864" t="s">
        <v>4618</v>
      </c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  <c r="AA4864" s="7"/>
      <c r="AB4864" s="7"/>
      <c r="AC4864" s="7"/>
      <c r="AD4864" s="7" t="str">
        <f t="shared" si="1"/>
        <v>Built-up :</v>
      </c>
      <c r="AE4864" s="7" t="str">
        <f t="shared" si="2"/>
        <v> sq. ft.</v>
      </c>
      <c r="AF4864">
        <f>IFERROR(__xludf.DUMMYFUNCTION("VALUE(REGEXREPLACE(G4864,""[^[:digit:]]"", """"))"),1669.0)</f>
        <v>1669</v>
      </c>
      <c r="AG4864" s="7"/>
      <c r="AH4864" s="7"/>
      <c r="AI4864" s="7"/>
      <c r="AJ4864" s="7"/>
      <c r="AK4864" s="7"/>
      <c r="AL4864" s="7"/>
      <c r="AM4864" s="7"/>
      <c r="AN4864" s="7"/>
      <c r="AO4864" s="7"/>
      <c r="AP4864" s="7"/>
      <c r="AQ4864" s="7"/>
      <c r="AR4864" s="7"/>
      <c r="AS4864" s="7" t="s">
        <v>27</v>
      </c>
    </row>
    <row r="4865">
      <c r="A4865" s="7" t="s">
        <v>72</v>
      </c>
      <c r="B4865" s="7" t="s">
        <v>2932</v>
      </c>
      <c r="C4865" s="7">
        <f t="shared" si="685"/>
        <v>3</v>
      </c>
      <c r="D4865" s="7">
        <v>2.0</v>
      </c>
      <c r="E4865" s="7">
        <v>2.0</v>
      </c>
      <c r="F4865" s="7" t="s">
        <v>83</v>
      </c>
      <c r="G4865" s="7" t="s">
        <v>2341</v>
      </c>
      <c r="H4865" s="9" t="s">
        <v>2979</v>
      </c>
      <c r="I4865" t="s">
        <v>4264</v>
      </c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  <c r="AA4865" s="7"/>
      <c r="AB4865" s="7"/>
      <c r="AC4865" s="7"/>
      <c r="AD4865" s="7" t="str">
        <f t="shared" si="1"/>
        <v>Built-up :</v>
      </c>
      <c r="AE4865" s="7" t="str">
        <f t="shared" si="2"/>
        <v> sq. ft.</v>
      </c>
      <c r="AF4865">
        <f>IFERROR(__xludf.DUMMYFUNCTION("VALUE(REGEXREPLACE(G4865,""[^[:digit:]]"", """"))"),1122.0)</f>
        <v>1122</v>
      </c>
      <c r="AG4865" s="7"/>
      <c r="AH4865" s="7"/>
      <c r="AI4865" s="7"/>
      <c r="AJ4865" s="7"/>
      <c r="AK4865" s="7"/>
      <c r="AL4865" s="7"/>
      <c r="AM4865" s="7"/>
      <c r="AN4865" s="7"/>
      <c r="AO4865" s="7"/>
      <c r="AP4865" s="7"/>
      <c r="AQ4865" s="7"/>
      <c r="AR4865" s="7"/>
    </row>
    <row r="4866">
      <c r="A4866" s="7" t="s">
        <v>17</v>
      </c>
      <c r="B4866" s="7" t="s">
        <v>2933</v>
      </c>
      <c r="C4866" s="7">
        <f>4+1</f>
        <v>5</v>
      </c>
      <c r="D4866" s="7">
        <v>5.0</v>
      </c>
      <c r="E4866" s="7">
        <v>6.0</v>
      </c>
      <c r="F4866" s="7" t="s">
        <v>30</v>
      </c>
      <c r="G4866" s="7" t="s">
        <v>2934</v>
      </c>
      <c r="H4866" s="9" t="s">
        <v>2979</v>
      </c>
      <c r="I4866" t="s">
        <v>4619</v>
      </c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  <c r="AA4866" s="7"/>
      <c r="AB4866" s="7"/>
      <c r="AC4866" s="7"/>
      <c r="AD4866" s="7" t="str">
        <f t="shared" si="1"/>
        <v>Built-up :</v>
      </c>
      <c r="AE4866" s="7" t="str">
        <f t="shared" si="2"/>
        <v> sq. ft.</v>
      </c>
      <c r="AF4866">
        <f>IFERROR(__xludf.DUMMYFUNCTION("VALUE(REGEXREPLACE(G4866,""[^[:digit:]]"", """"))"),2732.0)</f>
        <v>2732</v>
      </c>
      <c r="AG4866" s="7"/>
      <c r="AH4866" s="7"/>
      <c r="AI4866" s="7"/>
      <c r="AJ4866" s="7"/>
      <c r="AK4866" s="7"/>
      <c r="AL4866" s="7"/>
      <c r="AM4866" s="7"/>
      <c r="AN4866" s="7"/>
      <c r="AO4866" s="7"/>
      <c r="AP4866" s="7"/>
      <c r="AQ4866" s="7"/>
      <c r="AR4866" s="7"/>
      <c r="AS4866" s="7" t="s">
        <v>27</v>
      </c>
    </row>
    <row r="4867">
      <c r="A4867" s="7" t="s">
        <v>2237</v>
      </c>
      <c r="B4867" s="7" t="s">
        <v>1073</v>
      </c>
      <c r="C4867" s="7">
        <f>3</f>
        <v>3</v>
      </c>
      <c r="D4867" s="7">
        <v>2.0</v>
      </c>
      <c r="E4867" s="7">
        <v>2.0</v>
      </c>
      <c r="F4867" s="7" t="s">
        <v>20</v>
      </c>
      <c r="G4867" s="7" t="s">
        <v>1657</v>
      </c>
      <c r="H4867" s="9" t="s">
        <v>2979</v>
      </c>
      <c r="I4867" t="s">
        <v>3841</v>
      </c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  <c r="AA4867" s="7"/>
      <c r="AB4867" s="7"/>
      <c r="AC4867" s="7"/>
      <c r="AD4867" s="7" t="str">
        <f t="shared" si="1"/>
        <v>Built-up :</v>
      </c>
      <c r="AE4867" s="7" t="str">
        <f t="shared" si="2"/>
        <v> sq. ft.</v>
      </c>
      <c r="AF4867">
        <f>IFERROR(__xludf.DUMMYFUNCTION("VALUE(REGEXREPLACE(G4867,""[^[:digit:]]"", """"))"),1110.0)</f>
        <v>1110</v>
      </c>
      <c r="AG4867" s="7"/>
      <c r="AH4867" s="7"/>
      <c r="AI4867" s="7"/>
      <c r="AJ4867" s="7"/>
      <c r="AK4867" s="7"/>
      <c r="AL4867" s="7"/>
      <c r="AM4867" s="7"/>
      <c r="AN4867" s="7"/>
      <c r="AO4867" s="7"/>
      <c r="AP4867" s="7"/>
      <c r="AQ4867" s="7"/>
      <c r="AR4867" s="7"/>
      <c r="AS4867" s="7" t="s">
        <v>27</v>
      </c>
    </row>
    <row r="4868">
      <c r="A4868" s="7" t="s">
        <v>2237</v>
      </c>
      <c r="B4868" s="7" t="s">
        <v>761</v>
      </c>
      <c r="C4868" s="7">
        <f>2</f>
        <v>2</v>
      </c>
      <c r="D4868" s="7">
        <v>2.0</v>
      </c>
      <c r="E4868" s="7">
        <v>2.0</v>
      </c>
      <c r="F4868" s="7" t="s">
        <v>20</v>
      </c>
      <c r="G4868" s="7" t="s">
        <v>2935</v>
      </c>
      <c r="H4868" s="9" t="s">
        <v>2979</v>
      </c>
      <c r="I4868" t="s">
        <v>4620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  <c r="AA4868" s="7"/>
      <c r="AB4868" s="7"/>
      <c r="AC4868" s="7"/>
      <c r="AD4868" s="7" t="str">
        <f t="shared" si="1"/>
        <v>Built-up :</v>
      </c>
      <c r="AE4868" s="7" t="str">
        <f t="shared" si="2"/>
        <v> sq. ft.</v>
      </c>
      <c r="AF4868">
        <f>IFERROR(__xludf.DUMMYFUNCTION("VALUE(REGEXREPLACE(G4868,""[^[:digit:]]"", """"))"),731.0)</f>
        <v>731</v>
      </c>
      <c r="AG4868" s="7"/>
      <c r="AH4868" s="7"/>
      <c r="AI4868" s="7"/>
      <c r="AJ4868" s="7"/>
      <c r="AK4868" s="7"/>
      <c r="AL4868" s="7"/>
      <c r="AM4868" s="7"/>
      <c r="AN4868" s="7"/>
      <c r="AO4868" s="7"/>
      <c r="AP4868" s="7"/>
      <c r="AQ4868" s="7"/>
      <c r="AR4868" s="7"/>
      <c r="AS4868" s="7" t="s">
        <v>27</v>
      </c>
    </row>
    <row r="4869">
      <c r="A4869" s="7" t="s">
        <v>23</v>
      </c>
      <c r="B4869" s="7" t="s">
        <v>616</v>
      </c>
      <c r="C4869" s="7">
        <f>6+1</f>
        <v>7</v>
      </c>
      <c r="D4869" s="7">
        <v>6.0</v>
      </c>
      <c r="E4869" s="7">
        <v>6.0</v>
      </c>
      <c r="F4869" s="7" t="s">
        <v>61</v>
      </c>
      <c r="G4869" s="7" t="s">
        <v>2936</v>
      </c>
      <c r="H4869" s="9" t="s">
        <v>2981</v>
      </c>
      <c r="I4869" t="s">
        <v>4621</v>
      </c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  <c r="AA4869" s="7"/>
      <c r="AB4869" s="7"/>
      <c r="AC4869" s="7"/>
      <c r="AD4869" s="7" t="str">
        <f t="shared" si="1"/>
        <v>Land area </v>
      </c>
      <c r="AE4869" s="7" t="str">
        <f t="shared" si="2"/>
        <v> sq. ft.</v>
      </c>
      <c r="AF4869">
        <f>IFERROR(__xludf.DUMMYFUNCTION("VALUE(REGEXREPLACE(G4869,""[^[:digit:]]"", """"))"),11000.0)</f>
        <v>11000</v>
      </c>
      <c r="AG4869" s="7"/>
      <c r="AH4869" s="7"/>
      <c r="AI4869" s="7"/>
      <c r="AJ4869" s="7"/>
      <c r="AK4869" s="7"/>
      <c r="AL4869" s="7"/>
      <c r="AM4869" s="7"/>
      <c r="AN4869" s="7"/>
      <c r="AO4869" s="7"/>
      <c r="AP4869" s="7"/>
      <c r="AQ4869" s="7"/>
      <c r="AR4869" s="7"/>
      <c r="AS4869" s="7" t="s">
        <v>27</v>
      </c>
    </row>
    <row r="4870">
      <c r="A4870" s="7" t="s">
        <v>358</v>
      </c>
      <c r="B4870" s="7" t="s">
        <v>2937</v>
      </c>
      <c r="C4870" s="7">
        <f>3</f>
        <v>3</v>
      </c>
      <c r="D4870" s="7">
        <v>3.0</v>
      </c>
      <c r="E4870" s="7">
        <v>2.0</v>
      </c>
      <c r="F4870" s="7" t="s">
        <v>30</v>
      </c>
      <c r="G4870" s="7" t="s">
        <v>341</v>
      </c>
      <c r="H4870" s="9" t="s">
        <v>2979</v>
      </c>
      <c r="I4870" t="s">
        <v>3116</v>
      </c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  <c r="AA4870" s="7"/>
      <c r="AB4870" s="7"/>
      <c r="AC4870" s="7"/>
      <c r="AD4870" s="7" t="str">
        <f t="shared" si="1"/>
        <v>Built-up :</v>
      </c>
      <c r="AE4870" s="7" t="str">
        <f t="shared" si="2"/>
        <v> sq. ft.</v>
      </c>
      <c r="AF4870">
        <f>IFERROR(__xludf.DUMMYFUNCTION("VALUE(REGEXREPLACE(G4870,""[^[:digit:]]"", """"))"),1184.0)</f>
        <v>1184</v>
      </c>
      <c r="AG4870" s="7"/>
      <c r="AH4870" s="7"/>
      <c r="AI4870" s="7"/>
      <c r="AJ4870" s="7"/>
      <c r="AK4870" s="7"/>
      <c r="AL4870" s="7"/>
      <c r="AM4870" s="7"/>
      <c r="AN4870" s="7"/>
      <c r="AO4870" s="7"/>
      <c r="AP4870" s="7"/>
      <c r="AQ4870" s="7"/>
      <c r="AR4870" s="7"/>
      <c r="AS4870" s="7" t="s">
        <v>27</v>
      </c>
    </row>
    <row r="4871">
      <c r="A4871" s="7" t="s">
        <v>358</v>
      </c>
      <c r="B4871" s="7" t="s">
        <v>2938</v>
      </c>
      <c r="C4871" s="7">
        <f>3+1</f>
        <v>4</v>
      </c>
      <c r="D4871" s="7">
        <v>3.0</v>
      </c>
      <c r="E4871" s="7">
        <v>2.0</v>
      </c>
      <c r="F4871" s="7" t="s">
        <v>96</v>
      </c>
      <c r="G4871" s="7" t="s">
        <v>2758</v>
      </c>
      <c r="H4871" s="9" t="s">
        <v>2979</v>
      </c>
      <c r="I4871" t="s">
        <v>4512</v>
      </c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  <c r="AA4871" s="7"/>
      <c r="AB4871" s="7"/>
      <c r="AC4871" s="7"/>
      <c r="AD4871" s="7" t="str">
        <f t="shared" si="1"/>
        <v>Built-up :</v>
      </c>
      <c r="AE4871" s="7" t="str">
        <f t="shared" si="2"/>
        <v> sq. ft.</v>
      </c>
      <c r="AF4871">
        <f>IFERROR(__xludf.DUMMYFUNCTION("VALUE(REGEXREPLACE(G4871,""[^[:digit:]]"", """"))"),1475.0)</f>
        <v>1475</v>
      </c>
      <c r="AG4871" s="7"/>
      <c r="AH4871" s="7"/>
      <c r="AI4871" s="7"/>
      <c r="AJ4871" s="7"/>
      <c r="AK4871" s="7"/>
      <c r="AL4871" s="7"/>
      <c r="AM4871" s="7"/>
      <c r="AN4871" s="7"/>
      <c r="AO4871" s="7"/>
      <c r="AP4871" s="7"/>
      <c r="AQ4871" s="7"/>
      <c r="AR4871" s="7"/>
    </row>
    <row r="4872">
      <c r="A4872" s="7" t="s">
        <v>358</v>
      </c>
      <c r="B4872" s="7" t="s">
        <v>599</v>
      </c>
      <c r="C4872" s="7">
        <f t="shared" ref="C4872:C4873" si="686">4+1</f>
        <v>5</v>
      </c>
      <c r="D4872" s="7">
        <v>4.0</v>
      </c>
      <c r="E4872" s="7">
        <v>3.0</v>
      </c>
      <c r="F4872" s="7" t="s">
        <v>30</v>
      </c>
      <c r="G4872" s="7" t="s">
        <v>2939</v>
      </c>
      <c r="H4872" s="9" t="s">
        <v>2979</v>
      </c>
      <c r="I4872" t="s">
        <v>4622</v>
      </c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  <c r="AA4872" s="7"/>
      <c r="AB4872" s="7"/>
      <c r="AC4872" s="7"/>
      <c r="AD4872" s="7" t="str">
        <f t="shared" si="1"/>
        <v>Built-up :</v>
      </c>
      <c r="AE4872" s="7" t="str">
        <f t="shared" si="2"/>
        <v> sq. ft.</v>
      </c>
      <c r="AF4872">
        <f>IFERROR(__xludf.DUMMYFUNCTION("VALUE(REGEXREPLACE(G4872,""[^[:digit:]]"", """"))"),1872.0)</f>
        <v>1872</v>
      </c>
      <c r="AG4872" s="7"/>
      <c r="AH4872" s="7"/>
      <c r="AI4872" s="7"/>
      <c r="AJ4872" s="7"/>
      <c r="AK4872" s="7"/>
      <c r="AL4872" s="7"/>
      <c r="AM4872" s="7"/>
      <c r="AN4872" s="7"/>
      <c r="AO4872" s="7"/>
      <c r="AP4872" s="7"/>
      <c r="AQ4872" s="7"/>
      <c r="AR4872" s="7"/>
      <c r="AS4872" s="7" t="s">
        <v>27</v>
      </c>
    </row>
    <row r="4873">
      <c r="A4873" s="7" t="s">
        <v>358</v>
      </c>
      <c r="B4873" s="7" t="s">
        <v>2940</v>
      </c>
      <c r="C4873" s="7">
        <f t="shared" si="686"/>
        <v>5</v>
      </c>
      <c r="D4873" s="7">
        <v>4.0</v>
      </c>
      <c r="E4873" s="7">
        <v>5.0</v>
      </c>
      <c r="F4873" s="7" t="s">
        <v>793</v>
      </c>
      <c r="G4873" s="7" t="s">
        <v>2939</v>
      </c>
      <c r="H4873" s="9" t="s">
        <v>2979</v>
      </c>
      <c r="I4873" t="s">
        <v>4622</v>
      </c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  <c r="AA4873" s="7"/>
      <c r="AB4873" s="7"/>
      <c r="AC4873" s="7"/>
      <c r="AD4873" s="7" t="str">
        <f t="shared" si="1"/>
        <v>Built-up :</v>
      </c>
      <c r="AE4873" s="7" t="str">
        <f t="shared" si="2"/>
        <v> sq. ft.</v>
      </c>
      <c r="AF4873">
        <f>IFERROR(__xludf.DUMMYFUNCTION("VALUE(REGEXREPLACE(G4873,""[^[:digit:]]"", """"))"),1872.0)</f>
        <v>1872</v>
      </c>
      <c r="AG4873" s="7"/>
      <c r="AH4873" s="7"/>
      <c r="AI4873" s="7"/>
      <c r="AJ4873" s="7"/>
      <c r="AK4873" s="7"/>
      <c r="AL4873" s="7"/>
      <c r="AM4873" s="7"/>
      <c r="AN4873" s="7"/>
      <c r="AO4873" s="7"/>
      <c r="AP4873" s="7"/>
      <c r="AQ4873" s="7"/>
      <c r="AR4873" s="7"/>
      <c r="AS4873" s="7" t="s">
        <v>27</v>
      </c>
    </row>
    <row r="4874">
      <c r="A4874" s="7" t="s">
        <v>72</v>
      </c>
      <c r="B4874" s="7" t="s">
        <v>657</v>
      </c>
      <c r="C4874" s="7">
        <f t="shared" ref="C4874:C4877" si="687">3</f>
        <v>3</v>
      </c>
      <c r="D4874" s="7">
        <v>3.0</v>
      </c>
      <c r="E4874" s="7">
        <v>2.0</v>
      </c>
      <c r="F4874" s="7" t="s">
        <v>83</v>
      </c>
      <c r="G4874" s="7" t="s">
        <v>1929</v>
      </c>
      <c r="H4874" s="9" t="s">
        <v>2979</v>
      </c>
      <c r="I4874" t="s">
        <v>4004</v>
      </c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  <c r="AA4874" s="7"/>
      <c r="AB4874" s="7"/>
      <c r="AC4874" s="7"/>
      <c r="AD4874" s="7" t="str">
        <f t="shared" si="1"/>
        <v>Built-up :</v>
      </c>
      <c r="AE4874" s="7" t="str">
        <f t="shared" si="2"/>
        <v> sq. ft.</v>
      </c>
      <c r="AF4874">
        <f>IFERROR(__xludf.DUMMYFUNCTION("VALUE(REGEXREPLACE(G4874,""[^[:digit:]]"", """"))"),1828.0)</f>
        <v>1828</v>
      </c>
      <c r="AG4874" s="7"/>
      <c r="AH4874" s="7"/>
      <c r="AI4874" s="7"/>
      <c r="AJ4874" s="7"/>
      <c r="AK4874" s="7"/>
      <c r="AL4874" s="7"/>
      <c r="AM4874" s="7"/>
      <c r="AN4874" s="7"/>
      <c r="AO4874" s="7"/>
      <c r="AP4874" s="7"/>
      <c r="AQ4874" s="7"/>
      <c r="AR4874" s="7"/>
      <c r="AS4874" s="7" t="s">
        <v>27</v>
      </c>
    </row>
    <row r="4875">
      <c r="A4875" s="7" t="s">
        <v>33</v>
      </c>
      <c r="B4875" s="7" t="s">
        <v>2941</v>
      </c>
      <c r="C4875" s="7">
        <f t="shared" si="687"/>
        <v>3</v>
      </c>
      <c r="D4875" s="7">
        <v>2.0</v>
      </c>
      <c r="E4875" s="7">
        <v>2.0</v>
      </c>
      <c r="F4875" s="7" t="s">
        <v>83</v>
      </c>
      <c r="G4875" s="7" t="s">
        <v>2541</v>
      </c>
      <c r="H4875" s="9" t="s">
        <v>2979</v>
      </c>
      <c r="I4875" t="s">
        <v>4386</v>
      </c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  <c r="AA4875" s="7"/>
      <c r="AB4875" s="7"/>
      <c r="AC4875" s="7"/>
      <c r="AD4875" s="7" t="str">
        <f t="shared" si="1"/>
        <v>Built-up :</v>
      </c>
      <c r="AE4875" s="7" t="str">
        <f t="shared" si="2"/>
        <v> sq. ft.</v>
      </c>
      <c r="AF4875">
        <f>IFERROR(__xludf.DUMMYFUNCTION("VALUE(REGEXREPLACE(G4875,""[^[:digit:]]"", """"))"),1070.0)</f>
        <v>1070</v>
      </c>
      <c r="AG4875" s="7"/>
      <c r="AH4875" s="7"/>
      <c r="AI4875" s="7"/>
      <c r="AJ4875" s="7"/>
      <c r="AK4875" s="7"/>
      <c r="AL4875" s="7"/>
      <c r="AM4875" s="7"/>
      <c r="AN4875" s="7"/>
      <c r="AO4875" s="7"/>
      <c r="AP4875" s="7"/>
      <c r="AQ4875" s="7"/>
      <c r="AR4875" s="7"/>
      <c r="AS4875" s="7" t="s">
        <v>27</v>
      </c>
    </row>
    <row r="4876">
      <c r="A4876" s="7" t="s">
        <v>33</v>
      </c>
      <c r="B4876" s="7" t="s">
        <v>2942</v>
      </c>
      <c r="C4876" s="7">
        <f t="shared" si="687"/>
        <v>3</v>
      </c>
      <c r="D4876" s="7">
        <v>2.0</v>
      </c>
      <c r="E4876" s="7">
        <v>3.0</v>
      </c>
      <c r="F4876" s="7" t="s">
        <v>83</v>
      </c>
      <c r="G4876" s="7" t="s">
        <v>2541</v>
      </c>
      <c r="H4876" s="9" t="s">
        <v>2979</v>
      </c>
      <c r="I4876" t="s">
        <v>4386</v>
      </c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  <c r="AA4876" s="7"/>
      <c r="AB4876" s="7"/>
      <c r="AC4876" s="7"/>
      <c r="AD4876" s="7" t="str">
        <f t="shared" si="1"/>
        <v>Built-up :</v>
      </c>
      <c r="AE4876" s="7" t="str">
        <f t="shared" si="2"/>
        <v> sq. ft.</v>
      </c>
      <c r="AF4876">
        <f>IFERROR(__xludf.DUMMYFUNCTION("VALUE(REGEXREPLACE(G4876,""[^[:digit:]]"", """"))"),1070.0)</f>
        <v>1070</v>
      </c>
      <c r="AG4876" s="7"/>
      <c r="AH4876" s="7"/>
      <c r="AI4876" s="7"/>
      <c r="AJ4876" s="7"/>
      <c r="AK4876" s="7"/>
      <c r="AL4876" s="7"/>
      <c r="AM4876" s="7"/>
      <c r="AN4876" s="7"/>
      <c r="AO4876" s="7"/>
      <c r="AP4876" s="7"/>
      <c r="AQ4876" s="7"/>
      <c r="AR4876" s="7"/>
      <c r="AS4876" s="7" t="s">
        <v>22</v>
      </c>
    </row>
    <row r="4877">
      <c r="A4877" s="7" t="s">
        <v>33</v>
      </c>
      <c r="B4877" s="7" t="s">
        <v>2943</v>
      </c>
      <c r="C4877" s="7">
        <f t="shared" si="687"/>
        <v>3</v>
      </c>
      <c r="D4877" s="7">
        <v>2.0</v>
      </c>
      <c r="E4877" s="7">
        <v>2.0</v>
      </c>
      <c r="F4877" s="7" t="s">
        <v>83</v>
      </c>
      <c r="G4877" s="7" t="s">
        <v>508</v>
      </c>
      <c r="H4877" s="9" t="s">
        <v>2979</v>
      </c>
      <c r="I4877" t="s">
        <v>3200</v>
      </c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  <c r="AA4877" s="7"/>
      <c r="AB4877" s="7"/>
      <c r="AC4877" s="7"/>
      <c r="AD4877" s="7" t="str">
        <f t="shared" si="1"/>
        <v>Built-up :</v>
      </c>
      <c r="AE4877" s="7" t="str">
        <f t="shared" si="2"/>
        <v> sq. ft.</v>
      </c>
      <c r="AF4877">
        <f>IFERROR(__xludf.DUMMYFUNCTION("VALUE(REGEXREPLACE(G4877,""[^[:digit:]]"", """"))"),1196.0)</f>
        <v>1196</v>
      </c>
      <c r="AG4877" s="7"/>
      <c r="AH4877" s="7"/>
      <c r="AI4877" s="7"/>
      <c r="AJ4877" s="7"/>
      <c r="AK4877" s="7"/>
      <c r="AL4877" s="7"/>
      <c r="AM4877" s="7"/>
      <c r="AN4877" s="7"/>
      <c r="AO4877" s="7"/>
      <c r="AP4877" s="7"/>
      <c r="AQ4877" s="7"/>
      <c r="AR4877" s="7"/>
      <c r="AS4877" s="7" t="s">
        <v>27</v>
      </c>
    </row>
    <row r="4878">
      <c r="A4878" s="7" t="s">
        <v>33</v>
      </c>
      <c r="B4878" s="7" t="s">
        <v>2944</v>
      </c>
      <c r="C4878" s="7">
        <f t="shared" ref="C4878:C4880" si="688">3+1</f>
        <v>4</v>
      </c>
      <c r="D4878" s="7">
        <v>3.0</v>
      </c>
      <c r="E4878" s="7">
        <v>3.0</v>
      </c>
      <c r="F4878" s="7" t="s">
        <v>83</v>
      </c>
      <c r="G4878" s="7" t="s">
        <v>2945</v>
      </c>
      <c r="H4878" s="9" t="s">
        <v>2979</v>
      </c>
      <c r="I4878" t="s">
        <v>4623</v>
      </c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  <c r="AA4878" s="7"/>
      <c r="AB4878" s="7"/>
      <c r="AC4878" s="7"/>
      <c r="AD4878" s="7" t="str">
        <f t="shared" si="1"/>
        <v>Built-up :</v>
      </c>
      <c r="AE4878" s="7" t="str">
        <f t="shared" si="2"/>
        <v> sq. ft.</v>
      </c>
      <c r="AF4878">
        <f>IFERROR(__xludf.DUMMYFUNCTION("VALUE(REGEXREPLACE(G4878,""[^[:digit:]]"", """"))"),1599.0)</f>
        <v>1599</v>
      </c>
      <c r="AG4878" s="7"/>
      <c r="AH4878" s="7"/>
      <c r="AI4878" s="7"/>
      <c r="AJ4878" s="7"/>
      <c r="AK4878" s="7"/>
      <c r="AL4878" s="7"/>
      <c r="AM4878" s="7"/>
      <c r="AN4878" s="7"/>
      <c r="AO4878" s="7"/>
      <c r="AP4878" s="7"/>
      <c r="AQ4878" s="7"/>
      <c r="AR4878" s="7"/>
      <c r="AS4878" s="7" t="s">
        <v>22</v>
      </c>
    </row>
    <row r="4879">
      <c r="A4879" s="7" t="s">
        <v>33</v>
      </c>
      <c r="B4879" s="7" t="s">
        <v>2946</v>
      </c>
      <c r="C4879" s="7">
        <f t="shared" si="688"/>
        <v>4</v>
      </c>
      <c r="D4879" s="7">
        <v>3.0</v>
      </c>
      <c r="E4879" s="7">
        <v>2.0</v>
      </c>
      <c r="F4879" s="7" t="s">
        <v>83</v>
      </c>
      <c r="G4879" s="7" t="s">
        <v>2947</v>
      </c>
      <c r="H4879" s="9" t="s">
        <v>2979</v>
      </c>
      <c r="I4879" t="s">
        <v>4624</v>
      </c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  <c r="AA4879" s="7"/>
      <c r="AB4879" s="7"/>
      <c r="AC4879" s="7"/>
      <c r="AD4879" s="7" t="str">
        <f t="shared" si="1"/>
        <v>Built-up :</v>
      </c>
      <c r="AE4879" s="7" t="str">
        <f t="shared" si="2"/>
        <v> sq. ft.</v>
      </c>
      <c r="AF4879">
        <f>IFERROR(__xludf.DUMMYFUNCTION("VALUE(REGEXREPLACE(G4879,""[^[:digit:]]"", """"))"),1498.0)</f>
        <v>1498</v>
      </c>
      <c r="AG4879" s="7"/>
      <c r="AH4879" s="7"/>
      <c r="AI4879" s="7"/>
      <c r="AJ4879" s="7"/>
      <c r="AK4879" s="7"/>
      <c r="AL4879" s="7"/>
      <c r="AM4879" s="7"/>
      <c r="AN4879" s="7"/>
      <c r="AO4879" s="7"/>
      <c r="AP4879" s="7"/>
      <c r="AQ4879" s="7"/>
      <c r="AR4879" s="7"/>
      <c r="AS4879" s="7" t="s">
        <v>27</v>
      </c>
    </row>
    <row r="4880">
      <c r="A4880" s="7" t="s">
        <v>33</v>
      </c>
      <c r="B4880" s="7" t="s">
        <v>575</v>
      </c>
      <c r="C4880" s="7">
        <f t="shared" si="688"/>
        <v>4</v>
      </c>
      <c r="D4880" s="7">
        <v>3.0</v>
      </c>
      <c r="E4880" s="7">
        <v>2.0</v>
      </c>
      <c r="F4880" s="7" t="s">
        <v>30</v>
      </c>
      <c r="G4880" s="7" t="s">
        <v>2948</v>
      </c>
      <c r="H4880" s="9" t="s">
        <v>2979</v>
      </c>
      <c r="I4880" t="s">
        <v>4625</v>
      </c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  <c r="AA4880" s="7"/>
      <c r="AB4880" s="7"/>
      <c r="AC4880" s="7"/>
      <c r="AD4880" s="7" t="str">
        <f t="shared" si="1"/>
        <v>Built-up :</v>
      </c>
      <c r="AE4880" s="7" t="str">
        <f t="shared" si="2"/>
        <v> sq. ft.</v>
      </c>
      <c r="AF4880">
        <f>IFERROR(__xludf.DUMMYFUNCTION("VALUE(REGEXREPLACE(G4880,""[^[:digit:]]"", """"))"),1263.0)</f>
        <v>1263</v>
      </c>
      <c r="AG4880" s="7"/>
      <c r="AH4880" s="7"/>
      <c r="AI4880" s="7"/>
      <c r="AJ4880" s="7"/>
      <c r="AK4880" s="7"/>
      <c r="AL4880" s="7"/>
      <c r="AM4880" s="7"/>
      <c r="AN4880" s="7"/>
      <c r="AO4880" s="7"/>
      <c r="AP4880" s="7"/>
      <c r="AQ4880" s="7"/>
      <c r="AR4880" s="7"/>
      <c r="AS4880" s="7" t="s">
        <v>27</v>
      </c>
    </row>
    <row r="4881">
      <c r="A4881" s="7" t="s">
        <v>17</v>
      </c>
      <c r="B4881" s="7" t="s">
        <v>243</v>
      </c>
      <c r="C4881" s="7">
        <f>2+1</f>
        <v>3</v>
      </c>
      <c r="D4881" s="7">
        <v>3.0</v>
      </c>
      <c r="E4881" s="7">
        <v>1.0</v>
      </c>
      <c r="F4881" s="7" t="s">
        <v>20</v>
      </c>
      <c r="G4881" s="7" t="s">
        <v>1505</v>
      </c>
      <c r="H4881" s="9" t="s">
        <v>2979</v>
      </c>
      <c r="I4881" t="s">
        <v>3750</v>
      </c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  <c r="AA4881" s="7"/>
      <c r="AB4881" s="7"/>
      <c r="AC4881" s="7"/>
      <c r="AD4881" s="7" t="str">
        <f t="shared" si="1"/>
        <v>Built-up :</v>
      </c>
      <c r="AE4881" s="7" t="str">
        <f t="shared" si="2"/>
        <v> sq. ft.</v>
      </c>
      <c r="AF4881">
        <f>IFERROR(__xludf.DUMMYFUNCTION("VALUE(REGEXREPLACE(G4881,""[^[:digit:]]"", """"))"),1281.0)</f>
        <v>1281</v>
      </c>
      <c r="AG4881" s="7"/>
      <c r="AH4881" s="7"/>
      <c r="AI4881" s="7"/>
      <c r="AJ4881" s="7"/>
      <c r="AK4881" s="7"/>
      <c r="AL4881" s="7"/>
      <c r="AM4881" s="7"/>
      <c r="AN4881" s="7"/>
      <c r="AO4881" s="7"/>
      <c r="AP4881" s="7"/>
      <c r="AQ4881" s="7"/>
      <c r="AR4881" s="7"/>
      <c r="AS4881" s="7" t="s">
        <v>22</v>
      </c>
    </row>
    <row r="4882">
      <c r="A4882" s="7" t="s">
        <v>33</v>
      </c>
      <c r="B4882" s="7" t="s">
        <v>975</v>
      </c>
      <c r="E4882" s="9">
        <v>2.0</v>
      </c>
      <c r="F4882" s="7" t="s">
        <v>83</v>
      </c>
      <c r="G4882" s="7" t="s">
        <v>2949</v>
      </c>
      <c r="H4882" s="9" t="s">
        <v>2979</v>
      </c>
      <c r="I4882" t="s">
        <v>4626</v>
      </c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  <c r="AA4882" s="7"/>
      <c r="AB4882" s="7"/>
      <c r="AC4882" s="7"/>
      <c r="AD4882" s="7" t="str">
        <f t="shared" si="1"/>
        <v>Built-up :</v>
      </c>
      <c r="AE4882" s="7" t="str">
        <f t="shared" si="2"/>
        <v> sq. ft.</v>
      </c>
      <c r="AF4882">
        <f>IFERROR(__xludf.DUMMYFUNCTION("VALUE(REGEXREPLACE(G4882,""[^[:digit:]]"", """"))"),1465.0)</f>
        <v>1465</v>
      </c>
      <c r="AG4882" s="7"/>
      <c r="AH4882" s="7"/>
      <c r="AI4882" s="7"/>
      <c r="AJ4882" s="7"/>
      <c r="AK4882" s="7"/>
      <c r="AL4882" s="7"/>
      <c r="AM4882" s="7"/>
      <c r="AN4882" s="7"/>
      <c r="AO4882" s="7"/>
      <c r="AP4882" s="7"/>
      <c r="AQ4882" s="7"/>
      <c r="AR4882" s="7"/>
    </row>
    <row r="4883">
      <c r="A4883" s="7" t="s">
        <v>37</v>
      </c>
      <c r="B4883" s="7" t="s">
        <v>398</v>
      </c>
      <c r="C4883" s="7">
        <f>3</f>
        <v>3</v>
      </c>
      <c r="D4883" s="7">
        <v>2.0</v>
      </c>
      <c r="E4883" s="9">
        <v>2.0</v>
      </c>
      <c r="F4883" s="7" t="s">
        <v>1378</v>
      </c>
      <c r="G4883" s="7" t="s">
        <v>2950</v>
      </c>
      <c r="H4883" s="9" t="s">
        <v>2981</v>
      </c>
      <c r="I4883" t="s">
        <v>4627</v>
      </c>
      <c r="J4883" s="7"/>
      <c r="K4883" s="7"/>
      <c r="L4883" s="7"/>
      <c r="M4883" s="7"/>
      <c r="N4883" s="7"/>
      <c r="O4883" s="7"/>
      <c r="P4883" s="7"/>
      <c r="Q4883" s="7"/>
      <c r="R4883" s="7"/>
      <c r="S4883" s="7" t="s">
        <v>2993</v>
      </c>
      <c r="T4883" s="7"/>
      <c r="U4883" s="7"/>
      <c r="V4883" s="7"/>
      <c r="W4883" s="7"/>
      <c r="X4883" s="7"/>
      <c r="Y4883" s="7"/>
      <c r="Z4883" s="7"/>
      <c r="AA4883" s="7"/>
      <c r="AB4883" s="7"/>
      <c r="AC4883" s="7"/>
      <c r="AD4883" s="7" t="str">
        <f t="shared" si="1"/>
        <v>Land area </v>
      </c>
      <c r="AE4883" s="7" t="str">
        <f t="shared" si="2"/>
        <v> sq. ft.</v>
      </c>
      <c r="AF4883">
        <f>IFERROR(__xludf.DUMMYFUNCTION("VALUE(REGEXREPLACE(G4883,""[^[:digit:]]"", """"))"),4480.0)</f>
        <v>4480</v>
      </c>
      <c r="AG4883" s="7"/>
      <c r="AH4883" s="7"/>
      <c r="AI4883" s="7"/>
      <c r="AJ4883" s="7"/>
      <c r="AK4883" s="7"/>
      <c r="AL4883" s="7"/>
      <c r="AM4883" s="7"/>
      <c r="AN4883" s="7"/>
      <c r="AO4883" s="7"/>
      <c r="AP4883" s="7"/>
      <c r="AQ4883" s="7"/>
      <c r="AR4883" s="7"/>
      <c r="AS4883" s="7" t="s">
        <v>27</v>
      </c>
    </row>
    <row r="4884">
      <c r="A4884" s="7" t="s">
        <v>267</v>
      </c>
      <c r="B4884" s="7" t="s">
        <v>1559</v>
      </c>
      <c r="C4884" s="7">
        <f>2+1</f>
        <v>3</v>
      </c>
      <c r="D4884" s="7">
        <v>2.0</v>
      </c>
      <c r="E4884" s="7">
        <v>1.0</v>
      </c>
      <c r="F4884" s="7" t="s">
        <v>83</v>
      </c>
      <c r="G4884" s="7" t="s">
        <v>1273</v>
      </c>
      <c r="H4884" s="9" t="s">
        <v>2979</v>
      </c>
      <c r="I4884" t="s">
        <v>3615</v>
      </c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  <c r="AA4884" s="7"/>
      <c r="AB4884" s="7"/>
      <c r="AC4884" s="7"/>
      <c r="AD4884" s="7" t="str">
        <f t="shared" si="1"/>
        <v>Built-up :</v>
      </c>
      <c r="AE4884" s="7" t="str">
        <f t="shared" si="2"/>
        <v> sq. ft.</v>
      </c>
      <c r="AF4884">
        <f>IFERROR(__xludf.DUMMYFUNCTION("VALUE(REGEXREPLACE(G4884,""[^[:digit:]]"", """"))"),800.0)</f>
        <v>800</v>
      </c>
      <c r="AG4884" s="7"/>
      <c r="AH4884" s="7"/>
      <c r="AI4884" s="7"/>
      <c r="AJ4884" s="7"/>
      <c r="AK4884" s="7"/>
      <c r="AL4884" s="7"/>
      <c r="AM4884" s="7"/>
      <c r="AN4884" s="7"/>
      <c r="AO4884" s="7"/>
      <c r="AP4884" s="7"/>
      <c r="AQ4884" s="7"/>
      <c r="AR4884" s="7"/>
      <c r="AS4884" s="7" t="s">
        <v>27</v>
      </c>
    </row>
    <row r="4885">
      <c r="A4885" s="7" t="s">
        <v>100</v>
      </c>
      <c r="B4885" s="7" t="s">
        <v>563</v>
      </c>
      <c r="C4885" s="7" t="s">
        <v>325</v>
      </c>
      <c r="D4885" s="7">
        <v>2.0</v>
      </c>
      <c r="E4885" s="7">
        <v>1.0</v>
      </c>
      <c r="F4885" s="7" t="s">
        <v>121</v>
      </c>
      <c r="G4885" s="7" t="s">
        <v>2487</v>
      </c>
      <c r="H4885" s="9" t="s">
        <v>2979</v>
      </c>
      <c r="I4885" t="s">
        <v>4347</v>
      </c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  <c r="AA4885" s="7"/>
      <c r="AB4885" s="7"/>
      <c r="AC4885" s="7"/>
      <c r="AD4885" s="7" t="str">
        <f t="shared" si="1"/>
        <v>Built-up :</v>
      </c>
      <c r="AE4885" s="7" t="str">
        <f t="shared" si="2"/>
        <v> sq. ft.</v>
      </c>
      <c r="AF4885">
        <f>IFERROR(__xludf.DUMMYFUNCTION("VALUE(REGEXREPLACE(G4885,""[^[:digit:]]"", """"))"),716.0)</f>
        <v>716</v>
      </c>
      <c r="AG4885" s="7"/>
      <c r="AH4885" s="7"/>
      <c r="AI4885" s="7"/>
      <c r="AJ4885" s="7"/>
      <c r="AK4885" s="7"/>
      <c r="AL4885" s="7"/>
      <c r="AM4885" s="7"/>
      <c r="AN4885" s="7"/>
      <c r="AO4885" s="7"/>
      <c r="AP4885" s="7"/>
      <c r="AQ4885" s="7"/>
      <c r="AR4885" s="7"/>
      <c r="AS4885" s="7" t="s">
        <v>22</v>
      </c>
    </row>
    <row r="4886">
      <c r="A4886" s="7" t="s">
        <v>1315</v>
      </c>
      <c r="B4886" s="7" t="s">
        <v>78</v>
      </c>
      <c r="C4886" s="7">
        <f>10</f>
        <v>10</v>
      </c>
      <c r="D4886" s="7">
        <v>9.0</v>
      </c>
      <c r="E4886" s="7">
        <v>6.0</v>
      </c>
      <c r="F4886" s="7" t="s">
        <v>25</v>
      </c>
      <c r="G4886" s="7" t="s">
        <v>2673</v>
      </c>
      <c r="H4886" s="9" t="s">
        <v>2981</v>
      </c>
      <c r="I4886" t="s">
        <v>4459</v>
      </c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  <c r="AA4886" s="7"/>
      <c r="AB4886" s="7"/>
      <c r="AC4886" s="7"/>
      <c r="AD4886" s="7" t="str">
        <f t="shared" si="1"/>
        <v>Land area </v>
      </c>
      <c r="AE4886" s="7" t="str">
        <f t="shared" si="2"/>
        <v> sq. ft.</v>
      </c>
      <c r="AF4886">
        <f>IFERROR(__xludf.DUMMYFUNCTION("VALUE(REGEXREPLACE(G4886,""[^[:digit:]]"", """"))"),4700.0)</f>
        <v>4700</v>
      </c>
      <c r="AG4886" s="7"/>
      <c r="AH4886" s="7"/>
      <c r="AI4886" s="7"/>
      <c r="AJ4886" s="7"/>
      <c r="AK4886" s="7"/>
      <c r="AL4886" s="7"/>
      <c r="AM4886" s="7"/>
      <c r="AN4886" s="7"/>
      <c r="AO4886" s="7"/>
      <c r="AP4886" s="7"/>
      <c r="AQ4886" s="7"/>
      <c r="AR4886" s="7"/>
      <c r="AS4886" s="7" t="s">
        <v>103</v>
      </c>
    </row>
    <row r="4887">
      <c r="A4887" s="7" t="s">
        <v>72</v>
      </c>
      <c r="B4887" s="7" t="s">
        <v>221</v>
      </c>
      <c r="C4887" s="7">
        <f>1</f>
        <v>1</v>
      </c>
      <c r="D4887" s="7">
        <v>1.0</v>
      </c>
      <c r="E4887" s="7">
        <v>1.0</v>
      </c>
      <c r="F4887" s="7" t="s">
        <v>82</v>
      </c>
      <c r="G4887" s="7" t="s">
        <v>753</v>
      </c>
      <c r="H4887" s="9" t="s">
        <v>2979</v>
      </c>
      <c r="I4887" t="s">
        <v>3319</v>
      </c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  <c r="AA4887" s="7"/>
      <c r="AB4887" s="7"/>
      <c r="AC4887" s="7"/>
      <c r="AD4887" s="7" t="str">
        <f t="shared" si="1"/>
        <v>Built-up :</v>
      </c>
      <c r="AE4887" s="7" t="str">
        <f t="shared" si="2"/>
        <v> sq. ft.</v>
      </c>
      <c r="AF4887">
        <f>IFERROR(__xludf.DUMMYFUNCTION("VALUE(REGEXREPLACE(G4887,""[^[:digit:]]"", """"))"),743.0)</f>
        <v>743</v>
      </c>
      <c r="AG4887" s="7"/>
      <c r="AH4887" s="7"/>
      <c r="AI4887" s="7"/>
      <c r="AJ4887" s="7"/>
      <c r="AK4887" s="7"/>
      <c r="AL4887" s="7"/>
      <c r="AM4887" s="7"/>
      <c r="AN4887" s="7"/>
      <c r="AO4887" s="7"/>
      <c r="AP4887" s="7"/>
      <c r="AQ4887" s="7"/>
      <c r="AR4887" s="7"/>
      <c r="AS4887" s="7" t="s">
        <v>22</v>
      </c>
    </row>
    <row r="4888">
      <c r="A4888" s="7" t="s">
        <v>267</v>
      </c>
      <c r="B4888" s="7" t="s">
        <v>78</v>
      </c>
      <c r="C4888" s="7">
        <f>6</f>
        <v>6</v>
      </c>
      <c r="D4888" s="7">
        <v>4.0</v>
      </c>
      <c r="E4888" s="7">
        <v>2.0</v>
      </c>
      <c r="F4888" s="7" t="s">
        <v>30</v>
      </c>
      <c r="G4888" s="7" t="s">
        <v>307</v>
      </c>
      <c r="H4888" s="9" t="s">
        <v>2979</v>
      </c>
      <c r="I4888" t="s">
        <v>3102</v>
      </c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  <c r="AA4888" s="7"/>
      <c r="AB4888" s="7"/>
      <c r="AC4888" s="7"/>
      <c r="AD4888" s="7" t="str">
        <f t="shared" si="1"/>
        <v>Built-up :</v>
      </c>
      <c r="AE4888" s="7" t="str">
        <f t="shared" si="2"/>
        <v> sq. ft.</v>
      </c>
      <c r="AF4888">
        <f>IFERROR(__xludf.DUMMYFUNCTION("VALUE(REGEXREPLACE(G4888,""[^[:digit:]]"", """"))"),2500.0)</f>
        <v>2500</v>
      </c>
      <c r="AG4888" s="7"/>
      <c r="AH4888" s="7"/>
      <c r="AI4888" s="7"/>
      <c r="AJ4888" s="7"/>
      <c r="AK4888" s="7"/>
      <c r="AL4888" s="7"/>
      <c r="AM4888" s="7"/>
      <c r="AN4888" s="7"/>
      <c r="AO4888" s="7"/>
      <c r="AP4888" s="7"/>
      <c r="AQ4888" s="7"/>
      <c r="AR4888" s="7"/>
      <c r="AS4888" s="7" t="s">
        <v>22</v>
      </c>
    </row>
    <row r="4889">
      <c r="A4889" s="7" t="s">
        <v>72</v>
      </c>
      <c r="B4889" s="7" t="s">
        <v>886</v>
      </c>
      <c r="C4889" s="7">
        <f t="shared" ref="C4889:C4890" si="689">1</f>
        <v>1</v>
      </c>
      <c r="D4889" s="7">
        <v>1.0</v>
      </c>
      <c r="E4889" s="7">
        <v>2.0</v>
      </c>
      <c r="F4889" s="7" t="s">
        <v>121</v>
      </c>
      <c r="G4889" s="7" t="s">
        <v>1127</v>
      </c>
      <c r="H4889" s="9" t="s">
        <v>2979</v>
      </c>
      <c r="I4889" t="s">
        <v>3521</v>
      </c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  <c r="AA4889" s="7"/>
      <c r="AB4889" s="7"/>
      <c r="AC4889" s="7"/>
      <c r="AD4889" s="7" t="str">
        <f t="shared" si="1"/>
        <v>Built-up :</v>
      </c>
      <c r="AE4889" s="7" t="str">
        <f t="shared" si="2"/>
        <v> sq. ft.</v>
      </c>
      <c r="AF4889">
        <f>IFERROR(__xludf.DUMMYFUNCTION("VALUE(REGEXREPLACE(G4889,""[^[:digit:]]"", """"))"),672.0)</f>
        <v>672</v>
      </c>
      <c r="AG4889" s="7"/>
      <c r="AH4889" s="7"/>
      <c r="AI4889" s="7"/>
      <c r="AJ4889" s="7"/>
      <c r="AK4889" s="7"/>
      <c r="AL4889" s="7"/>
      <c r="AM4889" s="7"/>
      <c r="AN4889" s="7"/>
      <c r="AO4889" s="7"/>
      <c r="AP4889" s="7"/>
      <c r="AQ4889" s="7"/>
      <c r="AR4889" s="7"/>
      <c r="AS4889" s="7" t="s">
        <v>22</v>
      </c>
    </row>
    <row r="4890">
      <c r="A4890" s="7" t="s">
        <v>428</v>
      </c>
      <c r="B4890" s="7" t="s">
        <v>134</v>
      </c>
      <c r="C4890" s="7">
        <f t="shared" si="689"/>
        <v>1</v>
      </c>
      <c r="D4890" s="7">
        <v>1.0</v>
      </c>
      <c r="E4890" s="7">
        <v>1.0</v>
      </c>
      <c r="F4890" s="7" t="s">
        <v>20</v>
      </c>
      <c r="G4890" s="7" t="s">
        <v>880</v>
      </c>
      <c r="H4890" s="9" t="s">
        <v>2979</v>
      </c>
      <c r="I4890" t="s">
        <v>3267</v>
      </c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  <c r="AA4890" s="7"/>
      <c r="AB4890" s="7"/>
      <c r="AC4890" s="7"/>
      <c r="AD4890" s="7" t="str">
        <f t="shared" si="1"/>
        <v>Built-up :</v>
      </c>
      <c r="AE4890" s="7" t="str">
        <f t="shared" si="2"/>
        <v> sq. ft.</v>
      </c>
      <c r="AF4890">
        <f>IFERROR(__xludf.DUMMYFUNCTION("VALUE(REGEXREPLACE(G4890,""[^[:digit:]]"", """"))"),910.0)</f>
        <v>910</v>
      </c>
      <c r="AG4890" s="7"/>
      <c r="AH4890" s="7"/>
      <c r="AI4890" s="7"/>
      <c r="AJ4890" s="7"/>
      <c r="AK4890" s="7"/>
      <c r="AL4890" s="7"/>
      <c r="AM4890" s="7"/>
      <c r="AN4890" s="7"/>
      <c r="AO4890" s="7"/>
      <c r="AP4890" s="7"/>
      <c r="AQ4890" s="7"/>
      <c r="AR4890" s="7"/>
      <c r="AS4890" s="7" t="s">
        <v>22</v>
      </c>
    </row>
    <row r="4891">
      <c r="A4891" s="7" t="s">
        <v>358</v>
      </c>
      <c r="B4891" s="7" t="s">
        <v>1166</v>
      </c>
      <c r="C4891" s="7">
        <f>3+1</f>
        <v>4</v>
      </c>
      <c r="D4891" s="7">
        <v>3.0</v>
      </c>
      <c r="E4891" s="7">
        <v>2.0</v>
      </c>
      <c r="F4891" s="7" t="s">
        <v>83</v>
      </c>
      <c r="G4891" s="7" t="s">
        <v>334</v>
      </c>
      <c r="H4891" s="9" t="s">
        <v>2979</v>
      </c>
      <c r="I4891" t="s">
        <v>3112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  <c r="AA4891" s="7"/>
      <c r="AB4891" s="7"/>
      <c r="AC4891" s="7"/>
      <c r="AD4891" s="7" t="str">
        <f t="shared" si="1"/>
        <v>Built-up :</v>
      </c>
      <c r="AE4891" s="7" t="str">
        <f t="shared" si="2"/>
        <v> sq. ft.</v>
      </c>
      <c r="AF4891">
        <f>IFERROR(__xludf.DUMMYFUNCTION("VALUE(REGEXREPLACE(G4891,""[^[:digit:]]"", """"))"),1496.0)</f>
        <v>1496</v>
      </c>
      <c r="AG4891" s="7"/>
      <c r="AH4891" s="7"/>
      <c r="AI4891" s="7"/>
      <c r="AJ4891" s="7"/>
      <c r="AK4891" s="7"/>
      <c r="AL4891" s="7"/>
      <c r="AM4891" s="7"/>
      <c r="AN4891" s="7"/>
      <c r="AO4891" s="7"/>
      <c r="AP4891" s="7"/>
      <c r="AQ4891" s="7"/>
      <c r="AR4891" s="7"/>
    </row>
    <row r="4892">
      <c r="A4892" s="7" t="s">
        <v>32</v>
      </c>
      <c r="B4892" s="7" t="s">
        <v>1111</v>
      </c>
      <c r="C4892" s="7">
        <f t="shared" ref="C4892:C4895" si="690">3</f>
        <v>3</v>
      </c>
      <c r="D4892" s="7">
        <v>2.0</v>
      </c>
      <c r="E4892" s="9">
        <v>2.0</v>
      </c>
      <c r="F4892" s="7" t="s">
        <v>83</v>
      </c>
      <c r="G4892" s="7" t="s">
        <v>1273</v>
      </c>
      <c r="H4892" s="9" t="s">
        <v>2979</v>
      </c>
      <c r="I4892" t="s">
        <v>3615</v>
      </c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  <c r="AA4892" s="7"/>
      <c r="AB4892" s="7"/>
      <c r="AC4892" s="7"/>
      <c r="AD4892" s="7" t="str">
        <f t="shared" si="1"/>
        <v>Built-up :</v>
      </c>
      <c r="AE4892" s="7" t="str">
        <f t="shared" si="2"/>
        <v> sq. ft.</v>
      </c>
      <c r="AF4892">
        <f>IFERROR(__xludf.DUMMYFUNCTION("VALUE(REGEXREPLACE(G4892,""[^[:digit:]]"", """"))"),800.0)</f>
        <v>800</v>
      </c>
      <c r="AG4892" s="7"/>
      <c r="AH4892" s="7"/>
      <c r="AI4892" s="7"/>
      <c r="AJ4892" s="7"/>
      <c r="AK4892" s="7"/>
      <c r="AL4892" s="7"/>
      <c r="AM4892" s="7"/>
      <c r="AN4892" s="7"/>
      <c r="AO4892" s="7"/>
      <c r="AP4892" s="7"/>
      <c r="AQ4892" s="7"/>
      <c r="AR4892" s="7"/>
      <c r="AS4892" s="7" t="s">
        <v>103</v>
      </c>
    </row>
    <row r="4893">
      <c r="A4893" s="7" t="s">
        <v>28</v>
      </c>
      <c r="B4893" s="7" t="s">
        <v>890</v>
      </c>
      <c r="C4893" s="7">
        <f t="shared" si="690"/>
        <v>3</v>
      </c>
      <c r="D4893" s="7">
        <v>2.0</v>
      </c>
      <c r="E4893" s="7">
        <v>1.0</v>
      </c>
      <c r="F4893" s="7" t="s">
        <v>83</v>
      </c>
      <c r="G4893" s="7" t="s">
        <v>734</v>
      </c>
      <c r="H4893" s="9" t="s">
        <v>2979</v>
      </c>
      <c r="I4893" t="s">
        <v>3308</v>
      </c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  <c r="AA4893" s="7"/>
      <c r="AB4893" s="7"/>
      <c r="AC4893" s="7"/>
      <c r="AD4893" s="7" t="str">
        <f t="shared" si="1"/>
        <v>Built-up :</v>
      </c>
      <c r="AE4893" s="7" t="str">
        <f t="shared" si="2"/>
        <v> sq. ft.</v>
      </c>
      <c r="AF4893">
        <f>IFERROR(__xludf.DUMMYFUNCTION("VALUE(REGEXREPLACE(G4893,""[^[:digit:]]"", """"))"),1100.0)</f>
        <v>1100</v>
      </c>
      <c r="AG4893" s="7"/>
      <c r="AH4893" s="7"/>
      <c r="AI4893" s="7"/>
      <c r="AJ4893" s="7"/>
      <c r="AK4893" s="7"/>
      <c r="AL4893" s="7"/>
      <c r="AM4893" s="7"/>
      <c r="AN4893" s="7"/>
      <c r="AO4893" s="7"/>
      <c r="AP4893" s="7"/>
      <c r="AQ4893" s="7"/>
      <c r="AR4893" s="7"/>
      <c r="AS4893" s="7" t="s">
        <v>27</v>
      </c>
    </row>
    <row r="4894">
      <c r="A4894" s="7" t="s">
        <v>100</v>
      </c>
      <c r="B4894" s="7" t="s">
        <v>809</v>
      </c>
      <c r="C4894" s="7">
        <f t="shared" si="690"/>
        <v>3</v>
      </c>
      <c r="D4894" s="7">
        <v>2.0</v>
      </c>
      <c r="E4894" s="7">
        <v>2.0</v>
      </c>
      <c r="F4894" s="7" t="s">
        <v>30</v>
      </c>
      <c r="G4894" s="7" t="s">
        <v>2951</v>
      </c>
      <c r="H4894" s="9" t="s">
        <v>2981</v>
      </c>
      <c r="I4894" t="s">
        <v>4628</v>
      </c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  <c r="AA4894" s="7"/>
      <c r="AB4894" s="7"/>
      <c r="AC4894" s="7"/>
      <c r="AD4894" s="7" t="str">
        <f t="shared" si="1"/>
        <v>Land area </v>
      </c>
      <c r="AE4894" s="7" t="str">
        <f t="shared" si="2"/>
        <v> sq. ft.</v>
      </c>
      <c r="AF4894">
        <f>IFERROR(__xludf.DUMMYFUNCTION("VALUE(REGEXREPLACE(G4894,""[^[:digit:]]"", """"))"),1168.0)</f>
        <v>1168</v>
      </c>
      <c r="AG4894" s="7"/>
      <c r="AH4894" s="7"/>
      <c r="AI4894" s="7"/>
      <c r="AJ4894" s="7"/>
      <c r="AK4894" s="7"/>
      <c r="AL4894" s="7"/>
      <c r="AM4894" s="7"/>
      <c r="AN4894" s="7"/>
      <c r="AO4894" s="7"/>
      <c r="AP4894" s="7"/>
      <c r="AQ4894" s="7"/>
      <c r="AR4894" s="7"/>
      <c r="AS4894" s="7" t="s">
        <v>22</v>
      </c>
    </row>
    <row r="4895">
      <c r="A4895" s="7" t="s">
        <v>2237</v>
      </c>
      <c r="B4895" s="7" t="s">
        <v>2665</v>
      </c>
      <c r="C4895" s="7">
        <f t="shared" si="690"/>
        <v>3</v>
      </c>
      <c r="D4895" s="7">
        <v>2.0</v>
      </c>
      <c r="E4895" s="9">
        <v>2.0</v>
      </c>
      <c r="F4895" s="7" t="s">
        <v>50</v>
      </c>
      <c r="G4895" s="7" t="s">
        <v>1155</v>
      </c>
      <c r="H4895" s="9" t="s">
        <v>2979</v>
      </c>
      <c r="I4895" t="s">
        <v>3544</v>
      </c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  <c r="AA4895" s="7"/>
      <c r="AB4895" s="7"/>
      <c r="AC4895" s="7"/>
      <c r="AD4895" s="7" t="str">
        <f t="shared" si="1"/>
        <v>Built-up :</v>
      </c>
      <c r="AE4895" s="7" t="str">
        <f t="shared" si="2"/>
        <v> sq. ft.</v>
      </c>
      <c r="AF4895">
        <f>IFERROR(__xludf.DUMMYFUNCTION("VALUE(REGEXREPLACE(G4895,""[^[:digit:]]"", """"))"),783.0)</f>
        <v>783</v>
      </c>
      <c r="AG4895" s="7"/>
      <c r="AH4895" s="7"/>
      <c r="AI4895" s="7"/>
      <c r="AJ4895" s="7"/>
      <c r="AK4895" s="7"/>
      <c r="AL4895" s="7"/>
      <c r="AM4895" s="7"/>
      <c r="AN4895" s="7"/>
      <c r="AO4895" s="7"/>
      <c r="AP4895" s="7"/>
      <c r="AQ4895" s="7"/>
      <c r="AR4895" s="7"/>
      <c r="AS4895" s="7" t="s">
        <v>103</v>
      </c>
    </row>
    <row r="4896">
      <c r="A4896" s="7" t="s">
        <v>109</v>
      </c>
      <c r="B4896" s="7" t="s">
        <v>2865</v>
      </c>
      <c r="E4896" s="9">
        <v>2.0</v>
      </c>
      <c r="F4896" s="7" t="s">
        <v>83</v>
      </c>
      <c r="H4896" s="9" t="s">
        <v>2984</v>
      </c>
      <c r="I4896" t="s">
        <v>2985</v>
      </c>
      <c r="AD4896" s="7" t="str">
        <f t="shared" si="1"/>
        <v/>
      </c>
      <c r="AE4896" s="7" t="str">
        <f t="shared" si="2"/>
        <v/>
      </c>
      <c r="AF4896">
        <f>IFERROR(__xludf.DUMMYFUNCTION("VALUE(REGEXREPLACE(G4896,""[^[:digit:]]"", """"))"),0.0)</f>
        <v>0</v>
      </c>
    </row>
    <row r="4897">
      <c r="A4897" s="7" t="s">
        <v>28</v>
      </c>
      <c r="B4897" s="7" t="s">
        <v>130</v>
      </c>
      <c r="C4897" s="7">
        <f>5+1</f>
        <v>6</v>
      </c>
      <c r="D4897" s="7">
        <v>6.0</v>
      </c>
      <c r="E4897" s="9">
        <v>2.0</v>
      </c>
      <c r="F4897" s="7" t="s">
        <v>43</v>
      </c>
      <c r="G4897" s="7" t="s">
        <v>2952</v>
      </c>
      <c r="H4897" s="9" t="s">
        <v>2981</v>
      </c>
      <c r="I4897" t="s">
        <v>4152</v>
      </c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  <c r="AA4897" s="7"/>
      <c r="AB4897" s="7"/>
      <c r="AC4897" s="7"/>
      <c r="AD4897" s="7" t="str">
        <f t="shared" si="1"/>
        <v>Land area </v>
      </c>
      <c r="AE4897" s="7" t="str">
        <f t="shared" si="2"/>
        <v> sq. ft.</v>
      </c>
      <c r="AF4897">
        <f>IFERROR(__xludf.DUMMYFUNCTION("VALUE(REGEXREPLACE(G4897,""[^[:digit:]]"", """"))"),4400.0)</f>
        <v>4400</v>
      </c>
      <c r="AG4897" s="7"/>
      <c r="AH4897" s="7"/>
      <c r="AI4897" s="7"/>
      <c r="AJ4897" s="7"/>
      <c r="AK4897" s="7"/>
      <c r="AL4897" s="7"/>
      <c r="AM4897" s="7"/>
      <c r="AN4897" s="7"/>
      <c r="AO4897" s="7"/>
      <c r="AP4897" s="7"/>
      <c r="AQ4897" s="7"/>
      <c r="AR4897" s="7"/>
      <c r="AS4897" s="7" t="s">
        <v>27</v>
      </c>
    </row>
    <row r="4898">
      <c r="A4898" s="7" t="s">
        <v>428</v>
      </c>
      <c r="B4898" s="7" t="s">
        <v>245</v>
      </c>
      <c r="C4898" s="7">
        <f>1</f>
        <v>1</v>
      </c>
      <c r="D4898" s="7">
        <v>1.0</v>
      </c>
      <c r="E4898" s="7">
        <v>1.0</v>
      </c>
      <c r="F4898" s="7" t="s">
        <v>20</v>
      </c>
      <c r="G4898" s="7" t="s">
        <v>2560</v>
      </c>
      <c r="H4898" s="9" t="s">
        <v>2979</v>
      </c>
      <c r="I4898" t="s">
        <v>4394</v>
      </c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  <c r="AA4898" s="7"/>
      <c r="AB4898" s="7"/>
      <c r="AC4898" s="7"/>
      <c r="AD4898" s="7" t="str">
        <f t="shared" si="1"/>
        <v>Built-up :</v>
      </c>
      <c r="AE4898" s="7" t="str">
        <f t="shared" si="2"/>
        <v> sq. ft.</v>
      </c>
      <c r="AF4898">
        <f>IFERROR(__xludf.DUMMYFUNCTION("VALUE(REGEXREPLACE(G4898,""[^[:digit:]]"", """"))"),853.0)</f>
        <v>853</v>
      </c>
      <c r="AG4898" s="7"/>
      <c r="AH4898" s="7"/>
      <c r="AI4898" s="7"/>
      <c r="AJ4898" s="7"/>
      <c r="AK4898" s="7"/>
      <c r="AL4898" s="7"/>
      <c r="AM4898" s="7"/>
      <c r="AN4898" s="7"/>
      <c r="AO4898" s="7"/>
      <c r="AP4898" s="7"/>
      <c r="AQ4898" s="7"/>
      <c r="AR4898" s="7"/>
      <c r="AS4898" s="7" t="s">
        <v>22</v>
      </c>
    </row>
    <row r="4899">
      <c r="A4899" s="7" t="s">
        <v>33</v>
      </c>
      <c r="B4899" s="7" t="s">
        <v>349</v>
      </c>
      <c r="C4899" s="7">
        <f>3+1</f>
        <v>4</v>
      </c>
      <c r="D4899" s="7">
        <v>4.0</v>
      </c>
      <c r="E4899" s="7">
        <v>2.0</v>
      </c>
      <c r="F4899" s="7" t="s">
        <v>83</v>
      </c>
      <c r="G4899" s="7" t="s">
        <v>404</v>
      </c>
      <c r="H4899" s="9" t="s">
        <v>2979</v>
      </c>
      <c r="I4899" t="s">
        <v>3147</v>
      </c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  <c r="AA4899" s="7"/>
      <c r="AB4899" s="7"/>
      <c r="AC4899" s="7"/>
      <c r="AD4899" s="7" t="str">
        <f t="shared" si="1"/>
        <v>Built-up :</v>
      </c>
      <c r="AE4899" s="7" t="str">
        <f t="shared" si="2"/>
        <v> sq. ft.</v>
      </c>
      <c r="AF4899">
        <f>IFERROR(__xludf.DUMMYFUNCTION("VALUE(REGEXREPLACE(G4899,""[^[:digit:]]"", """"))"),1878.0)</f>
        <v>1878</v>
      </c>
      <c r="AG4899" s="7"/>
      <c r="AH4899" s="7"/>
      <c r="AI4899" s="7"/>
      <c r="AJ4899" s="7"/>
      <c r="AK4899" s="7"/>
      <c r="AL4899" s="7"/>
      <c r="AM4899" s="7"/>
      <c r="AN4899" s="7"/>
      <c r="AO4899" s="7"/>
      <c r="AP4899" s="7"/>
      <c r="AQ4899" s="7"/>
      <c r="AR4899" s="7"/>
      <c r="AS4899" s="7" t="s">
        <v>27</v>
      </c>
    </row>
    <row r="4900">
      <c r="A4900" s="7" t="s">
        <v>358</v>
      </c>
      <c r="B4900" s="7" t="s">
        <v>139</v>
      </c>
      <c r="C4900" s="7">
        <f>3</f>
        <v>3</v>
      </c>
      <c r="D4900" s="7">
        <v>3.0</v>
      </c>
      <c r="E4900" s="7">
        <v>2.0</v>
      </c>
      <c r="F4900" s="7" t="s">
        <v>83</v>
      </c>
      <c r="G4900" s="7" t="s">
        <v>2953</v>
      </c>
      <c r="H4900" s="9" t="s">
        <v>2979</v>
      </c>
      <c r="I4900" t="s">
        <v>4629</v>
      </c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  <c r="AA4900" s="7"/>
      <c r="AB4900" s="7"/>
      <c r="AC4900" s="7"/>
      <c r="AD4900" s="7" t="str">
        <f t="shared" si="1"/>
        <v>Built-up :</v>
      </c>
      <c r="AE4900" s="7" t="str">
        <f t="shared" si="2"/>
        <v> sq. ft.</v>
      </c>
      <c r="AF4900">
        <f>IFERROR(__xludf.DUMMYFUNCTION("VALUE(REGEXREPLACE(G4900,""[^[:digit:]]"", """"))"),1391.0)</f>
        <v>1391</v>
      </c>
      <c r="AG4900" s="7"/>
      <c r="AH4900" s="7"/>
      <c r="AI4900" s="7"/>
      <c r="AJ4900" s="7"/>
      <c r="AK4900" s="7"/>
      <c r="AL4900" s="7"/>
      <c r="AM4900" s="7"/>
      <c r="AN4900" s="7"/>
      <c r="AO4900" s="7"/>
      <c r="AP4900" s="7"/>
      <c r="AQ4900" s="7"/>
      <c r="AR4900" s="7"/>
      <c r="AS4900" s="7" t="s">
        <v>103</v>
      </c>
    </row>
    <row r="4901">
      <c r="A4901" s="7" t="s">
        <v>33</v>
      </c>
      <c r="B4901" s="7" t="s">
        <v>243</v>
      </c>
      <c r="C4901" s="7">
        <f>3+1</f>
        <v>4</v>
      </c>
      <c r="D4901" s="7">
        <v>2.0</v>
      </c>
      <c r="E4901" s="7">
        <v>2.0</v>
      </c>
      <c r="F4901" s="7" t="s">
        <v>83</v>
      </c>
      <c r="G4901" s="7" t="s">
        <v>2087</v>
      </c>
      <c r="H4901" s="9" t="s">
        <v>2979</v>
      </c>
      <c r="I4901" t="s">
        <v>4103</v>
      </c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  <c r="AA4901" s="7"/>
      <c r="AB4901" s="7"/>
      <c r="AC4901" s="7"/>
      <c r="AD4901" s="7" t="str">
        <f t="shared" si="1"/>
        <v>Built-up :</v>
      </c>
      <c r="AE4901" s="7" t="str">
        <f t="shared" si="2"/>
        <v> sq. ft.</v>
      </c>
      <c r="AF4901">
        <f>IFERROR(__xludf.DUMMYFUNCTION("VALUE(REGEXREPLACE(G4901,""[^[:digit:]]"", """"))"),1678.0)</f>
        <v>1678</v>
      </c>
      <c r="AG4901" s="7"/>
      <c r="AH4901" s="7"/>
      <c r="AI4901" s="7"/>
      <c r="AJ4901" s="7"/>
      <c r="AK4901" s="7"/>
      <c r="AL4901" s="7"/>
      <c r="AM4901" s="7"/>
      <c r="AN4901" s="7"/>
      <c r="AO4901" s="7"/>
      <c r="AP4901" s="7"/>
      <c r="AQ4901" s="7"/>
      <c r="AR4901" s="7"/>
      <c r="AS4901" s="7" t="s">
        <v>27</v>
      </c>
    </row>
    <row r="4902">
      <c r="A4902" s="7" t="s">
        <v>32</v>
      </c>
      <c r="B4902" s="7" t="s">
        <v>1044</v>
      </c>
      <c r="C4902" s="7">
        <f t="shared" ref="C4902:C4903" si="691">4</f>
        <v>4</v>
      </c>
      <c r="D4902" s="7">
        <v>4.0</v>
      </c>
      <c r="E4902" s="7">
        <v>2.0</v>
      </c>
      <c r="F4902" s="7" t="s">
        <v>83</v>
      </c>
      <c r="G4902" s="7" t="s">
        <v>2793</v>
      </c>
      <c r="H4902" s="9" t="s">
        <v>2979</v>
      </c>
      <c r="I4902" t="s">
        <v>4536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  <c r="AA4902" s="7"/>
      <c r="AB4902" s="7"/>
      <c r="AC4902" s="7"/>
      <c r="AD4902" s="7" t="str">
        <f t="shared" si="1"/>
        <v>Built-up :</v>
      </c>
      <c r="AE4902" s="7" t="str">
        <f t="shared" si="2"/>
        <v> sq. ft.</v>
      </c>
      <c r="AF4902">
        <f>IFERROR(__xludf.DUMMYFUNCTION("VALUE(REGEXREPLACE(G4902,""[^[:digit:]]"", """"))"),1675.0)</f>
        <v>1675</v>
      </c>
      <c r="AG4902" s="7"/>
      <c r="AH4902" s="7"/>
      <c r="AI4902" s="7"/>
      <c r="AJ4902" s="7"/>
      <c r="AK4902" s="7"/>
      <c r="AL4902" s="7"/>
      <c r="AM4902" s="7"/>
      <c r="AN4902" s="7"/>
      <c r="AO4902" s="7"/>
      <c r="AP4902" s="7"/>
      <c r="AQ4902" s="7"/>
      <c r="AR4902" s="7"/>
      <c r="AS4902" s="7" t="s">
        <v>27</v>
      </c>
    </row>
    <row r="4903">
      <c r="A4903" s="7" t="s">
        <v>171</v>
      </c>
      <c r="B4903" s="7" t="s">
        <v>361</v>
      </c>
      <c r="C4903" s="7">
        <f t="shared" si="691"/>
        <v>4</v>
      </c>
      <c r="D4903" s="7">
        <v>2.0</v>
      </c>
      <c r="E4903" s="7">
        <v>3.0</v>
      </c>
      <c r="F4903" s="7" t="s">
        <v>83</v>
      </c>
      <c r="G4903" s="7" t="s">
        <v>1068</v>
      </c>
      <c r="H4903" s="9" t="s">
        <v>2979</v>
      </c>
      <c r="I4903" t="s">
        <v>3487</v>
      </c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  <c r="AA4903" s="7"/>
      <c r="AB4903" s="7"/>
      <c r="AC4903" s="7"/>
      <c r="AD4903" s="7" t="str">
        <f t="shared" si="1"/>
        <v>Built-up :</v>
      </c>
      <c r="AE4903" s="7" t="str">
        <f t="shared" si="2"/>
        <v> sq. ft.</v>
      </c>
      <c r="AF4903">
        <f>IFERROR(__xludf.DUMMYFUNCTION("VALUE(REGEXREPLACE(G4903,""[^[:digit:]]"", """"))"),1333.0)</f>
        <v>1333</v>
      </c>
      <c r="AG4903" s="7"/>
      <c r="AH4903" s="7"/>
      <c r="AI4903" s="7"/>
      <c r="AJ4903" s="7"/>
      <c r="AK4903" s="7"/>
      <c r="AL4903" s="7"/>
      <c r="AM4903" s="7"/>
      <c r="AN4903" s="7"/>
      <c r="AO4903" s="7"/>
      <c r="AP4903" s="7"/>
      <c r="AQ4903" s="7"/>
      <c r="AR4903" s="7"/>
      <c r="AS4903" s="7" t="s">
        <v>27</v>
      </c>
    </row>
    <row r="4904">
      <c r="A4904" s="7" t="s">
        <v>171</v>
      </c>
      <c r="B4904" s="7" t="s">
        <v>1659</v>
      </c>
      <c r="C4904" s="7">
        <f t="shared" ref="C4904:C4905" si="692">3</f>
        <v>3</v>
      </c>
      <c r="D4904" s="7">
        <v>2.0</v>
      </c>
      <c r="E4904" s="7">
        <v>2.0</v>
      </c>
      <c r="F4904" s="7" t="s">
        <v>83</v>
      </c>
      <c r="G4904" s="7" t="s">
        <v>192</v>
      </c>
      <c r="H4904" s="9" t="s">
        <v>2979</v>
      </c>
      <c r="I4904" t="s">
        <v>3045</v>
      </c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  <c r="AA4904" s="7"/>
      <c r="AB4904" s="7"/>
      <c r="AC4904" s="7"/>
      <c r="AD4904" s="7" t="str">
        <f t="shared" si="1"/>
        <v>Built-up :</v>
      </c>
      <c r="AE4904" s="7" t="str">
        <f t="shared" si="2"/>
        <v> sq. ft.</v>
      </c>
      <c r="AF4904">
        <f>IFERROR(__xludf.DUMMYFUNCTION("VALUE(REGEXREPLACE(G4904,""[^[:digit:]]"", """"))"),1313.0)</f>
        <v>1313</v>
      </c>
      <c r="AG4904" s="7"/>
      <c r="AH4904" s="7"/>
      <c r="AI4904" s="7"/>
      <c r="AJ4904" s="7"/>
      <c r="AK4904" s="7"/>
      <c r="AL4904" s="7"/>
      <c r="AM4904" s="7"/>
      <c r="AN4904" s="7"/>
      <c r="AO4904" s="7"/>
      <c r="AP4904" s="7"/>
      <c r="AQ4904" s="7"/>
      <c r="AR4904" s="7"/>
      <c r="AS4904" s="7" t="s">
        <v>27</v>
      </c>
    </row>
    <row r="4905">
      <c r="A4905" s="7" t="s">
        <v>171</v>
      </c>
      <c r="B4905" s="7" t="s">
        <v>201</v>
      </c>
      <c r="C4905" s="7">
        <f t="shared" si="692"/>
        <v>3</v>
      </c>
      <c r="D4905" s="7">
        <v>2.0</v>
      </c>
      <c r="E4905" s="7">
        <v>2.0</v>
      </c>
      <c r="F4905" s="7" t="s">
        <v>83</v>
      </c>
      <c r="G4905" s="7" t="s">
        <v>845</v>
      </c>
      <c r="H4905" s="9" t="s">
        <v>2979</v>
      </c>
      <c r="I4905" t="s">
        <v>3367</v>
      </c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  <c r="AA4905" s="7"/>
      <c r="AB4905" s="7"/>
      <c r="AC4905" s="7"/>
      <c r="AD4905" s="7" t="str">
        <f t="shared" si="1"/>
        <v>Built-up :</v>
      </c>
      <c r="AE4905" s="7" t="str">
        <f t="shared" si="2"/>
        <v> sq. ft.</v>
      </c>
      <c r="AF4905">
        <f>IFERROR(__xludf.DUMMYFUNCTION("VALUE(REGEXREPLACE(G4905,""[^[:digit:]]"", """"))"),1500.0)</f>
        <v>1500</v>
      </c>
      <c r="AG4905" s="7"/>
      <c r="AH4905" s="7"/>
      <c r="AI4905" s="7"/>
      <c r="AJ4905" s="7"/>
      <c r="AK4905" s="7"/>
      <c r="AL4905" s="7"/>
      <c r="AM4905" s="7"/>
      <c r="AN4905" s="7"/>
      <c r="AO4905" s="7"/>
      <c r="AP4905" s="7"/>
      <c r="AQ4905" s="7"/>
      <c r="AR4905" s="7"/>
      <c r="AS4905" s="7" t="s">
        <v>27</v>
      </c>
    </row>
    <row r="4906">
      <c r="A4906" s="7" t="s">
        <v>171</v>
      </c>
      <c r="B4906" s="7" t="s">
        <v>268</v>
      </c>
      <c r="C4906" s="7">
        <f>4</f>
        <v>4</v>
      </c>
      <c r="D4906" s="7">
        <v>2.0</v>
      </c>
      <c r="E4906" s="7">
        <v>3.0</v>
      </c>
      <c r="F4906" s="7" t="s">
        <v>83</v>
      </c>
      <c r="G4906" s="7" t="s">
        <v>1068</v>
      </c>
      <c r="H4906" s="9" t="s">
        <v>2979</v>
      </c>
      <c r="I4906" t="s">
        <v>3487</v>
      </c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  <c r="AA4906" s="7"/>
      <c r="AB4906" s="7"/>
      <c r="AC4906" s="7"/>
      <c r="AD4906" s="7" t="str">
        <f t="shared" si="1"/>
        <v>Built-up :</v>
      </c>
      <c r="AE4906" s="7" t="str">
        <f t="shared" si="2"/>
        <v> sq. ft.</v>
      </c>
      <c r="AF4906">
        <f>IFERROR(__xludf.DUMMYFUNCTION("VALUE(REGEXREPLACE(G4906,""[^[:digit:]]"", """"))"),1333.0)</f>
        <v>1333</v>
      </c>
      <c r="AG4906" s="7"/>
      <c r="AH4906" s="7"/>
      <c r="AI4906" s="7"/>
      <c r="AJ4906" s="7"/>
      <c r="AK4906" s="7"/>
      <c r="AL4906" s="7"/>
      <c r="AM4906" s="7"/>
      <c r="AN4906" s="7"/>
      <c r="AO4906" s="7"/>
      <c r="AP4906" s="7"/>
      <c r="AQ4906" s="7"/>
      <c r="AR4906" s="7"/>
      <c r="AS4906" s="7" t="s">
        <v>27</v>
      </c>
    </row>
    <row r="4907">
      <c r="A4907" s="7" t="s">
        <v>100</v>
      </c>
      <c r="B4907" s="7" t="s">
        <v>2106</v>
      </c>
      <c r="C4907" s="7">
        <f t="shared" ref="C4907:C4909" si="693">3</f>
        <v>3</v>
      </c>
      <c r="D4907" s="7">
        <v>2.0</v>
      </c>
      <c r="E4907" s="7">
        <v>1.0</v>
      </c>
      <c r="F4907" s="7" t="s">
        <v>83</v>
      </c>
      <c r="G4907" s="7" t="s">
        <v>2035</v>
      </c>
      <c r="H4907" s="9" t="s">
        <v>2979</v>
      </c>
      <c r="I4907" t="s">
        <v>4070</v>
      </c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  <c r="AA4907" s="7"/>
      <c r="AB4907" s="7"/>
      <c r="AC4907" s="7"/>
      <c r="AD4907" s="7" t="str">
        <f t="shared" si="1"/>
        <v>Built-up :</v>
      </c>
      <c r="AE4907" s="7" t="str">
        <f t="shared" si="2"/>
        <v> sq. ft.</v>
      </c>
      <c r="AF4907">
        <f>IFERROR(__xludf.DUMMYFUNCTION("VALUE(REGEXREPLACE(G4907,""[^[:digit:]]"", """"))"),1215.0)</f>
        <v>1215</v>
      </c>
      <c r="AG4907" s="7"/>
      <c r="AH4907" s="7"/>
      <c r="AI4907" s="7"/>
      <c r="AJ4907" s="7"/>
      <c r="AK4907" s="7"/>
      <c r="AL4907" s="7"/>
      <c r="AM4907" s="7"/>
      <c r="AN4907" s="7"/>
      <c r="AO4907" s="7"/>
      <c r="AP4907" s="7"/>
      <c r="AQ4907" s="7"/>
      <c r="AR4907" s="7"/>
      <c r="AS4907" s="7" t="s">
        <v>27</v>
      </c>
    </row>
    <row r="4908">
      <c r="A4908" s="7" t="s">
        <v>32</v>
      </c>
      <c r="B4908" s="7" t="s">
        <v>1559</v>
      </c>
      <c r="C4908" s="7">
        <f t="shared" si="693"/>
        <v>3</v>
      </c>
      <c r="D4908" s="7">
        <v>2.0</v>
      </c>
      <c r="E4908" s="7">
        <v>1.0</v>
      </c>
      <c r="F4908" s="7" t="s">
        <v>354</v>
      </c>
      <c r="G4908" s="7" t="s">
        <v>924</v>
      </c>
      <c r="H4908" s="9" t="s">
        <v>2979</v>
      </c>
      <c r="I4908" t="s">
        <v>3406</v>
      </c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  <c r="AA4908" s="7"/>
      <c r="AB4908" s="7"/>
      <c r="AC4908" s="7"/>
      <c r="AD4908" s="7" t="str">
        <f t="shared" si="1"/>
        <v>Built-up :</v>
      </c>
      <c r="AE4908" s="7" t="str">
        <f t="shared" si="2"/>
        <v> sq. ft.</v>
      </c>
      <c r="AF4908">
        <f>IFERROR(__xludf.DUMMYFUNCTION("VALUE(REGEXREPLACE(G4908,""[^[:digit:]]"", """"))"),750.0)</f>
        <v>750</v>
      </c>
      <c r="AG4908" s="7"/>
      <c r="AH4908" s="7"/>
      <c r="AI4908" s="7"/>
      <c r="AJ4908" s="7"/>
      <c r="AK4908" s="7"/>
      <c r="AL4908" s="7"/>
      <c r="AM4908" s="7"/>
      <c r="AN4908" s="7"/>
      <c r="AO4908" s="7"/>
      <c r="AP4908" s="7"/>
      <c r="AQ4908" s="7"/>
      <c r="AR4908" s="7"/>
      <c r="AS4908" s="7" t="s">
        <v>27</v>
      </c>
    </row>
    <row r="4909">
      <c r="A4909" s="7" t="s">
        <v>32</v>
      </c>
      <c r="B4909" s="7" t="s">
        <v>1981</v>
      </c>
      <c r="C4909" s="7">
        <f t="shared" si="693"/>
        <v>3</v>
      </c>
      <c r="D4909" s="7">
        <v>2.0</v>
      </c>
      <c r="E4909" s="7">
        <v>1.0</v>
      </c>
      <c r="F4909" s="7" t="s">
        <v>83</v>
      </c>
      <c r="G4909" s="7" t="s">
        <v>2954</v>
      </c>
      <c r="H4909" s="9" t="s">
        <v>2979</v>
      </c>
      <c r="I4909" t="s">
        <v>4630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  <c r="AA4909" s="7"/>
      <c r="AB4909" s="7"/>
      <c r="AC4909" s="7"/>
      <c r="AD4909" s="7" t="str">
        <f t="shared" si="1"/>
        <v>Built-up :</v>
      </c>
      <c r="AE4909" s="7" t="str">
        <f t="shared" si="2"/>
        <v> sq. ft.</v>
      </c>
      <c r="AF4909">
        <f>IFERROR(__xludf.DUMMYFUNCTION("VALUE(REGEXREPLACE(G4909,""[^[:digit:]]"", """"))"),810.0)</f>
        <v>810</v>
      </c>
      <c r="AG4909" s="7"/>
      <c r="AH4909" s="7"/>
      <c r="AI4909" s="7"/>
      <c r="AJ4909" s="7"/>
      <c r="AK4909" s="7"/>
      <c r="AL4909" s="7"/>
      <c r="AM4909" s="7"/>
      <c r="AN4909" s="7"/>
      <c r="AO4909" s="7"/>
      <c r="AP4909" s="7"/>
      <c r="AQ4909" s="7"/>
      <c r="AR4909" s="7"/>
      <c r="AS4909" s="7" t="s">
        <v>27</v>
      </c>
    </row>
    <row r="4910">
      <c r="A4910" s="7" t="s">
        <v>143</v>
      </c>
      <c r="B4910" s="7" t="s">
        <v>353</v>
      </c>
      <c r="C4910" s="7" t="s">
        <v>325</v>
      </c>
      <c r="D4910" s="7">
        <v>1.0</v>
      </c>
      <c r="E4910" s="9">
        <v>2.0</v>
      </c>
      <c r="F4910" s="7" t="s">
        <v>20</v>
      </c>
      <c r="G4910" s="7" t="s">
        <v>2955</v>
      </c>
      <c r="H4910" s="9" t="s">
        <v>2979</v>
      </c>
      <c r="I4910" t="s">
        <v>4631</v>
      </c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  <c r="AA4910" s="7"/>
      <c r="AB4910" s="7"/>
      <c r="AC4910" s="7"/>
      <c r="AD4910" s="7" t="str">
        <f t="shared" si="1"/>
        <v>Built-up :</v>
      </c>
      <c r="AE4910" s="7" t="str">
        <f t="shared" si="2"/>
        <v> sq. ft.</v>
      </c>
      <c r="AF4910">
        <f>IFERROR(__xludf.DUMMYFUNCTION("VALUE(REGEXREPLACE(G4910,""[^[:digit:]]"", """"))"),466.0)</f>
        <v>466</v>
      </c>
      <c r="AG4910" s="7"/>
      <c r="AH4910" s="7"/>
      <c r="AI4910" s="7"/>
      <c r="AJ4910" s="7"/>
      <c r="AK4910" s="7"/>
      <c r="AL4910" s="7"/>
      <c r="AM4910" s="7"/>
      <c r="AN4910" s="7"/>
      <c r="AO4910" s="7"/>
      <c r="AP4910" s="7"/>
      <c r="AQ4910" s="7"/>
      <c r="AR4910" s="7"/>
      <c r="AS4910" s="7" t="s">
        <v>22</v>
      </c>
    </row>
    <row r="4911">
      <c r="A4911" s="7" t="s">
        <v>171</v>
      </c>
      <c r="B4911" s="7" t="s">
        <v>87</v>
      </c>
      <c r="C4911" s="7">
        <f>4</f>
        <v>4</v>
      </c>
      <c r="D4911" s="7">
        <v>2.0</v>
      </c>
      <c r="E4911" s="7">
        <v>2.0</v>
      </c>
      <c r="F4911" s="7" t="s">
        <v>83</v>
      </c>
      <c r="G4911" s="7" t="s">
        <v>192</v>
      </c>
      <c r="H4911" s="9" t="s">
        <v>2979</v>
      </c>
      <c r="I4911" t="s">
        <v>3045</v>
      </c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  <c r="AA4911" s="7"/>
      <c r="AB4911" s="7"/>
      <c r="AC4911" s="7"/>
      <c r="AD4911" s="7" t="str">
        <f t="shared" si="1"/>
        <v>Built-up :</v>
      </c>
      <c r="AE4911" s="7" t="str">
        <f t="shared" si="2"/>
        <v> sq. ft.</v>
      </c>
      <c r="AF4911">
        <f>IFERROR(__xludf.DUMMYFUNCTION("VALUE(REGEXREPLACE(G4911,""[^[:digit:]]"", """"))"),1313.0)</f>
        <v>1313</v>
      </c>
      <c r="AG4911" s="7"/>
      <c r="AH4911" s="7"/>
      <c r="AI4911" s="7"/>
      <c r="AJ4911" s="7"/>
      <c r="AK4911" s="7"/>
      <c r="AL4911" s="7"/>
      <c r="AM4911" s="7"/>
      <c r="AN4911" s="7"/>
      <c r="AO4911" s="7"/>
      <c r="AP4911" s="7"/>
      <c r="AQ4911" s="7"/>
      <c r="AR4911" s="7"/>
      <c r="AS4911" s="7" t="s">
        <v>27</v>
      </c>
    </row>
    <row r="4912">
      <c r="A4912" s="7" t="s">
        <v>86</v>
      </c>
      <c r="B4912" s="7" t="s">
        <v>210</v>
      </c>
      <c r="C4912" s="7">
        <f>3+1</f>
        <v>4</v>
      </c>
      <c r="D4912" s="7">
        <v>4.0</v>
      </c>
      <c r="E4912" s="7">
        <v>2.0</v>
      </c>
      <c r="F4912" s="7" t="s">
        <v>83</v>
      </c>
      <c r="G4912" s="7" t="s">
        <v>2053</v>
      </c>
      <c r="H4912" s="9" t="s">
        <v>2979</v>
      </c>
      <c r="I4912" t="s">
        <v>4079</v>
      </c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  <c r="AA4912" s="7"/>
      <c r="AB4912" s="7"/>
      <c r="AC4912" s="7"/>
      <c r="AD4912" s="7" t="str">
        <f t="shared" si="1"/>
        <v>Built-up :</v>
      </c>
      <c r="AE4912" s="7" t="str">
        <f t="shared" si="2"/>
        <v> sq. ft.</v>
      </c>
      <c r="AF4912">
        <f>IFERROR(__xludf.DUMMYFUNCTION("VALUE(REGEXREPLACE(G4912,""[^[:digit:]]"", """"))"),2068.0)</f>
        <v>2068</v>
      </c>
      <c r="AG4912" s="7"/>
      <c r="AH4912" s="7"/>
      <c r="AI4912" s="7"/>
      <c r="AJ4912" s="7"/>
      <c r="AK4912" s="7"/>
      <c r="AL4912" s="7"/>
      <c r="AM4912" s="7"/>
      <c r="AN4912" s="7"/>
      <c r="AO4912" s="7"/>
      <c r="AP4912" s="7"/>
      <c r="AQ4912" s="7"/>
      <c r="AR4912" s="7"/>
    </row>
    <row r="4913">
      <c r="A4913" s="7" t="s">
        <v>180</v>
      </c>
      <c r="B4913" s="7" t="s">
        <v>168</v>
      </c>
      <c r="C4913" s="7">
        <f>2</f>
        <v>2</v>
      </c>
      <c r="D4913" s="7">
        <v>2.0</v>
      </c>
      <c r="E4913" s="9">
        <v>2.0</v>
      </c>
      <c r="F4913" s="7" t="s">
        <v>20</v>
      </c>
      <c r="G4913" s="7" t="s">
        <v>1759</v>
      </c>
      <c r="H4913" s="9" t="s">
        <v>2979</v>
      </c>
      <c r="I4913" t="s">
        <v>3908</v>
      </c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  <c r="AA4913" s="7"/>
      <c r="AB4913" s="7"/>
      <c r="AC4913" s="7"/>
      <c r="AD4913" s="7" t="str">
        <f t="shared" si="1"/>
        <v>Built-up :</v>
      </c>
      <c r="AE4913" s="7" t="str">
        <f t="shared" si="2"/>
        <v> sq. ft.</v>
      </c>
      <c r="AF4913">
        <f>IFERROR(__xludf.DUMMYFUNCTION("VALUE(REGEXREPLACE(G4913,""[^[:digit:]]"", """"))"),840.0)</f>
        <v>840</v>
      </c>
      <c r="AG4913" s="7"/>
      <c r="AH4913" s="7"/>
      <c r="AI4913" s="7"/>
      <c r="AJ4913" s="7"/>
      <c r="AK4913" s="7"/>
      <c r="AL4913" s="7"/>
      <c r="AM4913" s="7"/>
      <c r="AN4913" s="7"/>
      <c r="AO4913" s="7"/>
      <c r="AP4913" s="7"/>
      <c r="AQ4913" s="7"/>
      <c r="AR4913" s="7"/>
      <c r="AS4913" s="7" t="s">
        <v>22</v>
      </c>
    </row>
    <row r="4914">
      <c r="A4914" s="7" t="s">
        <v>180</v>
      </c>
      <c r="B4914" s="7" t="s">
        <v>1348</v>
      </c>
      <c r="C4914" s="7" t="s">
        <v>325</v>
      </c>
      <c r="D4914" s="7">
        <v>1.0</v>
      </c>
      <c r="E4914" s="9">
        <v>2.0</v>
      </c>
      <c r="F4914" s="7" t="s">
        <v>20</v>
      </c>
      <c r="G4914" s="7" t="s">
        <v>1812</v>
      </c>
      <c r="H4914" s="9" t="s">
        <v>2979</v>
      </c>
      <c r="I4914" t="s">
        <v>3935</v>
      </c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  <c r="AA4914" s="7"/>
      <c r="AB4914" s="7"/>
      <c r="AC4914" s="7"/>
      <c r="AD4914" s="7" t="str">
        <f t="shared" si="1"/>
        <v>Built-up :</v>
      </c>
      <c r="AE4914" s="7" t="str">
        <f t="shared" si="2"/>
        <v> sq. ft.</v>
      </c>
      <c r="AF4914">
        <f>IFERROR(__xludf.DUMMYFUNCTION("VALUE(REGEXREPLACE(G4914,""[^[:digit:]]"", """"))"),550.0)</f>
        <v>550</v>
      </c>
      <c r="AG4914" s="7"/>
      <c r="AH4914" s="7"/>
      <c r="AI4914" s="7"/>
      <c r="AJ4914" s="7"/>
      <c r="AK4914" s="7"/>
      <c r="AL4914" s="7"/>
      <c r="AM4914" s="7"/>
      <c r="AN4914" s="7"/>
      <c r="AO4914" s="7"/>
      <c r="AP4914" s="7"/>
      <c r="AQ4914" s="7"/>
      <c r="AR4914" s="7"/>
      <c r="AS4914" s="7" t="s">
        <v>22</v>
      </c>
    </row>
    <row r="4915">
      <c r="A4915" s="7" t="s">
        <v>32</v>
      </c>
      <c r="B4915" s="7" t="s">
        <v>1559</v>
      </c>
      <c r="C4915" s="7">
        <f>3</f>
        <v>3</v>
      </c>
      <c r="D4915" s="7">
        <v>2.0</v>
      </c>
      <c r="E4915" s="9">
        <v>2.0</v>
      </c>
      <c r="F4915" s="7" t="s">
        <v>83</v>
      </c>
      <c r="G4915" s="7" t="s">
        <v>2954</v>
      </c>
      <c r="H4915" s="9" t="s">
        <v>2979</v>
      </c>
      <c r="I4915" t="s">
        <v>4630</v>
      </c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  <c r="AA4915" s="7"/>
      <c r="AB4915" s="7"/>
      <c r="AC4915" s="7"/>
      <c r="AD4915" s="7" t="str">
        <f t="shared" si="1"/>
        <v>Built-up :</v>
      </c>
      <c r="AE4915" s="7" t="str">
        <f t="shared" si="2"/>
        <v> sq. ft.</v>
      </c>
      <c r="AF4915">
        <f>IFERROR(__xludf.DUMMYFUNCTION("VALUE(REGEXREPLACE(G4915,""[^[:digit:]]"", """"))"),810.0)</f>
        <v>810</v>
      </c>
      <c r="AG4915" s="7"/>
      <c r="AH4915" s="7"/>
      <c r="AI4915" s="7"/>
      <c r="AJ4915" s="7"/>
      <c r="AK4915" s="7"/>
      <c r="AL4915" s="7"/>
      <c r="AM4915" s="7"/>
      <c r="AN4915" s="7"/>
      <c r="AO4915" s="7"/>
      <c r="AP4915" s="7"/>
      <c r="AQ4915" s="7"/>
      <c r="AR4915" s="7"/>
      <c r="AS4915" s="7" t="s">
        <v>27</v>
      </c>
    </row>
    <row r="4916">
      <c r="A4916" s="7" t="s">
        <v>171</v>
      </c>
      <c r="B4916" s="7" t="s">
        <v>975</v>
      </c>
      <c r="C4916" s="7">
        <f t="shared" ref="C4916:C4917" si="694">2</f>
        <v>2</v>
      </c>
      <c r="D4916" s="7">
        <v>2.0</v>
      </c>
      <c r="E4916" s="7">
        <v>2.0</v>
      </c>
      <c r="F4916" s="7" t="s">
        <v>20</v>
      </c>
      <c r="G4916" s="7" t="s">
        <v>1244</v>
      </c>
      <c r="H4916" s="9" t="s">
        <v>2979</v>
      </c>
      <c r="I4916" t="s">
        <v>3602</v>
      </c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  <c r="AA4916" s="7"/>
      <c r="AB4916" s="7"/>
      <c r="AC4916" s="7"/>
      <c r="AD4916" s="7" t="str">
        <f t="shared" si="1"/>
        <v>Built-up :</v>
      </c>
      <c r="AE4916" s="7" t="str">
        <f t="shared" si="2"/>
        <v> sq. ft.</v>
      </c>
      <c r="AF4916">
        <f>IFERROR(__xludf.DUMMYFUNCTION("VALUE(REGEXREPLACE(G4916,""[^[:digit:]]"", """"))"),856.0)</f>
        <v>856</v>
      </c>
      <c r="AG4916" s="7"/>
      <c r="AH4916" s="7"/>
      <c r="AI4916" s="7"/>
      <c r="AJ4916" s="7"/>
      <c r="AK4916" s="7"/>
      <c r="AL4916" s="7"/>
      <c r="AM4916" s="7"/>
      <c r="AN4916" s="7"/>
      <c r="AO4916" s="7"/>
      <c r="AP4916" s="7"/>
      <c r="AQ4916" s="7"/>
      <c r="AR4916" s="7"/>
      <c r="AS4916" s="7" t="s">
        <v>103</v>
      </c>
    </row>
    <row r="4917">
      <c r="A4917" s="7" t="s">
        <v>171</v>
      </c>
      <c r="B4917" s="7" t="s">
        <v>639</v>
      </c>
      <c r="C4917" s="7">
        <f t="shared" si="694"/>
        <v>2</v>
      </c>
      <c r="D4917" s="7">
        <v>2.0</v>
      </c>
      <c r="E4917" s="7">
        <v>2.0</v>
      </c>
      <c r="F4917" s="7" t="s">
        <v>20</v>
      </c>
      <c r="G4917" s="7" t="s">
        <v>1244</v>
      </c>
      <c r="H4917" s="9" t="s">
        <v>2979</v>
      </c>
      <c r="I4917" t="s">
        <v>3602</v>
      </c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  <c r="AA4917" s="7"/>
      <c r="AB4917" s="7"/>
      <c r="AC4917" s="7"/>
      <c r="AD4917" s="7" t="str">
        <f t="shared" si="1"/>
        <v>Built-up :</v>
      </c>
      <c r="AE4917" s="7" t="str">
        <f t="shared" si="2"/>
        <v> sq. ft.</v>
      </c>
      <c r="AF4917">
        <f>IFERROR(__xludf.DUMMYFUNCTION("VALUE(REGEXREPLACE(G4917,""[^[:digit:]]"", """"))"),856.0)</f>
        <v>856</v>
      </c>
      <c r="AG4917" s="7"/>
      <c r="AH4917" s="7"/>
      <c r="AI4917" s="7"/>
      <c r="AJ4917" s="7"/>
      <c r="AK4917" s="7"/>
      <c r="AL4917" s="7"/>
      <c r="AM4917" s="7"/>
      <c r="AN4917" s="7"/>
      <c r="AO4917" s="7"/>
      <c r="AP4917" s="7"/>
      <c r="AQ4917" s="7"/>
      <c r="AR4917" s="7"/>
      <c r="AS4917" s="7" t="s">
        <v>103</v>
      </c>
    </row>
    <row r="4918">
      <c r="A4918" s="7" t="s">
        <v>171</v>
      </c>
      <c r="B4918" s="7" t="s">
        <v>268</v>
      </c>
      <c r="C4918" s="7">
        <f t="shared" ref="C4918:C4920" si="695">3</f>
        <v>3</v>
      </c>
      <c r="D4918" s="7">
        <v>2.0</v>
      </c>
      <c r="E4918" s="7">
        <v>2.0</v>
      </c>
      <c r="F4918" s="7" t="s">
        <v>20</v>
      </c>
      <c r="G4918" s="7" t="s">
        <v>884</v>
      </c>
      <c r="H4918" s="9" t="s">
        <v>2979</v>
      </c>
      <c r="I4918" t="s">
        <v>3387</v>
      </c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  <c r="AA4918" s="7"/>
      <c r="AB4918" s="7"/>
      <c r="AC4918" s="7"/>
      <c r="AD4918" s="7" t="str">
        <f t="shared" si="1"/>
        <v>Built-up :</v>
      </c>
      <c r="AE4918" s="7" t="str">
        <f t="shared" si="2"/>
        <v> sq. ft.</v>
      </c>
      <c r="AF4918">
        <f>IFERROR(__xludf.DUMMYFUNCTION("VALUE(REGEXREPLACE(G4918,""[^[:digit:]]"", """"))"),1260.0)</f>
        <v>1260</v>
      </c>
      <c r="AG4918" s="7"/>
      <c r="AH4918" s="7"/>
      <c r="AI4918" s="7"/>
      <c r="AJ4918" s="7"/>
      <c r="AK4918" s="7"/>
      <c r="AL4918" s="7"/>
      <c r="AM4918" s="7"/>
      <c r="AN4918" s="7"/>
      <c r="AO4918" s="7"/>
      <c r="AP4918" s="7"/>
      <c r="AQ4918" s="7"/>
      <c r="AR4918" s="7"/>
      <c r="AS4918" s="7" t="s">
        <v>27</v>
      </c>
    </row>
    <row r="4919">
      <c r="A4919" s="7" t="s">
        <v>171</v>
      </c>
      <c r="B4919" s="7" t="s">
        <v>761</v>
      </c>
      <c r="C4919" s="7">
        <f t="shared" si="695"/>
        <v>3</v>
      </c>
      <c r="D4919" s="7">
        <v>2.0</v>
      </c>
      <c r="E4919" s="7">
        <v>1.0</v>
      </c>
      <c r="F4919" s="7" t="s">
        <v>121</v>
      </c>
      <c r="G4919" s="7" t="s">
        <v>1745</v>
      </c>
      <c r="H4919" s="9" t="s">
        <v>2979</v>
      </c>
      <c r="I4919" t="s">
        <v>3898</v>
      </c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  <c r="AA4919" s="7"/>
      <c r="AB4919" s="7"/>
      <c r="AC4919" s="7"/>
      <c r="AD4919" s="7" t="str">
        <f t="shared" si="1"/>
        <v>Built-up :</v>
      </c>
      <c r="AE4919" s="7" t="str">
        <f t="shared" si="2"/>
        <v> sq. ft.</v>
      </c>
      <c r="AF4919">
        <f>IFERROR(__xludf.DUMMYFUNCTION("VALUE(REGEXREPLACE(G4919,""[^[:digit:]]"", """"))"),1040.0)</f>
        <v>1040</v>
      </c>
      <c r="AG4919" s="7"/>
      <c r="AH4919" s="7"/>
      <c r="AI4919" s="7"/>
      <c r="AJ4919" s="7"/>
      <c r="AK4919" s="7"/>
      <c r="AL4919" s="7"/>
      <c r="AM4919" s="7"/>
      <c r="AN4919" s="7"/>
      <c r="AO4919" s="7"/>
      <c r="AP4919" s="7"/>
      <c r="AQ4919" s="7"/>
      <c r="AR4919" s="7"/>
      <c r="AS4919" s="7" t="s">
        <v>103</v>
      </c>
    </row>
    <row r="4920">
      <c r="A4920" s="7" t="s">
        <v>171</v>
      </c>
      <c r="B4920" s="7" t="s">
        <v>974</v>
      </c>
      <c r="C4920" s="7">
        <f t="shared" si="695"/>
        <v>3</v>
      </c>
      <c r="D4920" s="7">
        <v>2.0</v>
      </c>
      <c r="E4920" s="7">
        <v>2.0</v>
      </c>
      <c r="F4920" s="7" t="s">
        <v>20</v>
      </c>
      <c r="G4920" s="7" t="s">
        <v>1319</v>
      </c>
      <c r="H4920" s="9" t="s">
        <v>2979</v>
      </c>
      <c r="I4920" t="s">
        <v>3642</v>
      </c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  <c r="AA4920" s="7"/>
      <c r="AB4920" s="7"/>
      <c r="AC4920" s="7"/>
      <c r="AD4920" s="7" t="str">
        <f t="shared" si="1"/>
        <v>Built-up :</v>
      </c>
      <c r="AE4920" s="7" t="str">
        <f t="shared" si="2"/>
        <v> sq. ft.</v>
      </c>
      <c r="AF4920">
        <f>IFERROR(__xludf.DUMMYFUNCTION("VALUE(REGEXREPLACE(G4920,""[^[:digit:]]"", """"))"),1009.0)</f>
        <v>1009</v>
      </c>
      <c r="AG4920" s="7"/>
      <c r="AH4920" s="7"/>
      <c r="AI4920" s="7"/>
      <c r="AJ4920" s="7"/>
      <c r="AK4920" s="7"/>
      <c r="AL4920" s="7"/>
      <c r="AM4920" s="7"/>
      <c r="AN4920" s="7"/>
      <c r="AO4920" s="7"/>
      <c r="AP4920" s="7"/>
      <c r="AQ4920" s="7"/>
      <c r="AR4920" s="7"/>
      <c r="AS4920" s="7" t="s">
        <v>22</v>
      </c>
    </row>
    <row r="4921">
      <c r="A4921" s="7" t="s">
        <v>171</v>
      </c>
      <c r="B4921" s="7" t="s">
        <v>969</v>
      </c>
      <c r="C4921" s="7">
        <f>2</f>
        <v>2</v>
      </c>
      <c r="D4921" s="7">
        <v>2.0</v>
      </c>
      <c r="E4921" s="7">
        <v>2.0</v>
      </c>
      <c r="F4921" s="7" t="s">
        <v>20</v>
      </c>
      <c r="G4921" s="7" t="s">
        <v>2956</v>
      </c>
      <c r="H4921" s="9" t="s">
        <v>2979</v>
      </c>
      <c r="I4921" t="s">
        <v>4632</v>
      </c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  <c r="AA4921" s="7"/>
      <c r="AB4921" s="7"/>
      <c r="AC4921" s="7"/>
      <c r="AD4921" s="7" t="str">
        <f t="shared" si="1"/>
        <v>Built-up :</v>
      </c>
      <c r="AE4921" s="7" t="str">
        <f t="shared" si="2"/>
        <v> sq. ft.</v>
      </c>
      <c r="AF4921">
        <f>IFERROR(__xludf.DUMMYFUNCTION("VALUE(REGEXREPLACE(G4921,""[^[:digit:]]"", """"))"),943.0)</f>
        <v>943</v>
      </c>
      <c r="AG4921" s="7"/>
      <c r="AH4921" s="7"/>
      <c r="AI4921" s="7"/>
      <c r="AJ4921" s="7"/>
      <c r="AK4921" s="7"/>
      <c r="AL4921" s="7"/>
      <c r="AM4921" s="7"/>
      <c r="AN4921" s="7"/>
      <c r="AO4921" s="7"/>
      <c r="AP4921" s="7"/>
      <c r="AQ4921" s="7"/>
      <c r="AR4921" s="7"/>
      <c r="AS4921" s="7" t="s">
        <v>103</v>
      </c>
    </row>
    <row r="4922">
      <c r="A4922" s="7" t="s">
        <v>171</v>
      </c>
      <c r="B4922" s="7" t="s">
        <v>715</v>
      </c>
      <c r="C4922" s="7">
        <f t="shared" ref="C4922:C4923" si="696">3</f>
        <v>3</v>
      </c>
      <c r="D4922" s="7">
        <v>2.0</v>
      </c>
      <c r="E4922" s="7">
        <v>2.0</v>
      </c>
      <c r="F4922" s="7" t="s">
        <v>20</v>
      </c>
      <c r="G4922" s="7" t="s">
        <v>884</v>
      </c>
      <c r="H4922" s="9" t="s">
        <v>2979</v>
      </c>
      <c r="I4922" t="s">
        <v>3387</v>
      </c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  <c r="AA4922" s="7"/>
      <c r="AB4922" s="7"/>
      <c r="AC4922" s="7"/>
      <c r="AD4922" s="7" t="str">
        <f t="shared" si="1"/>
        <v>Built-up :</v>
      </c>
      <c r="AE4922" s="7" t="str">
        <f t="shared" si="2"/>
        <v> sq. ft.</v>
      </c>
      <c r="AF4922">
        <f>IFERROR(__xludf.DUMMYFUNCTION("VALUE(REGEXREPLACE(G4922,""[^[:digit:]]"", """"))"),1260.0)</f>
        <v>1260</v>
      </c>
      <c r="AG4922" s="7"/>
      <c r="AH4922" s="7"/>
      <c r="AI4922" s="7"/>
      <c r="AJ4922" s="7"/>
      <c r="AK4922" s="7"/>
      <c r="AL4922" s="7"/>
      <c r="AM4922" s="7"/>
      <c r="AN4922" s="7"/>
      <c r="AO4922" s="7"/>
      <c r="AP4922" s="7"/>
      <c r="AQ4922" s="7"/>
      <c r="AR4922" s="7"/>
      <c r="AS4922" s="7" t="s">
        <v>103</v>
      </c>
    </row>
    <row r="4923">
      <c r="A4923" s="7" t="s">
        <v>171</v>
      </c>
      <c r="B4923" s="7" t="s">
        <v>1111</v>
      </c>
      <c r="C4923" s="7">
        <f t="shared" si="696"/>
        <v>3</v>
      </c>
      <c r="D4923" s="7">
        <v>2.0</v>
      </c>
      <c r="E4923" s="7">
        <v>2.0</v>
      </c>
      <c r="F4923" s="7" t="s">
        <v>121</v>
      </c>
      <c r="G4923" s="7" t="s">
        <v>1319</v>
      </c>
      <c r="H4923" s="9" t="s">
        <v>2979</v>
      </c>
      <c r="I4923" t="s">
        <v>3642</v>
      </c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  <c r="AA4923" s="7"/>
      <c r="AB4923" s="7"/>
      <c r="AC4923" s="7"/>
      <c r="AD4923" s="7" t="str">
        <f t="shared" si="1"/>
        <v>Built-up :</v>
      </c>
      <c r="AE4923" s="7" t="str">
        <f t="shared" si="2"/>
        <v> sq. ft.</v>
      </c>
      <c r="AF4923">
        <f>IFERROR(__xludf.DUMMYFUNCTION("VALUE(REGEXREPLACE(G4923,""[^[:digit:]]"", """"))"),1009.0)</f>
        <v>1009</v>
      </c>
      <c r="AG4923" s="7"/>
      <c r="AH4923" s="7"/>
      <c r="AI4923" s="7"/>
      <c r="AJ4923" s="7"/>
      <c r="AK4923" s="7"/>
      <c r="AL4923" s="7"/>
      <c r="AM4923" s="7"/>
      <c r="AN4923" s="7"/>
      <c r="AO4923" s="7"/>
      <c r="AP4923" s="7"/>
      <c r="AQ4923" s="7"/>
      <c r="AR4923" s="7"/>
      <c r="AS4923" s="7" t="s">
        <v>103</v>
      </c>
    </row>
    <row r="4924">
      <c r="A4924" s="7" t="s">
        <v>171</v>
      </c>
      <c r="B4924" s="7" t="s">
        <v>1910</v>
      </c>
      <c r="C4924" s="7">
        <f>2</f>
        <v>2</v>
      </c>
      <c r="D4924" s="7">
        <v>2.0</v>
      </c>
      <c r="E4924" s="7">
        <v>2.0</v>
      </c>
      <c r="F4924" s="7" t="s">
        <v>121</v>
      </c>
      <c r="G4924" s="7" t="s">
        <v>1244</v>
      </c>
      <c r="H4924" s="9" t="s">
        <v>2979</v>
      </c>
      <c r="I4924" t="s">
        <v>3602</v>
      </c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  <c r="AA4924" s="7"/>
      <c r="AB4924" s="7"/>
      <c r="AC4924" s="7"/>
      <c r="AD4924" s="7" t="str">
        <f t="shared" si="1"/>
        <v>Built-up :</v>
      </c>
      <c r="AE4924" s="7" t="str">
        <f t="shared" si="2"/>
        <v> sq. ft.</v>
      </c>
      <c r="AF4924">
        <f>IFERROR(__xludf.DUMMYFUNCTION("VALUE(REGEXREPLACE(G4924,""[^[:digit:]]"", """"))"),856.0)</f>
        <v>856</v>
      </c>
      <c r="AG4924" s="7"/>
      <c r="AH4924" s="7"/>
      <c r="AI4924" s="7"/>
      <c r="AJ4924" s="7"/>
      <c r="AK4924" s="7"/>
      <c r="AL4924" s="7"/>
      <c r="AM4924" s="7"/>
      <c r="AN4924" s="7"/>
      <c r="AO4924" s="7"/>
      <c r="AP4924" s="7"/>
      <c r="AQ4924" s="7"/>
      <c r="AR4924" s="7"/>
      <c r="AS4924" s="7" t="s">
        <v>103</v>
      </c>
    </row>
    <row r="4925">
      <c r="A4925" s="7" t="s">
        <v>171</v>
      </c>
      <c r="B4925" s="7" t="s">
        <v>761</v>
      </c>
      <c r="C4925" s="7">
        <f t="shared" ref="C4925:C4930" si="697">3</f>
        <v>3</v>
      </c>
      <c r="D4925" s="7">
        <v>2.0</v>
      </c>
      <c r="E4925" s="7">
        <v>2.0</v>
      </c>
      <c r="F4925" s="7" t="s">
        <v>20</v>
      </c>
      <c r="G4925" s="7" t="s">
        <v>2957</v>
      </c>
      <c r="H4925" s="9" t="s">
        <v>2979</v>
      </c>
      <c r="I4925" t="s">
        <v>4633</v>
      </c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  <c r="AA4925" s="7"/>
      <c r="AB4925" s="7"/>
      <c r="AC4925" s="7"/>
      <c r="AD4925" s="7" t="str">
        <f t="shared" si="1"/>
        <v>Built-up :</v>
      </c>
      <c r="AE4925" s="7" t="str">
        <f t="shared" si="2"/>
        <v> sq. ft.</v>
      </c>
      <c r="AF4925">
        <f>IFERROR(__xludf.DUMMYFUNCTION("VALUE(REGEXREPLACE(G4925,""[^[:digit:]]"", """"))"),1095.0)</f>
        <v>1095</v>
      </c>
      <c r="AG4925" s="7"/>
      <c r="AH4925" s="7"/>
      <c r="AI4925" s="7"/>
      <c r="AJ4925" s="7"/>
      <c r="AK4925" s="7"/>
      <c r="AL4925" s="7"/>
      <c r="AM4925" s="7"/>
      <c r="AN4925" s="7"/>
      <c r="AO4925" s="7"/>
      <c r="AP4925" s="7"/>
      <c r="AQ4925" s="7"/>
      <c r="AR4925" s="7"/>
      <c r="AS4925" s="7" t="s">
        <v>27</v>
      </c>
    </row>
    <row r="4926">
      <c r="A4926" s="7" t="s">
        <v>171</v>
      </c>
      <c r="B4926" s="7" t="s">
        <v>2363</v>
      </c>
      <c r="C4926" s="7">
        <f t="shared" si="697"/>
        <v>3</v>
      </c>
      <c r="D4926" s="7">
        <v>2.0</v>
      </c>
      <c r="E4926" s="7">
        <v>2.0</v>
      </c>
      <c r="F4926" s="7" t="s">
        <v>20</v>
      </c>
      <c r="G4926" s="7" t="s">
        <v>1319</v>
      </c>
      <c r="H4926" s="9" t="s">
        <v>2979</v>
      </c>
      <c r="I4926" t="s">
        <v>3642</v>
      </c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  <c r="AA4926" s="7"/>
      <c r="AB4926" s="7"/>
      <c r="AC4926" s="7"/>
      <c r="AD4926" s="7" t="str">
        <f t="shared" si="1"/>
        <v>Built-up :</v>
      </c>
      <c r="AE4926" s="7" t="str">
        <f t="shared" si="2"/>
        <v> sq. ft.</v>
      </c>
      <c r="AF4926">
        <f>IFERROR(__xludf.DUMMYFUNCTION("VALUE(REGEXREPLACE(G4926,""[^[:digit:]]"", """"))"),1009.0)</f>
        <v>1009</v>
      </c>
      <c r="AG4926" s="7"/>
      <c r="AH4926" s="7"/>
      <c r="AI4926" s="7"/>
      <c r="AJ4926" s="7"/>
      <c r="AK4926" s="7"/>
      <c r="AL4926" s="7"/>
      <c r="AM4926" s="7"/>
      <c r="AN4926" s="7"/>
      <c r="AO4926" s="7"/>
      <c r="AP4926" s="7"/>
      <c r="AQ4926" s="7"/>
      <c r="AR4926" s="7"/>
      <c r="AS4926" s="7" t="s">
        <v>103</v>
      </c>
    </row>
    <row r="4927">
      <c r="A4927" s="7" t="s">
        <v>171</v>
      </c>
      <c r="B4927" s="7" t="s">
        <v>543</v>
      </c>
      <c r="C4927" s="7">
        <f t="shared" si="697"/>
        <v>3</v>
      </c>
      <c r="D4927" s="7">
        <v>2.0</v>
      </c>
      <c r="E4927" s="7">
        <v>2.0</v>
      </c>
      <c r="F4927" s="7" t="s">
        <v>20</v>
      </c>
      <c r="G4927" s="7" t="s">
        <v>1319</v>
      </c>
      <c r="H4927" s="9" t="s">
        <v>2979</v>
      </c>
      <c r="I4927" t="s">
        <v>3642</v>
      </c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  <c r="AA4927" s="7"/>
      <c r="AB4927" s="7"/>
      <c r="AC4927" s="7"/>
      <c r="AD4927" s="7" t="str">
        <f t="shared" si="1"/>
        <v>Built-up :</v>
      </c>
      <c r="AE4927" s="7" t="str">
        <f t="shared" si="2"/>
        <v> sq. ft.</v>
      </c>
      <c r="AF4927">
        <f>IFERROR(__xludf.DUMMYFUNCTION("VALUE(REGEXREPLACE(G4927,""[^[:digit:]]"", """"))"),1009.0)</f>
        <v>1009</v>
      </c>
      <c r="AG4927" s="7"/>
      <c r="AH4927" s="7"/>
      <c r="AI4927" s="7"/>
      <c r="AJ4927" s="7"/>
      <c r="AK4927" s="7"/>
      <c r="AL4927" s="7"/>
      <c r="AM4927" s="7"/>
      <c r="AN4927" s="7"/>
      <c r="AO4927" s="7"/>
      <c r="AP4927" s="7"/>
      <c r="AQ4927" s="7"/>
      <c r="AR4927" s="7"/>
      <c r="AS4927" s="7" t="s">
        <v>27</v>
      </c>
    </row>
    <row r="4928">
      <c r="A4928" s="7" t="s">
        <v>171</v>
      </c>
      <c r="B4928" s="7" t="s">
        <v>1111</v>
      </c>
      <c r="C4928" s="7">
        <f t="shared" si="697"/>
        <v>3</v>
      </c>
      <c r="D4928" s="7">
        <v>2.0</v>
      </c>
      <c r="E4928" s="7">
        <v>2.0</v>
      </c>
      <c r="F4928" s="7" t="s">
        <v>20</v>
      </c>
      <c r="G4928" s="7" t="s">
        <v>1319</v>
      </c>
      <c r="H4928" s="9" t="s">
        <v>2979</v>
      </c>
      <c r="I4928" t="s">
        <v>3642</v>
      </c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  <c r="AA4928" s="7"/>
      <c r="AB4928" s="7"/>
      <c r="AC4928" s="7"/>
      <c r="AD4928" s="7" t="str">
        <f t="shared" si="1"/>
        <v>Built-up :</v>
      </c>
      <c r="AE4928" s="7" t="str">
        <f t="shared" si="2"/>
        <v> sq. ft.</v>
      </c>
      <c r="AF4928">
        <f>IFERROR(__xludf.DUMMYFUNCTION("VALUE(REGEXREPLACE(G4928,""[^[:digit:]]"", """"))"),1009.0)</f>
        <v>1009</v>
      </c>
      <c r="AG4928" s="7"/>
      <c r="AH4928" s="7"/>
      <c r="AI4928" s="7"/>
      <c r="AJ4928" s="7"/>
      <c r="AK4928" s="7"/>
      <c r="AL4928" s="7"/>
      <c r="AM4928" s="7"/>
      <c r="AN4928" s="7"/>
      <c r="AO4928" s="7"/>
      <c r="AP4928" s="7"/>
      <c r="AQ4928" s="7"/>
      <c r="AR4928" s="7"/>
      <c r="AS4928" s="7" t="s">
        <v>103</v>
      </c>
    </row>
    <row r="4929">
      <c r="A4929" s="7" t="s">
        <v>155</v>
      </c>
      <c r="B4929" s="7" t="s">
        <v>759</v>
      </c>
      <c r="C4929" s="7">
        <f t="shared" si="697"/>
        <v>3</v>
      </c>
      <c r="D4929" s="7">
        <v>2.0</v>
      </c>
      <c r="E4929" s="7">
        <v>1.0</v>
      </c>
      <c r="F4929" s="7" t="s">
        <v>82</v>
      </c>
      <c r="G4929" s="7" t="s">
        <v>1808</v>
      </c>
      <c r="H4929" s="9" t="s">
        <v>2979</v>
      </c>
      <c r="I4929" t="s">
        <v>3933</v>
      </c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  <c r="AA4929" s="7"/>
      <c r="AB4929" s="7"/>
      <c r="AC4929" s="7"/>
      <c r="AD4929" s="7" t="str">
        <f t="shared" si="1"/>
        <v>Built-up :</v>
      </c>
      <c r="AE4929" s="7" t="str">
        <f t="shared" si="2"/>
        <v> sq. ft.</v>
      </c>
      <c r="AF4929">
        <f>IFERROR(__xludf.DUMMYFUNCTION("VALUE(REGEXREPLACE(G4929,""[^[:digit:]]"", """"))"),948.0)</f>
        <v>948</v>
      </c>
      <c r="AG4929" s="7"/>
      <c r="AH4929" s="7"/>
      <c r="AI4929" s="7"/>
      <c r="AJ4929" s="7"/>
      <c r="AK4929" s="7"/>
      <c r="AL4929" s="7"/>
      <c r="AM4929" s="7"/>
      <c r="AN4929" s="7"/>
      <c r="AO4929" s="7"/>
      <c r="AP4929" s="7"/>
      <c r="AQ4929" s="7"/>
      <c r="AR4929" s="7"/>
      <c r="AS4929" s="7" t="s">
        <v>103</v>
      </c>
    </row>
    <row r="4930">
      <c r="A4930" s="7" t="s">
        <v>155</v>
      </c>
      <c r="B4930" s="7" t="s">
        <v>2394</v>
      </c>
      <c r="C4930" s="7">
        <f t="shared" si="697"/>
        <v>3</v>
      </c>
      <c r="D4930" s="7">
        <v>2.0</v>
      </c>
      <c r="E4930" s="7">
        <v>1.0</v>
      </c>
      <c r="F4930" s="7" t="s">
        <v>82</v>
      </c>
      <c r="G4930" s="7" t="s">
        <v>1808</v>
      </c>
      <c r="H4930" s="9" t="s">
        <v>2979</v>
      </c>
      <c r="I4930" t="s">
        <v>3933</v>
      </c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  <c r="AA4930" s="7"/>
      <c r="AB4930" s="7"/>
      <c r="AC4930" s="7"/>
      <c r="AD4930" s="7" t="str">
        <f t="shared" si="1"/>
        <v>Built-up :</v>
      </c>
      <c r="AE4930" s="7" t="str">
        <f t="shared" si="2"/>
        <v> sq. ft.</v>
      </c>
      <c r="AF4930">
        <f>IFERROR(__xludf.DUMMYFUNCTION("VALUE(REGEXREPLACE(G4930,""[^[:digit:]]"", """"))"),948.0)</f>
        <v>948</v>
      </c>
      <c r="AG4930" s="7"/>
      <c r="AH4930" s="7"/>
      <c r="AI4930" s="7"/>
      <c r="AJ4930" s="7"/>
      <c r="AK4930" s="7"/>
      <c r="AL4930" s="7"/>
      <c r="AM4930" s="7"/>
      <c r="AN4930" s="7"/>
      <c r="AO4930" s="7"/>
      <c r="AP4930" s="7"/>
      <c r="AQ4930" s="7"/>
      <c r="AR4930" s="7"/>
      <c r="AS4930" s="7" t="s">
        <v>103</v>
      </c>
    </row>
    <row r="4931">
      <c r="A4931" s="7" t="s">
        <v>171</v>
      </c>
      <c r="B4931" s="7" t="s">
        <v>510</v>
      </c>
      <c r="C4931" s="7">
        <f>2</f>
        <v>2</v>
      </c>
      <c r="D4931" s="7">
        <v>2.0</v>
      </c>
      <c r="E4931" s="7">
        <v>2.0</v>
      </c>
      <c r="F4931" s="7" t="s">
        <v>20</v>
      </c>
      <c r="G4931" s="7" t="s">
        <v>1244</v>
      </c>
      <c r="H4931" s="9" t="s">
        <v>2979</v>
      </c>
      <c r="I4931" t="s">
        <v>3602</v>
      </c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  <c r="AA4931" s="7"/>
      <c r="AB4931" s="7"/>
      <c r="AC4931" s="7"/>
      <c r="AD4931" s="7" t="str">
        <f t="shared" si="1"/>
        <v>Built-up :</v>
      </c>
      <c r="AE4931" s="7" t="str">
        <f t="shared" si="2"/>
        <v> sq. ft.</v>
      </c>
      <c r="AF4931">
        <f>IFERROR(__xludf.DUMMYFUNCTION("VALUE(REGEXREPLACE(G4931,""[^[:digit:]]"", """"))"),856.0)</f>
        <v>856</v>
      </c>
      <c r="AG4931" s="7"/>
      <c r="AH4931" s="7"/>
      <c r="AI4931" s="7"/>
      <c r="AJ4931" s="7"/>
      <c r="AK4931" s="7"/>
      <c r="AL4931" s="7"/>
      <c r="AM4931" s="7"/>
      <c r="AN4931" s="7"/>
      <c r="AO4931" s="7"/>
      <c r="AP4931" s="7"/>
      <c r="AQ4931" s="7"/>
      <c r="AR4931" s="7"/>
      <c r="AS4931" s="7" t="s">
        <v>103</v>
      </c>
    </row>
    <row r="4932">
      <c r="A4932" s="7" t="s">
        <v>148</v>
      </c>
      <c r="B4932" s="7" t="s">
        <v>759</v>
      </c>
      <c r="C4932" s="7">
        <f t="shared" ref="C4932:C4933" si="698">3</f>
        <v>3</v>
      </c>
      <c r="D4932" s="7">
        <v>2.0</v>
      </c>
      <c r="E4932" s="7">
        <v>1.0</v>
      </c>
      <c r="F4932" s="7" t="s">
        <v>20</v>
      </c>
      <c r="G4932" s="7" t="s">
        <v>2180</v>
      </c>
      <c r="H4932" s="9" t="s">
        <v>2979</v>
      </c>
      <c r="I4932" t="s">
        <v>4163</v>
      </c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  <c r="AA4932" s="7"/>
      <c r="AB4932" s="7"/>
      <c r="AC4932" s="7"/>
      <c r="AD4932" s="7" t="str">
        <f t="shared" si="1"/>
        <v>Built-up :</v>
      </c>
      <c r="AE4932" s="7" t="str">
        <f t="shared" si="2"/>
        <v> sq. ft.</v>
      </c>
      <c r="AF4932">
        <f>IFERROR(__xludf.DUMMYFUNCTION("VALUE(REGEXREPLACE(G4932,""[^[:digit:]]"", """"))"),1007.0)</f>
        <v>1007</v>
      </c>
      <c r="AG4932" s="7"/>
      <c r="AH4932" s="7"/>
      <c r="AI4932" s="7"/>
      <c r="AJ4932" s="7"/>
      <c r="AK4932" s="7"/>
      <c r="AL4932" s="7"/>
      <c r="AM4932" s="7"/>
      <c r="AN4932" s="7"/>
      <c r="AO4932" s="7"/>
      <c r="AP4932" s="7"/>
      <c r="AQ4932" s="7"/>
      <c r="AR4932" s="7"/>
      <c r="AS4932" s="7" t="s">
        <v>27</v>
      </c>
    </row>
    <row r="4933">
      <c r="A4933" s="7" t="s">
        <v>155</v>
      </c>
      <c r="B4933" s="7" t="s">
        <v>702</v>
      </c>
      <c r="C4933" s="7">
        <f t="shared" si="698"/>
        <v>3</v>
      </c>
      <c r="D4933" s="7">
        <v>2.0</v>
      </c>
      <c r="E4933" s="7">
        <v>2.0</v>
      </c>
      <c r="F4933" s="7" t="s">
        <v>20</v>
      </c>
      <c r="G4933" s="7" t="s">
        <v>1330</v>
      </c>
      <c r="H4933" s="9" t="s">
        <v>2979</v>
      </c>
      <c r="I4933" t="s">
        <v>3650</v>
      </c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  <c r="AA4933" s="7"/>
      <c r="AB4933" s="7"/>
      <c r="AC4933" s="7"/>
      <c r="AD4933" s="7" t="str">
        <f t="shared" si="1"/>
        <v>Built-up :</v>
      </c>
      <c r="AE4933" s="7" t="str">
        <f t="shared" si="2"/>
        <v> sq. ft.</v>
      </c>
      <c r="AF4933">
        <f>IFERROR(__xludf.DUMMYFUNCTION("VALUE(REGEXREPLACE(G4933,""[^[:digit:]]"", """"))"),819.0)</f>
        <v>819</v>
      </c>
      <c r="AG4933" s="7"/>
      <c r="AH4933" s="7"/>
      <c r="AI4933" s="7"/>
      <c r="AJ4933" s="7"/>
      <c r="AK4933" s="7"/>
      <c r="AL4933" s="7"/>
      <c r="AM4933" s="7"/>
      <c r="AN4933" s="7"/>
      <c r="AO4933" s="7"/>
      <c r="AP4933" s="7"/>
      <c r="AQ4933" s="7"/>
      <c r="AR4933" s="7"/>
    </row>
    <row r="4934">
      <c r="A4934" s="7" t="s">
        <v>155</v>
      </c>
      <c r="B4934" s="7" t="s">
        <v>2958</v>
      </c>
      <c r="C4934" s="7">
        <f>2</f>
        <v>2</v>
      </c>
      <c r="D4934" s="7">
        <v>2.0</v>
      </c>
      <c r="E4934" s="7">
        <v>1.0</v>
      </c>
      <c r="F4934" s="7" t="s">
        <v>20</v>
      </c>
      <c r="G4934" s="7" t="s">
        <v>242</v>
      </c>
      <c r="H4934" s="9" t="s">
        <v>2979</v>
      </c>
      <c r="I4934" t="s">
        <v>3072</v>
      </c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  <c r="AA4934" s="7"/>
      <c r="AB4934" s="7"/>
      <c r="AC4934" s="7"/>
      <c r="AD4934" s="7" t="str">
        <f t="shared" si="1"/>
        <v>Built-up :</v>
      </c>
      <c r="AE4934" s="7" t="str">
        <f t="shared" si="2"/>
        <v> sq. ft.</v>
      </c>
      <c r="AF4934">
        <f>IFERROR(__xludf.DUMMYFUNCTION("VALUE(REGEXREPLACE(G4934,""[^[:digit:]]"", """"))"),650.0)</f>
        <v>650</v>
      </c>
      <c r="AG4934" s="7"/>
      <c r="AH4934" s="7"/>
      <c r="AI4934" s="7"/>
      <c r="AJ4934" s="7"/>
      <c r="AK4934" s="7"/>
      <c r="AL4934" s="7"/>
      <c r="AM4934" s="7"/>
      <c r="AN4934" s="7"/>
      <c r="AO4934" s="7"/>
      <c r="AP4934" s="7"/>
      <c r="AQ4934" s="7"/>
      <c r="AR4934" s="7"/>
    </row>
    <row r="4935">
      <c r="A4935" s="7" t="s">
        <v>171</v>
      </c>
      <c r="B4935" s="7" t="s">
        <v>715</v>
      </c>
      <c r="C4935" s="7">
        <f>3</f>
        <v>3</v>
      </c>
      <c r="D4935" s="7">
        <v>2.0</v>
      </c>
      <c r="E4935" s="7">
        <v>2.0</v>
      </c>
      <c r="F4935" s="7" t="s">
        <v>121</v>
      </c>
      <c r="G4935" s="7" t="s">
        <v>884</v>
      </c>
      <c r="H4935" s="9" t="s">
        <v>2979</v>
      </c>
      <c r="I4935" t="s">
        <v>3387</v>
      </c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  <c r="AA4935" s="7"/>
      <c r="AB4935" s="7"/>
      <c r="AC4935" s="7"/>
      <c r="AD4935" s="7" t="str">
        <f t="shared" si="1"/>
        <v>Built-up :</v>
      </c>
      <c r="AE4935" s="7" t="str">
        <f t="shared" si="2"/>
        <v> sq. ft.</v>
      </c>
      <c r="AF4935">
        <f>IFERROR(__xludf.DUMMYFUNCTION("VALUE(REGEXREPLACE(G4935,""[^[:digit:]]"", """"))"),1260.0)</f>
        <v>1260</v>
      </c>
      <c r="AG4935" s="7"/>
      <c r="AH4935" s="7"/>
      <c r="AI4935" s="7"/>
      <c r="AJ4935" s="7"/>
      <c r="AK4935" s="7"/>
      <c r="AL4935" s="7"/>
      <c r="AM4935" s="7"/>
      <c r="AN4935" s="7"/>
      <c r="AO4935" s="7"/>
      <c r="AP4935" s="7"/>
      <c r="AQ4935" s="7"/>
      <c r="AR4935" s="7"/>
      <c r="AS4935" s="7" t="s">
        <v>22</v>
      </c>
    </row>
    <row r="4936">
      <c r="A4936" s="7" t="s">
        <v>23</v>
      </c>
      <c r="B4936" s="7" t="s">
        <v>2959</v>
      </c>
      <c r="C4936" s="7">
        <f>3+1</f>
        <v>4</v>
      </c>
      <c r="D4936" s="7">
        <v>3.0</v>
      </c>
      <c r="E4936" s="7">
        <v>2.0</v>
      </c>
      <c r="F4936" s="7" t="s">
        <v>83</v>
      </c>
      <c r="G4936" s="7" t="s">
        <v>1153</v>
      </c>
      <c r="H4936" s="9" t="s">
        <v>2979</v>
      </c>
      <c r="I4936" t="s">
        <v>3542</v>
      </c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  <c r="AA4936" s="7"/>
      <c r="AB4936" s="7"/>
      <c r="AC4936" s="7"/>
      <c r="AD4936" s="7" t="str">
        <f t="shared" si="1"/>
        <v>Built-up :</v>
      </c>
      <c r="AE4936" s="7" t="str">
        <f t="shared" si="2"/>
        <v> sq. ft.</v>
      </c>
      <c r="AF4936">
        <f>IFERROR(__xludf.DUMMYFUNCTION("VALUE(REGEXREPLACE(G4936,""[^[:digit:]]"", """"))"),1356.0)</f>
        <v>1356</v>
      </c>
      <c r="AG4936" s="7"/>
      <c r="AH4936" s="7"/>
      <c r="AI4936" s="7"/>
      <c r="AJ4936" s="7"/>
      <c r="AK4936" s="7"/>
      <c r="AL4936" s="7"/>
      <c r="AM4936" s="7"/>
      <c r="AN4936" s="7"/>
      <c r="AO4936" s="7"/>
      <c r="AP4936" s="7"/>
      <c r="AQ4936" s="7"/>
      <c r="AR4936" s="7"/>
      <c r="AS4936" s="7" t="s">
        <v>27</v>
      </c>
    </row>
    <row r="4937">
      <c r="A4937" s="7" t="s">
        <v>155</v>
      </c>
      <c r="B4937" s="7" t="s">
        <v>168</v>
      </c>
      <c r="C4937" s="7">
        <f>3</f>
        <v>3</v>
      </c>
      <c r="D4937" s="7">
        <v>2.0</v>
      </c>
      <c r="E4937" s="7">
        <v>1.0</v>
      </c>
      <c r="F4937" s="7" t="s">
        <v>121</v>
      </c>
      <c r="G4937" s="7" t="s">
        <v>2241</v>
      </c>
      <c r="H4937" s="9" t="s">
        <v>2979</v>
      </c>
      <c r="I4937" t="s">
        <v>4201</v>
      </c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  <c r="AA4937" s="7"/>
      <c r="AB4937" s="7"/>
      <c r="AC4937" s="7"/>
      <c r="AD4937" s="7" t="str">
        <f t="shared" si="1"/>
        <v>Built-up :</v>
      </c>
      <c r="AE4937" s="7" t="str">
        <f t="shared" si="2"/>
        <v> sq. ft.</v>
      </c>
      <c r="AF4937">
        <f>IFERROR(__xludf.DUMMYFUNCTION("VALUE(REGEXREPLACE(G4937,""[^[:digit:]]"", """"))"),1096.0)</f>
        <v>1096</v>
      </c>
      <c r="AG4937" s="7"/>
      <c r="AH4937" s="7"/>
      <c r="AI4937" s="7"/>
      <c r="AJ4937" s="7"/>
      <c r="AK4937" s="7"/>
      <c r="AL4937" s="7"/>
      <c r="AM4937" s="7"/>
      <c r="AN4937" s="7"/>
      <c r="AO4937" s="7"/>
      <c r="AP4937" s="7"/>
      <c r="AQ4937" s="7"/>
      <c r="AR4937" s="7"/>
      <c r="AS4937" s="7" t="s">
        <v>103</v>
      </c>
    </row>
    <row r="4938">
      <c r="A4938" s="7" t="s">
        <v>180</v>
      </c>
      <c r="B4938" s="7" t="s">
        <v>73</v>
      </c>
      <c r="C4938" s="7">
        <f>2+1</f>
        <v>3</v>
      </c>
      <c r="D4938" s="7">
        <v>3.0</v>
      </c>
      <c r="E4938" s="9">
        <v>2.0</v>
      </c>
      <c r="F4938" s="7" t="s">
        <v>20</v>
      </c>
      <c r="G4938" s="7" t="s">
        <v>216</v>
      </c>
      <c r="H4938" s="9" t="s">
        <v>2979</v>
      </c>
      <c r="I4938" t="s">
        <v>3057</v>
      </c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  <c r="AA4938" s="7"/>
      <c r="AB4938" s="7"/>
      <c r="AC4938" s="7"/>
      <c r="AD4938" s="7" t="str">
        <f t="shared" si="1"/>
        <v>Built-up :</v>
      </c>
      <c r="AE4938" s="7" t="str">
        <f t="shared" si="2"/>
        <v> sq. ft.</v>
      </c>
      <c r="AF4938">
        <f>IFERROR(__xludf.DUMMYFUNCTION("VALUE(REGEXREPLACE(G4938,""[^[:digit:]]"", """"))"),1442.0)</f>
        <v>1442</v>
      </c>
      <c r="AG4938" s="7"/>
      <c r="AH4938" s="7"/>
      <c r="AI4938" s="7"/>
      <c r="AJ4938" s="7"/>
      <c r="AK4938" s="7"/>
      <c r="AL4938" s="7"/>
      <c r="AM4938" s="7"/>
      <c r="AN4938" s="7"/>
      <c r="AO4938" s="7"/>
      <c r="AP4938" s="7"/>
      <c r="AQ4938" s="7"/>
      <c r="AR4938" s="7"/>
    </row>
    <row r="4939">
      <c r="A4939" s="7" t="s">
        <v>164</v>
      </c>
      <c r="B4939" s="7" t="s">
        <v>2960</v>
      </c>
      <c r="C4939" s="7">
        <f>4+1</f>
        <v>5</v>
      </c>
      <c r="D4939" s="7">
        <v>6.0</v>
      </c>
      <c r="E4939" s="7">
        <v>2.0</v>
      </c>
      <c r="F4939" s="7" t="s">
        <v>20</v>
      </c>
      <c r="G4939" s="7" t="s">
        <v>2549</v>
      </c>
      <c r="H4939" s="9" t="s">
        <v>2979</v>
      </c>
      <c r="I4939" t="s">
        <v>4390</v>
      </c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  <c r="AA4939" s="7"/>
      <c r="AB4939" s="7"/>
      <c r="AC4939" s="7"/>
      <c r="AD4939" s="7" t="str">
        <f t="shared" si="1"/>
        <v>Built-up :</v>
      </c>
      <c r="AE4939" s="7" t="str">
        <f t="shared" si="2"/>
        <v> sq. ft.</v>
      </c>
      <c r="AF4939">
        <f>IFERROR(__xludf.DUMMYFUNCTION("VALUE(REGEXREPLACE(G4939,""[^[:digit:]]"", """"))"),3283.0)</f>
        <v>3283</v>
      </c>
      <c r="AG4939" s="7"/>
      <c r="AH4939" s="7"/>
      <c r="AI4939" s="7"/>
      <c r="AJ4939" s="7"/>
      <c r="AK4939" s="7"/>
      <c r="AL4939" s="7"/>
      <c r="AM4939" s="7"/>
      <c r="AN4939" s="7"/>
      <c r="AO4939" s="7"/>
      <c r="AP4939" s="7"/>
      <c r="AQ4939" s="7"/>
      <c r="AR4939" s="7"/>
      <c r="AS4939" s="7" t="s">
        <v>27</v>
      </c>
    </row>
    <row r="4940">
      <c r="A4940" s="7" t="s">
        <v>180</v>
      </c>
      <c r="B4940" s="7" t="s">
        <v>530</v>
      </c>
      <c r="C4940" s="7">
        <f t="shared" ref="C4940:C4941" si="699">3+1</f>
        <v>4</v>
      </c>
      <c r="D4940" s="7">
        <v>4.0</v>
      </c>
      <c r="E4940" s="9">
        <v>2.0</v>
      </c>
      <c r="F4940" s="7" t="s">
        <v>20</v>
      </c>
      <c r="G4940" s="7" t="s">
        <v>2961</v>
      </c>
      <c r="H4940" s="9" t="s">
        <v>2979</v>
      </c>
      <c r="I4940" t="s">
        <v>4634</v>
      </c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  <c r="AA4940" s="7"/>
      <c r="AB4940" s="7"/>
      <c r="AC4940" s="7"/>
      <c r="AD4940" s="7" t="str">
        <f t="shared" si="1"/>
        <v>Built-up :</v>
      </c>
      <c r="AE4940" s="7" t="str">
        <f t="shared" si="2"/>
        <v> sq. ft.</v>
      </c>
      <c r="AF4940">
        <f>IFERROR(__xludf.DUMMYFUNCTION("VALUE(REGEXREPLACE(G4940,""[^[:digit:]]"", """"))"),4130.0)</f>
        <v>4130</v>
      </c>
      <c r="AG4940" s="7"/>
      <c r="AH4940" s="7"/>
      <c r="AI4940" s="7"/>
      <c r="AJ4940" s="7"/>
      <c r="AK4940" s="7"/>
      <c r="AL4940" s="7"/>
      <c r="AM4940" s="7"/>
      <c r="AN4940" s="7"/>
      <c r="AO4940" s="7"/>
      <c r="AP4940" s="7"/>
      <c r="AQ4940" s="7"/>
      <c r="AR4940" s="7"/>
    </row>
    <row r="4941">
      <c r="A4941" s="7" t="s">
        <v>180</v>
      </c>
      <c r="B4941" s="7" t="s">
        <v>42</v>
      </c>
      <c r="C4941" s="7">
        <f t="shared" si="699"/>
        <v>4</v>
      </c>
      <c r="D4941" s="7">
        <v>4.0</v>
      </c>
      <c r="E4941" s="9">
        <v>2.0</v>
      </c>
      <c r="F4941" s="7" t="s">
        <v>20</v>
      </c>
      <c r="G4941" s="7" t="s">
        <v>150</v>
      </c>
      <c r="H4941" s="9" t="s">
        <v>2979</v>
      </c>
      <c r="I4941" t="s">
        <v>3028</v>
      </c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  <c r="AA4941" s="7"/>
      <c r="AB4941" s="7"/>
      <c r="AC4941" s="7"/>
      <c r="AD4941" s="7" t="str">
        <f t="shared" si="1"/>
        <v>Built-up :</v>
      </c>
      <c r="AE4941" s="7" t="str">
        <f t="shared" si="2"/>
        <v> sq. ft.</v>
      </c>
      <c r="AF4941">
        <f>IFERROR(__xludf.DUMMYFUNCTION("VALUE(REGEXREPLACE(G4941,""[^[:digit:]]"", """"))"),2250.0)</f>
        <v>2250</v>
      </c>
      <c r="AG4941" s="7"/>
      <c r="AH4941" s="7"/>
      <c r="AI4941" s="7"/>
      <c r="AJ4941" s="7"/>
      <c r="AK4941" s="7"/>
      <c r="AL4941" s="7"/>
      <c r="AM4941" s="7"/>
      <c r="AN4941" s="7"/>
      <c r="AO4941" s="7"/>
      <c r="AP4941" s="7"/>
      <c r="AQ4941" s="7"/>
      <c r="AR4941" s="7"/>
      <c r="AS4941" s="7" t="s">
        <v>27</v>
      </c>
    </row>
    <row r="4942">
      <c r="A4942" s="7" t="s">
        <v>109</v>
      </c>
      <c r="B4942" s="7" t="s">
        <v>107</v>
      </c>
      <c r="C4942" s="7">
        <f t="shared" ref="C4942:C4943" si="700">3</f>
        <v>3</v>
      </c>
      <c r="D4942" s="7">
        <v>2.0</v>
      </c>
      <c r="E4942" s="7">
        <v>1.0</v>
      </c>
      <c r="F4942" s="7" t="s">
        <v>83</v>
      </c>
      <c r="G4942" s="7" t="s">
        <v>157</v>
      </c>
      <c r="H4942" s="9" t="s">
        <v>2979</v>
      </c>
      <c r="I4942" t="s">
        <v>3031</v>
      </c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  <c r="AA4942" s="7"/>
      <c r="AB4942" s="7"/>
      <c r="AC4942" s="7"/>
      <c r="AD4942" s="7" t="str">
        <f t="shared" si="1"/>
        <v>Built-up :</v>
      </c>
      <c r="AE4942" s="7" t="str">
        <f t="shared" si="2"/>
        <v> sq. ft.</v>
      </c>
      <c r="AF4942">
        <f>IFERROR(__xludf.DUMMYFUNCTION("VALUE(REGEXREPLACE(G4942,""[^[:digit:]]"", """"))"),1050.0)</f>
        <v>1050</v>
      </c>
      <c r="AG4942" s="7"/>
      <c r="AH4942" s="7"/>
      <c r="AI4942" s="7"/>
      <c r="AJ4942" s="7"/>
      <c r="AK4942" s="7"/>
      <c r="AL4942" s="7"/>
      <c r="AM4942" s="7"/>
      <c r="AN4942" s="7"/>
      <c r="AO4942" s="7"/>
      <c r="AP4942" s="7"/>
      <c r="AQ4942" s="7"/>
      <c r="AR4942" s="7"/>
      <c r="AS4942" s="7" t="s">
        <v>27</v>
      </c>
    </row>
    <row r="4943">
      <c r="A4943" s="7" t="s">
        <v>155</v>
      </c>
      <c r="B4943" s="7" t="s">
        <v>221</v>
      </c>
      <c r="C4943" s="7">
        <f t="shared" si="700"/>
        <v>3</v>
      </c>
      <c r="D4943" s="7">
        <v>3.0</v>
      </c>
      <c r="E4943" s="7">
        <v>2.0</v>
      </c>
      <c r="F4943" s="7" t="s">
        <v>30</v>
      </c>
      <c r="G4943" s="7" t="s">
        <v>544</v>
      </c>
      <c r="H4943" s="9" t="s">
        <v>2981</v>
      </c>
      <c r="I4943" t="s">
        <v>3215</v>
      </c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  <c r="AA4943" s="7"/>
      <c r="AB4943" s="7"/>
      <c r="AC4943" s="7"/>
      <c r="AD4943" s="7" t="str">
        <f t="shared" si="1"/>
        <v>Land area </v>
      </c>
      <c r="AE4943" s="7" t="str">
        <f t="shared" si="2"/>
        <v> sq. ft.</v>
      </c>
      <c r="AF4943">
        <f>IFERROR(__xludf.DUMMYFUNCTION("VALUE(REGEXREPLACE(G4943,""[^[:digit:]]"", """"))"),1087.0)</f>
        <v>1087</v>
      </c>
      <c r="AG4943" s="7"/>
      <c r="AH4943" s="7"/>
      <c r="AI4943" s="7"/>
      <c r="AJ4943" s="7"/>
      <c r="AK4943" s="7"/>
      <c r="AL4943" s="7"/>
      <c r="AM4943" s="7"/>
      <c r="AN4943" s="7"/>
      <c r="AO4943" s="7"/>
      <c r="AP4943" s="7"/>
      <c r="AQ4943" s="7"/>
      <c r="AR4943" s="7"/>
      <c r="AS4943" s="7" t="s">
        <v>27</v>
      </c>
    </row>
    <row r="4944">
      <c r="A4944" s="7" t="s">
        <v>17</v>
      </c>
      <c r="B4944" s="7" t="s">
        <v>475</v>
      </c>
      <c r="C4944" s="7">
        <f>4+1</f>
        <v>5</v>
      </c>
      <c r="D4944" s="7">
        <v>5.0</v>
      </c>
      <c r="E4944" s="9">
        <v>2.0</v>
      </c>
      <c r="F4944" s="7" t="s">
        <v>20</v>
      </c>
      <c r="G4944" s="7" t="s">
        <v>1720</v>
      </c>
      <c r="H4944" s="9" t="s">
        <v>2979</v>
      </c>
      <c r="I4944" t="s">
        <v>3879</v>
      </c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  <c r="AA4944" s="7"/>
      <c r="AB4944" s="7"/>
      <c r="AC4944" s="7"/>
      <c r="AD4944" s="7" t="str">
        <f t="shared" si="1"/>
        <v>Built-up :</v>
      </c>
      <c r="AE4944" s="7" t="str">
        <f t="shared" si="2"/>
        <v> sq. ft.</v>
      </c>
      <c r="AF4944">
        <f>IFERROR(__xludf.DUMMYFUNCTION("VALUE(REGEXREPLACE(G4944,""[^[:digit:]]"", """"))"),2343.0)</f>
        <v>2343</v>
      </c>
      <c r="AG4944" s="7"/>
      <c r="AH4944" s="7"/>
      <c r="AI4944" s="7"/>
      <c r="AJ4944" s="7"/>
      <c r="AK4944" s="7"/>
      <c r="AL4944" s="7"/>
      <c r="AM4944" s="7"/>
      <c r="AN4944" s="7"/>
      <c r="AO4944" s="7"/>
      <c r="AP4944" s="7"/>
      <c r="AQ4944" s="7"/>
      <c r="AR4944" s="7"/>
      <c r="AS4944" s="7" t="s">
        <v>27</v>
      </c>
    </row>
    <row r="4945">
      <c r="A4945" s="7" t="s">
        <v>171</v>
      </c>
      <c r="B4945" s="7" t="s">
        <v>510</v>
      </c>
      <c r="C4945" s="7">
        <f>3+1</f>
        <v>4</v>
      </c>
      <c r="D4945" s="7">
        <v>2.0</v>
      </c>
      <c r="E4945" s="7">
        <v>1.0</v>
      </c>
      <c r="F4945" s="7" t="s">
        <v>30</v>
      </c>
      <c r="G4945" s="7" t="s">
        <v>2962</v>
      </c>
      <c r="H4945" s="9" t="s">
        <v>2979</v>
      </c>
      <c r="I4945" t="s">
        <v>4635</v>
      </c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  <c r="AA4945" s="7"/>
      <c r="AB4945" s="7"/>
      <c r="AC4945" s="7"/>
      <c r="AD4945" s="7" t="str">
        <f t="shared" si="1"/>
        <v>Built-up :</v>
      </c>
      <c r="AE4945" s="7" t="str">
        <f t="shared" si="2"/>
        <v> sq. ft.</v>
      </c>
      <c r="AF4945">
        <f>IFERROR(__xludf.DUMMYFUNCTION("VALUE(REGEXREPLACE(G4945,""[^[:digit:]]"", """"))"),1211.0)</f>
        <v>1211</v>
      </c>
      <c r="AG4945" s="7"/>
      <c r="AH4945" s="7"/>
      <c r="AI4945" s="7"/>
      <c r="AJ4945" s="7"/>
      <c r="AK4945" s="7"/>
      <c r="AL4945" s="7"/>
      <c r="AM4945" s="7"/>
      <c r="AN4945" s="7"/>
      <c r="AO4945" s="7"/>
      <c r="AP4945" s="7"/>
      <c r="AQ4945" s="7"/>
      <c r="AR4945" s="7"/>
      <c r="AS4945" s="7" t="s">
        <v>103</v>
      </c>
    </row>
    <row r="4946">
      <c r="A4946" s="7" t="s">
        <v>2777</v>
      </c>
      <c r="B4946" s="7" t="s">
        <v>2963</v>
      </c>
      <c r="C4946" s="7">
        <f>3</f>
        <v>3</v>
      </c>
      <c r="D4946" s="7">
        <v>2.0</v>
      </c>
      <c r="E4946" s="7">
        <v>1.0</v>
      </c>
      <c r="F4946" s="7" t="s">
        <v>354</v>
      </c>
      <c r="G4946" s="7" t="s">
        <v>187</v>
      </c>
      <c r="H4946" s="9" t="s">
        <v>2979</v>
      </c>
      <c r="I4946" t="s">
        <v>3043</v>
      </c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  <c r="AA4946" s="7"/>
      <c r="AB4946" s="7"/>
      <c r="AC4946" s="7"/>
      <c r="AD4946" s="7" t="str">
        <f t="shared" si="1"/>
        <v>Built-up :</v>
      </c>
      <c r="AE4946" s="7" t="str">
        <f t="shared" si="2"/>
        <v> sq. ft.</v>
      </c>
      <c r="AF4946">
        <f>IFERROR(__xludf.DUMMYFUNCTION("VALUE(REGEXREPLACE(G4946,""[^[:digit:]]"", """"))"),720.0)</f>
        <v>720</v>
      </c>
      <c r="AG4946" s="7"/>
      <c r="AH4946" s="7"/>
      <c r="AI4946" s="7"/>
      <c r="AJ4946" s="7"/>
      <c r="AK4946" s="7"/>
      <c r="AL4946" s="7"/>
      <c r="AM4946" s="7"/>
      <c r="AN4946" s="7"/>
      <c r="AO4946" s="7"/>
      <c r="AP4946" s="7"/>
      <c r="AQ4946" s="7"/>
      <c r="AR4946" s="7"/>
      <c r="AS4946" s="7" t="s">
        <v>27</v>
      </c>
    </row>
    <row r="4947">
      <c r="A4947" s="7" t="s">
        <v>52</v>
      </c>
      <c r="B4947" s="7" t="s">
        <v>702</v>
      </c>
      <c r="C4947" s="7">
        <f>1</f>
        <v>1</v>
      </c>
      <c r="D4947" s="7">
        <v>1.0</v>
      </c>
      <c r="E4947" s="7">
        <v>1.0</v>
      </c>
      <c r="F4947" s="7" t="s">
        <v>20</v>
      </c>
      <c r="G4947" s="7" t="s">
        <v>2444</v>
      </c>
      <c r="H4947" s="9" t="s">
        <v>2979</v>
      </c>
      <c r="I4947" t="s">
        <v>4321</v>
      </c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  <c r="AA4947" s="7"/>
      <c r="AB4947" s="7"/>
      <c r="AC4947" s="7"/>
      <c r="AD4947" s="7" t="str">
        <f t="shared" si="1"/>
        <v>Built-up :</v>
      </c>
      <c r="AE4947" s="7" t="str">
        <f t="shared" si="2"/>
        <v> sq. ft.</v>
      </c>
      <c r="AF4947">
        <f>IFERROR(__xludf.DUMMYFUNCTION("VALUE(REGEXREPLACE(G4947,""[^[:digit:]]"", """"))"),689.0)</f>
        <v>689</v>
      </c>
      <c r="AG4947" s="7"/>
      <c r="AH4947" s="7"/>
      <c r="AI4947" s="7"/>
      <c r="AJ4947" s="7"/>
      <c r="AK4947" s="7"/>
      <c r="AL4947" s="7"/>
      <c r="AM4947" s="7"/>
      <c r="AN4947" s="7"/>
      <c r="AO4947" s="7"/>
      <c r="AP4947" s="7"/>
      <c r="AQ4947" s="7"/>
      <c r="AR4947" s="7"/>
      <c r="AS4947" s="7" t="s">
        <v>22</v>
      </c>
    </row>
    <row r="4948">
      <c r="A4948" s="7" t="s">
        <v>52</v>
      </c>
      <c r="B4948" s="7" t="s">
        <v>759</v>
      </c>
      <c r="C4948" s="7">
        <f t="shared" ref="C4948:C4950" si="701">2</f>
        <v>2</v>
      </c>
      <c r="D4948" s="7">
        <v>1.0</v>
      </c>
      <c r="E4948" s="9">
        <v>2.0</v>
      </c>
      <c r="F4948" s="7" t="s">
        <v>20</v>
      </c>
      <c r="G4948" s="7" t="s">
        <v>328</v>
      </c>
      <c r="H4948" s="9" t="s">
        <v>2979</v>
      </c>
      <c r="I4948" t="s">
        <v>3110</v>
      </c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  <c r="AA4948" s="7"/>
      <c r="AB4948" s="7"/>
      <c r="AC4948" s="7"/>
      <c r="AD4948" s="7" t="str">
        <f t="shared" si="1"/>
        <v>Built-up :</v>
      </c>
      <c r="AE4948" s="7" t="str">
        <f t="shared" si="2"/>
        <v> sq. ft.</v>
      </c>
      <c r="AF4948">
        <f>IFERROR(__xludf.DUMMYFUNCTION("VALUE(REGEXREPLACE(G4948,""[^[:digit:]]"", """"))"),925.0)</f>
        <v>925</v>
      </c>
      <c r="AG4948" s="7"/>
      <c r="AH4948" s="7"/>
      <c r="AI4948" s="7"/>
      <c r="AJ4948" s="7"/>
      <c r="AK4948" s="7"/>
      <c r="AL4948" s="7"/>
      <c r="AM4948" s="7"/>
      <c r="AN4948" s="7"/>
      <c r="AO4948" s="7"/>
      <c r="AP4948" s="7"/>
      <c r="AQ4948" s="7"/>
      <c r="AR4948" s="7"/>
      <c r="AS4948" s="7" t="s">
        <v>251</v>
      </c>
    </row>
    <row r="4949">
      <c r="A4949" s="7" t="s">
        <v>52</v>
      </c>
      <c r="B4949" s="7" t="s">
        <v>172</v>
      </c>
      <c r="C4949" s="7">
        <f t="shared" si="701"/>
        <v>2</v>
      </c>
      <c r="D4949" s="7">
        <v>1.0</v>
      </c>
      <c r="E4949" s="7">
        <v>1.0</v>
      </c>
      <c r="F4949" s="7" t="s">
        <v>20</v>
      </c>
      <c r="G4949" s="7" t="s">
        <v>328</v>
      </c>
      <c r="H4949" s="9" t="s">
        <v>2979</v>
      </c>
      <c r="I4949" t="s">
        <v>3110</v>
      </c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  <c r="AA4949" s="7"/>
      <c r="AB4949" s="7"/>
      <c r="AC4949" s="7"/>
      <c r="AD4949" s="7" t="str">
        <f t="shared" si="1"/>
        <v>Built-up :</v>
      </c>
      <c r="AE4949" s="7" t="str">
        <f t="shared" si="2"/>
        <v> sq. ft.</v>
      </c>
      <c r="AF4949">
        <f>IFERROR(__xludf.DUMMYFUNCTION("VALUE(REGEXREPLACE(G4949,""[^[:digit:]]"", """"))"),925.0)</f>
        <v>925</v>
      </c>
      <c r="AG4949" s="7"/>
      <c r="AH4949" s="7"/>
      <c r="AI4949" s="7"/>
      <c r="AJ4949" s="7"/>
      <c r="AK4949" s="7"/>
      <c r="AL4949" s="7"/>
      <c r="AM4949" s="7"/>
      <c r="AN4949" s="7"/>
      <c r="AO4949" s="7"/>
      <c r="AP4949" s="7"/>
      <c r="AQ4949" s="7"/>
      <c r="AR4949" s="7"/>
      <c r="AS4949" s="7" t="s">
        <v>22</v>
      </c>
    </row>
    <row r="4950">
      <c r="A4950" s="7" t="s">
        <v>52</v>
      </c>
      <c r="B4950" s="7" t="s">
        <v>507</v>
      </c>
      <c r="C4950" s="7">
        <f t="shared" si="701"/>
        <v>2</v>
      </c>
      <c r="D4950" s="7">
        <v>2.0</v>
      </c>
      <c r="E4950" s="7">
        <v>1.0</v>
      </c>
      <c r="F4950" s="7" t="s">
        <v>20</v>
      </c>
      <c r="G4950" s="7" t="s">
        <v>491</v>
      </c>
      <c r="H4950" s="9" t="s">
        <v>2979</v>
      </c>
      <c r="I4950" t="s">
        <v>3190</v>
      </c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  <c r="AA4950" s="7"/>
      <c r="AB4950" s="7"/>
      <c r="AC4950" s="7"/>
      <c r="AD4950" s="7" t="str">
        <f t="shared" si="1"/>
        <v>Built-up :</v>
      </c>
      <c r="AE4950" s="7" t="str">
        <f t="shared" si="2"/>
        <v> sq. ft.</v>
      </c>
      <c r="AF4950">
        <f>IFERROR(__xludf.DUMMYFUNCTION("VALUE(REGEXREPLACE(G4950,""[^[:digit:]]"", """"))"),950.0)</f>
        <v>950</v>
      </c>
      <c r="AG4950" s="7"/>
      <c r="AH4950" s="7"/>
      <c r="AI4950" s="7"/>
      <c r="AJ4950" s="7"/>
      <c r="AK4950" s="7"/>
      <c r="AL4950" s="7"/>
      <c r="AM4950" s="7"/>
      <c r="AN4950" s="7"/>
      <c r="AO4950" s="7"/>
      <c r="AP4950" s="7"/>
      <c r="AQ4950" s="7"/>
      <c r="AR4950" s="7"/>
      <c r="AS4950" s="7" t="s">
        <v>22</v>
      </c>
    </row>
    <row r="4951">
      <c r="A4951" s="7" t="s">
        <v>32</v>
      </c>
      <c r="B4951" s="7" t="s">
        <v>969</v>
      </c>
      <c r="C4951" s="7">
        <f>3</f>
        <v>3</v>
      </c>
      <c r="D4951" s="7">
        <v>2.0</v>
      </c>
      <c r="E4951" s="9">
        <v>2.0</v>
      </c>
      <c r="F4951" s="7" t="s">
        <v>93</v>
      </c>
      <c r="G4951" s="7" t="s">
        <v>1560</v>
      </c>
      <c r="H4951" s="9" t="s">
        <v>2979</v>
      </c>
      <c r="I4951" t="s">
        <v>3781</v>
      </c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  <c r="AA4951" s="7"/>
      <c r="AB4951" s="7"/>
      <c r="AC4951" s="7"/>
      <c r="AD4951" s="7" t="str">
        <f t="shared" si="1"/>
        <v>Built-up :</v>
      </c>
      <c r="AE4951" s="7" t="str">
        <f t="shared" si="2"/>
        <v> sq. ft.</v>
      </c>
      <c r="AF4951">
        <f>IFERROR(__xludf.DUMMYFUNCTION("VALUE(REGEXREPLACE(G4951,""[^[:digit:]]"", """"))"),905.0)</f>
        <v>905</v>
      </c>
      <c r="AG4951" s="7"/>
      <c r="AH4951" s="7"/>
      <c r="AI4951" s="7"/>
      <c r="AJ4951" s="7"/>
      <c r="AK4951" s="7"/>
      <c r="AL4951" s="7"/>
      <c r="AM4951" s="7"/>
      <c r="AN4951" s="7"/>
      <c r="AO4951" s="7"/>
      <c r="AP4951" s="7"/>
      <c r="AQ4951" s="7"/>
      <c r="AR4951" s="7"/>
      <c r="AS4951" s="7" t="s">
        <v>103</v>
      </c>
    </row>
    <row r="4952">
      <c r="A4952" s="7" t="s">
        <v>1315</v>
      </c>
      <c r="B4952" s="7" t="s">
        <v>1114</v>
      </c>
      <c r="C4952" s="7">
        <f>3+1</f>
        <v>4</v>
      </c>
      <c r="D4952" s="7">
        <v>4.0</v>
      </c>
      <c r="E4952" s="7">
        <v>2.0</v>
      </c>
      <c r="F4952" s="7" t="s">
        <v>83</v>
      </c>
      <c r="G4952" s="7" t="s">
        <v>726</v>
      </c>
      <c r="H4952" s="9" t="s">
        <v>2979</v>
      </c>
      <c r="I4952" t="s">
        <v>3304</v>
      </c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  <c r="AA4952" s="7"/>
      <c r="AB4952" s="7"/>
      <c r="AC4952" s="7"/>
      <c r="AD4952" s="7" t="str">
        <f t="shared" si="1"/>
        <v>Built-up :</v>
      </c>
      <c r="AE4952" s="7" t="str">
        <f t="shared" si="2"/>
        <v> sq. ft.</v>
      </c>
      <c r="AF4952">
        <f>IFERROR(__xludf.DUMMYFUNCTION("VALUE(REGEXREPLACE(G4952,""[^[:digit:]]"", """"))"),1700.0)</f>
        <v>1700</v>
      </c>
      <c r="AG4952" s="7"/>
      <c r="AH4952" s="7"/>
      <c r="AI4952" s="7"/>
      <c r="AJ4952" s="7"/>
      <c r="AK4952" s="7"/>
      <c r="AL4952" s="7"/>
      <c r="AM4952" s="7"/>
      <c r="AN4952" s="7"/>
      <c r="AO4952" s="7"/>
      <c r="AP4952" s="7"/>
      <c r="AQ4952" s="7"/>
      <c r="AR4952" s="7"/>
      <c r="AS4952" s="7" t="s">
        <v>22</v>
      </c>
    </row>
    <row r="4953">
      <c r="A4953" s="7" t="s">
        <v>52</v>
      </c>
      <c r="B4953" s="7" t="s">
        <v>563</v>
      </c>
      <c r="C4953" s="7">
        <f>2</f>
        <v>2</v>
      </c>
      <c r="D4953" s="7">
        <v>1.0</v>
      </c>
      <c r="E4953" s="7">
        <v>1.0</v>
      </c>
      <c r="F4953" s="7" t="s">
        <v>20</v>
      </c>
      <c r="G4953" s="7" t="s">
        <v>328</v>
      </c>
      <c r="H4953" s="9" t="s">
        <v>2979</v>
      </c>
      <c r="I4953" t="s">
        <v>3110</v>
      </c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  <c r="AA4953" s="7"/>
      <c r="AB4953" s="7"/>
      <c r="AC4953" s="7"/>
      <c r="AD4953" s="7" t="str">
        <f t="shared" si="1"/>
        <v>Built-up :</v>
      </c>
      <c r="AE4953" s="7" t="str">
        <f t="shared" si="2"/>
        <v> sq. ft.</v>
      </c>
      <c r="AF4953">
        <f>IFERROR(__xludf.DUMMYFUNCTION("VALUE(REGEXREPLACE(G4953,""[^[:digit:]]"", """"))"),925.0)</f>
        <v>925</v>
      </c>
      <c r="AG4953" s="7"/>
      <c r="AH4953" s="7"/>
      <c r="AI4953" s="7"/>
      <c r="AJ4953" s="7"/>
      <c r="AK4953" s="7"/>
      <c r="AL4953" s="7"/>
      <c r="AM4953" s="7"/>
      <c r="AN4953" s="7"/>
      <c r="AO4953" s="7"/>
      <c r="AP4953" s="7"/>
      <c r="AQ4953" s="7"/>
      <c r="AR4953" s="7"/>
      <c r="AS4953" s="7" t="s">
        <v>22</v>
      </c>
    </row>
    <row r="4954">
      <c r="A4954" s="7" t="s">
        <v>52</v>
      </c>
      <c r="B4954" s="7" t="s">
        <v>2016</v>
      </c>
      <c r="C4954" s="7">
        <f t="shared" ref="C4954:C4955" si="702">1</f>
        <v>1</v>
      </c>
      <c r="D4954" s="7">
        <v>1.0</v>
      </c>
      <c r="E4954" s="7">
        <v>1.0</v>
      </c>
      <c r="F4954" s="7" t="s">
        <v>20</v>
      </c>
      <c r="G4954" s="7" t="s">
        <v>108</v>
      </c>
      <c r="H4954" s="9" t="s">
        <v>2979</v>
      </c>
      <c r="I4954" t="s">
        <v>3010</v>
      </c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  <c r="AA4954" s="7"/>
      <c r="AB4954" s="7"/>
      <c r="AC4954" s="7"/>
      <c r="AD4954" s="7" t="str">
        <f t="shared" si="1"/>
        <v>Built-up :</v>
      </c>
      <c r="AE4954" s="7" t="str">
        <f t="shared" si="2"/>
        <v> sq. ft.</v>
      </c>
      <c r="AF4954">
        <f>IFERROR(__xludf.DUMMYFUNCTION("VALUE(REGEXREPLACE(G4954,""[^[:digit:]]"", """"))"),613.0)</f>
        <v>613</v>
      </c>
      <c r="AG4954" s="7"/>
      <c r="AH4954" s="7"/>
      <c r="AI4954" s="7"/>
      <c r="AJ4954" s="7"/>
      <c r="AK4954" s="7"/>
      <c r="AL4954" s="7"/>
      <c r="AM4954" s="7"/>
      <c r="AN4954" s="7"/>
      <c r="AO4954" s="7"/>
      <c r="AP4954" s="7"/>
      <c r="AQ4954" s="7"/>
      <c r="AR4954" s="7"/>
      <c r="AS4954" s="7" t="s">
        <v>22</v>
      </c>
    </row>
    <row r="4955">
      <c r="A4955" s="7" t="s">
        <v>52</v>
      </c>
      <c r="B4955" s="7" t="s">
        <v>1423</v>
      </c>
      <c r="C4955" s="7">
        <f t="shared" si="702"/>
        <v>1</v>
      </c>
      <c r="D4955" s="7">
        <v>1.0</v>
      </c>
      <c r="E4955" s="7">
        <v>1.0</v>
      </c>
      <c r="F4955" s="7" t="s">
        <v>20</v>
      </c>
      <c r="G4955" s="7" t="s">
        <v>2444</v>
      </c>
      <c r="H4955" s="9" t="s">
        <v>2979</v>
      </c>
      <c r="I4955" t="s">
        <v>4321</v>
      </c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  <c r="AA4955" s="7"/>
      <c r="AB4955" s="7"/>
      <c r="AC4955" s="7"/>
      <c r="AD4955" s="7" t="str">
        <f t="shared" si="1"/>
        <v>Built-up :</v>
      </c>
      <c r="AE4955" s="7" t="str">
        <f t="shared" si="2"/>
        <v> sq. ft.</v>
      </c>
      <c r="AF4955">
        <f>IFERROR(__xludf.DUMMYFUNCTION("VALUE(REGEXREPLACE(G4955,""[^[:digit:]]"", """"))"),689.0)</f>
        <v>689</v>
      </c>
      <c r="AG4955" s="7"/>
      <c r="AH4955" s="7"/>
      <c r="AI4955" s="7"/>
      <c r="AJ4955" s="7"/>
      <c r="AK4955" s="7"/>
      <c r="AL4955" s="7"/>
      <c r="AM4955" s="7"/>
      <c r="AN4955" s="7"/>
      <c r="AO4955" s="7"/>
      <c r="AP4955" s="7"/>
      <c r="AQ4955" s="7"/>
      <c r="AR4955" s="7"/>
      <c r="AS4955" s="7" t="s">
        <v>22</v>
      </c>
    </row>
    <row r="4956">
      <c r="A4956" s="7" t="s">
        <v>17</v>
      </c>
      <c r="B4956" s="7" t="s">
        <v>191</v>
      </c>
      <c r="C4956" s="7">
        <f t="shared" ref="C4956:C4958" si="703">2</f>
        <v>2</v>
      </c>
      <c r="D4956" s="7">
        <v>1.0</v>
      </c>
      <c r="E4956" s="7">
        <v>1.0</v>
      </c>
      <c r="F4956" s="7" t="s">
        <v>20</v>
      </c>
      <c r="G4956" s="7" t="s">
        <v>1303</v>
      </c>
      <c r="H4956" s="9" t="s">
        <v>2979</v>
      </c>
      <c r="I4956" t="s">
        <v>3634</v>
      </c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  <c r="AA4956" s="7"/>
      <c r="AB4956" s="7"/>
      <c r="AC4956" s="7"/>
      <c r="AD4956" s="7" t="str">
        <f t="shared" si="1"/>
        <v>Built-up :</v>
      </c>
      <c r="AE4956" s="7" t="str">
        <f t="shared" si="2"/>
        <v> sq. ft.</v>
      </c>
      <c r="AF4956">
        <f>IFERROR(__xludf.DUMMYFUNCTION("VALUE(REGEXREPLACE(G4956,""[^[:digit:]]"", """"))"),1141.0)</f>
        <v>1141</v>
      </c>
      <c r="AG4956" s="7"/>
      <c r="AH4956" s="7"/>
      <c r="AI4956" s="7"/>
      <c r="AJ4956" s="7"/>
      <c r="AK4956" s="7"/>
      <c r="AL4956" s="7"/>
      <c r="AM4956" s="7"/>
      <c r="AN4956" s="7"/>
      <c r="AO4956" s="7"/>
      <c r="AP4956" s="7"/>
      <c r="AQ4956" s="7"/>
      <c r="AR4956" s="7"/>
      <c r="AS4956" s="7" t="s">
        <v>22</v>
      </c>
    </row>
    <row r="4957">
      <c r="A4957" s="7" t="s">
        <v>52</v>
      </c>
      <c r="B4957" s="7" t="s">
        <v>1997</v>
      </c>
      <c r="C4957" s="7">
        <f t="shared" si="703"/>
        <v>2</v>
      </c>
      <c r="D4957" s="7">
        <v>2.0</v>
      </c>
      <c r="E4957" s="7">
        <v>1.0</v>
      </c>
      <c r="F4957" s="7" t="s">
        <v>20</v>
      </c>
      <c r="G4957" s="7" t="s">
        <v>491</v>
      </c>
      <c r="H4957" s="9" t="s">
        <v>2979</v>
      </c>
      <c r="I4957" t="s">
        <v>3190</v>
      </c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  <c r="AA4957" s="7"/>
      <c r="AB4957" s="7"/>
      <c r="AC4957" s="7"/>
      <c r="AD4957" s="7" t="str">
        <f t="shared" si="1"/>
        <v>Built-up :</v>
      </c>
      <c r="AE4957" s="7" t="str">
        <f t="shared" si="2"/>
        <v> sq. ft.</v>
      </c>
      <c r="AF4957">
        <f>IFERROR(__xludf.DUMMYFUNCTION("VALUE(REGEXREPLACE(G4957,""[^[:digit:]]"", """"))"),950.0)</f>
        <v>950</v>
      </c>
      <c r="AG4957" s="7"/>
      <c r="AH4957" s="7"/>
      <c r="AI4957" s="7"/>
      <c r="AJ4957" s="7"/>
      <c r="AK4957" s="7"/>
      <c r="AL4957" s="7"/>
      <c r="AM4957" s="7"/>
      <c r="AN4957" s="7"/>
      <c r="AO4957" s="7"/>
      <c r="AP4957" s="7"/>
      <c r="AQ4957" s="7"/>
      <c r="AR4957" s="7"/>
      <c r="AS4957" s="7" t="s">
        <v>22</v>
      </c>
    </row>
    <row r="4958">
      <c r="A4958" s="7" t="s">
        <v>17</v>
      </c>
      <c r="B4958" s="7" t="s">
        <v>229</v>
      </c>
      <c r="C4958" s="7">
        <f t="shared" si="703"/>
        <v>2</v>
      </c>
      <c r="D4958" s="7">
        <v>2.0</v>
      </c>
      <c r="E4958" s="7">
        <v>2.0</v>
      </c>
      <c r="F4958" s="7" t="s">
        <v>20</v>
      </c>
      <c r="G4958" s="7" t="s">
        <v>1303</v>
      </c>
      <c r="H4958" s="9" t="s">
        <v>2979</v>
      </c>
      <c r="I4958" t="s">
        <v>3634</v>
      </c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  <c r="AA4958" s="7"/>
      <c r="AB4958" s="7"/>
      <c r="AC4958" s="7"/>
      <c r="AD4958" s="7" t="str">
        <f t="shared" si="1"/>
        <v>Built-up :</v>
      </c>
      <c r="AE4958" s="7" t="str">
        <f t="shared" si="2"/>
        <v> sq. ft.</v>
      </c>
      <c r="AF4958">
        <f>IFERROR(__xludf.DUMMYFUNCTION("VALUE(REGEXREPLACE(G4958,""[^[:digit:]]"", """"))"),1141.0)</f>
        <v>1141</v>
      </c>
      <c r="AG4958" s="7"/>
      <c r="AH4958" s="7"/>
      <c r="AI4958" s="7"/>
      <c r="AJ4958" s="7"/>
      <c r="AK4958" s="7"/>
      <c r="AL4958" s="7"/>
      <c r="AM4958" s="7"/>
      <c r="AN4958" s="7"/>
      <c r="AO4958" s="7"/>
      <c r="AP4958" s="7"/>
      <c r="AQ4958" s="7"/>
      <c r="AR4958" s="7"/>
      <c r="AS4958" s="7" t="s">
        <v>22</v>
      </c>
    </row>
    <row r="4959">
      <c r="A4959" s="7" t="s">
        <v>52</v>
      </c>
      <c r="B4959" s="7" t="s">
        <v>168</v>
      </c>
      <c r="C4959" s="7">
        <f>3</f>
        <v>3</v>
      </c>
      <c r="D4959" s="7">
        <v>2.0</v>
      </c>
      <c r="E4959" s="7">
        <v>1.0</v>
      </c>
      <c r="F4959" s="7" t="s">
        <v>20</v>
      </c>
      <c r="G4959" s="7" t="s">
        <v>490</v>
      </c>
      <c r="H4959" s="9" t="s">
        <v>2979</v>
      </c>
      <c r="I4959" t="s">
        <v>3189</v>
      </c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  <c r="AA4959" s="7"/>
      <c r="AB4959" s="7"/>
      <c r="AC4959" s="7"/>
      <c r="AD4959" s="7" t="str">
        <f t="shared" si="1"/>
        <v>Built-up :</v>
      </c>
      <c r="AE4959" s="7" t="str">
        <f t="shared" si="2"/>
        <v> sq. ft.</v>
      </c>
      <c r="AF4959">
        <f>IFERROR(__xludf.DUMMYFUNCTION("VALUE(REGEXREPLACE(G4959,""[^[:digit:]]"", """"))"),1378.0)</f>
        <v>1378</v>
      </c>
      <c r="AG4959" s="7"/>
      <c r="AH4959" s="7"/>
      <c r="AI4959" s="7"/>
      <c r="AJ4959" s="7"/>
      <c r="AK4959" s="7"/>
      <c r="AL4959" s="7"/>
      <c r="AM4959" s="7"/>
      <c r="AN4959" s="7"/>
      <c r="AO4959" s="7"/>
      <c r="AP4959" s="7"/>
      <c r="AQ4959" s="7"/>
      <c r="AR4959" s="7"/>
      <c r="AS4959" s="7" t="s">
        <v>22</v>
      </c>
    </row>
    <row r="4960">
      <c r="A4960" s="7" t="s">
        <v>72</v>
      </c>
      <c r="B4960" s="7" t="s">
        <v>2964</v>
      </c>
      <c r="C4960" s="7">
        <f>6+1</f>
        <v>7</v>
      </c>
      <c r="D4960" s="7">
        <v>7.0</v>
      </c>
      <c r="E4960" s="9">
        <v>2.0</v>
      </c>
      <c r="F4960" s="7" t="s">
        <v>25</v>
      </c>
      <c r="G4960" s="7" t="s">
        <v>2965</v>
      </c>
      <c r="H4960" s="9" t="s">
        <v>2981</v>
      </c>
      <c r="I4960" t="s">
        <v>4636</v>
      </c>
      <c r="J4960" s="7"/>
      <c r="K4960" s="7"/>
      <c r="L4960" s="7"/>
      <c r="M4960" s="7"/>
      <c r="N4960" s="7"/>
      <c r="O4960" s="7"/>
      <c r="P4960" s="7"/>
      <c r="Q4960" s="7"/>
      <c r="R4960" s="7"/>
      <c r="S4960" s="7" t="s">
        <v>2993</v>
      </c>
      <c r="T4960" s="7"/>
      <c r="U4960" s="7"/>
      <c r="V4960" s="7"/>
      <c r="W4960" s="7"/>
      <c r="X4960" s="7"/>
      <c r="Y4960" s="7"/>
      <c r="Z4960" s="7"/>
      <c r="AA4960" s="7"/>
      <c r="AB4960" s="7"/>
      <c r="AC4960" s="7"/>
      <c r="AD4960" s="7" t="str">
        <f t="shared" si="1"/>
        <v>Land area </v>
      </c>
      <c r="AE4960" s="7" t="str">
        <f t="shared" si="2"/>
        <v> sq. ft.</v>
      </c>
      <c r="AF4960">
        <f>IFERROR(__xludf.DUMMYFUNCTION("VALUE(REGEXREPLACE(G4960,""[^[:digit:]]"", """"))"),5680.0)</f>
        <v>5680</v>
      </c>
      <c r="AG4960" s="7"/>
      <c r="AH4960" s="7"/>
      <c r="AI4960" s="7"/>
      <c r="AJ4960" s="7"/>
      <c r="AK4960" s="7"/>
      <c r="AL4960" s="7"/>
      <c r="AM4960" s="7"/>
      <c r="AN4960" s="7"/>
      <c r="AO4960" s="7"/>
      <c r="AP4960" s="7"/>
      <c r="AQ4960" s="7"/>
      <c r="AR4960" s="7"/>
      <c r="AS4960" s="7" t="s">
        <v>27</v>
      </c>
    </row>
    <row r="4961">
      <c r="A4961" s="7" t="s">
        <v>17</v>
      </c>
      <c r="B4961" s="7" t="s">
        <v>168</v>
      </c>
      <c r="C4961" s="7">
        <f>1</f>
        <v>1</v>
      </c>
      <c r="D4961" s="7">
        <v>1.0</v>
      </c>
      <c r="E4961" s="7">
        <v>1.0</v>
      </c>
      <c r="F4961" s="7" t="s">
        <v>20</v>
      </c>
      <c r="G4961" s="7" t="s">
        <v>756</v>
      </c>
      <c r="H4961" s="9" t="s">
        <v>2979</v>
      </c>
      <c r="I4961" t="s">
        <v>3321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  <c r="AA4961" s="7"/>
      <c r="AB4961" s="7"/>
      <c r="AC4961" s="7"/>
      <c r="AD4961" s="7" t="str">
        <f t="shared" si="1"/>
        <v>Built-up :</v>
      </c>
      <c r="AE4961" s="7" t="str">
        <f t="shared" si="2"/>
        <v> sq. ft.</v>
      </c>
      <c r="AF4961">
        <f>IFERROR(__xludf.DUMMYFUNCTION("VALUE(REGEXREPLACE(G4961,""[^[:digit:]]"", """"))"),603.0)</f>
        <v>603</v>
      </c>
      <c r="AG4961" s="7"/>
      <c r="AH4961" s="7"/>
      <c r="AI4961" s="7"/>
      <c r="AJ4961" s="7"/>
      <c r="AK4961" s="7"/>
      <c r="AL4961" s="7"/>
      <c r="AM4961" s="7"/>
      <c r="AN4961" s="7"/>
      <c r="AO4961" s="7"/>
      <c r="AP4961" s="7"/>
      <c r="AQ4961" s="7"/>
      <c r="AR4961" s="7"/>
      <c r="AS4961" s="7" t="s">
        <v>22</v>
      </c>
    </row>
    <row r="4962">
      <c r="A4962" s="7" t="s">
        <v>428</v>
      </c>
      <c r="B4962" s="7" t="s">
        <v>361</v>
      </c>
      <c r="C4962" s="7">
        <f>2</f>
        <v>2</v>
      </c>
      <c r="D4962" s="7">
        <v>1.0</v>
      </c>
      <c r="E4962" s="7">
        <v>1.0</v>
      </c>
      <c r="F4962" s="7" t="s">
        <v>20</v>
      </c>
      <c r="G4962" s="7" t="s">
        <v>1391</v>
      </c>
      <c r="H4962" s="9" t="s">
        <v>2979</v>
      </c>
      <c r="I4962" t="s">
        <v>3685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  <c r="AA4962" s="7"/>
      <c r="AB4962" s="7"/>
      <c r="AC4962" s="7"/>
      <c r="AD4962" s="7" t="str">
        <f t="shared" si="1"/>
        <v>Built-up :</v>
      </c>
      <c r="AE4962" s="7" t="str">
        <f t="shared" si="2"/>
        <v> sq. ft.</v>
      </c>
      <c r="AF4962">
        <f>IFERROR(__xludf.DUMMYFUNCTION("VALUE(REGEXREPLACE(G4962,""[^[:digit:]]"", """"))"),1080.0)</f>
        <v>1080</v>
      </c>
      <c r="AG4962" s="7"/>
      <c r="AH4962" s="7"/>
      <c r="AI4962" s="7"/>
      <c r="AJ4962" s="7"/>
      <c r="AK4962" s="7"/>
      <c r="AL4962" s="7"/>
      <c r="AM4962" s="7"/>
      <c r="AN4962" s="7"/>
      <c r="AO4962" s="7"/>
      <c r="AP4962" s="7"/>
      <c r="AQ4962" s="7"/>
      <c r="AR4962" s="7"/>
      <c r="AS4962" s="7" t="s">
        <v>22</v>
      </c>
    </row>
    <row r="4963">
      <c r="A4963" s="7" t="s">
        <v>1476</v>
      </c>
      <c r="B4963" s="7" t="s">
        <v>1994</v>
      </c>
      <c r="C4963" s="7">
        <f>3</f>
        <v>3</v>
      </c>
      <c r="D4963" s="7">
        <v>2.0</v>
      </c>
      <c r="E4963" s="7">
        <v>1.0</v>
      </c>
      <c r="F4963" s="7" t="s">
        <v>354</v>
      </c>
      <c r="G4963" s="7" t="s">
        <v>703</v>
      </c>
      <c r="H4963" s="9" t="s">
        <v>2979</v>
      </c>
      <c r="I4963" t="s">
        <v>3292</v>
      </c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  <c r="AA4963" s="7"/>
      <c r="AB4963" s="7"/>
      <c r="AC4963" s="7"/>
      <c r="AD4963" s="7" t="str">
        <f t="shared" si="1"/>
        <v>Built-up :</v>
      </c>
      <c r="AE4963" s="7" t="str">
        <f t="shared" si="2"/>
        <v> sq. ft.</v>
      </c>
      <c r="AF4963">
        <f>IFERROR(__xludf.DUMMYFUNCTION("VALUE(REGEXREPLACE(G4963,""[^[:digit:]]"", """"))"),885.0)</f>
        <v>885</v>
      </c>
      <c r="AG4963" s="7"/>
      <c r="AH4963" s="7"/>
      <c r="AI4963" s="7"/>
      <c r="AJ4963" s="7"/>
      <c r="AK4963" s="7"/>
      <c r="AL4963" s="7"/>
      <c r="AM4963" s="7"/>
      <c r="AN4963" s="7"/>
      <c r="AO4963" s="7"/>
      <c r="AP4963" s="7"/>
      <c r="AQ4963" s="7"/>
      <c r="AR4963" s="7"/>
      <c r="AS4963" s="7" t="s">
        <v>22</v>
      </c>
    </row>
    <row r="4964">
      <c r="A4964" s="7" t="s">
        <v>241</v>
      </c>
      <c r="B4964" s="7" t="s">
        <v>381</v>
      </c>
      <c r="C4964" s="7">
        <f t="shared" ref="C4964:C4966" si="704">3+1</f>
        <v>4</v>
      </c>
      <c r="D4964" s="7">
        <v>3.0</v>
      </c>
      <c r="E4964" s="7">
        <v>2.0</v>
      </c>
      <c r="F4964" s="7" t="s">
        <v>30</v>
      </c>
      <c r="G4964" s="7" t="s">
        <v>1125</v>
      </c>
      <c r="H4964" s="9" t="s">
        <v>2979</v>
      </c>
      <c r="I4964" t="s">
        <v>3519</v>
      </c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  <c r="AA4964" s="7"/>
      <c r="AB4964" s="7"/>
      <c r="AC4964" s="7"/>
      <c r="AD4964" s="7" t="str">
        <f t="shared" si="1"/>
        <v>Built-up :</v>
      </c>
      <c r="AE4964" s="7" t="str">
        <f t="shared" si="2"/>
        <v> sq. ft.</v>
      </c>
      <c r="AF4964">
        <f>IFERROR(__xludf.DUMMYFUNCTION("VALUE(REGEXREPLACE(G4964,""[^[:digit:]]"", """"))"),1948.0)</f>
        <v>1948</v>
      </c>
      <c r="AG4964" s="7"/>
      <c r="AH4964" s="7"/>
      <c r="AI4964" s="7"/>
      <c r="AJ4964" s="7"/>
      <c r="AK4964" s="7"/>
      <c r="AL4964" s="7"/>
      <c r="AM4964" s="7"/>
      <c r="AN4964" s="7"/>
      <c r="AO4964" s="7"/>
      <c r="AP4964" s="7"/>
      <c r="AQ4964" s="7"/>
      <c r="AR4964" s="7"/>
      <c r="AS4964" s="7" t="s">
        <v>27</v>
      </c>
    </row>
    <row r="4965">
      <c r="A4965" s="7" t="s">
        <v>241</v>
      </c>
      <c r="B4965" s="7" t="s">
        <v>1075</v>
      </c>
      <c r="C4965" s="7">
        <f t="shared" si="704"/>
        <v>4</v>
      </c>
      <c r="D4965" s="7">
        <v>3.0</v>
      </c>
      <c r="E4965" s="7">
        <v>2.0</v>
      </c>
      <c r="F4965" s="7" t="s">
        <v>93</v>
      </c>
      <c r="G4965" s="7" t="s">
        <v>473</v>
      </c>
      <c r="H4965" s="9" t="s">
        <v>2979</v>
      </c>
      <c r="I4965" t="s">
        <v>3180</v>
      </c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  <c r="AA4965" s="7"/>
      <c r="AB4965" s="7"/>
      <c r="AC4965" s="7"/>
      <c r="AD4965" s="7" t="str">
        <f t="shared" si="1"/>
        <v>Built-up :</v>
      </c>
      <c r="AE4965" s="7" t="str">
        <f t="shared" si="2"/>
        <v> sq. ft.</v>
      </c>
      <c r="AF4965">
        <f>IFERROR(__xludf.DUMMYFUNCTION("VALUE(REGEXREPLACE(G4965,""[^[:digit:]]"", """"))"),1690.0)</f>
        <v>1690</v>
      </c>
      <c r="AG4965" s="7"/>
      <c r="AH4965" s="7"/>
      <c r="AI4965" s="7"/>
      <c r="AJ4965" s="7"/>
      <c r="AK4965" s="7"/>
      <c r="AL4965" s="7"/>
      <c r="AM4965" s="7"/>
      <c r="AN4965" s="7"/>
      <c r="AO4965" s="7"/>
      <c r="AP4965" s="7"/>
      <c r="AQ4965" s="7"/>
      <c r="AR4965" s="7"/>
      <c r="AS4965" s="7" t="s">
        <v>27</v>
      </c>
    </row>
    <row r="4966">
      <c r="A4966" s="7" t="s">
        <v>33</v>
      </c>
      <c r="B4966" s="7" t="s">
        <v>206</v>
      </c>
      <c r="C4966" s="7">
        <f t="shared" si="704"/>
        <v>4</v>
      </c>
      <c r="D4966" s="7">
        <v>3.0</v>
      </c>
      <c r="E4966" s="7">
        <v>2.0</v>
      </c>
      <c r="F4966" s="7" t="s">
        <v>83</v>
      </c>
      <c r="G4966" s="7" t="s">
        <v>21</v>
      </c>
      <c r="H4966" s="9" t="s">
        <v>2979</v>
      </c>
      <c r="I4966" t="s">
        <v>2980</v>
      </c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  <c r="AA4966" s="7"/>
      <c r="AB4966" s="7"/>
      <c r="AC4966" s="7"/>
      <c r="AD4966" s="7" t="str">
        <f t="shared" si="1"/>
        <v>Built-up :</v>
      </c>
      <c r="AE4966" s="7" t="str">
        <f t="shared" si="2"/>
        <v> sq. ft.</v>
      </c>
      <c r="AF4966">
        <f>IFERROR(__xludf.DUMMYFUNCTION("VALUE(REGEXREPLACE(G4966,""[^[:digit:]]"", """"))"),1335.0)</f>
        <v>1335</v>
      </c>
      <c r="AG4966" s="7"/>
      <c r="AH4966" s="7"/>
      <c r="AI4966" s="7"/>
      <c r="AJ4966" s="7"/>
      <c r="AK4966" s="7"/>
      <c r="AL4966" s="7"/>
      <c r="AM4966" s="7"/>
      <c r="AN4966" s="7"/>
      <c r="AO4966" s="7"/>
      <c r="AP4966" s="7"/>
      <c r="AQ4966" s="7"/>
      <c r="AR4966" s="7"/>
      <c r="AS4966" s="7" t="s">
        <v>27</v>
      </c>
    </row>
    <row r="4967">
      <c r="A4967" s="7" t="s">
        <v>100</v>
      </c>
      <c r="B4967" s="7" t="s">
        <v>409</v>
      </c>
      <c r="C4967" s="7">
        <f>3</f>
        <v>3</v>
      </c>
      <c r="D4967" s="7">
        <v>2.0</v>
      </c>
      <c r="E4967" s="7">
        <v>2.0</v>
      </c>
      <c r="F4967" s="7" t="s">
        <v>83</v>
      </c>
      <c r="G4967" s="7" t="s">
        <v>1808</v>
      </c>
      <c r="H4967" s="9" t="s">
        <v>2979</v>
      </c>
      <c r="I4967" t="s">
        <v>3933</v>
      </c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  <c r="AA4967" s="7"/>
      <c r="AB4967" s="7"/>
      <c r="AC4967" s="7"/>
      <c r="AD4967" s="7" t="str">
        <f t="shared" si="1"/>
        <v>Built-up :</v>
      </c>
      <c r="AE4967" s="7" t="str">
        <f t="shared" si="2"/>
        <v> sq. ft.</v>
      </c>
      <c r="AF4967">
        <f>IFERROR(__xludf.DUMMYFUNCTION("VALUE(REGEXREPLACE(G4967,""[^[:digit:]]"", """"))"),948.0)</f>
        <v>948</v>
      </c>
      <c r="AG4967" s="7"/>
      <c r="AH4967" s="7"/>
      <c r="AI4967" s="7"/>
      <c r="AJ4967" s="7"/>
      <c r="AK4967" s="7"/>
      <c r="AL4967" s="7"/>
      <c r="AM4967" s="7"/>
      <c r="AN4967" s="7"/>
      <c r="AO4967" s="7"/>
      <c r="AP4967" s="7"/>
      <c r="AQ4967" s="7"/>
      <c r="AR4967" s="7"/>
      <c r="AS4967" s="7" t="s">
        <v>27</v>
      </c>
    </row>
    <row r="4968">
      <c r="A4968" s="7" t="s">
        <v>33</v>
      </c>
      <c r="B4968" s="7" t="s">
        <v>842</v>
      </c>
      <c r="C4968" s="7">
        <f>5+1</f>
        <v>6</v>
      </c>
      <c r="D4968" s="7">
        <v>7.0</v>
      </c>
      <c r="E4968" s="7">
        <v>4.0</v>
      </c>
      <c r="F4968" s="7" t="s">
        <v>61</v>
      </c>
      <c r="G4968" s="7" t="s">
        <v>2282</v>
      </c>
      <c r="H4968" s="9" t="s">
        <v>2981</v>
      </c>
      <c r="I4968" t="s">
        <v>4226</v>
      </c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  <c r="AA4968" s="7"/>
      <c r="AB4968" s="7"/>
      <c r="AC4968" s="7"/>
      <c r="AD4968" s="7" t="str">
        <f t="shared" si="1"/>
        <v>Land area </v>
      </c>
      <c r="AE4968" s="7" t="str">
        <f t="shared" si="2"/>
        <v> sq. ft.</v>
      </c>
      <c r="AF4968">
        <f>IFERROR(__xludf.DUMMYFUNCTION("VALUE(REGEXREPLACE(G4968,""[^[:digit:]]"", """"))"),7950.0)</f>
        <v>7950</v>
      </c>
      <c r="AG4968" s="7"/>
      <c r="AH4968" s="7"/>
      <c r="AI4968" s="7"/>
      <c r="AJ4968" s="7"/>
      <c r="AK4968" s="7"/>
      <c r="AL4968" s="7"/>
      <c r="AM4968" s="7"/>
      <c r="AN4968" s="7"/>
      <c r="AO4968" s="7"/>
      <c r="AP4968" s="7"/>
      <c r="AQ4968" s="7"/>
      <c r="AR4968" s="7"/>
      <c r="AS4968" s="7" t="s">
        <v>27</v>
      </c>
    </row>
    <row r="4969">
      <c r="A4969" s="7" t="s">
        <v>77</v>
      </c>
      <c r="B4969" s="7" t="s">
        <v>110</v>
      </c>
      <c r="C4969" s="7">
        <f>5+2</f>
        <v>7</v>
      </c>
      <c r="D4969" s="7">
        <v>6.0</v>
      </c>
      <c r="E4969" s="7">
        <v>2.0</v>
      </c>
      <c r="F4969" s="7" t="s">
        <v>90</v>
      </c>
      <c r="G4969" s="7" t="s">
        <v>211</v>
      </c>
      <c r="H4969" s="9" t="s">
        <v>2981</v>
      </c>
      <c r="I4969" t="s">
        <v>2992</v>
      </c>
      <c r="J4969" s="7"/>
      <c r="K4969" s="7"/>
      <c r="L4969" s="7"/>
      <c r="M4969" s="7"/>
      <c r="N4969" s="7"/>
      <c r="O4969" s="7"/>
      <c r="P4969" s="7"/>
      <c r="Q4969" s="7"/>
      <c r="R4969" s="7"/>
      <c r="S4969" s="7" t="s">
        <v>2993</v>
      </c>
      <c r="T4969" s="7"/>
      <c r="U4969" s="7"/>
      <c r="V4969" s="7"/>
      <c r="W4969" s="7"/>
      <c r="X4969" s="7"/>
      <c r="Y4969" s="7"/>
      <c r="Z4969" s="7"/>
      <c r="AA4969" s="7"/>
      <c r="AB4969" s="7"/>
      <c r="AC4969" s="7"/>
      <c r="AD4969" s="7" t="str">
        <f t="shared" si="1"/>
        <v>Land area </v>
      </c>
      <c r="AE4969" s="7" t="str">
        <f t="shared" si="2"/>
        <v> sq. ft.</v>
      </c>
      <c r="AF4969">
        <f>IFERROR(__xludf.DUMMYFUNCTION("VALUE(REGEXREPLACE(G4969,""[^[:digit:]]"", """"))"),2280.0)</f>
        <v>2280</v>
      </c>
      <c r="AG4969" s="7"/>
      <c r="AH4969" s="7"/>
      <c r="AI4969" s="7"/>
      <c r="AJ4969" s="7"/>
      <c r="AK4969" s="7"/>
      <c r="AL4969" s="7"/>
      <c r="AM4969" s="7"/>
      <c r="AN4969" s="7"/>
      <c r="AO4969" s="7"/>
      <c r="AP4969" s="7"/>
      <c r="AQ4969" s="7"/>
      <c r="AR4969" s="7"/>
      <c r="AS4969" s="7" t="s">
        <v>27</v>
      </c>
    </row>
    <row r="4970">
      <c r="A4970" s="7" t="s">
        <v>77</v>
      </c>
      <c r="B4970" s="7" t="s">
        <v>610</v>
      </c>
      <c r="C4970" s="7">
        <f t="shared" ref="C4970:C4971" si="705">4</f>
        <v>4</v>
      </c>
      <c r="D4970" s="7">
        <v>4.0</v>
      </c>
      <c r="E4970" s="7">
        <v>2.0</v>
      </c>
      <c r="F4970" s="7" t="s">
        <v>273</v>
      </c>
      <c r="G4970" s="7" t="s">
        <v>2966</v>
      </c>
      <c r="H4970" s="9" t="s">
        <v>2981</v>
      </c>
      <c r="I4970" t="s">
        <v>4637</v>
      </c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  <c r="AA4970" s="7"/>
      <c r="AB4970" s="7"/>
      <c r="AC4970" s="7"/>
      <c r="AD4970" s="7" t="str">
        <f t="shared" si="1"/>
        <v>Land area </v>
      </c>
      <c r="AE4970" s="7" t="str">
        <f t="shared" si="2"/>
        <v> sq. ft.</v>
      </c>
      <c r="AF4970">
        <f>IFERROR(__xludf.DUMMYFUNCTION("VALUE(REGEXREPLACE(G4970,""[^[:digit:]]"", """"))"),1442.0)</f>
        <v>1442</v>
      </c>
      <c r="AG4970" s="7"/>
      <c r="AH4970" s="7"/>
      <c r="AI4970" s="7"/>
      <c r="AJ4970" s="7"/>
      <c r="AK4970" s="7"/>
      <c r="AL4970" s="7"/>
      <c r="AM4970" s="7"/>
      <c r="AN4970" s="7"/>
      <c r="AO4970" s="7"/>
      <c r="AP4970" s="7"/>
      <c r="AQ4970" s="7"/>
      <c r="AR4970" s="7"/>
      <c r="AS4970" s="7" t="s">
        <v>22</v>
      </c>
    </row>
    <row r="4971">
      <c r="A4971" s="7" t="s">
        <v>100</v>
      </c>
      <c r="B4971" s="7" t="s">
        <v>247</v>
      </c>
      <c r="C4971" s="7">
        <f t="shared" si="705"/>
        <v>4</v>
      </c>
      <c r="D4971" s="7">
        <v>3.0</v>
      </c>
      <c r="E4971" s="9">
        <v>2.0</v>
      </c>
      <c r="F4971" s="7" t="s">
        <v>61</v>
      </c>
      <c r="G4971" s="7" t="s">
        <v>2967</v>
      </c>
      <c r="H4971" s="9" t="s">
        <v>2981</v>
      </c>
      <c r="I4971" t="s">
        <v>4638</v>
      </c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  <c r="AA4971" s="7"/>
      <c r="AB4971" s="7"/>
      <c r="AC4971" s="7"/>
      <c r="AD4971" s="7" t="str">
        <f t="shared" si="1"/>
        <v>Land area </v>
      </c>
      <c r="AE4971" s="7" t="str">
        <f t="shared" si="2"/>
        <v> sq. ft.</v>
      </c>
      <c r="AF4971">
        <f>IFERROR(__xludf.DUMMYFUNCTION("VALUE(REGEXREPLACE(G4971,""[^[:digit:]]"", """"))"),5837.0)</f>
        <v>5837</v>
      </c>
      <c r="AG4971" s="7"/>
      <c r="AH4971" s="7"/>
      <c r="AI4971" s="7"/>
      <c r="AJ4971" s="7"/>
      <c r="AK4971" s="7"/>
      <c r="AL4971" s="7"/>
      <c r="AM4971" s="7"/>
      <c r="AN4971" s="7"/>
      <c r="AO4971" s="7"/>
      <c r="AP4971" s="7"/>
      <c r="AQ4971" s="7"/>
      <c r="AR4971" s="7"/>
      <c r="AS4971" s="7" t="s">
        <v>27</v>
      </c>
    </row>
    <row r="4972">
      <c r="A4972" s="7" t="s">
        <v>23</v>
      </c>
      <c r="B4972" s="7" t="s">
        <v>151</v>
      </c>
      <c r="C4972" s="7">
        <f>5+1</f>
        <v>6</v>
      </c>
      <c r="D4972" s="7">
        <v>4.0</v>
      </c>
      <c r="E4972" s="9">
        <v>2.0</v>
      </c>
      <c r="F4972" s="7" t="s">
        <v>61</v>
      </c>
      <c r="G4972" s="7" t="s">
        <v>798</v>
      </c>
      <c r="H4972" s="9" t="s">
        <v>2981</v>
      </c>
      <c r="I4972" t="s">
        <v>3346</v>
      </c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  <c r="AA4972" s="7"/>
      <c r="AB4972" s="7"/>
      <c r="AC4972" s="7"/>
      <c r="AD4972" s="7" t="str">
        <f t="shared" si="1"/>
        <v>Land area </v>
      </c>
      <c r="AE4972" s="7" t="str">
        <f t="shared" si="2"/>
        <v> sq. ft.</v>
      </c>
      <c r="AF4972">
        <f>IFERROR(__xludf.DUMMYFUNCTION("VALUE(REGEXREPLACE(G4972,""[^[:digit:]]"", """"))"),7600.0)</f>
        <v>7600</v>
      </c>
      <c r="AG4972" s="7"/>
      <c r="AH4972" s="7"/>
      <c r="AI4972" s="7"/>
      <c r="AJ4972" s="7"/>
      <c r="AK4972" s="7"/>
      <c r="AL4972" s="7"/>
      <c r="AM4972" s="7"/>
      <c r="AN4972" s="7"/>
      <c r="AO4972" s="7"/>
      <c r="AP4972" s="7"/>
      <c r="AQ4972" s="7"/>
      <c r="AR4972" s="7"/>
      <c r="AS4972" s="7" t="s">
        <v>27</v>
      </c>
    </row>
    <row r="4973">
      <c r="A4973" s="7" t="s">
        <v>2307</v>
      </c>
      <c r="B4973" s="7" t="s">
        <v>966</v>
      </c>
      <c r="C4973" s="7">
        <f>3</f>
        <v>3</v>
      </c>
      <c r="D4973" s="7">
        <v>2.0</v>
      </c>
      <c r="E4973" s="7">
        <v>1.0</v>
      </c>
      <c r="F4973" s="7" t="s">
        <v>82</v>
      </c>
      <c r="G4973" s="7" t="s">
        <v>734</v>
      </c>
      <c r="H4973" s="9" t="s">
        <v>2979</v>
      </c>
      <c r="I4973" t="s">
        <v>3308</v>
      </c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  <c r="AA4973" s="7"/>
      <c r="AB4973" s="7"/>
      <c r="AC4973" s="7"/>
      <c r="AD4973" s="7" t="str">
        <f t="shared" si="1"/>
        <v>Built-up :</v>
      </c>
      <c r="AE4973" s="7" t="str">
        <f t="shared" si="2"/>
        <v> sq. ft.</v>
      </c>
      <c r="AF4973">
        <f>IFERROR(__xludf.DUMMYFUNCTION("VALUE(REGEXREPLACE(G4973,""[^[:digit:]]"", """"))"),1100.0)</f>
        <v>1100</v>
      </c>
      <c r="AG4973" s="7"/>
      <c r="AH4973" s="7"/>
      <c r="AI4973" s="7"/>
      <c r="AJ4973" s="7"/>
      <c r="AK4973" s="7"/>
      <c r="AL4973" s="7"/>
      <c r="AM4973" s="7"/>
      <c r="AN4973" s="7"/>
      <c r="AO4973" s="7"/>
      <c r="AP4973" s="7"/>
      <c r="AQ4973" s="7"/>
      <c r="AR4973" s="7"/>
      <c r="AS4973" s="7" t="s">
        <v>22</v>
      </c>
    </row>
    <row r="4974">
      <c r="A4974" s="7" t="s">
        <v>180</v>
      </c>
      <c r="B4974" s="7" t="s">
        <v>403</v>
      </c>
      <c r="C4974" s="7">
        <f>1</f>
        <v>1</v>
      </c>
      <c r="D4974" s="7">
        <v>2.0</v>
      </c>
      <c r="E4974" s="7">
        <v>1.0</v>
      </c>
      <c r="F4974" s="7" t="s">
        <v>82</v>
      </c>
      <c r="G4974" s="7" t="s">
        <v>2244</v>
      </c>
      <c r="H4974" s="9" t="s">
        <v>2979</v>
      </c>
      <c r="I4974" t="s">
        <v>4202</v>
      </c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  <c r="AA4974" s="7"/>
      <c r="AB4974" s="7"/>
      <c r="AC4974" s="7"/>
      <c r="AD4974" s="7" t="str">
        <f t="shared" si="1"/>
        <v>Built-up :</v>
      </c>
      <c r="AE4974" s="7" t="str">
        <f t="shared" si="2"/>
        <v> sq. ft.</v>
      </c>
      <c r="AF4974">
        <f>IFERROR(__xludf.DUMMYFUNCTION("VALUE(REGEXREPLACE(G4974,""[^[:digit:]]"", """"))"),1130.0)</f>
        <v>1130</v>
      </c>
      <c r="AG4974" s="7"/>
      <c r="AH4974" s="7"/>
      <c r="AI4974" s="7"/>
      <c r="AJ4974" s="7"/>
      <c r="AK4974" s="7"/>
      <c r="AL4974" s="7"/>
      <c r="AM4974" s="7"/>
      <c r="AN4974" s="7"/>
      <c r="AO4974" s="7"/>
      <c r="AP4974" s="7"/>
      <c r="AQ4974" s="7"/>
      <c r="AR4974" s="7"/>
      <c r="AS4974" s="7" t="s">
        <v>22</v>
      </c>
    </row>
    <row r="4975">
      <c r="A4975" s="7" t="s">
        <v>41</v>
      </c>
      <c r="B4975" s="7" t="s">
        <v>715</v>
      </c>
      <c r="C4975" s="7">
        <f>2</f>
        <v>2</v>
      </c>
      <c r="D4975" s="7">
        <v>2.0</v>
      </c>
      <c r="E4975" s="7">
        <v>1.0</v>
      </c>
      <c r="F4975" s="7" t="s">
        <v>83</v>
      </c>
      <c r="G4975" s="7" t="s">
        <v>978</v>
      </c>
      <c r="H4975" s="9" t="s">
        <v>2979</v>
      </c>
      <c r="I4975" t="s">
        <v>3433</v>
      </c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  <c r="AA4975" s="7"/>
      <c r="AB4975" s="7"/>
      <c r="AC4975" s="7"/>
      <c r="AD4975" s="7" t="str">
        <f t="shared" si="1"/>
        <v>Built-up :</v>
      </c>
      <c r="AE4975" s="7" t="str">
        <f t="shared" si="2"/>
        <v> sq. ft.</v>
      </c>
      <c r="AF4975">
        <f>IFERROR(__xludf.DUMMYFUNCTION("VALUE(REGEXREPLACE(G4975,""[^[:digit:]]"", """"))"),667.0)</f>
        <v>667</v>
      </c>
      <c r="AG4975" s="7"/>
      <c r="AH4975" s="7"/>
      <c r="AI4975" s="7"/>
      <c r="AJ4975" s="7"/>
      <c r="AK4975" s="7"/>
      <c r="AL4975" s="7"/>
      <c r="AM4975" s="7"/>
      <c r="AN4975" s="7"/>
      <c r="AO4975" s="7"/>
      <c r="AP4975" s="7"/>
      <c r="AQ4975" s="7"/>
      <c r="AR4975" s="7"/>
      <c r="AS4975" s="7" t="s">
        <v>27</v>
      </c>
    </row>
    <row r="4976">
      <c r="A4976" s="7" t="s">
        <v>100</v>
      </c>
      <c r="B4976" s="7" t="s">
        <v>2968</v>
      </c>
      <c r="C4976" s="7">
        <f t="shared" ref="C4976:C4977" si="706">3+1</f>
        <v>4</v>
      </c>
      <c r="D4976" s="7">
        <v>4.0</v>
      </c>
      <c r="E4976" s="7">
        <v>2.0</v>
      </c>
      <c r="F4976" s="7" t="s">
        <v>83</v>
      </c>
      <c r="G4976" s="7" t="s">
        <v>1093</v>
      </c>
      <c r="H4976" s="9" t="s">
        <v>2979</v>
      </c>
      <c r="I4976" t="s">
        <v>3501</v>
      </c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  <c r="AA4976" s="7"/>
      <c r="AB4976" s="7"/>
      <c r="AC4976" s="7"/>
      <c r="AD4976" s="7" t="str">
        <f t="shared" si="1"/>
        <v>Built-up :</v>
      </c>
      <c r="AE4976" s="7" t="str">
        <f t="shared" si="2"/>
        <v> sq. ft.</v>
      </c>
      <c r="AF4976">
        <f>IFERROR(__xludf.DUMMYFUNCTION("VALUE(REGEXREPLACE(G4976,""[^[:digit:]]"", """"))"),1691.0)</f>
        <v>1691</v>
      </c>
      <c r="AG4976" s="7"/>
      <c r="AH4976" s="7"/>
      <c r="AI4976" s="7"/>
      <c r="AJ4976" s="7"/>
      <c r="AK4976" s="7"/>
      <c r="AL4976" s="7"/>
      <c r="AM4976" s="7"/>
      <c r="AN4976" s="7"/>
      <c r="AO4976" s="7"/>
      <c r="AP4976" s="7"/>
      <c r="AQ4976" s="7"/>
      <c r="AR4976" s="7"/>
      <c r="AS4976" s="7" t="s">
        <v>27</v>
      </c>
    </row>
    <row r="4977">
      <c r="A4977" s="7" t="s">
        <v>100</v>
      </c>
      <c r="B4977" s="7" t="s">
        <v>2969</v>
      </c>
      <c r="C4977" s="7">
        <f t="shared" si="706"/>
        <v>4</v>
      </c>
      <c r="D4977" s="7">
        <v>4.0</v>
      </c>
      <c r="E4977" s="7">
        <v>2.0</v>
      </c>
      <c r="F4977" s="7" t="s">
        <v>83</v>
      </c>
      <c r="G4977" s="7" t="s">
        <v>1688</v>
      </c>
      <c r="H4977" s="9" t="s">
        <v>2979</v>
      </c>
      <c r="I4977" t="s">
        <v>3858</v>
      </c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  <c r="AA4977" s="7"/>
      <c r="AB4977" s="7"/>
      <c r="AC4977" s="7"/>
      <c r="AD4977" s="7" t="str">
        <f t="shared" si="1"/>
        <v>Built-up :</v>
      </c>
      <c r="AE4977" s="7" t="str">
        <f t="shared" si="2"/>
        <v> sq. ft.</v>
      </c>
      <c r="AF4977">
        <f>IFERROR(__xludf.DUMMYFUNCTION("VALUE(REGEXREPLACE(G4977,""[^[:digit:]]"", """"))"),1250.0)</f>
        <v>1250</v>
      </c>
      <c r="AG4977" s="7"/>
      <c r="AH4977" s="7"/>
      <c r="AI4977" s="7"/>
      <c r="AJ4977" s="7"/>
      <c r="AK4977" s="7"/>
      <c r="AL4977" s="7"/>
      <c r="AM4977" s="7"/>
      <c r="AN4977" s="7"/>
      <c r="AO4977" s="7"/>
      <c r="AP4977" s="7"/>
      <c r="AQ4977" s="7"/>
      <c r="AR4977" s="7"/>
      <c r="AS4977" s="7" t="s">
        <v>27</v>
      </c>
    </row>
    <row r="4978">
      <c r="A4978" s="7" t="s">
        <v>41</v>
      </c>
      <c r="B4978" s="7" t="s">
        <v>2553</v>
      </c>
      <c r="C4978" s="7">
        <f>3</f>
        <v>3</v>
      </c>
      <c r="D4978" s="7">
        <v>2.0</v>
      </c>
      <c r="E4978" s="7">
        <v>2.0</v>
      </c>
      <c r="F4978" s="7" t="s">
        <v>83</v>
      </c>
      <c r="G4978" s="7" t="s">
        <v>237</v>
      </c>
      <c r="H4978" s="9" t="s">
        <v>2979</v>
      </c>
      <c r="I4978" t="s">
        <v>3069</v>
      </c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  <c r="AA4978" s="7"/>
      <c r="AB4978" s="7"/>
      <c r="AC4978" s="7"/>
      <c r="AD4978" s="7" t="str">
        <f t="shared" si="1"/>
        <v>Built-up :</v>
      </c>
      <c r="AE4978" s="7" t="str">
        <f t="shared" si="2"/>
        <v> sq. ft.</v>
      </c>
      <c r="AF4978">
        <f>IFERROR(__xludf.DUMMYFUNCTION("VALUE(REGEXREPLACE(G4978,""[^[:digit:]]"", """"))"),1087.0)</f>
        <v>1087</v>
      </c>
      <c r="AG4978" s="7"/>
      <c r="AH4978" s="7"/>
      <c r="AI4978" s="7"/>
      <c r="AJ4978" s="7"/>
      <c r="AK4978" s="7"/>
      <c r="AL4978" s="7"/>
      <c r="AM4978" s="7"/>
      <c r="AN4978" s="7"/>
      <c r="AO4978" s="7"/>
      <c r="AP4978" s="7"/>
      <c r="AQ4978" s="7"/>
      <c r="AR4978" s="7"/>
      <c r="AS4978" s="7" t="s">
        <v>27</v>
      </c>
    </row>
    <row r="4979">
      <c r="A4979" s="7" t="s">
        <v>41</v>
      </c>
      <c r="B4979" s="7" t="s">
        <v>2970</v>
      </c>
      <c r="C4979" s="7">
        <f>2</f>
        <v>2</v>
      </c>
      <c r="D4979" s="7">
        <v>2.0</v>
      </c>
      <c r="E4979" s="7">
        <v>1.0</v>
      </c>
      <c r="F4979" s="7" t="s">
        <v>83</v>
      </c>
      <c r="G4979" s="7" t="s">
        <v>2971</v>
      </c>
      <c r="H4979" s="9" t="s">
        <v>2979</v>
      </c>
      <c r="I4979" t="s">
        <v>4023</v>
      </c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  <c r="AA4979" s="7"/>
      <c r="AB4979" s="7"/>
      <c r="AC4979" s="7"/>
      <c r="AD4979" s="7" t="str">
        <f t="shared" si="1"/>
        <v>Built-up :</v>
      </c>
      <c r="AE4979" s="7" t="str">
        <f t="shared" si="2"/>
        <v> sq. ft.</v>
      </c>
      <c r="AF4979">
        <f>IFERROR(__xludf.DUMMYFUNCTION("VALUE(REGEXREPLACE(G4979,""[^[:digit:]]"", """"))"),829.0)</f>
        <v>829</v>
      </c>
      <c r="AG4979" s="7"/>
      <c r="AH4979" s="7"/>
      <c r="AI4979" s="7"/>
      <c r="AJ4979" s="7"/>
      <c r="AK4979" s="7"/>
      <c r="AL4979" s="7"/>
      <c r="AM4979" s="7"/>
      <c r="AN4979" s="7"/>
      <c r="AO4979" s="7"/>
      <c r="AP4979" s="7"/>
      <c r="AQ4979" s="7"/>
      <c r="AR4979" s="7"/>
      <c r="AS4979" s="7" t="s">
        <v>27</v>
      </c>
    </row>
    <row r="4980">
      <c r="A4980" s="7" t="s">
        <v>515</v>
      </c>
      <c r="B4980" s="7" t="s">
        <v>120</v>
      </c>
      <c r="C4980" s="7">
        <f>6+1</f>
        <v>7</v>
      </c>
      <c r="D4980" s="7">
        <v>6.0</v>
      </c>
      <c r="E4980" s="9">
        <v>2.0</v>
      </c>
      <c r="F4980" s="7" t="s">
        <v>67</v>
      </c>
      <c r="G4980" s="7" t="s">
        <v>2245</v>
      </c>
      <c r="H4980" s="9" t="s">
        <v>2981</v>
      </c>
      <c r="I4980" t="s">
        <v>4203</v>
      </c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  <c r="AA4980" s="7"/>
      <c r="AB4980" s="7"/>
      <c r="AC4980" s="7"/>
      <c r="AD4980" s="7" t="str">
        <f t="shared" si="1"/>
        <v>Land area </v>
      </c>
      <c r="AE4980" s="7" t="str">
        <f t="shared" si="2"/>
        <v> sq. ft.</v>
      </c>
      <c r="AF4980">
        <f>IFERROR(__xludf.DUMMYFUNCTION("VALUE(REGEXREPLACE(G4980,""[^[:digit:]]"", """"))"),4900.0)</f>
        <v>4900</v>
      </c>
      <c r="AG4980" s="7"/>
      <c r="AH4980" s="7"/>
      <c r="AI4980" s="7"/>
      <c r="AJ4980" s="7"/>
      <c r="AK4980" s="7"/>
      <c r="AL4980" s="7"/>
      <c r="AM4980" s="7"/>
      <c r="AN4980" s="7"/>
      <c r="AO4980" s="7"/>
      <c r="AP4980" s="7"/>
      <c r="AQ4980" s="7"/>
      <c r="AR4980" s="7"/>
      <c r="AS4980" s="7" t="s">
        <v>27</v>
      </c>
    </row>
    <row r="4981">
      <c r="A4981" s="7" t="s">
        <v>171</v>
      </c>
      <c r="B4981" s="7" t="s">
        <v>1423</v>
      </c>
      <c r="E4981" s="9">
        <v>2.0</v>
      </c>
      <c r="F4981" s="7" t="s">
        <v>20</v>
      </c>
      <c r="H4981" s="9" t="s">
        <v>2984</v>
      </c>
      <c r="I4981" t="s">
        <v>2985</v>
      </c>
      <c r="AD4981" s="7" t="str">
        <f t="shared" si="1"/>
        <v/>
      </c>
      <c r="AE4981" s="7" t="str">
        <f t="shared" si="2"/>
        <v/>
      </c>
      <c r="AF4981">
        <f>IFERROR(__xludf.DUMMYFUNCTION("VALUE(REGEXREPLACE(G4981,""[^[:digit:]]"", """"))"),0.0)</f>
        <v>0</v>
      </c>
    </row>
    <row r="4982">
      <c r="A4982" s="7" t="s">
        <v>100</v>
      </c>
      <c r="B4982" s="7" t="s">
        <v>2972</v>
      </c>
      <c r="C4982" s="7">
        <f>2+1</f>
        <v>3</v>
      </c>
      <c r="D4982" s="7">
        <v>3.0</v>
      </c>
      <c r="E4982" s="7">
        <v>2.0</v>
      </c>
      <c r="F4982" s="7" t="s">
        <v>93</v>
      </c>
      <c r="G4982" s="7" t="s">
        <v>732</v>
      </c>
      <c r="H4982" s="9" t="s">
        <v>2979</v>
      </c>
      <c r="I4982" t="s">
        <v>3307</v>
      </c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  <c r="AA4982" s="7"/>
      <c r="AB4982" s="7"/>
      <c r="AC4982" s="7"/>
      <c r="AD4982" s="7" t="str">
        <f t="shared" si="1"/>
        <v>Built-up :</v>
      </c>
      <c r="AE4982" s="7" t="str">
        <f t="shared" si="2"/>
        <v> sq. ft.</v>
      </c>
      <c r="AF4982">
        <f>IFERROR(__xludf.DUMMYFUNCTION("VALUE(REGEXREPLACE(G4982,""[^[:digit:]]"", """"))"),1523.0)</f>
        <v>1523</v>
      </c>
      <c r="AG4982" s="7"/>
      <c r="AH4982" s="7"/>
      <c r="AI4982" s="7"/>
      <c r="AJ4982" s="7"/>
      <c r="AK4982" s="7"/>
      <c r="AL4982" s="7"/>
      <c r="AM4982" s="7"/>
      <c r="AN4982" s="7"/>
      <c r="AO4982" s="7"/>
      <c r="AP4982" s="7"/>
      <c r="AQ4982" s="7"/>
      <c r="AR4982" s="7"/>
      <c r="AS4982" s="7" t="s">
        <v>27</v>
      </c>
    </row>
    <row r="4983">
      <c r="A4983" s="7" t="s">
        <v>2777</v>
      </c>
      <c r="B4983" s="7" t="s">
        <v>1784</v>
      </c>
      <c r="C4983" s="7">
        <f t="shared" ref="C4983:C4984" si="707">3</f>
        <v>3</v>
      </c>
      <c r="D4983" s="7">
        <v>1.0</v>
      </c>
      <c r="E4983" s="7">
        <v>2.0</v>
      </c>
      <c r="F4983" s="7" t="s">
        <v>46</v>
      </c>
      <c r="G4983" s="7" t="s">
        <v>2973</v>
      </c>
      <c r="H4983" s="9" t="s">
        <v>2981</v>
      </c>
      <c r="I4983" t="s">
        <v>3063</v>
      </c>
      <c r="J4983" s="7"/>
      <c r="K4983" s="7"/>
      <c r="L4983" s="7"/>
      <c r="M4983" s="7"/>
      <c r="N4983" s="7"/>
      <c r="O4983" s="7"/>
      <c r="P4983" s="7"/>
      <c r="Q4983" s="7"/>
      <c r="R4983" s="7"/>
      <c r="S4983" s="7" t="s">
        <v>4639</v>
      </c>
      <c r="T4983" s="7"/>
      <c r="U4983" s="7"/>
      <c r="V4983" s="7"/>
      <c r="W4983" s="7"/>
      <c r="X4983" s="7"/>
      <c r="Y4983" s="7"/>
      <c r="Z4983" s="7"/>
      <c r="AA4983" s="7"/>
      <c r="AB4983" s="7"/>
      <c r="AC4983" s="7"/>
      <c r="AD4983" s="7" t="str">
        <f t="shared" si="1"/>
        <v>Land area </v>
      </c>
      <c r="AE4983" s="7" t="str">
        <f t="shared" si="2"/>
        <v> sq. ft.</v>
      </c>
      <c r="AF4983">
        <f>IFERROR(__xludf.DUMMYFUNCTION("VALUE(REGEXREPLACE(G4983,""[^[:digit:]]"", """"))"),1452.0)</f>
        <v>1452</v>
      </c>
      <c r="AG4983" s="7"/>
      <c r="AH4983" s="7"/>
      <c r="AI4983" s="7"/>
      <c r="AJ4983" s="7"/>
      <c r="AK4983" s="7"/>
      <c r="AL4983" s="7"/>
      <c r="AM4983" s="7"/>
      <c r="AN4983" s="7"/>
      <c r="AO4983" s="7"/>
      <c r="AP4983" s="7"/>
      <c r="AQ4983" s="7"/>
      <c r="AR4983" s="7"/>
      <c r="AS4983" s="7" t="s">
        <v>103</v>
      </c>
    </row>
    <row r="4984">
      <c r="A4984" s="7" t="s">
        <v>371</v>
      </c>
      <c r="B4984" s="7" t="s">
        <v>967</v>
      </c>
      <c r="C4984" s="7">
        <f t="shared" si="707"/>
        <v>3</v>
      </c>
      <c r="D4984" s="7">
        <v>3.0</v>
      </c>
      <c r="E4984" s="7">
        <v>2.0</v>
      </c>
      <c r="F4984" s="7" t="s">
        <v>54</v>
      </c>
      <c r="G4984" s="7" t="s">
        <v>2974</v>
      </c>
      <c r="H4984" s="9" t="s">
        <v>2981</v>
      </c>
      <c r="I4984" t="s">
        <v>3718</v>
      </c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  <c r="AA4984" s="7"/>
      <c r="AB4984" s="7"/>
      <c r="AC4984" s="7"/>
      <c r="AD4984" s="7" t="str">
        <f t="shared" si="1"/>
        <v>Land area </v>
      </c>
      <c r="AE4984" s="7" t="str">
        <f t="shared" si="2"/>
        <v> sq. ft.</v>
      </c>
      <c r="AF4984">
        <f>IFERROR(__xludf.DUMMYFUNCTION("VALUE(REGEXREPLACE(G4984,""[^[:digit:]]"", """"))"),1860.0)</f>
        <v>1860</v>
      </c>
      <c r="AG4984" s="7"/>
      <c r="AH4984" s="7"/>
      <c r="AI4984" s="7"/>
      <c r="AJ4984" s="7"/>
      <c r="AK4984" s="7"/>
      <c r="AL4984" s="7"/>
      <c r="AM4984" s="7"/>
      <c r="AN4984" s="7"/>
      <c r="AO4984" s="7"/>
      <c r="AP4984" s="7"/>
      <c r="AQ4984" s="7"/>
      <c r="AR4984" s="7"/>
      <c r="AS4984" s="7" t="s">
        <v>27</v>
      </c>
    </row>
    <row r="4985">
      <c r="A4985" s="7" t="s">
        <v>1014</v>
      </c>
      <c r="B4985" s="7" t="s">
        <v>1015</v>
      </c>
      <c r="C4985" s="7">
        <f>3+1</f>
        <v>4</v>
      </c>
      <c r="D4985" s="7">
        <v>4.0</v>
      </c>
      <c r="E4985" s="9">
        <v>2.0</v>
      </c>
      <c r="F4985" s="7" t="s">
        <v>793</v>
      </c>
      <c r="G4985" s="7" t="s">
        <v>1016</v>
      </c>
      <c r="H4985" s="9" t="s">
        <v>2979</v>
      </c>
      <c r="I4985" t="s">
        <v>3457</v>
      </c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  <c r="AA4985" s="7"/>
      <c r="AB4985" s="7"/>
      <c r="AC4985" s="7"/>
      <c r="AD4985" s="7" t="str">
        <f t="shared" si="1"/>
        <v>Built-up :</v>
      </c>
      <c r="AE4985" s="7" t="str">
        <f t="shared" si="2"/>
        <v> sq. ft.</v>
      </c>
      <c r="AF4985">
        <f>IFERROR(__xludf.DUMMYFUNCTION("VALUE(REGEXREPLACE(G4985,""[^[:digit:]]"", """"))"),1879.0)</f>
        <v>1879</v>
      </c>
      <c r="AG4985" s="7"/>
      <c r="AH4985" s="7"/>
      <c r="AI4985" s="7"/>
      <c r="AJ4985" s="7"/>
      <c r="AK4985" s="7"/>
      <c r="AL4985" s="7"/>
      <c r="AM4985" s="7"/>
      <c r="AN4985" s="7"/>
      <c r="AO4985" s="7"/>
      <c r="AP4985" s="7"/>
      <c r="AQ4985" s="7"/>
      <c r="AR4985" s="7"/>
      <c r="AS4985" s="7" t="s">
        <v>251</v>
      </c>
    </row>
    <row r="4986">
      <c r="A4986" s="7" t="s">
        <v>32</v>
      </c>
      <c r="B4986" s="7" t="s">
        <v>172</v>
      </c>
      <c r="C4986" s="7">
        <f>3</f>
        <v>3</v>
      </c>
      <c r="D4986" s="7">
        <v>3.0</v>
      </c>
      <c r="E4986" s="9">
        <v>2.0</v>
      </c>
      <c r="F4986" s="7" t="s">
        <v>169</v>
      </c>
      <c r="G4986" s="7" t="s">
        <v>795</v>
      </c>
      <c r="H4986" s="9" t="s">
        <v>2979</v>
      </c>
      <c r="I4986" t="s">
        <v>3344</v>
      </c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  <c r="AA4986" s="7"/>
      <c r="AB4986" s="7"/>
      <c r="AC4986" s="7"/>
      <c r="AD4986" s="7" t="str">
        <f t="shared" si="1"/>
        <v>Built-up :</v>
      </c>
      <c r="AE4986" s="7" t="str">
        <f t="shared" si="2"/>
        <v> sq. ft.</v>
      </c>
      <c r="AF4986">
        <f>IFERROR(__xludf.DUMMYFUNCTION("VALUE(REGEXREPLACE(G4986,""[^[:digit:]]"", """"))"),1170.0)</f>
        <v>1170</v>
      </c>
      <c r="AG4986" s="7"/>
      <c r="AH4986" s="7"/>
      <c r="AI4986" s="7"/>
      <c r="AJ4986" s="7"/>
      <c r="AK4986" s="7"/>
      <c r="AL4986" s="7"/>
      <c r="AM4986" s="7"/>
      <c r="AN4986" s="7"/>
      <c r="AO4986" s="7"/>
      <c r="AP4986" s="7"/>
      <c r="AQ4986" s="7"/>
      <c r="AR4986" s="7"/>
      <c r="AS4986" s="7" t="s">
        <v>27</v>
      </c>
    </row>
    <row r="4987">
      <c r="A4987" s="7" t="s">
        <v>32</v>
      </c>
      <c r="B4987" s="7" t="s">
        <v>1423</v>
      </c>
      <c r="C4987" s="7">
        <f>2</f>
        <v>2</v>
      </c>
      <c r="D4987" s="7">
        <v>2.0</v>
      </c>
      <c r="E4987" s="7">
        <v>1.0</v>
      </c>
      <c r="F4987" s="7" t="s">
        <v>83</v>
      </c>
      <c r="G4987" s="7" t="s">
        <v>505</v>
      </c>
      <c r="H4987" s="9" t="s">
        <v>2979</v>
      </c>
      <c r="I4987" t="s">
        <v>3199</v>
      </c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  <c r="AA4987" s="7"/>
      <c r="AB4987" s="7"/>
      <c r="AC4987" s="7"/>
      <c r="AD4987" s="7" t="str">
        <f t="shared" si="1"/>
        <v>Built-up :</v>
      </c>
      <c r="AE4987" s="7" t="str">
        <f t="shared" si="2"/>
        <v> sq. ft.</v>
      </c>
      <c r="AF4987">
        <f>IFERROR(__xludf.DUMMYFUNCTION("VALUE(REGEXREPLACE(G4987,""[^[:digit:]]"", """"))"),900.0)</f>
        <v>900</v>
      </c>
      <c r="AG4987" s="7"/>
      <c r="AH4987" s="7"/>
      <c r="AI4987" s="7"/>
      <c r="AJ4987" s="7"/>
      <c r="AK4987" s="7"/>
      <c r="AL4987" s="7"/>
      <c r="AM4987" s="7"/>
      <c r="AN4987" s="7"/>
      <c r="AO4987" s="7"/>
      <c r="AP4987" s="7"/>
      <c r="AQ4987" s="7"/>
      <c r="AR4987" s="7"/>
    </row>
    <row r="4988">
      <c r="A4988" s="7" t="s">
        <v>33</v>
      </c>
      <c r="B4988" s="7" t="s">
        <v>138</v>
      </c>
      <c r="C4988" s="7">
        <f t="shared" ref="C4988:C4989" si="708">4+1</f>
        <v>5</v>
      </c>
      <c r="D4988" s="7">
        <v>3.0</v>
      </c>
      <c r="E4988" s="7">
        <v>2.0</v>
      </c>
      <c r="F4988" s="7" t="s">
        <v>83</v>
      </c>
      <c r="G4988" s="7" t="s">
        <v>36</v>
      </c>
      <c r="H4988" s="9" t="s">
        <v>2979</v>
      </c>
      <c r="I4988" t="s">
        <v>2986</v>
      </c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  <c r="AA4988" s="7"/>
      <c r="AB4988" s="7"/>
      <c r="AC4988" s="7"/>
      <c r="AD4988" s="7" t="str">
        <f t="shared" si="1"/>
        <v>Built-up :</v>
      </c>
      <c r="AE4988" s="7" t="str">
        <f t="shared" si="2"/>
        <v> sq. ft.</v>
      </c>
      <c r="AF4988">
        <f>IFERROR(__xludf.DUMMYFUNCTION("VALUE(REGEXREPLACE(G4988,""[^[:digit:]]"", """"))"),1513.0)</f>
        <v>1513</v>
      </c>
      <c r="AG4988" s="7"/>
      <c r="AH4988" s="7"/>
      <c r="AI4988" s="7"/>
      <c r="AJ4988" s="7"/>
      <c r="AK4988" s="7"/>
      <c r="AL4988" s="7"/>
      <c r="AM4988" s="7"/>
      <c r="AN4988" s="7"/>
      <c r="AO4988" s="7"/>
      <c r="AP4988" s="7"/>
      <c r="AQ4988" s="7"/>
      <c r="AR4988" s="7"/>
      <c r="AS4988" s="7" t="s">
        <v>27</v>
      </c>
    </row>
    <row r="4989">
      <c r="A4989" s="7" t="s">
        <v>1014</v>
      </c>
      <c r="B4989" s="7" t="s">
        <v>132</v>
      </c>
      <c r="C4989" s="7">
        <f t="shared" si="708"/>
        <v>5</v>
      </c>
      <c r="D4989" s="7">
        <v>3.0</v>
      </c>
      <c r="E4989" s="7">
        <v>2.0</v>
      </c>
      <c r="F4989" s="7" t="s">
        <v>169</v>
      </c>
      <c r="G4989" s="7" t="s">
        <v>283</v>
      </c>
      <c r="H4989" s="9" t="s">
        <v>2981</v>
      </c>
      <c r="I4989" t="s">
        <v>3091</v>
      </c>
      <c r="J4989" s="7"/>
      <c r="K4989" s="7"/>
      <c r="L4989" s="7"/>
      <c r="M4989" s="7"/>
      <c r="N4989" s="7"/>
      <c r="O4989" s="7"/>
      <c r="P4989" s="7"/>
      <c r="Q4989" s="7"/>
      <c r="R4989" s="7"/>
      <c r="S4989" s="7" t="s">
        <v>2990</v>
      </c>
      <c r="T4989" s="7"/>
      <c r="U4989" s="7"/>
      <c r="V4989" s="7"/>
      <c r="W4989" s="7"/>
      <c r="X4989" s="7"/>
      <c r="Y4989" s="7"/>
      <c r="Z4989" s="7"/>
      <c r="AA4989" s="7"/>
      <c r="AB4989" s="7"/>
      <c r="AC4989" s="7"/>
      <c r="AD4989" s="7" t="str">
        <f t="shared" si="1"/>
        <v>Land area </v>
      </c>
      <c r="AE4989" s="7" t="str">
        <f t="shared" si="2"/>
        <v> sq. ft.</v>
      </c>
      <c r="AF4989">
        <f>IFERROR(__xludf.DUMMYFUNCTION("VALUE(REGEXREPLACE(G4989,""[^[:digit:]]"", """"))"),2275.0)</f>
        <v>2275</v>
      </c>
      <c r="AG4989" s="7"/>
      <c r="AH4989" s="7"/>
      <c r="AI4989" s="7"/>
      <c r="AJ4989" s="7"/>
      <c r="AK4989" s="7"/>
      <c r="AL4989" s="7"/>
      <c r="AM4989" s="7"/>
      <c r="AN4989" s="7"/>
      <c r="AO4989" s="7"/>
      <c r="AP4989" s="7"/>
      <c r="AQ4989" s="7"/>
      <c r="AR4989" s="7"/>
      <c r="AS4989" s="7" t="s">
        <v>27</v>
      </c>
    </row>
    <row r="4990">
      <c r="A4990" s="7" t="s">
        <v>28</v>
      </c>
      <c r="B4990" s="7" t="s">
        <v>759</v>
      </c>
      <c r="C4990" s="7">
        <f>3</f>
        <v>3</v>
      </c>
      <c r="D4990" s="7">
        <v>2.0</v>
      </c>
      <c r="E4990" s="7">
        <v>2.0</v>
      </c>
      <c r="F4990" s="7" t="s">
        <v>83</v>
      </c>
      <c r="G4990" s="7" t="s">
        <v>734</v>
      </c>
      <c r="H4990" s="9" t="s">
        <v>2979</v>
      </c>
      <c r="I4990" t="s">
        <v>3308</v>
      </c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  <c r="AA4990" s="7"/>
      <c r="AB4990" s="7"/>
      <c r="AC4990" s="7"/>
      <c r="AD4990" s="7" t="str">
        <f t="shared" si="1"/>
        <v>Built-up :</v>
      </c>
      <c r="AE4990" s="7" t="str">
        <f t="shared" si="2"/>
        <v> sq. ft.</v>
      </c>
      <c r="AF4990">
        <f>IFERROR(__xludf.DUMMYFUNCTION("VALUE(REGEXREPLACE(G4990,""[^[:digit:]]"", """"))"),1100.0)</f>
        <v>1100</v>
      </c>
      <c r="AG4990" s="7"/>
      <c r="AH4990" s="7"/>
      <c r="AI4990" s="7"/>
      <c r="AJ4990" s="7"/>
      <c r="AK4990" s="7"/>
      <c r="AL4990" s="7"/>
      <c r="AM4990" s="7"/>
      <c r="AN4990" s="7"/>
      <c r="AO4990" s="7"/>
      <c r="AP4990" s="7"/>
      <c r="AQ4990" s="7"/>
      <c r="AR4990" s="7"/>
      <c r="AS4990" s="7" t="s">
        <v>27</v>
      </c>
    </row>
    <row r="4991">
      <c r="A4991" s="7" t="s">
        <v>32</v>
      </c>
      <c r="B4991" s="7" t="s">
        <v>639</v>
      </c>
      <c r="C4991" s="7" t="s">
        <v>325</v>
      </c>
      <c r="D4991" s="7">
        <v>1.0</v>
      </c>
      <c r="E4991" s="9">
        <v>2.0</v>
      </c>
      <c r="F4991" s="7" t="s">
        <v>20</v>
      </c>
      <c r="G4991" s="7" t="s">
        <v>1350</v>
      </c>
      <c r="H4991" s="9" t="s">
        <v>2979</v>
      </c>
      <c r="I4991" t="s">
        <v>3661</v>
      </c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  <c r="AA4991" s="7"/>
      <c r="AB4991" s="7"/>
      <c r="AC4991" s="7"/>
      <c r="AD4991" s="7" t="str">
        <f t="shared" si="1"/>
        <v>Built-up :</v>
      </c>
      <c r="AE4991" s="7" t="str">
        <f t="shared" si="2"/>
        <v> sq. ft.</v>
      </c>
      <c r="AF4991">
        <f>IFERROR(__xludf.DUMMYFUNCTION("VALUE(REGEXREPLACE(G4991,""[^[:digit:]]"", """"))"),610.0)</f>
        <v>610</v>
      </c>
      <c r="AG4991" s="7"/>
      <c r="AH4991" s="7"/>
      <c r="AI4991" s="7"/>
      <c r="AJ4991" s="7"/>
      <c r="AK4991" s="7"/>
      <c r="AL4991" s="7"/>
      <c r="AM4991" s="7"/>
      <c r="AN4991" s="7"/>
      <c r="AO4991" s="7"/>
      <c r="AP4991" s="7"/>
      <c r="AQ4991" s="7"/>
      <c r="AR4991" s="7"/>
      <c r="AS4991" s="7" t="s">
        <v>22</v>
      </c>
    </row>
    <row r="4992">
      <c r="A4992" s="7" t="s">
        <v>100</v>
      </c>
      <c r="B4992" s="7" t="s">
        <v>1011</v>
      </c>
      <c r="C4992" s="7">
        <f t="shared" ref="C4992:C4993" si="709">3</f>
        <v>3</v>
      </c>
      <c r="D4992" s="7">
        <v>2.0</v>
      </c>
      <c r="E4992" s="7">
        <v>2.0</v>
      </c>
      <c r="F4992" s="7" t="s">
        <v>82</v>
      </c>
      <c r="G4992" s="7" t="s">
        <v>491</v>
      </c>
      <c r="H4992" s="9" t="s">
        <v>2979</v>
      </c>
      <c r="I4992" t="s">
        <v>3190</v>
      </c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  <c r="AA4992" s="7"/>
      <c r="AB4992" s="7"/>
      <c r="AC4992" s="7"/>
      <c r="AD4992" s="7" t="str">
        <f t="shared" si="1"/>
        <v>Built-up :</v>
      </c>
      <c r="AE4992" s="7" t="str">
        <f t="shared" si="2"/>
        <v> sq. ft.</v>
      </c>
      <c r="AF4992">
        <f>IFERROR(__xludf.DUMMYFUNCTION("VALUE(REGEXREPLACE(G4992,""[^[:digit:]]"", """"))"),950.0)</f>
        <v>950</v>
      </c>
      <c r="AG4992" s="7"/>
      <c r="AH4992" s="7"/>
      <c r="AI4992" s="7"/>
      <c r="AJ4992" s="7"/>
      <c r="AK4992" s="7"/>
      <c r="AL4992" s="7"/>
      <c r="AM4992" s="7"/>
      <c r="AN4992" s="7"/>
      <c r="AO4992" s="7"/>
      <c r="AP4992" s="7"/>
      <c r="AQ4992" s="7"/>
      <c r="AR4992" s="7"/>
      <c r="AS4992" s="7" t="s">
        <v>103</v>
      </c>
    </row>
    <row r="4993">
      <c r="A4993" s="7" t="s">
        <v>48</v>
      </c>
      <c r="B4993" s="7" t="s">
        <v>2646</v>
      </c>
      <c r="C4993" s="7">
        <f t="shared" si="709"/>
        <v>3</v>
      </c>
      <c r="D4993" s="7">
        <v>2.0</v>
      </c>
      <c r="E4993" s="7">
        <v>2.0</v>
      </c>
      <c r="F4993" s="7" t="s">
        <v>82</v>
      </c>
      <c r="G4993" s="7" t="s">
        <v>2547</v>
      </c>
      <c r="H4993" s="9" t="s">
        <v>2979</v>
      </c>
      <c r="I4993" t="s">
        <v>4389</v>
      </c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  <c r="AA4993" s="7"/>
      <c r="AB4993" s="7"/>
      <c r="AC4993" s="7"/>
      <c r="AD4993" s="7" t="str">
        <f t="shared" si="1"/>
        <v>Built-up :</v>
      </c>
      <c r="AE4993" s="7" t="str">
        <f t="shared" si="2"/>
        <v> sq. ft.</v>
      </c>
      <c r="AF4993">
        <f>IFERROR(__xludf.DUMMYFUNCTION("VALUE(REGEXREPLACE(G4993,""[^[:digit:]]"", """"))"),980.0)</f>
        <v>980</v>
      </c>
      <c r="AG4993" s="7"/>
      <c r="AH4993" s="7"/>
      <c r="AI4993" s="7"/>
      <c r="AJ4993" s="7"/>
      <c r="AK4993" s="7"/>
      <c r="AL4993" s="7"/>
      <c r="AM4993" s="7"/>
      <c r="AN4993" s="7"/>
      <c r="AO4993" s="7"/>
      <c r="AP4993" s="7"/>
      <c r="AQ4993" s="7"/>
      <c r="AR4993" s="7"/>
      <c r="AS4993" s="7" t="s">
        <v>22</v>
      </c>
    </row>
    <row r="4994">
      <c r="A4994" s="7" t="s">
        <v>155</v>
      </c>
      <c r="B4994" s="7" t="s">
        <v>353</v>
      </c>
      <c r="C4994" s="7">
        <f>2</f>
        <v>2</v>
      </c>
      <c r="D4994" s="7">
        <v>2.0</v>
      </c>
      <c r="E4994" s="9">
        <v>2.0</v>
      </c>
      <c r="F4994" s="7" t="s">
        <v>20</v>
      </c>
      <c r="G4994" s="7" t="s">
        <v>1235</v>
      </c>
      <c r="H4994" s="9" t="s">
        <v>2979</v>
      </c>
      <c r="I4994" t="s">
        <v>3597</v>
      </c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  <c r="AA4994" s="7"/>
      <c r="AB4994" s="7"/>
      <c r="AC4994" s="7"/>
      <c r="AD4994" s="7" t="str">
        <f t="shared" si="1"/>
        <v>Built-up :</v>
      </c>
      <c r="AE4994" s="7" t="str">
        <f t="shared" si="2"/>
        <v> sq. ft.</v>
      </c>
      <c r="AF4994">
        <f>IFERROR(__xludf.DUMMYFUNCTION("VALUE(REGEXREPLACE(G4994,""[^[:digit:]]"", """"))"),646.0)</f>
        <v>646</v>
      </c>
      <c r="AG4994" s="7"/>
      <c r="AH4994" s="7"/>
      <c r="AI4994" s="7"/>
      <c r="AJ4994" s="7"/>
      <c r="AK4994" s="7"/>
      <c r="AL4994" s="7"/>
      <c r="AM4994" s="7"/>
      <c r="AN4994" s="7"/>
      <c r="AO4994" s="7"/>
      <c r="AP4994" s="7"/>
      <c r="AQ4994" s="7"/>
      <c r="AR4994" s="7"/>
    </row>
    <row r="4995">
      <c r="A4995" s="7" t="s">
        <v>177</v>
      </c>
      <c r="B4995" s="7" t="s">
        <v>255</v>
      </c>
      <c r="C4995" s="7">
        <f t="shared" ref="C4995:C4996" si="710">5+1</f>
        <v>6</v>
      </c>
      <c r="D4995" s="7">
        <v>3.0</v>
      </c>
      <c r="E4995" s="7">
        <v>4.0</v>
      </c>
      <c r="F4995" s="7" t="s">
        <v>61</v>
      </c>
      <c r="G4995" s="7" t="s">
        <v>1846</v>
      </c>
      <c r="H4995" s="9" t="s">
        <v>2981</v>
      </c>
      <c r="I4995" t="s">
        <v>3954</v>
      </c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  <c r="AA4995" s="7"/>
      <c r="AB4995" s="7"/>
      <c r="AC4995" s="7"/>
      <c r="AD4995" s="7" t="str">
        <f t="shared" si="1"/>
        <v>Land area </v>
      </c>
      <c r="AE4995" s="7" t="str">
        <f t="shared" si="2"/>
        <v> sq. ft.</v>
      </c>
      <c r="AF4995">
        <f>IFERROR(__xludf.DUMMYFUNCTION("VALUE(REGEXREPLACE(G4995,""[^[:digit:]]"", """"))"),6609.0)</f>
        <v>6609</v>
      </c>
      <c r="AG4995" s="7"/>
      <c r="AH4995" s="7"/>
      <c r="AI4995" s="7"/>
      <c r="AJ4995" s="7"/>
      <c r="AK4995" s="7"/>
      <c r="AL4995" s="7"/>
      <c r="AM4995" s="7"/>
      <c r="AN4995" s="7"/>
      <c r="AO4995" s="7"/>
      <c r="AP4995" s="7"/>
      <c r="AQ4995" s="7"/>
      <c r="AR4995" s="7"/>
      <c r="AS4995" s="7" t="s">
        <v>27</v>
      </c>
    </row>
    <row r="4996">
      <c r="A4996" s="7" t="s">
        <v>428</v>
      </c>
      <c r="B4996" s="7" t="s">
        <v>277</v>
      </c>
      <c r="C4996" s="7">
        <f t="shared" si="710"/>
        <v>6</v>
      </c>
      <c r="D4996" s="7">
        <v>6.0</v>
      </c>
      <c r="E4996" s="7">
        <v>2.0</v>
      </c>
      <c r="F4996" s="7" t="s">
        <v>2331</v>
      </c>
      <c r="G4996" s="7" t="s">
        <v>2975</v>
      </c>
      <c r="H4996" s="9" t="s">
        <v>2981</v>
      </c>
      <c r="I4996" t="s">
        <v>4640</v>
      </c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  <c r="AA4996" s="7"/>
      <c r="AB4996" s="7"/>
      <c r="AC4996" s="7"/>
      <c r="AD4996" s="7" t="str">
        <f t="shared" si="1"/>
        <v>Land area </v>
      </c>
      <c r="AE4996" s="7" t="str">
        <f t="shared" si="2"/>
        <v> sq. ft.</v>
      </c>
      <c r="AF4996">
        <f>IFERROR(__xludf.DUMMYFUNCTION("VALUE(REGEXREPLACE(G4996,""[^[:digit:]]"", """"))"),5403.0)</f>
        <v>5403</v>
      </c>
      <c r="AG4996" s="7"/>
      <c r="AH4996" s="7"/>
      <c r="AI4996" s="7"/>
      <c r="AJ4996" s="7"/>
      <c r="AK4996" s="7"/>
      <c r="AL4996" s="7"/>
      <c r="AM4996" s="7"/>
      <c r="AN4996" s="7"/>
      <c r="AO4996" s="7"/>
      <c r="AP4996" s="7"/>
      <c r="AQ4996" s="7"/>
      <c r="AR4996" s="7"/>
      <c r="AS4996" s="7" t="s">
        <v>27</v>
      </c>
    </row>
    <row r="4997">
      <c r="A4997" s="7" t="s">
        <v>155</v>
      </c>
      <c r="B4997" s="7" t="s">
        <v>2976</v>
      </c>
      <c r="C4997" s="7">
        <f>3</f>
        <v>3</v>
      </c>
      <c r="D4997" s="7">
        <v>2.0</v>
      </c>
      <c r="E4997" s="7">
        <v>2.0</v>
      </c>
      <c r="F4997" s="7" t="s">
        <v>20</v>
      </c>
      <c r="G4997" s="7" t="s">
        <v>392</v>
      </c>
      <c r="H4997" s="9" t="s">
        <v>2979</v>
      </c>
      <c r="I4997" t="s">
        <v>3141</v>
      </c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  <c r="AA4997" s="7"/>
      <c r="AB4997" s="7"/>
      <c r="AC4997" s="7"/>
      <c r="AD4997" s="7" t="str">
        <f t="shared" si="1"/>
        <v>Built-up :</v>
      </c>
      <c r="AE4997" s="7" t="str">
        <f t="shared" si="2"/>
        <v> sq. ft.</v>
      </c>
      <c r="AF4997">
        <f>IFERROR(__xludf.DUMMYFUNCTION("VALUE(REGEXREPLACE(G4997,""[^[:digit:]]"", """"))"),850.0)</f>
        <v>850</v>
      </c>
      <c r="AG4997" s="7"/>
      <c r="AH4997" s="7"/>
      <c r="AI4997" s="7"/>
      <c r="AJ4997" s="7"/>
      <c r="AK4997" s="7"/>
      <c r="AL4997" s="7"/>
      <c r="AM4997" s="7"/>
      <c r="AN4997" s="7"/>
      <c r="AO4997" s="7"/>
      <c r="AP4997" s="7"/>
      <c r="AQ4997" s="7"/>
      <c r="AR4997" s="7"/>
    </row>
    <row r="4998">
      <c r="A4998" s="7" t="s">
        <v>428</v>
      </c>
      <c r="B4998" s="7" t="s">
        <v>243</v>
      </c>
      <c r="C4998" s="7">
        <f>4</f>
        <v>4</v>
      </c>
      <c r="D4998" s="7">
        <v>4.0</v>
      </c>
      <c r="E4998" s="9">
        <v>2.0</v>
      </c>
      <c r="F4998" s="7" t="s">
        <v>64</v>
      </c>
      <c r="G4998" s="7" t="s">
        <v>1084</v>
      </c>
      <c r="H4998" s="9" t="s">
        <v>2979</v>
      </c>
      <c r="I4998" t="s">
        <v>3494</v>
      </c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  <c r="AA4998" s="7"/>
      <c r="AB4998" s="7"/>
      <c r="AC4998" s="7"/>
      <c r="AD4998" s="7" t="str">
        <f t="shared" si="1"/>
        <v>Built-up :</v>
      </c>
      <c r="AE4998" s="7" t="str">
        <f t="shared" si="2"/>
        <v> sq. ft.</v>
      </c>
      <c r="AF4998">
        <f>IFERROR(__xludf.DUMMYFUNCTION("VALUE(REGEXREPLACE(G4998,""[^[:digit:]]"", """"))"),3600.0)</f>
        <v>3600</v>
      </c>
      <c r="AG4998" s="7"/>
      <c r="AH4998" s="7"/>
      <c r="AI4998" s="7"/>
      <c r="AJ4998" s="7"/>
      <c r="AK4998" s="7"/>
      <c r="AL4998" s="7"/>
      <c r="AM4998" s="7"/>
      <c r="AN4998" s="7"/>
      <c r="AO4998" s="7"/>
      <c r="AP4998" s="7"/>
      <c r="AQ4998" s="7"/>
      <c r="AR4998" s="7"/>
      <c r="AS4998" s="7" t="s">
        <v>22</v>
      </c>
    </row>
    <row r="4999">
      <c r="A4999" s="7" t="s">
        <v>32</v>
      </c>
      <c r="B4999" s="7" t="s">
        <v>2977</v>
      </c>
      <c r="C4999" s="7">
        <f t="shared" ref="C4999:C5000" si="711">2</f>
        <v>2</v>
      </c>
      <c r="D4999" s="7">
        <v>2.0</v>
      </c>
      <c r="E4999" s="7">
        <v>2.0</v>
      </c>
      <c r="F4999" s="7" t="s">
        <v>93</v>
      </c>
      <c r="G4999" s="7" t="s">
        <v>2978</v>
      </c>
      <c r="H4999" s="9" t="s">
        <v>2981</v>
      </c>
      <c r="I4999" t="s">
        <v>4641</v>
      </c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  <c r="AA4999" s="7"/>
      <c r="AB4999" s="7"/>
      <c r="AC4999" s="7"/>
      <c r="AD4999" s="7" t="str">
        <f t="shared" si="1"/>
        <v>Land area </v>
      </c>
      <c r="AE4999" s="7" t="str">
        <f t="shared" si="2"/>
        <v> sq. ft.</v>
      </c>
      <c r="AF4999">
        <f>IFERROR(__xludf.DUMMYFUNCTION("VALUE(REGEXREPLACE(G4999,""[^[:digit:]]"", """"))"),8931195.0)</f>
        <v>8931195</v>
      </c>
      <c r="AG4999" s="7"/>
      <c r="AH4999" s="7"/>
      <c r="AI4999" s="7"/>
      <c r="AJ4999" s="7"/>
      <c r="AK4999" s="7"/>
      <c r="AL4999" s="7"/>
      <c r="AM4999" s="7"/>
      <c r="AN4999" s="7"/>
      <c r="AO4999" s="7"/>
      <c r="AP4999" s="7"/>
      <c r="AQ4999" s="7"/>
      <c r="AR4999" s="7"/>
      <c r="AS4999" s="7" t="s">
        <v>103</v>
      </c>
    </row>
    <row r="5000">
      <c r="A5000" s="7" t="s">
        <v>32</v>
      </c>
      <c r="B5000" s="7" t="s">
        <v>2977</v>
      </c>
      <c r="C5000" s="7">
        <f t="shared" si="711"/>
        <v>2</v>
      </c>
      <c r="D5000" s="7">
        <v>2.0</v>
      </c>
      <c r="E5000" s="7">
        <v>2.0</v>
      </c>
      <c r="F5000" s="7" t="s">
        <v>93</v>
      </c>
      <c r="G5000" s="7" t="s">
        <v>2978</v>
      </c>
      <c r="H5000" s="9" t="s">
        <v>2981</v>
      </c>
      <c r="I5000" t="s">
        <v>4641</v>
      </c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  <c r="AA5000" s="7"/>
      <c r="AB5000" s="7"/>
      <c r="AC5000" s="7"/>
      <c r="AD5000" s="7" t="str">
        <f t="shared" si="1"/>
        <v>Land area </v>
      </c>
      <c r="AE5000" s="7" t="str">
        <f t="shared" si="2"/>
        <v> sq. ft.</v>
      </c>
      <c r="AF5000">
        <f>IFERROR(__xludf.DUMMYFUNCTION("VALUE(REGEXREPLACE(G5000,""[^[:digit:]]"", """"))"),8931195.0)</f>
        <v>8931195</v>
      </c>
      <c r="AG5000" s="7"/>
      <c r="AH5000" s="7"/>
      <c r="AI5000" s="7"/>
      <c r="AJ5000" s="7"/>
      <c r="AK5000" s="7"/>
      <c r="AL5000" s="7"/>
      <c r="AM5000" s="7"/>
      <c r="AN5000" s="7"/>
      <c r="AO5000" s="7"/>
      <c r="AP5000" s="7"/>
      <c r="AQ5000" s="7"/>
      <c r="AR5000" s="7"/>
      <c r="AS5000" s="7" t="s">
        <v>103</v>
      </c>
    </row>
    <row r="5001">
      <c r="A5001" s="7" t="s">
        <v>32</v>
      </c>
      <c r="B5001" s="7" t="s">
        <v>541</v>
      </c>
      <c r="C5001" s="7">
        <f>3</f>
        <v>3</v>
      </c>
      <c r="D5001" s="7">
        <v>2.0</v>
      </c>
      <c r="E5001" s="7">
        <v>2.0</v>
      </c>
      <c r="F5001" s="7" t="s">
        <v>83</v>
      </c>
      <c r="G5001" s="7" t="s">
        <v>548</v>
      </c>
      <c r="H5001" s="9" t="s">
        <v>2981</v>
      </c>
      <c r="I5001" t="s">
        <v>3219</v>
      </c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  <c r="AA5001" s="7"/>
      <c r="AB5001" s="7"/>
      <c r="AC5001" s="7"/>
      <c r="AD5001" s="7" t="str">
        <f t="shared" si="1"/>
        <v>Land area </v>
      </c>
      <c r="AE5001" s="7" t="str">
        <f t="shared" si="2"/>
        <v> sq. ft.</v>
      </c>
      <c r="AF5001">
        <f>IFERROR(__xludf.DUMMYFUNCTION("VALUE(REGEXREPLACE(G5001,""[^[:digit:]]"", """"))"),8501000.0)</f>
        <v>8501000</v>
      </c>
      <c r="AG5001" s="7"/>
      <c r="AH5001" s="7"/>
      <c r="AI5001" s="7"/>
      <c r="AJ5001" s="7"/>
      <c r="AK5001" s="7"/>
      <c r="AL5001" s="7"/>
      <c r="AM5001" s="7"/>
      <c r="AN5001" s="7"/>
      <c r="AO5001" s="7"/>
      <c r="AP5001" s="7"/>
      <c r="AQ5001" s="7"/>
      <c r="AR5001" s="7"/>
      <c r="AS5001" s="7" t="s">
        <v>27</v>
      </c>
    </row>
  </sheetData>
  <drawing r:id="rId2"/>
  <legacyDrawing r:id="rId3"/>
</worksheet>
</file>